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thoma/Desktop/Juste-Répartition/Données utilisées/"/>
    </mc:Choice>
  </mc:AlternateContent>
  <xr:revisionPtr revIDLastSave="0" documentId="13_ncr:1_{ADBCAAAD-08FA-0740-B95E-1CED7A25AE7B}" xr6:coauthVersionLast="47" xr6:coauthVersionMax="47" xr10:uidLastSave="{00000000-0000-0000-0000-000000000000}"/>
  <bookViews>
    <workbookView xWindow="0" yWindow="0" windowWidth="28800" windowHeight="18000" tabRatio="1000" activeTab="2" xr2:uid="{00000000-000D-0000-FFFF-FFFF00000000}"/>
  </bookViews>
  <sheets>
    <sheet name="Répartition Graphique" sheetId="28" r:id="rId1"/>
    <sheet name="Répartition Budget" sheetId="26" r:id="rId2"/>
    <sheet name="Répartition 1000€" sheetId="20" r:id="rId3"/>
    <sheet name="APU" sheetId="3" r:id="rId4"/>
    <sheet name="APUC" sheetId="25" r:id="rId5"/>
    <sheet name="APUL" sheetId="6" r:id="rId6"/>
    <sheet name="ASS" sheetId="7" r:id="rId7"/>
    <sheet name="Budget" sheetId="22" r:id="rId8"/>
  </sheets>
  <definedNames>
    <definedName name="_xlnm._FilterDatabase" localSheetId="6" hidden="1">ASS!$O$140:$O$144</definedName>
    <definedName name="_xlnm._FilterDatabase" localSheetId="7" hidden="1">Budget!$D$41:$N$43</definedName>
    <definedName name="_xlnm._FilterDatabase" localSheetId="0" hidden="1">'Répartition Graphique'!$A$15:$I$15</definedName>
    <definedName name="_xlnm.Print_Area" localSheetId="3">APU!$B$10:$AL$109,APU!$B$2:$F$2,APU!$B$4:$AL$8</definedName>
    <definedName name="_xlnm.Print_Area" localSheetId="4">APUC!$B$13:$AL$111,APUC!$B$2:$F$2,APUC!$B$4:$AL$11</definedName>
    <definedName name="_xlnm.Print_Area" localSheetId="5">APUL!$B$11:$AN$109,APUL!$B$2:$F$2,APUL!$B$4:$AN$9</definedName>
    <definedName name="_xlnm.Print_Area" localSheetId="6">ASS!$B$24:$AL$122,ASS!$B$2:$F$2,ASS!$B$4:$AL$22,ASS!$B$126:$AI$146</definedName>
    <definedName name="_xlnm.Print_Area" localSheetId="7">Budget!$B$26:$O$169,Budget!$N$171,Budget!$B$2:$F$2,Budget!$B$4:$O$23</definedName>
    <definedName name="_xlnm.Print_Area" localSheetId="2">'Répartition 1000€'!$B$14:$Q$163,'Répartition 1000€'!$B$2:$F$2,'Répartition 1000€'!$B$4:$Q$12</definedName>
    <definedName name="_xlnm.Print_Area" localSheetId="1">'Répartition Budget'!$B$10:$K$223,'Répartition Budget'!$B$2:$F$2,'Répartition Budget'!$B$4:$K$8</definedName>
    <definedName name="_xlnm.Print_Area" localSheetId="0">'Répartition Graphique'!$C$14:$J$227,'Répartition Graphique'!$C$2:$F$2,'Répartition Graphique'!$C$4:$J$12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48" i="20" l="1"/>
  <c r="O148" i="20"/>
  <c r="L148" i="20"/>
  <c r="K148" i="20"/>
  <c r="AK88" i="7"/>
  <c r="AK89" i="7"/>
  <c r="AK90" i="7"/>
  <c r="AK91" i="7"/>
  <c r="AK92" i="7"/>
  <c r="AK87" i="7"/>
  <c r="AK116" i="7"/>
  <c r="AK115" i="7"/>
  <c r="AK114" i="7"/>
  <c r="AK113" i="7"/>
  <c r="AJ116" i="7"/>
  <c r="AJ115" i="7"/>
  <c r="AJ113" i="7"/>
  <c r="AJ114" i="7"/>
  <c r="AJ88" i="7"/>
  <c r="AJ89" i="7"/>
  <c r="AJ90" i="7"/>
  <c r="AJ91" i="7"/>
  <c r="AJ92" i="7"/>
  <c r="AJ87" i="7"/>
  <c r="AH145" i="7" l="1"/>
  <c r="AG145" i="7"/>
  <c r="AG144" i="7" s="1"/>
  <c r="AH144" i="7" s="1"/>
  <c r="AC144" i="7"/>
  <c r="AD144" i="7"/>
  <c r="AE144" i="7"/>
  <c r="AF144" i="7"/>
  <c r="AB144" i="7"/>
  <c r="AG142" i="7"/>
  <c r="AH142" i="7" s="1"/>
  <c r="AH143" i="7"/>
  <c r="AG143" i="7"/>
  <c r="AC142" i="7"/>
  <c r="AD142" i="7"/>
  <c r="AE142" i="7"/>
  <c r="AF142" i="7"/>
  <c r="AB142" i="7"/>
  <c r="AG141" i="7"/>
  <c r="AG140" i="7"/>
  <c r="AH140" i="7" s="1"/>
  <c r="AH141" i="7"/>
  <c r="AC140" i="7"/>
  <c r="AD140" i="7"/>
  <c r="AE140" i="7"/>
  <c r="AF140" i="7"/>
  <c r="AB140" i="7"/>
  <c r="AH136" i="7"/>
  <c r="AH134" i="7"/>
  <c r="AH132" i="7"/>
  <c r="C138" i="7"/>
  <c r="AG136" i="7" l="1"/>
  <c r="AF136" i="7"/>
  <c r="AE136" i="7"/>
  <c r="AD136" i="7"/>
  <c r="AG134" i="7"/>
  <c r="AF134" i="7"/>
  <c r="AE134" i="7"/>
  <c r="AD134" i="7"/>
  <c r="AC134" i="7"/>
  <c r="C34" i="7" l="1"/>
  <c r="C21" i="6"/>
  <c r="C21" i="3"/>
  <c r="C23" i="25"/>
  <c r="C15" i="20"/>
  <c r="C17" i="26"/>
  <c r="G17" i="28" l="1"/>
  <c r="G18" i="28"/>
  <c r="G19" i="28"/>
  <c r="G20" i="28"/>
  <c r="G21" i="28"/>
  <c r="G22" i="28"/>
  <c r="G23" i="28"/>
  <c r="G24" i="28"/>
  <c r="G25" i="28"/>
  <c r="G26" i="28"/>
  <c r="G27" i="28"/>
  <c r="G28" i="28"/>
  <c r="G29" i="28"/>
  <c r="G30" i="28"/>
  <c r="G31" i="28"/>
  <c r="G32" i="28"/>
  <c r="G33" i="28"/>
  <c r="G34" i="28"/>
  <c r="G35" i="28"/>
  <c r="G36" i="28"/>
  <c r="G37" i="28"/>
  <c r="G38" i="28"/>
  <c r="G39" i="28"/>
  <c r="G40" i="28"/>
  <c r="G41" i="28"/>
  <c r="G42" i="28"/>
  <c r="G43" i="28"/>
  <c r="G44" i="28"/>
  <c r="G47" i="28"/>
  <c r="G48" i="28"/>
  <c r="G49" i="28"/>
  <c r="G50" i="28"/>
  <c r="G51" i="28"/>
  <c r="G52" i="28"/>
  <c r="G53" i="28"/>
  <c r="G54" i="28"/>
  <c r="G55" i="28"/>
  <c r="G56" i="28"/>
  <c r="G57" i="28"/>
  <c r="G58" i="28"/>
  <c r="G59" i="28"/>
  <c r="G60" i="28"/>
  <c r="G61" i="28"/>
  <c r="G62" i="28"/>
  <c r="G63" i="28"/>
  <c r="G64" i="28"/>
  <c r="G65" i="28"/>
  <c r="G66" i="28"/>
  <c r="G67" i="28"/>
  <c r="G68" i="28"/>
  <c r="G69" i="28"/>
  <c r="G70" i="28"/>
  <c r="G71" i="28"/>
  <c r="G72" i="28"/>
  <c r="G73" i="28"/>
  <c r="G74" i="28"/>
  <c r="G75" i="28"/>
  <c r="G76" i="28"/>
  <c r="G77" i="28"/>
  <c r="G78" i="28"/>
  <c r="G79" i="28"/>
  <c r="G80" i="28"/>
  <c r="G81" i="28"/>
  <c r="G82" i="28"/>
  <c r="G83" i="28"/>
  <c r="G84" i="28"/>
  <c r="G85" i="28"/>
  <c r="G86" i="28"/>
  <c r="G87" i="28"/>
  <c r="G88" i="28"/>
  <c r="G89" i="28"/>
  <c r="G90" i="28"/>
  <c r="G91" i="28"/>
  <c r="G92" i="28"/>
  <c r="G93" i="28"/>
  <c r="G94" i="28"/>
  <c r="G95" i="28"/>
  <c r="G96" i="28"/>
  <c r="G97" i="28"/>
  <c r="G98" i="28"/>
  <c r="G99" i="28"/>
  <c r="G100" i="28"/>
  <c r="G101" i="28"/>
  <c r="G102" i="28"/>
  <c r="G103" i="28"/>
  <c r="G104" i="28"/>
  <c r="G105" i="28"/>
  <c r="G106" i="28"/>
  <c r="G107" i="28"/>
  <c r="G108" i="28"/>
  <c r="G109" i="28"/>
  <c r="G110" i="28"/>
  <c r="G111" i="28"/>
  <c r="G112" i="28"/>
  <c r="G113" i="28"/>
  <c r="G114" i="28"/>
  <c r="G115" i="28"/>
  <c r="G116" i="28"/>
  <c r="G117" i="28"/>
  <c r="G118" i="28"/>
  <c r="G119" i="28"/>
  <c r="G120" i="28"/>
  <c r="G121" i="28"/>
  <c r="G122" i="28"/>
  <c r="G123" i="28"/>
  <c r="G124" i="28"/>
  <c r="G125" i="28"/>
  <c r="G126" i="28"/>
  <c r="G127" i="28"/>
  <c r="G128" i="28"/>
  <c r="G129" i="28"/>
  <c r="G130" i="28"/>
  <c r="G131" i="28"/>
  <c r="G132" i="28"/>
  <c r="G133" i="28"/>
  <c r="G134" i="28"/>
  <c r="G135" i="28"/>
  <c r="G136" i="28"/>
  <c r="G137" i="28"/>
  <c r="G138" i="28"/>
  <c r="G139" i="28"/>
  <c r="G140" i="28"/>
  <c r="G141" i="28"/>
  <c r="G142" i="28"/>
  <c r="G143" i="28"/>
  <c r="G144" i="28"/>
  <c r="G145" i="28"/>
  <c r="G146" i="28"/>
  <c r="G147" i="28"/>
  <c r="G148" i="28"/>
  <c r="G149" i="28"/>
  <c r="G150" i="28"/>
  <c r="G151" i="28"/>
  <c r="G152" i="28"/>
  <c r="G153" i="28"/>
  <c r="G154" i="28"/>
  <c r="G155" i="28"/>
  <c r="G156" i="28"/>
  <c r="G157" i="28"/>
  <c r="G158" i="28"/>
  <c r="G159" i="28"/>
  <c r="G160" i="28"/>
  <c r="G161" i="28"/>
  <c r="G162" i="28"/>
  <c r="G163" i="28"/>
  <c r="G164" i="28"/>
  <c r="G165" i="28"/>
  <c r="G166" i="28"/>
  <c r="G167" i="28"/>
  <c r="G168" i="28"/>
  <c r="G169" i="28"/>
  <c r="G170" i="28"/>
  <c r="G171" i="28"/>
  <c r="G172" i="28"/>
  <c r="G173" i="28"/>
  <c r="G174" i="28"/>
  <c r="G175" i="28"/>
  <c r="G176" i="28"/>
  <c r="G177" i="28"/>
  <c r="G178" i="28"/>
  <c r="G179" i="28"/>
  <c r="G180" i="28"/>
  <c r="G181" i="28"/>
  <c r="G182" i="28"/>
  <c r="G183" i="28"/>
  <c r="G184" i="28"/>
  <c r="G185" i="28"/>
  <c r="G186" i="28"/>
  <c r="G187" i="28"/>
  <c r="G188" i="28"/>
  <c r="G189" i="28"/>
  <c r="G190" i="28"/>
  <c r="G191" i="28"/>
  <c r="G192" i="28"/>
  <c r="G193" i="28"/>
  <c r="G194" i="28"/>
  <c r="G195" i="28"/>
  <c r="G196" i="28"/>
  <c r="G197" i="28"/>
  <c r="G198" i="28"/>
  <c r="G199" i="28"/>
  <c r="G200" i="28"/>
  <c r="G201" i="28"/>
  <c r="G202" i="28"/>
  <c r="G203" i="28"/>
  <c r="G204" i="28"/>
  <c r="G205" i="28"/>
  <c r="G206" i="28"/>
  <c r="G207" i="28"/>
  <c r="G208" i="28"/>
  <c r="G209" i="28"/>
  <c r="G210" i="28"/>
  <c r="G211" i="28"/>
  <c r="G212" i="28"/>
  <c r="G213" i="28"/>
  <c r="G214" i="28"/>
  <c r="G215" i="28"/>
  <c r="G216" i="28"/>
  <c r="G217" i="28"/>
  <c r="G218" i="28"/>
  <c r="G219" i="28"/>
  <c r="G220" i="28"/>
  <c r="G221" i="28"/>
  <c r="G222" i="28"/>
  <c r="G223" i="28"/>
  <c r="G224" i="28"/>
  <c r="G225" i="28"/>
  <c r="G16" i="28"/>
  <c r="H126" i="20" a="1"/>
  <c r="H126" i="20" s="1"/>
  <c r="F143" i="20"/>
  <c r="C25" i="26"/>
  <c r="I221" i="26" l="1"/>
  <c r="C39" i="26"/>
  <c r="C42" i="26" s="1"/>
  <c r="C45" i="26" s="1"/>
  <c r="C55" i="26" l="1"/>
  <c r="C76" i="26" l="1"/>
  <c r="C114" i="26" s="1"/>
  <c r="C44" i="7" l="1"/>
  <c r="C51" i="7" s="1"/>
  <c r="AF18" i="25"/>
  <c r="AE18" i="25"/>
  <c r="AD18" i="25"/>
  <c r="AC18" i="25"/>
  <c r="AI24" i="25"/>
  <c r="AJ24" i="25"/>
  <c r="AI25" i="25"/>
  <c r="AJ25" i="25"/>
  <c r="AI26" i="25"/>
  <c r="AJ26" i="25"/>
  <c r="AI27" i="25"/>
  <c r="AJ27" i="25"/>
  <c r="AI28" i="25"/>
  <c r="AJ28" i="25"/>
  <c r="AK28" i="25"/>
  <c r="AI29" i="25"/>
  <c r="AJ29" i="25"/>
  <c r="AI30" i="25"/>
  <c r="AJ30" i="25"/>
  <c r="AI31" i="25"/>
  <c r="AJ31" i="25"/>
  <c r="AK31" i="25"/>
  <c r="AI34" i="25"/>
  <c r="AJ34" i="25"/>
  <c r="AI35" i="25"/>
  <c r="AJ35" i="25"/>
  <c r="AK35" i="25"/>
  <c r="AI36" i="25"/>
  <c r="AJ36" i="25"/>
  <c r="AK36" i="25"/>
  <c r="AI37" i="25"/>
  <c r="AJ37" i="25"/>
  <c r="AI38" i="25"/>
  <c r="AJ38" i="25"/>
  <c r="AI41" i="25"/>
  <c r="AJ41" i="25"/>
  <c r="AI42" i="25"/>
  <c r="AJ42" i="25"/>
  <c r="AI43" i="25"/>
  <c r="AJ43" i="25"/>
  <c r="AI44" i="25"/>
  <c r="AJ44" i="25"/>
  <c r="AI45" i="25"/>
  <c r="AJ45" i="25"/>
  <c r="AK45" i="25"/>
  <c r="AI46" i="25"/>
  <c r="AJ46" i="25"/>
  <c r="AI49" i="25"/>
  <c r="AJ49" i="25"/>
  <c r="AI50" i="25"/>
  <c r="AJ50" i="25"/>
  <c r="AI51" i="25"/>
  <c r="AJ51" i="25"/>
  <c r="AI52" i="25"/>
  <c r="AJ52" i="25"/>
  <c r="AK52" i="25"/>
  <c r="AI53" i="25"/>
  <c r="AJ53" i="25"/>
  <c r="AI54" i="25"/>
  <c r="AJ54" i="25"/>
  <c r="AK54" i="25"/>
  <c r="AI55" i="25"/>
  <c r="AJ55" i="25"/>
  <c r="AI56" i="25"/>
  <c r="AJ56" i="25"/>
  <c r="AI57" i="25"/>
  <c r="AJ57" i="25"/>
  <c r="AI62" i="25"/>
  <c r="AJ62" i="25"/>
  <c r="AK62" i="25"/>
  <c r="AI63" i="25"/>
  <c r="AJ63" i="25"/>
  <c r="AI64" i="25"/>
  <c r="AJ64" i="25"/>
  <c r="AK64" i="25"/>
  <c r="AI65" i="25"/>
  <c r="AJ65" i="25"/>
  <c r="AI68" i="25"/>
  <c r="AJ68" i="25"/>
  <c r="AI69" i="25"/>
  <c r="AJ69" i="25"/>
  <c r="AI79" i="25"/>
  <c r="AJ79" i="25"/>
  <c r="AI80" i="25"/>
  <c r="AJ80" i="25"/>
  <c r="AK80" i="25"/>
  <c r="AI81" i="25"/>
  <c r="AJ81" i="25"/>
  <c r="AI84" i="25"/>
  <c r="AJ84" i="25"/>
  <c r="AI85" i="25"/>
  <c r="AJ85" i="25"/>
  <c r="AI86" i="25"/>
  <c r="AJ86" i="25"/>
  <c r="AI92" i="25"/>
  <c r="AJ92" i="25"/>
  <c r="AI93" i="25"/>
  <c r="AJ93" i="25"/>
  <c r="AI94" i="25"/>
  <c r="AJ94" i="25"/>
  <c r="AK94" i="25"/>
  <c r="AI95" i="25"/>
  <c r="AJ95" i="25"/>
  <c r="AI96" i="25"/>
  <c r="AJ96" i="25"/>
  <c r="AI97" i="25"/>
  <c r="AJ97" i="25"/>
  <c r="AI98" i="25"/>
  <c r="AJ98" i="25"/>
  <c r="AK98" i="25"/>
  <c r="AI99" i="25"/>
  <c r="AJ99" i="25"/>
  <c r="AK99" i="25"/>
  <c r="AI102" i="25"/>
  <c r="AJ102" i="25"/>
  <c r="AI103" i="25"/>
  <c r="AJ103" i="25"/>
  <c r="AI104" i="25"/>
  <c r="AJ104" i="25"/>
  <c r="AK104" i="25"/>
  <c r="AI105" i="25"/>
  <c r="AJ105" i="25"/>
  <c r="AK105" i="25"/>
  <c r="AI106" i="25"/>
  <c r="AJ106" i="25"/>
  <c r="AI107" i="25"/>
  <c r="AJ107" i="25"/>
  <c r="AI108" i="25"/>
  <c r="AJ108" i="25"/>
  <c r="AH108" i="25"/>
  <c r="AH107" i="25"/>
  <c r="AH106" i="25"/>
  <c r="AH105" i="25"/>
  <c r="AH104" i="25"/>
  <c r="AH103" i="25"/>
  <c r="AH102" i="25"/>
  <c r="AH99" i="25"/>
  <c r="AH98" i="25"/>
  <c r="AH97" i="25"/>
  <c r="AH96" i="25"/>
  <c r="AH95" i="25"/>
  <c r="AH94" i="25"/>
  <c r="AH93" i="25"/>
  <c r="AH92" i="25"/>
  <c r="AH86" i="25"/>
  <c r="AH85" i="25"/>
  <c r="AH84" i="25"/>
  <c r="AH81" i="25"/>
  <c r="AH80" i="25"/>
  <c r="AH79" i="25"/>
  <c r="AH69" i="25"/>
  <c r="AH68" i="25"/>
  <c r="AH65" i="25"/>
  <c r="AH64" i="25"/>
  <c r="AH63" i="25"/>
  <c r="AH62" i="25"/>
  <c r="AH57" i="25"/>
  <c r="AH56" i="25"/>
  <c r="AH55" i="25"/>
  <c r="AH54" i="25"/>
  <c r="AH53" i="25"/>
  <c r="AH52" i="25"/>
  <c r="AH51" i="25"/>
  <c r="AH50" i="25"/>
  <c r="AH49" i="25"/>
  <c r="AH46" i="25"/>
  <c r="AH45" i="25"/>
  <c r="AH44" i="25"/>
  <c r="AH43" i="25"/>
  <c r="AH42" i="25"/>
  <c r="AH41" i="25"/>
  <c r="AH38" i="25"/>
  <c r="AH37" i="25"/>
  <c r="AH36" i="25"/>
  <c r="AH35" i="25"/>
  <c r="AH34" i="25"/>
  <c r="AH31" i="25"/>
  <c r="AH30" i="25"/>
  <c r="AH29" i="25"/>
  <c r="AH28" i="25"/>
  <c r="AH27" i="25"/>
  <c r="AH26" i="25"/>
  <c r="AH25" i="25"/>
  <c r="AH24" i="25"/>
  <c r="AK19" i="6"/>
  <c r="AI22" i="6"/>
  <c r="AI23" i="6"/>
  <c r="AI24" i="6"/>
  <c r="AI25" i="6"/>
  <c r="AI26" i="6"/>
  <c r="AI27" i="6"/>
  <c r="AI28" i="6"/>
  <c r="AI29" i="6"/>
  <c r="AI32" i="6"/>
  <c r="AI33" i="6"/>
  <c r="AI34" i="6"/>
  <c r="AI35" i="6"/>
  <c r="AI36" i="6"/>
  <c r="AI39" i="6"/>
  <c r="AI40" i="6"/>
  <c r="AI41" i="6"/>
  <c r="AI42" i="6"/>
  <c r="AI43" i="6"/>
  <c r="AI44" i="6"/>
  <c r="AI47" i="6"/>
  <c r="AI48" i="6"/>
  <c r="AI49" i="6"/>
  <c r="AI50" i="6"/>
  <c r="AI51" i="6"/>
  <c r="AI52" i="6"/>
  <c r="AI53" i="6"/>
  <c r="AI54" i="6"/>
  <c r="AI55" i="6"/>
  <c r="AI58" i="6"/>
  <c r="AI58" i="3" s="1"/>
  <c r="AI59" i="6"/>
  <c r="AI59" i="3" s="1"/>
  <c r="AI60" i="6"/>
  <c r="AI61" i="6"/>
  <c r="AI62" i="6"/>
  <c r="AI63" i="6"/>
  <c r="AI66" i="6"/>
  <c r="AI67" i="6"/>
  <c r="AI68" i="6"/>
  <c r="AI68" i="3" s="1"/>
  <c r="AI69" i="6"/>
  <c r="AI69" i="3" s="1"/>
  <c r="AI70" i="6"/>
  <c r="AI70" i="3" s="1"/>
  <c r="AI71" i="6"/>
  <c r="AI71" i="3" s="1"/>
  <c r="AI74" i="6"/>
  <c r="AI74" i="3" s="1"/>
  <c r="AI75" i="6"/>
  <c r="AI75" i="3" s="1"/>
  <c r="AI76" i="6"/>
  <c r="AI76" i="3" s="1"/>
  <c r="AI77" i="6"/>
  <c r="AI78" i="6"/>
  <c r="AI79" i="6"/>
  <c r="AI82" i="6"/>
  <c r="AI83" i="6"/>
  <c r="AI84" i="6"/>
  <c r="AI85" i="6"/>
  <c r="AI85" i="3" s="1"/>
  <c r="AI86" i="6"/>
  <c r="AI86" i="3" s="1"/>
  <c r="AI87" i="6"/>
  <c r="AI87" i="3" s="1"/>
  <c r="AI90" i="6"/>
  <c r="AI91" i="6"/>
  <c r="AI92" i="6"/>
  <c r="AI93" i="6"/>
  <c r="AI94" i="6"/>
  <c r="AI95" i="6"/>
  <c r="AI96" i="6"/>
  <c r="AI97" i="6"/>
  <c r="AI100" i="6"/>
  <c r="AI101" i="6"/>
  <c r="AI102" i="6"/>
  <c r="AI103" i="6"/>
  <c r="AI104" i="6"/>
  <c r="AI105" i="6"/>
  <c r="AI106" i="6"/>
  <c r="AI107" i="6"/>
  <c r="AI107" i="3" s="1"/>
  <c r="AI108" i="6"/>
  <c r="AI108" i="3" s="1"/>
  <c r="C31" i="6"/>
  <c r="C38" i="6" s="1"/>
  <c r="C46" i="6" s="1"/>
  <c r="L31" i="22"/>
  <c r="AI101" i="3" l="1"/>
  <c r="AI34" i="3"/>
  <c r="AI92" i="3"/>
  <c r="AI83" i="3"/>
  <c r="AI52" i="3"/>
  <c r="AI43" i="3"/>
  <c r="AI55" i="3"/>
  <c r="AI91" i="3"/>
  <c r="AI24" i="3"/>
  <c r="AI106" i="3"/>
  <c r="AI54" i="3"/>
  <c r="AI47" i="3"/>
  <c r="AI27" i="3"/>
  <c r="AI61" i="3"/>
  <c r="AI102" i="3"/>
  <c r="AI44" i="3"/>
  <c r="AI38" i="6"/>
  <c r="AI77" i="3"/>
  <c r="AI97" i="3"/>
  <c r="AI84" i="3"/>
  <c r="AI63" i="3"/>
  <c r="AI51" i="3"/>
  <c r="AI41" i="3"/>
  <c r="AI29" i="3"/>
  <c r="AI104" i="3"/>
  <c r="AI94" i="3"/>
  <c r="AI79" i="3"/>
  <c r="AI60" i="3"/>
  <c r="AI48" i="3"/>
  <c r="AI36" i="3"/>
  <c r="AI26" i="3"/>
  <c r="AI67" i="3"/>
  <c r="AI33" i="3"/>
  <c r="AI23" i="3"/>
  <c r="AI96" i="3"/>
  <c r="AI62" i="3"/>
  <c r="AI50" i="3"/>
  <c r="AI40" i="3"/>
  <c r="AI28" i="3"/>
  <c r="AI53" i="3"/>
  <c r="AI103" i="3"/>
  <c r="AI93" i="3"/>
  <c r="AI78" i="3"/>
  <c r="AI35" i="3"/>
  <c r="AI25" i="3"/>
  <c r="AI100" i="3"/>
  <c r="AI90" i="3"/>
  <c r="AI42" i="3"/>
  <c r="AI32" i="3"/>
  <c r="AI22" i="3"/>
  <c r="AI105" i="3"/>
  <c r="AI95" i="3"/>
  <c r="AI82" i="3"/>
  <c r="AI49" i="3"/>
  <c r="AI39" i="3"/>
  <c r="AI67" i="25"/>
  <c r="AI66" i="3"/>
  <c r="AH59" i="25"/>
  <c r="AI83" i="25"/>
  <c r="AJ75" i="25"/>
  <c r="AH83" i="25"/>
  <c r="C59" i="7"/>
  <c r="AI40" i="25"/>
  <c r="AH67" i="25"/>
  <c r="AH75" i="25"/>
  <c r="AJ101" i="25"/>
  <c r="AJ91" i="25"/>
  <c r="AJ67" i="25"/>
  <c r="AJ33" i="25"/>
  <c r="AJ83" i="25"/>
  <c r="AI101" i="25"/>
  <c r="AI91" i="25"/>
  <c r="AI33" i="25"/>
  <c r="AI75" i="25"/>
  <c r="AI48" i="25"/>
  <c r="AI59" i="25"/>
  <c r="AH48" i="25"/>
  <c r="AH33" i="25"/>
  <c r="AH40" i="25"/>
  <c r="AH91" i="25"/>
  <c r="AH101" i="25"/>
  <c r="AJ59" i="25"/>
  <c r="AJ40" i="25"/>
  <c r="AJ48" i="25"/>
  <c r="AI65" i="6"/>
  <c r="AI99" i="6"/>
  <c r="AI89" i="6"/>
  <c r="AI46" i="6"/>
  <c r="AI73" i="6"/>
  <c r="AI57" i="6"/>
  <c r="AI21" i="6"/>
  <c r="AI81" i="6"/>
  <c r="AI31" i="6"/>
  <c r="C57" i="6"/>
  <c r="C65" i="6" s="1"/>
  <c r="C73" i="6" s="1"/>
  <c r="C70" i="7" l="1"/>
  <c r="C81" i="6"/>
  <c r="C78" i="7" l="1"/>
  <c r="C86" i="7" s="1"/>
  <c r="C94" i="7" s="1"/>
  <c r="C89" i="6"/>
  <c r="C99" i="6" s="1"/>
  <c r="C102" i="7" l="1"/>
  <c r="C112" i="7" s="1"/>
  <c r="C33" i="25" l="1"/>
  <c r="C40" i="25" s="1"/>
  <c r="AH23" i="6"/>
  <c r="AH24" i="6"/>
  <c r="AH25" i="6"/>
  <c r="AH26" i="6"/>
  <c r="AH27" i="6"/>
  <c r="AH28" i="6"/>
  <c r="AH29" i="6"/>
  <c r="AH32" i="6"/>
  <c r="AH32" i="3" s="1"/>
  <c r="AH33" i="6"/>
  <c r="AH33" i="3" s="1"/>
  <c r="AH34" i="6"/>
  <c r="AH34" i="3" s="1"/>
  <c r="AH35" i="6"/>
  <c r="AH35" i="3" s="1"/>
  <c r="AH36" i="6"/>
  <c r="AH36" i="3" s="1"/>
  <c r="AH39" i="6"/>
  <c r="AH39" i="3" s="1"/>
  <c r="AH40" i="6"/>
  <c r="AH40" i="3" s="1"/>
  <c r="AH41" i="6"/>
  <c r="AH41" i="3" s="1"/>
  <c r="AH42" i="6"/>
  <c r="AH42" i="3" s="1"/>
  <c r="AH43" i="6"/>
  <c r="AH43" i="3" s="1"/>
  <c r="AH44" i="6"/>
  <c r="AH44" i="3" s="1"/>
  <c r="AH47" i="6"/>
  <c r="AH47" i="3" s="1"/>
  <c r="AH48" i="6"/>
  <c r="AH48" i="3" s="1"/>
  <c r="AH49" i="6"/>
  <c r="AH49" i="3" s="1"/>
  <c r="AH50" i="6"/>
  <c r="AH50" i="3" s="1"/>
  <c r="AH51" i="6"/>
  <c r="AH51" i="3" s="1"/>
  <c r="AH52" i="6"/>
  <c r="AH52" i="3" s="1"/>
  <c r="AH53" i="6"/>
  <c r="AH53" i="3" s="1"/>
  <c r="AH54" i="6"/>
  <c r="AH54" i="3" s="1"/>
  <c r="AH55" i="6"/>
  <c r="AH55" i="3" s="1"/>
  <c r="AH58" i="6"/>
  <c r="AH58" i="3" s="1"/>
  <c r="AH59" i="6"/>
  <c r="AH59" i="3" s="1"/>
  <c r="AH60" i="6"/>
  <c r="AH60" i="3" s="1"/>
  <c r="AH61" i="6"/>
  <c r="AH61" i="3" s="1"/>
  <c r="AH62" i="6"/>
  <c r="AH62" i="3" s="1"/>
  <c r="AH63" i="6"/>
  <c r="AH63" i="3" s="1"/>
  <c r="AH66" i="6"/>
  <c r="AH66" i="3" s="1"/>
  <c r="AH67" i="6"/>
  <c r="AH67" i="3" s="1"/>
  <c r="AH68" i="6"/>
  <c r="AH68" i="3" s="1"/>
  <c r="AH69" i="6"/>
  <c r="AH69" i="3" s="1"/>
  <c r="AH70" i="6"/>
  <c r="AH70" i="3" s="1"/>
  <c r="AH71" i="6"/>
  <c r="AH71" i="3" s="1"/>
  <c r="AH74" i="6"/>
  <c r="AH74" i="3" s="1"/>
  <c r="AH75" i="6"/>
  <c r="AH75" i="3" s="1"/>
  <c r="AH76" i="6"/>
  <c r="AH76" i="3" s="1"/>
  <c r="AH77" i="6"/>
  <c r="AH77" i="3" s="1"/>
  <c r="AH78" i="6"/>
  <c r="AH78" i="3" s="1"/>
  <c r="AH79" i="6"/>
  <c r="AH79" i="3" s="1"/>
  <c r="AH82" i="6"/>
  <c r="AH82" i="3" s="1"/>
  <c r="AH83" i="6"/>
  <c r="AH83" i="3" s="1"/>
  <c r="AH84" i="6"/>
  <c r="AH84" i="3" s="1"/>
  <c r="AH85" i="6"/>
  <c r="AH85" i="3" s="1"/>
  <c r="AH86" i="6"/>
  <c r="AH86" i="3" s="1"/>
  <c r="AH87" i="6"/>
  <c r="AH87" i="3" s="1"/>
  <c r="AH90" i="6"/>
  <c r="AH90" i="3" s="1"/>
  <c r="AH91" i="6"/>
  <c r="AH91" i="3" s="1"/>
  <c r="AH92" i="6"/>
  <c r="AH92" i="3" s="1"/>
  <c r="AH93" i="6"/>
  <c r="AH93" i="3" s="1"/>
  <c r="AH94" i="6"/>
  <c r="AH94" i="3" s="1"/>
  <c r="AH95" i="6"/>
  <c r="AH95" i="3" s="1"/>
  <c r="AH96" i="6"/>
  <c r="AH96" i="3" s="1"/>
  <c r="AH97" i="6"/>
  <c r="AH97" i="3" s="1"/>
  <c r="AH100" i="6"/>
  <c r="AH100" i="3" s="1"/>
  <c r="AH101" i="6"/>
  <c r="AH101" i="3" s="1"/>
  <c r="AH102" i="6"/>
  <c r="AH102" i="3" s="1"/>
  <c r="AH103" i="6"/>
  <c r="AH103" i="3" s="1"/>
  <c r="AH104" i="6"/>
  <c r="AH104" i="3" s="1"/>
  <c r="AH105" i="6"/>
  <c r="AH105" i="3" s="1"/>
  <c r="AH106" i="6"/>
  <c r="AH106" i="3" s="1"/>
  <c r="AH107" i="6"/>
  <c r="AH107" i="3" s="1"/>
  <c r="AH108" i="6"/>
  <c r="AH108" i="3" s="1"/>
  <c r="AH22" i="6"/>
  <c r="C31" i="3"/>
  <c r="AH29" i="3" l="1"/>
  <c r="AH31" i="6"/>
  <c r="AH22" i="3"/>
  <c r="AH23" i="3"/>
  <c r="AH24" i="3"/>
  <c r="AH25" i="3"/>
  <c r="AH26" i="3"/>
  <c r="AH27" i="3"/>
  <c r="AH28" i="3"/>
  <c r="AH23" i="25"/>
  <c r="AH20" i="25" s="1"/>
  <c r="AJ23" i="25"/>
  <c r="AI23" i="25"/>
  <c r="C48" i="25"/>
  <c r="C59" i="25" s="1"/>
  <c r="AH38" i="6"/>
  <c r="AH46" i="6"/>
  <c r="AH81" i="6"/>
  <c r="AH89" i="6"/>
  <c r="AH65" i="6"/>
  <c r="AH57" i="6"/>
  <c r="AH99" i="6"/>
  <c r="AH73" i="6"/>
  <c r="C38" i="3"/>
  <c r="AK13" i="3"/>
  <c r="H149" i="20"/>
  <c r="H150" i="20"/>
  <c r="H151" i="20"/>
  <c r="H152" i="20"/>
  <c r="H153" i="20"/>
  <c r="H154" i="20"/>
  <c r="H155" i="20"/>
  <c r="H156" i="20"/>
  <c r="H157" i="20"/>
  <c r="H158" i="20"/>
  <c r="H159" i="20"/>
  <c r="H160" i="20"/>
  <c r="H161" i="20"/>
  <c r="H162" i="20"/>
  <c r="H148" i="20"/>
  <c r="M110" i="22"/>
  <c r="M29" i="22"/>
  <c r="I29" i="22"/>
  <c r="AH18" i="25" s="1"/>
  <c r="J29" i="22"/>
  <c r="AI18" i="25" s="1"/>
  <c r="K29" i="22"/>
  <c r="AJ18" i="25" s="1"/>
  <c r="AE131" i="7"/>
  <c r="AD131" i="7"/>
  <c r="AI112" i="7"/>
  <c r="AI99" i="3" s="1"/>
  <c r="AH112" i="7"/>
  <c r="AI102" i="7"/>
  <c r="AI89" i="3" s="1"/>
  <c r="AH102" i="7"/>
  <c r="AH89" i="3" s="1"/>
  <c r="AI94" i="7"/>
  <c r="AI81" i="3" s="1"/>
  <c r="AH94" i="7"/>
  <c r="AI86" i="7"/>
  <c r="AI73" i="3" s="1"/>
  <c r="AH86" i="7"/>
  <c r="AH78" i="7"/>
  <c r="AI78" i="7"/>
  <c r="AI65" i="3" s="1"/>
  <c r="AI70" i="7"/>
  <c r="AI57" i="3" s="1"/>
  <c r="AH70" i="7"/>
  <c r="AI59" i="7"/>
  <c r="AI46" i="3" s="1"/>
  <c r="AN46" i="3" s="1"/>
  <c r="AH59" i="7"/>
  <c r="AI51" i="7"/>
  <c r="AI38" i="3" s="1"/>
  <c r="AN38" i="3" s="1"/>
  <c r="AH51" i="7"/>
  <c r="AI44" i="7"/>
  <c r="AH44" i="7"/>
  <c r="AD16" i="6"/>
  <c r="AE16" i="6"/>
  <c r="AF16" i="6"/>
  <c r="AC16" i="6"/>
  <c r="AI34" i="7"/>
  <c r="AH34" i="7"/>
  <c r="AH21" i="6"/>
  <c r="L136" i="22"/>
  <c r="L131" i="22"/>
  <c r="L109" i="22"/>
  <c r="L108" i="22"/>
  <c r="L32" i="22"/>
  <c r="L34" i="22"/>
  <c r="L35" i="22"/>
  <c r="AK92" i="25" s="1"/>
  <c r="L36" i="22"/>
  <c r="L37" i="22"/>
  <c r="L38" i="22"/>
  <c r="L39" i="22"/>
  <c r="L40" i="22"/>
  <c r="L41" i="22"/>
  <c r="L42" i="22"/>
  <c r="L43" i="22"/>
  <c r="L44" i="22"/>
  <c r="L45" i="22"/>
  <c r="L46" i="22"/>
  <c r="L47" i="22"/>
  <c r="L48" i="22"/>
  <c r="L49" i="22"/>
  <c r="L50" i="22"/>
  <c r="AK106" i="25" s="1"/>
  <c r="L51" i="22"/>
  <c r="L52" i="22"/>
  <c r="L53" i="22"/>
  <c r="L54" i="22"/>
  <c r="L55" i="22"/>
  <c r="L56" i="22"/>
  <c r="L57" i="22"/>
  <c r="L58" i="22"/>
  <c r="L59" i="22"/>
  <c r="L60" i="22"/>
  <c r="L61" i="22"/>
  <c r="L63" i="22"/>
  <c r="AK102" i="25" s="1"/>
  <c r="L64" i="22"/>
  <c r="L65" i="22"/>
  <c r="L66" i="22"/>
  <c r="L68" i="22"/>
  <c r="L69" i="22"/>
  <c r="AK27" i="25" s="1"/>
  <c r="L70" i="22"/>
  <c r="L71" i="22"/>
  <c r="L72" i="22"/>
  <c r="L73" i="22"/>
  <c r="L74" i="22"/>
  <c r="L75" i="22"/>
  <c r="AK37" i="25" s="1"/>
  <c r="L76" i="22"/>
  <c r="L77" i="22"/>
  <c r="L78" i="22"/>
  <c r="L79" i="22"/>
  <c r="L80" i="22"/>
  <c r="L82" i="22"/>
  <c r="L83" i="22"/>
  <c r="L84" i="22"/>
  <c r="AK42" i="25" s="1"/>
  <c r="L85" i="22"/>
  <c r="AK46" i="25" s="1"/>
  <c r="L87" i="22"/>
  <c r="L88" i="22"/>
  <c r="L89" i="22"/>
  <c r="AK68" i="25" s="1"/>
  <c r="L90" i="22"/>
  <c r="L91" i="22"/>
  <c r="L92" i="22"/>
  <c r="L94" i="22"/>
  <c r="L95" i="22"/>
  <c r="L96" i="22"/>
  <c r="L97" i="22"/>
  <c r="L98" i="22"/>
  <c r="L100" i="22"/>
  <c r="L101" i="22"/>
  <c r="L102" i="22"/>
  <c r="L103" i="22"/>
  <c r="L104" i="22"/>
  <c r="L105" i="22"/>
  <c r="L106" i="22"/>
  <c r="L107" i="22"/>
  <c r="L111" i="22"/>
  <c r="L112" i="22"/>
  <c r="L113" i="22"/>
  <c r="L114" i="22"/>
  <c r="L115" i="22"/>
  <c r="L116" i="22"/>
  <c r="L117" i="22"/>
  <c r="L118" i="22"/>
  <c r="L119" i="22"/>
  <c r="L120" i="22"/>
  <c r="L121" i="22"/>
  <c r="L124" i="22"/>
  <c r="AK44" i="25" s="1"/>
  <c r="L125" i="22"/>
  <c r="L126" i="22"/>
  <c r="L127" i="22"/>
  <c r="L128" i="22"/>
  <c r="L129" i="22"/>
  <c r="L130" i="22"/>
  <c r="L137" i="22"/>
  <c r="L138" i="22"/>
  <c r="L140" i="22"/>
  <c r="L141" i="22"/>
  <c r="L142" i="22"/>
  <c r="L143" i="22"/>
  <c r="L132" i="22"/>
  <c r="L133" i="22"/>
  <c r="L134" i="22"/>
  <c r="L135" i="22"/>
  <c r="L145" i="22"/>
  <c r="L146" i="22"/>
  <c r="L147" i="22"/>
  <c r="L148" i="22"/>
  <c r="L149" i="22"/>
  <c r="L150" i="22"/>
  <c r="AK79" i="25" s="1"/>
  <c r="L151" i="22"/>
  <c r="L152" i="22"/>
  <c r="AK84" i="25" s="1"/>
  <c r="L153" i="22"/>
  <c r="L154" i="22"/>
  <c r="L155" i="22"/>
  <c r="L156" i="22"/>
  <c r="L157" i="22"/>
  <c r="L158" i="22"/>
  <c r="L159" i="22"/>
  <c r="L160" i="22"/>
  <c r="L161" i="22"/>
  <c r="L162" i="22"/>
  <c r="L163" i="22"/>
  <c r="L164" i="22"/>
  <c r="L165" i="22"/>
  <c r="AK29" i="25" s="1"/>
  <c r="L166" i="22"/>
  <c r="AK96" i="25" s="1"/>
  <c r="L167" i="22"/>
  <c r="L168" i="22"/>
  <c r="L81" i="22"/>
  <c r="L99" i="22"/>
  <c r="AE145" i="7" l="1"/>
  <c r="AC145" i="7"/>
  <c r="AF143" i="7"/>
  <c r="AC143" i="7"/>
  <c r="AF145" i="7"/>
  <c r="AE143" i="7"/>
  <c r="AC141" i="7"/>
  <c r="AD143" i="7"/>
  <c r="AD145" i="7"/>
  <c r="AE141" i="7"/>
  <c r="AD141" i="7"/>
  <c r="AF141" i="7"/>
  <c r="AE132" i="7"/>
  <c r="AH57" i="3"/>
  <c r="AH73" i="3"/>
  <c r="AI31" i="3"/>
  <c r="AN31" i="3" s="1"/>
  <c r="AH46" i="3"/>
  <c r="AM46" i="3" s="1"/>
  <c r="AH99" i="3"/>
  <c r="AH65" i="3"/>
  <c r="AH38" i="3"/>
  <c r="AM38" i="3" s="1"/>
  <c r="AH31" i="3"/>
  <c r="AM31" i="3" s="1"/>
  <c r="AH81" i="3"/>
  <c r="AK43" i="25"/>
  <c r="AK107" i="25"/>
  <c r="AK93" i="25"/>
  <c r="AK103" i="25"/>
  <c r="AK26" i="25"/>
  <c r="AK97" i="25"/>
  <c r="AK38" i="25"/>
  <c r="AK69" i="25"/>
  <c r="AK67" i="25" s="1"/>
  <c r="AK65" i="25"/>
  <c r="AK56" i="25"/>
  <c r="AK34" i="25"/>
  <c r="AK53" i="25"/>
  <c r="AK25" i="25"/>
  <c r="AK49" i="25"/>
  <c r="AK55" i="25"/>
  <c r="AK85" i="25"/>
  <c r="AK63" i="25"/>
  <c r="AK41" i="25"/>
  <c r="AK108" i="25"/>
  <c r="AK95" i="25"/>
  <c r="AK57" i="25"/>
  <c r="AK24" i="25"/>
  <c r="AK51" i="25"/>
  <c r="AK81" i="25"/>
  <c r="AK75" i="25" s="1"/>
  <c r="AI21" i="3"/>
  <c r="AN21" i="3" s="1"/>
  <c r="AI20" i="25"/>
  <c r="AJ20" i="25"/>
  <c r="AH21" i="3"/>
  <c r="AM21" i="3" s="1"/>
  <c r="L110" i="22"/>
  <c r="AK30" i="25" s="1"/>
  <c r="C67" i="25"/>
  <c r="C75" i="25" s="1"/>
  <c r="AH18" i="6"/>
  <c r="C46" i="3"/>
  <c r="C57" i="3" s="1"/>
  <c r="C65" i="3" s="1"/>
  <c r="AH31" i="7"/>
  <c r="AI31" i="7"/>
  <c r="AM60" i="6"/>
  <c r="AK60" i="6" s="1"/>
  <c r="AM96" i="6"/>
  <c r="AJ96" i="6" s="1"/>
  <c r="AM47" i="6"/>
  <c r="AM86" i="6"/>
  <c r="AK86" i="6" s="1"/>
  <c r="AM41" i="6"/>
  <c r="AK41" i="6" s="1"/>
  <c r="AM22" i="6"/>
  <c r="AM42" i="6"/>
  <c r="AM68" i="6"/>
  <c r="AK68" i="6" s="1"/>
  <c r="AM94" i="6"/>
  <c r="AK94" i="6" s="1"/>
  <c r="AM23" i="6"/>
  <c r="AK23" i="6" s="1"/>
  <c r="AM49" i="6"/>
  <c r="AM69" i="6"/>
  <c r="AM95" i="6"/>
  <c r="AK95" i="6" s="1"/>
  <c r="AM24" i="6"/>
  <c r="AM50" i="6"/>
  <c r="AM76" i="6"/>
  <c r="AK76" i="6" s="1"/>
  <c r="AM40" i="6"/>
  <c r="AK40" i="6" s="1"/>
  <c r="AM102" i="6"/>
  <c r="AK102" i="6" s="1"/>
  <c r="AM51" i="6"/>
  <c r="AM77" i="6"/>
  <c r="AK77" i="6" s="1"/>
  <c r="AM103" i="6"/>
  <c r="AK103" i="6" s="1"/>
  <c r="AM67" i="6"/>
  <c r="AK67" i="6" s="1"/>
  <c r="AM82" i="6"/>
  <c r="AK82" i="6" s="1"/>
  <c r="AM32" i="6"/>
  <c r="AM58" i="6"/>
  <c r="AM78" i="6"/>
  <c r="AM104" i="6"/>
  <c r="AK104" i="6" s="1"/>
  <c r="AK104" i="3" s="1"/>
  <c r="AM87" i="6"/>
  <c r="AM33" i="6"/>
  <c r="AM59" i="6"/>
  <c r="AK59" i="6" s="1"/>
  <c r="AM85" i="6"/>
  <c r="AK85" i="6" s="1"/>
  <c r="AM105" i="6"/>
  <c r="AM25" i="6"/>
  <c r="AM34" i="6"/>
  <c r="AM43" i="6"/>
  <c r="AM52" i="6"/>
  <c r="AM61" i="6"/>
  <c r="AM70" i="6"/>
  <c r="AM79" i="6"/>
  <c r="AM97" i="6"/>
  <c r="AM106" i="6"/>
  <c r="AM26" i="6"/>
  <c r="AM35" i="6"/>
  <c r="AM44" i="6"/>
  <c r="AM53" i="6"/>
  <c r="AM62" i="6"/>
  <c r="AM71" i="6"/>
  <c r="AM90" i="6"/>
  <c r="AM107" i="6"/>
  <c r="AM27" i="6"/>
  <c r="AM36" i="6"/>
  <c r="AM54" i="6"/>
  <c r="AM63" i="6"/>
  <c r="AM91" i="6"/>
  <c r="AM100" i="6"/>
  <c r="AM108" i="6"/>
  <c r="AM28" i="6"/>
  <c r="AM55" i="6"/>
  <c r="AM74" i="6"/>
  <c r="AM83" i="6"/>
  <c r="AM92" i="6"/>
  <c r="AM101" i="6"/>
  <c r="AM29" i="6"/>
  <c r="AM39" i="6"/>
  <c r="AM48" i="6"/>
  <c r="AM66" i="6"/>
  <c r="AM75" i="6"/>
  <c r="AM84" i="6"/>
  <c r="AM93" i="6"/>
  <c r="AK40" i="25" l="1"/>
  <c r="AK33" i="25"/>
  <c r="AK101" i="25"/>
  <c r="AK91" i="25"/>
  <c r="AK59" i="25"/>
  <c r="AK23" i="25"/>
  <c r="C83" i="25"/>
  <c r="AM21" i="6"/>
  <c r="AJ60" i="6"/>
  <c r="AJ82" i="6"/>
  <c r="C73" i="3"/>
  <c r="AJ104" i="6"/>
  <c r="AJ104" i="3" s="1"/>
  <c r="AJ41" i="6"/>
  <c r="AJ67" i="6"/>
  <c r="AK96" i="6"/>
  <c r="AM65" i="6"/>
  <c r="AM99" i="6"/>
  <c r="AM89" i="6"/>
  <c r="AM81" i="6"/>
  <c r="AM46" i="6"/>
  <c r="AM73" i="6"/>
  <c r="AK22" i="6"/>
  <c r="AK58" i="6"/>
  <c r="AM57" i="6"/>
  <c r="AM38" i="6"/>
  <c r="AK32" i="6"/>
  <c r="AM31" i="6"/>
  <c r="AJ58" i="6"/>
  <c r="AJ32" i="6"/>
  <c r="AJ40" i="6"/>
  <c r="AJ52" i="6"/>
  <c r="AK52" i="6"/>
  <c r="AK49" i="6"/>
  <c r="AJ49" i="6"/>
  <c r="AJ94" i="6"/>
  <c r="AK50" i="6"/>
  <c r="AJ50" i="6"/>
  <c r="AJ47" i="6"/>
  <c r="AJ47" i="3" s="1"/>
  <c r="AK47" i="6"/>
  <c r="AK47" i="3" s="1"/>
  <c r="AJ48" i="6"/>
  <c r="AK48" i="6"/>
  <c r="AJ23" i="6"/>
  <c r="AJ85" i="6"/>
  <c r="AJ68" i="6"/>
  <c r="AJ76" i="6"/>
  <c r="AJ51" i="6"/>
  <c r="AK51" i="6"/>
  <c r="AJ87" i="6"/>
  <c r="AK87" i="6"/>
  <c r="AJ86" i="6"/>
  <c r="AJ95" i="6"/>
  <c r="AJ69" i="6"/>
  <c r="AK69" i="6"/>
  <c r="AJ22" i="6"/>
  <c r="AJ24" i="6"/>
  <c r="AK24" i="6"/>
  <c r="AJ103" i="6"/>
  <c r="AJ78" i="6"/>
  <c r="AK78" i="6"/>
  <c r="AJ105" i="6"/>
  <c r="AK105" i="6"/>
  <c r="AJ77" i="6"/>
  <c r="AJ102" i="6"/>
  <c r="AJ59" i="6"/>
  <c r="AJ33" i="6"/>
  <c r="AK33" i="6"/>
  <c r="AJ42" i="6"/>
  <c r="AK42" i="6"/>
  <c r="AK100" i="6"/>
  <c r="AJ100" i="6"/>
  <c r="AJ53" i="6"/>
  <c r="AK53" i="6"/>
  <c r="AK61" i="6"/>
  <c r="AJ61" i="6"/>
  <c r="AK66" i="6"/>
  <c r="AJ66" i="6"/>
  <c r="AK55" i="6"/>
  <c r="AJ55" i="6"/>
  <c r="AK108" i="6"/>
  <c r="AJ108" i="6"/>
  <c r="AK27" i="6"/>
  <c r="AJ27" i="6"/>
  <c r="AK62" i="6"/>
  <c r="AJ62" i="6"/>
  <c r="AK70" i="6"/>
  <c r="AJ70" i="6"/>
  <c r="AK39" i="6"/>
  <c r="AJ39" i="6"/>
  <c r="AK101" i="6"/>
  <c r="AJ101" i="6"/>
  <c r="AK28" i="6"/>
  <c r="AJ28" i="6"/>
  <c r="AJ35" i="6"/>
  <c r="AK35" i="6"/>
  <c r="AJ43" i="6"/>
  <c r="AK43" i="6"/>
  <c r="AK91" i="6"/>
  <c r="AJ91" i="6"/>
  <c r="AJ44" i="6"/>
  <c r="AK44" i="6"/>
  <c r="AK29" i="6"/>
  <c r="AJ29" i="6"/>
  <c r="AK92" i="6"/>
  <c r="AJ92" i="6"/>
  <c r="AK63" i="6"/>
  <c r="AJ63" i="6"/>
  <c r="AJ107" i="6"/>
  <c r="AK107" i="6"/>
  <c r="AJ26" i="6"/>
  <c r="AK26" i="6"/>
  <c r="AK106" i="6"/>
  <c r="AJ106" i="6"/>
  <c r="AJ34" i="6"/>
  <c r="AK34" i="6"/>
  <c r="AK84" i="6"/>
  <c r="AJ84" i="6"/>
  <c r="AK74" i="6"/>
  <c r="AJ74" i="6"/>
  <c r="AJ90" i="6"/>
  <c r="AK90" i="6"/>
  <c r="AK93" i="6"/>
  <c r="AJ93" i="6"/>
  <c r="AK83" i="6"/>
  <c r="AJ83" i="6"/>
  <c r="AK54" i="6"/>
  <c r="AJ54" i="6"/>
  <c r="AJ97" i="6"/>
  <c r="AK97" i="6"/>
  <c r="AJ25" i="6"/>
  <c r="AK25" i="6"/>
  <c r="AK75" i="6"/>
  <c r="AJ75" i="6"/>
  <c r="AK36" i="6"/>
  <c r="AJ36" i="6"/>
  <c r="AJ71" i="6"/>
  <c r="AK71" i="6"/>
  <c r="AK79" i="6"/>
  <c r="AJ79" i="6"/>
  <c r="C91" i="25" l="1"/>
  <c r="C101" i="25" s="1"/>
  <c r="C81" i="3"/>
  <c r="C89" i="3" s="1"/>
  <c r="C99" i="3" s="1"/>
  <c r="AK73" i="6"/>
  <c r="AO73" i="6" s="1"/>
  <c r="AJ65" i="6"/>
  <c r="AK31" i="6"/>
  <c r="AO31" i="6" s="1"/>
  <c r="AK81" i="6"/>
  <c r="AO81" i="6" s="1"/>
  <c r="AJ99" i="6"/>
  <c r="AJ31" i="6"/>
  <c r="AJ73" i="6"/>
  <c r="AK99" i="6"/>
  <c r="AO99" i="6" s="1"/>
  <c r="AK65" i="6"/>
  <c r="AO65" i="6" s="1"/>
  <c r="AK89" i="6"/>
  <c r="AO89" i="6" s="1"/>
  <c r="AJ89" i="6"/>
  <c r="AK21" i="6"/>
  <c r="AO21" i="6" s="1"/>
  <c r="AJ81" i="6"/>
  <c r="AJ46" i="6"/>
  <c r="AK46" i="6"/>
  <c r="AO46" i="6" s="1"/>
  <c r="AJ21" i="6"/>
  <c r="AJ38" i="6"/>
  <c r="AK38" i="6"/>
  <c r="AO38" i="6" s="1"/>
  <c r="AJ57" i="6"/>
  <c r="AK57" i="6"/>
  <c r="AO57" i="6" s="1"/>
  <c r="L144" i="22"/>
  <c r="AK50" i="25" s="1"/>
  <c r="L139" i="22"/>
  <c r="AK86" i="25" s="1"/>
  <c r="AK83" i="25" s="1"/>
  <c r="L123" i="22"/>
  <c r="L93" i="22"/>
  <c r="L86" i="22"/>
  <c r="L67" i="22"/>
  <c r="AK48" i="25" l="1"/>
  <c r="AK20" i="25" s="1"/>
  <c r="I15" i="26" s="1"/>
  <c r="I222" i="26" s="1"/>
  <c r="L62" i="22"/>
  <c r="L33" i="22" l="1"/>
  <c r="L29" i="22" s="1"/>
  <c r="AK18" i="25" s="1"/>
  <c r="N29" i="22"/>
  <c r="AI18" i="6"/>
  <c r="AC131" i="7"/>
  <c r="AD132" i="7" s="1"/>
  <c r="AB135" i="7"/>
  <c r="AC136" i="7" s="1"/>
  <c r="AB131" i="7"/>
  <c r="AF131" i="7"/>
  <c r="AF132" i="7" s="1"/>
  <c r="AJ119" i="7"/>
  <c r="AJ106" i="3" s="1"/>
  <c r="AJ120" i="7"/>
  <c r="AJ107" i="3" s="1"/>
  <c r="AJ121" i="7"/>
  <c r="AJ108" i="3" s="1"/>
  <c r="AJ118" i="7"/>
  <c r="AJ105" i="3" s="1"/>
  <c r="AJ95" i="7"/>
  <c r="AJ82" i="3" s="1"/>
  <c r="AJ96" i="7"/>
  <c r="AJ83" i="3" s="1"/>
  <c r="AJ97" i="7"/>
  <c r="AJ84" i="3" s="1"/>
  <c r="AJ98" i="7"/>
  <c r="AJ85" i="3" s="1"/>
  <c r="AJ99" i="7"/>
  <c r="AJ86" i="3" s="1"/>
  <c r="AJ100" i="7"/>
  <c r="AJ87" i="3" s="1"/>
  <c r="AJ103" i="7"/>
  <c r="AJ90" i="3" s="1"/>
  <c r="AJ104" i="7"/>
  <c r="AJ91" i="3" s="1"/>
  <c r="AJ105" i="7"/>
  <c r="AJ92" i="3" s="1"/>
  <c r="AJ106" i="7"/>
  <c r="AJ93" i="3" s="1"/>
  <c r="AJ107" i="7"/>
  <c r="AJ94" i="3" s="1"/>
  <c r="AJ108" i="7"/>
  <c r="AJ95" i="3" s="1"/>
  <c r="AJ109" i="7"/>
  <c r="AJ96" i="3" s="1"/>
  <c r="AJ110" i="7"/>
  <c r="AJ97" i="3" s="1"/>
  <c r="AJ61" i="7"/>
  <c r="AJ48" i="3" s="1"/>
  <c r="AK61" i="7"/>
  <c r="AK48" i="3" s="1"/>
  <c r="AJ62" i="7"/>
  <c r="AJ49" i="3" s="1"/>
  <c r="AK62" i="7"/>
  <c r="AK49" i="3" s="1"/>
  <c r="AJ63" i="7"/>
  <c r="AJ50" i="3" s="1"/>
  <c r="AK63" i="7"/>
  <c r="AK50" i="3" s="1"/>
  <c r="AJ64" i="7"/>
  <c r="AJ51" i="3" s="1"/>
  <c r="AK64" i="7"/>
  <c r="AK51" i="3" s="1"/>
  <c r="AJ65" i="7"/>
  <c r="AJ52" i="3" s="1"/>
  <c r="AK65" i="7"/>
  <c r="AK52" i="3" s="1"/>
  <c r="AJ66" i="7"/>
  <c r="AJ53" i="3" s="1"/>
  <c r="AK66" i="7"/>
  <c r="AK53" i="3" s="1"/>
  <c r="AJ67" i="7"/>
  <c r="AJ54" i="3" s="1"/>
  <c r="AK67" i="7"/>
  <c r="AK54" i="3" s="1"/>
  <c r="AJ68" i="7"/>
  <c r="AJ55" i="3" s="1"/>
  <c r="AK68" i="7"/>
  <c r="AK55" i="3" s="1"/>
  <c r="AJ71" i="7"/>
  <c r="AJ58" i="3" s="1"/>
  <c r="AK71" i="7"/>
  <c r="AK58" i="3" s="1"/>
  <c r="AJ72" i="7"/>
  <c r="AJ59" i="3" s="1"/>
  <c r="AK72" i="7"/>
  <c r="AK59" i="3" s="1"/>
  <c r="AJ73" i="7"/>
  <c r="AJ60" i="3" s="1"/>
  <c r="AK73" i="7"/>
  <c r="AK60" i="3" s="1"/>
  <c r="AJ74" i="7"/>
  <c r="AJ61" i="3" s="1"/>
  <c r="AK74" i="7"/>
  <c r="AK61" i="3" s="1"/>
  <c r="AJ75" i="7"/>
  <c r="AJ62" i="3" s="1"/>
  <c r="AK75" i="7"/>
  <c r="AK62" i="3" s="1"/>
  <c r="AJ76" i="7"/>
  <c r="AJ63" i="3" s="1"/>
  <c r="AK76" i="7"/>
  <c r="AK63" i="3" s="1"/>
  <c r="AJ79" i="7"/>
  <c r="AJ66" i="3" s="1"/>
  <c r="AK79" i="7"/>
  <c r="AK66" i="3" s="1"/>
  <c r="AJ80" i="7"/>
  <c r="AJ67" i="3" s="1"/>
  <c r="AK80" i="7"/>
  <c r="AK67" i="3" s="1"/>
  <c r="AJ81" i="7"/>
  <c r="AJ68" i="3" s="1"/>
  <c r="AK81" i="7"/>
  <c r="AK68" i="3" s="1"/>
  <c r="AJ82" i="7"/>
  <c r="AJ69" i="3" s="1"/>
  <c r="AK82" i="7"/>
  <c r="AK69" i="3" s="1"/>
  <c r="AJ83" i="7"/>
  <c r="AJ70" i="3" s="1"/>
  <c r="AK83" i="7"/>
  <c r="AK70" i="3" s="1"/>
  <c r="AJ84" i="7"/>
  <c r="AJ71" i="3" s="1"/>
  <c r="AK84" i="7"/>
  <c r="AK71" i="3" s="1"/>
  <c r="AJ42" i="7"/>
  <c r="AJ29" i="3" s="1"/>
  <c r="AK42" i="7"/>
  <c r="AK29" i="3" s="1"/>
  <c r="AJ45" i="7"/>
  <c r="AJ32" i="3" s="1"/>
  <c r="AK45" i="7"/>
  <c r="AK32" i="3" s="1"/>
  <c r="AJ46" i="7"/>
  <c r="AJ33" i="3" s="1"/>
  <c r="AK46" i="7"/>
  <c r="AK33" i="3" s="1"/>
  <c r="AJ47" i="7"/>
  <c r="AJ34" i="3" s="1"/>
  <c r="AK47" i="7"/>
  <c r="AK34" i="3" s="1"/>
  <c r="AJ48" i="7"/>
  <c r="AJ35" i="3" s="1"/>
  <c r="AK48" i="7"/>
  <c r="AK35" i="3" s="1"/>
  <c r="AJ49" i="7"/>
  <c r="AJ36" i="3" s="1"/>
  <c r="AK49" i="7"/>
  <c r="AK36" i="3" s="1"/>
  <c r="AJ52" i="7"/>
  <c r="AJ39" i="3" s="1"/>
  <c r="AK52" i="7"/>
  <c r="AK39" i="3" s="1"/>
  <c r="AJ53" i="7"/>
  <c r="AJ40" i="3" s="1"/>
  <c r="AK53" i="7"/>
  <c r="AK40" i="3" s="1"/>
  <c r="AJ54" i="7"/>
  <c r="AJ41" i="3" s="1"/>
  <c r="AK54" i="7"/>
  <c r="AK41" i="3" s="1"/>
  <c r="AJ55" i="7"/>
  <c r="AJ42" i="3" s="1"/>
  <c r="AK55" i="7"/>
  <c r="AK42" i="3" s="1"/>
  <c r="AJ56" i="7"/>
  <c r="AJ43" i="3" s="1"/>
  <c r="AK56" i="7"/>
  <c r="AK43" i="3" s="1"/>
  <c r="AJ57" i="7"/>
  <c r="AJ44" i="3" s="1"/>
  <c r="AK57" i="7"/>
  <c r="AK44" i="3" s="1"/>
  <c r="AJ35" i="7"/>
  <c r="AJ22" i="3" s="1"/>
  <c r="AK35" i="7"/>
  <c r="AK22" i="3" s="1"/>
  <c r="AJ36" i="7"/>
  <c r="AK36" i="7"/>
  <c r="AJ37" i="7"/>
  <c r="AJ24" i="3" s="1"/>
  <c r="AK37" i="7"/>
  <c r="AK24" i="3" s="1"/>
  <c r="AJ38" i="7"/>
  <c r="AJ25" i="3" s="1"/>
  <c r="AK38" i="7"/>
  <c r="AK25" i="3" s="1"/>
  <c r="AJ39" i="7"/>
  <c r="AJ26" i="3" s="1"/>
  <c r="AK39" i="7"/>
  <c r="AK26" i="3" s="1"/>
  <c r="AJ40" i="7"/>
  <c r="AJ27" i="3" s="1"/>
  <c r="AK40" i="7"/>
  <c r="AK27" i="3" s="1"/>
  <c r="AJ41" i="7"/>
  <c r="AJ28" i="3" s="1"/>
  <c r="AK41" i="7"/>
  <c r="AK28" i="3" s="1"/>
  <c r="AG132" i="7" l="1"/>
  <c r="AC132" i="7"/>
  <c r="AK23" i="3"/>
  <c r="AJ23" i="3"/>
  <c r="AJ19" i="6"/>
  <c r="AI19" i="6"/>
  <c r="AJ100" i="3"/>
  <c r="AK99" i="7"/>
  <c r="AK86" i="3" s="1"/>
  <c r="AK98" i="7"/>
  <c r="AK85" i="3" s="1"/>
  <c r="AJ51" i="7"/>
  <c r="AJ38" i="3" s="1"/>
  <c r="AO38" i="3" s="1"/>
  <c r="AK109" i="7"/>
  <c r="AK96" i="3" s="1"/>
  <c r="AK107" i="7"/>
  <c r="AK94" i="3" s="1"/>
  <c r="AK106" i="7"/>
  <c r="AK93" i="3" s="1"/>
  <c r="AJ44" i="7"/>
  <c r="AJ31" i="3" s="1"/>
  <c r="AO31" i="3" s="1"/>
  <c r="AK105" i="7"/>
  <c r="AK92" i="3" s="1"/>
  <c r="AK95" i="7"/>
  <c r="AK82" i="3" s="1"/>
  <c r="AJ94" i="7"/>
  <c r="AJ81" i="3" s="1"/>
  <c r="AK119" i="7"/>
  <c r="AK106" i="3" s="1"/>
  <c r="AK51" i="7"/>
  <c r="AK38" i="3" s="1"/>
  <c r="AP38" i="3" s="1"/>
  <c r="AK78" i="7"/>
  <c r="AK65" i="3" s="1"/>
  <c r="AJ78" i="7"/>
  <c r="AJ65" i="3" s="1"/>
  <c r="AK97" i="7"/>
  <c r="AK84" i="3" s="1"/>
  <c r="AK44" i="7"/>
  <c r="AK96" i="7"/>
  <c r="AK83" i="3" s="1"/>
  <c r="AK34" i="7"/>
  <c r="AK21" i="3" s="1"/>
  <c r="AK70" i="7"/>
  <c r="AK57" i="3" s="1"/>
  <c r="AK104" i="7"/>
  <c r="AK91" i="3" s="1"/>
  <c r="AK108" i="7"/>
  <c r="AK95" i="3" s="1"/>
  <c r="AJ70" i="7"/>
  <c r="AJ57" i="3" s="1"/>
  <c r="AK59" i="7"/>
  <c r="AK46" i="3" s="1"/>
  <c r="AP46" i="3" s="1"/>
  <c r="AK103" i="7"/>
  <c r="AK90" i="3" s="1"/>
  <c r="AJ102" i="7"/>
  <c r="AJ89" i="3" s="1"/>
  <c r="AK121" i="7"/>
  <c r="AK108" i="3" s="1"/>
  <c r="AJ34" i="7"/>
  <c r="AJ21" i="3" s="1"/>
  <c r="AJ59" i="7"/>
  <c r="AJ46" i="3" s="1"/>
  <c r="AO46" i="3" s="1"/>
  <c r="AK110" i="7"/>
  <c r="AK97" i="3" s="1"/>
  <c r="AK100" i="7"/>
  <c r="AK87" i="3" s="1"/>
  <c r="AK120" i="7"/>
  <c r="AK107" i="3" s="1"/>
  <c r="AJ101" i="3"/>
  <c r="AJ102" i="3"/>
  <c r="AJ103" i="3"/>
  <c r="AK118" i="7"/>
  <c r="AK105" i="3" s="1"/>
  <c r="AM44" i="7" l="1"/>
  <c r="AK31" i="3"/>
  <c r="AP31" i="3" s="1"/>
  <c r="AM34" i="7"/>
  <c r="AM78" i="7"/>
  <c r="AJ75" i="3"/>
  <c r="AJ76" i="3"/>
  <c r="AJ77" i="3"/>
  <c r="AJ78" i="3"/>
  <c r="AJ79" i="3"/>
  <c r="AJ74" i="3"/>
  <c r="AO21" i="3"/>
  <c r="AM51" i="7"/>
  <c r="AK102" i="7"/>
  <c r="AK89" i="3" s="1"/>
  <c r="AK103" i="3"/>
  <c r="AM59" i="7"/>
  <c r="AM57" i="3"/>
  <c r="AM70" i="7"/>
  <c r="AK102" i="3"/>
  <c r="AJ112" i="7"/>
  <c r="AJ99" i="3" s="1"/>
  <c r="AP21" i="3"/>
  <c r="AK101" i="3"/>
  <c r="AK94" i="7"/>
  <c r="AK81" i="3" s="1"/>
  <c r="AK78" i="3" l="1"/>
  <c r="AK77" i="3"/>
  <c r="AK76" i="3"/>
  <c r="AK79" i="3"/>
  <c r="AK75" i="3"/>
  <c r="AJ86" i="7"/>
  <c r="AJ73" i="3" s="1"/>
  <c r="AM81" i="3"/>
  <c r="AM94" i="7"/>
  <c r="AM102" i="7"/>
  <c r="AK100" i="3"/>
  <c r="AH18" i="3"/>
  <c r="AH15" i="3" s="1"/>
  <c r="AK74" i="3" l="1"/>
  <c r="AJ31" i="7"/>
  <c r="AK86" i="7"/>
  <c r="AK112" i="7"/>
  <c r="AI18" i="3"/>
  <c r="AM89" i="3" l="1"/>
  <c r="AK99" i="3"/>
  <c r="AM99" i="3" s="1"/>
  <c r="AM65" i="3"/>
  <c r="AK73" i="3"/>
  <c r="AI15" i="3"/>
  <c r="AI16" i="3"/>
  <c r="AM112" i="7"/>
  <c r="AK31" i="7"/>
  <c r="AM86" i="7"/>
  <c r="AJ18" i="3"/>
  <c r="AK18" i="3" l="1"/>
  <c r="AM73" i="3"/>
  <c r="AJ15" i="3"/>
  <c r="AJ16" i="3"/>
  <c r="F55" i="20" l="1"/>
  <c r="H38" i="20" s="1" a="1"/>
  <c r="H38" i="20" s="1"/>
  <c r="AM18" i="3"/>
  <c r="F99" i="20"/>
  <c r="H82" i="20" s="1" a="1"/>
  <c r="H82" i="20" s="1"/>
  <c r="I88" i="28" s="1"/>
  <c r="AK15" i="3"/>
  <c r="AK16" i="3"/>
  <c r="J13" i="26"/>
  <c r="J220" i="26" s="1"/>
  <c r="F77" i="20"/>
  <c r="H60" i="20" s="1" a="1"/>
  <c r="F62" i="20" s="1"/>
  <c r="F121" i="20"/>
  <c r="H104" i="20" s="1" a="1"/>
  <c r="H104" i="20" s="1"/>
  <c r="I38" i="28" s="1"/>
  <c r="J33" i="26" l="1"/>
  <c r="J51" i="26"/>
  <c r="J36" i="26"/>
  <c r="J195" i="26"/>
  <c r="J130" i="26"/>
  <c r="J56" i="26"/>
  <c r="J161" i="26"/>
  <c r="J154" i="26"/>
  <c r="J210" i="26"/>
  <c r="J57" i="26"/>
  <c r="J62" i="26"/>
  <c r="J219" i="26"/>
  <c r="J88" i="26"/>
  <c r="J67" i="26"/>
  <c r="J43" i="26"/>
  <c r="J221" i="26"/>
  <c r="J83" i="26"/>
  <c r="J147" i="26"/>
  <c r="J146" i="26"/>
  <c r="J148" i="26"/>
  <c r="J19" i="26"/>
  <c r="J78" i="26"/>
  <c r="J122" i="26"/>
  <c r="J107" i="26"/>
  <c r="J124" i="26"/>
  <c r="J151" i="26"/>
  <c r="J185" i="26"/>
  <c r="J70" i="26"/>
  <c r="J213" i="26"/>
  <c r="J157" i="26"/>
  <c r="J40" i="26"/>
  <c r="J140" i="26"/>
  <c r="J106" i="26"/>
  <c r="J116" i="26"/>
  <c r="J84" i="26"/>
  <c r="J214" i="26"/>
  <c r="J178" i="26"/>
  <c r="J108" i="26"/>
  <c r="J110" i="26"/>
  <c r="J137" i="26"/>
  <c r="J172" i="26"/>
  <c r="J66" i="26"/>
  <c r="J79" i="26"/>
  <c r="J64" i="26"/>
  <c r="J74" i="26"/>
  <c r="J21" i="26"/>
  <c r="J203" i="26"/>
  <c r="J202" i="26"/>
  <c r="J188" i="26"/>
  <c r="J96" i="26"/>
  <c r="J29" i="26"/>
  <c r="J204" i="26"/>
  <c r="J180" i="26"/>
  <c r="J168" i="26"/>
  <c r="J80" i="26"/>
  <c r="J126" i="26"/>
  <c r="J135" i="26"/>
  <c r="J32" i="26"/>
  <c r="J159" i="26"/>
  <c r="J160" i="26"/>
  <c r="J121" i="26"/>
  <c r="J77" i="26"/>
  <c r="J46" i="26"/>
  <c r="J139" i="26"/>
  <c r="J118" i="26"/>
  <c r="J198" i="26"/>
  <c r="J174" i="26"/>
  <c r="J60" i="26"/>
  <c r="J171" i="26"/>
  <c r="J95" i="26"/>
  <c r="J59" i="26"/>
  <c r="J165" i="26"/>
  <c r="J97" i="26"/>
  <c r="J82" i="26"/>
  <c r="J90" i="26"/>
  <c r="J190" i="26"/>
  <c r="J98" i="26"/>
  <c r="J105" i="26"/>
  <c r="J85" i="26"/>
  <c r="J158" i="26"/>
  <c r="J120" i="26"/>
  <c r="J136" i="26"/>
  <c r="J134" i="26"/>
  <c r="J91" i="26"/>
  <c r="J28" i="26"/>
  <c r="J72" i="26"/>
  <c r="J191" i="26"/>
  <c r="J58" i="26"/>
  <c r="J53" i="26"/>
  <c r="J144" i="26"/>
  <c r="J87" i="26"/>
  <c r="J65" i="26"/>
  <c r="J162" i="26"/>
  <c r="J102" i="26"/>
  <c r="J167" i="26"/>
  <c r="J68" i="26"/>
  <c r="J115" i="26"/>
  <c r="J211" i="26"/>
  <c r="J150" i="26"/>
  <c r="J52" i="26"/>
  <c r="J145" i="26"/>
  <c r="J22" i="26"/>
  <c r="J63" i="26"/>
  <c r="J155" i="26"/>
  <c r="J103" i="26"/>
  <c r="J73" i="26"/>
  <c r="J93" i="26"/>
  <c r="J192" i="26"/>
  <c r="J166" i="26"/>
  <c r="J26" i="26"/>
  <c r="J184" i="26"/>
  <c r="J104" i="26"/>
  <c r="J208" i="26"/>
  <c r="J179" i="26"/>
  <c r="J37" i="26"/>
  <c r="J142" i="26"/>
  <c r="J200" i="26"/>
  <c r="J187" i="26"/>
  <c r="J128" i="26"/>
  <c r="J123" i="26"/>
  <c r="J94" i="26"/>
  <c r="J92" i="26"/>
  <c r="J133" i="26"/>
  <c r="J27" i="26"/>
  <c r="J177" i="26"/>
  <c r="J71" i="26"/>
  <c r="J163" i="26"/>
  <c r="J175" i="26"/>
  <c r="J99" i="26"/>
  <c r="J101" i="26"/>
  <c r="J199" i="26"/>
  <c r="J176" i="26"/>
  <c r="J34" i="26"/>
  <c r="J212" i="26"/>
  <c r="J112" i="26"/>
  <c r="J218" i="26"/>
  <c r="J209" i="26"/>
  <c r="J86" i="26"/>
  <c r="J111" i="26"/>
  <c r="J143" i="26"/>
  <c r="J138" i="26"/>
  <c r="J50" i="26"/>
  <c r="J197" i="26"/>
  <c r="J164" i="26"/>
  <c r="J61" i="26"/>
  <c r="J207" i="26"/>
  <c r="J23" i="26"/>
  <c r="J201" i="26"/>
  <c r="J141" i="26"/>
  <c r="J35" i="26"/>
  <c r="J117" i="26"/>
  <c r="J81" i="26"/>
  <c r="J173" i="26"/>
  <c r="J30" i="26"/>
  <c r="J125" i="26"/>
  <c r="J109" i="26"/>
  <c r="J18" i="26"/>
  <c r="J186" i="26"/>
  <c r="J48" i="26"/>
  <c r="J189" i="26"/>
  <c r="J129" i="26"/>
  <c r="J31" i="26"/>
  <c r="J47" i="26"/>
  <c r="J69" i="26"/>
  <c r="J217" i="26"/>
  <c r="J100" i="26"/>
  <c r="J156" i="26"/>
  <c r="J149" i="26"/>
  <c r="J49" i="26"/>
  <c r="J127" i="26"/>
  <c r="J89" i="26"/>
  <c r="J183" i="26"/>
  <c r="J196" i="26"/>
  <c r="J20" i="26"/>
  <c r="J119" i="26"/>
  <c r="F61" i="20"/>
  <c r="I181" i="28"/>
  <c r="I85" i="28"/>
  <c r="I17" i="28"/>
  <c r="I71" i="28"/>
  <c r="I123" i="28"/>
  <c r="I221" i="28"/>
  <c r="I67" i="28"/>
  <c r="I124" i="28"/>
  <c r="I57" i="28"/>
  <c r="I144" i="28"/>
  <c r="I145" i="28"/>
  <c r="F65" i="20"/>
  <c r="H60" i="20"/>
  <c r="F60" i="20" s="1"/>
  <c r="F70" i="20"/>
  <c r="I16" i="28"/>
  <c r="I203" i="28"/>
  <c r="I138" i="28"/>
  <c r="I28" i="28"/>
  <c r="I91" i="28"/>
  <c r="I182" i="28"/>
  <c r="I53" i="28"/>
  <c r="I25" i="28"/>
  <c r="I163" i="28"/>
  <c r="I56" i="28"/>
  <c r="I19" i="28"/>
  <c r="F66" i="20"/>
  <c r="F73" i="20"/>
  <c r="I30" i="28"/>
  <c r="I84" i="28"/>
  <c r="I70" i="28"/>
  <c r="I69" i="28"/>
  <c r="I147" i="28"/>
  <c r="F74" i="20"/>
  <c r="F72" i="20"/>
  <c r="I52" i="28"/>
  <c r="I87" i="28"/>
  <c r="I180" i="28"/>
  <c r="I121" i="28"/>
  <c r="I141" i="28"/>
  <c r="I90" i="28"/>
  <c r="I48" i="28"/>
  <c r="I139" i="28"/>
  <c r="I201" i="28"/>
  <c r="I222" i="28"/>
  <c r="I32" i="28"/>
  <c r="I169" i="28"/>
  <c r="I166" i="28"/>
  <c r="I127" i="28"/>
  <c r="I168" i="28"/>
  <c r="I183" i="28"/>
  <c r="I34" i="28"/>
  <c r="F68" i="20"/>
  <c r="F64" i="20"/>
  <c r="I66" i="28"/>
  <c r="I204" i="28"/>
  <c r="I202" i="28"/>
  <c r="I142" i="28"/>
  <c r="I164" i="28"/>
  <c r="I126" i="28"/>
  <c r="I89" i="28"/>
  <c r="I26" i="28"/>
  <c r="I54" i="28"/>
  <c r="I18" i="28"/>
  <c r="I49" i="28"/>
  <c r="F71" i="20"/>
  <c r="F63" i="20"/>
  <c r="I86" i="28"/>
  <c r="I29" i="28"/>
  <c r="I194" i="28"/>
  <c r="I190" i="28"/>
  <c r="I193" i="28"/>
  <c r="I140" i="28"/>
  <c r="I125" i="28"/>
  <c r="I51" i="28"/>
  <c r="I36" i="28"/>
  <c r="I33" i="28"/>
  <c r="I146" i="28"/>
  <c r="F67" i="20"/>
  <c r="I122" i="28"/>
  <c r="I64" i="28"/>
  <c r="I72" i="28"/>
  <c r="I212" i="28"/>
  <c r="I213" i="28"/>
  <c r="I179" i="28"/>
  <c r="I184" i="28"/>
  <c r="I68" i="28"/>
  <c r="I58" i="28"/>
  <c r="I143" i="28"/>
  <c r="I37" i="28"/>
  <c r="F69" i="20"/>
  <c r="I167" i="28"/>
  <c r="I65" i="28"/>
  <c r="I165" i="28"/>
  <c r="I27" i="28"/>
  <c r="I31" i="28"/>
  <c r="I192" i="28"/>
  <c r="I191" i="28"/>
  <c r="I35" i="28"/>
  <c r="I55" i="28"/>
  <c r="F75" i="20" l="1"/>
  <c r="H15" i="26" s="1"/>
  <c r="H217" i="26" s="1"/>
  <c r="I50" i="28"/>
  <c r="F134" i="20"/>
  <c r="F88" i="20"/>
  <c r="F96" i="20"/>
  <c r="F112" i="20"/>
  <c r="F128" i="20"/>
  <c r="F136" i="20"/>
  <c r="F111" i="20"/>
  <c r="F126" i="20"/>
  <c r="F127" i="20"/>
  <c r="F135" i="20"/>
  <c r="F89" i="20"/>
  <c r="F104" i="20"/>
  <c r="F105" i="20"/>
  <c r="F113" i="20"/>
  <c r="F129" i="20"/>
  <c r="F137" i="20"/>
  <c r="F94" i="20"/>
  <c r="F87" i="20"/>
  <c r="F95" i="20"/>
  <c r="F90" i="20"/>
  <c r="F106" i="20"/>
  <c r="F114" i="20"/>
  <c r="F130" i="20"/>
  <c r="F138" i="20"/>
  <c r="F86" i="20"/>
  <c r="F118" i="20"/>
  <c r="F82" i="20"/>
  <c r="F83" i="20"/>
  <c r="F91" i="20"/>
  <c r="F107" i="20"/>
  <c r="F115" i="20"/>
  <c r="F131" i="20"/>
  <c r="F139" i="20"/>
  <c r="F84" i="20"/>
  <c r="F92" i="20"/>
  <c r="F108" i="20"/>
  <c r="F116" i="20"/>
  <c r="F132" i="20"/>
  <c r="F140" i="20"/>
  <c r="F110" i="20"/>
  <c r="F85" i="20"/>
  <c r="F93" i="20"/>
  <c r="F109" i="20"/>
  <c r="F117" i="20"/>
  <c r="F133" i="20"/>
  <c r="F119" i="20" l="1"/>
  <c r="F97" i="20"/>
  <c r="F141" i="20"/>
  <c r="C132" i="26" l="1"/>
  <c r="C153" i="26" l="1"/>
  <c r="C170" i="26" s="1"/>
  <c r="C182" i="26" s="1"/>
  <c r="C194" i="26" s="1"/>
  <c r="C206" i="26" s="1"/>
  <c r="C216" i="26" s="1"/>
  <c r="C221" i="26" s="1"/>
  <c r="F43" i="20"/>
  <c r="F23" i="20" s="1"/>
  <c r="F50" i="20" l="1"/>
  <c r="F30" i="20" s="1"/>
  <c r="F41" i="20"/>
  <c r="F21" i="20" s="1"/>
  <c r="F42" i="20"/>
  <c r="F22" i="20" s="1"/>
  <c r="F49" i="20"/>
  <c r="F29" i="20" s="1"/>
  <c r="F48" i="20"/>
  <c r="F28" i="20" s="1"/>
  <c r="F40" i="20"/>
  <c r="F20" i="20" s="1"/>
  <c r="F47" i="20"/>
  <c r="F27" i="20" s="1"/>
  <c r="F39" i="20"/>
  <c r="F19" i="20" s="1"/>
  <c r="F46" i="20"/>
  <c r="F26" i="20" s="1"/>
  <c r="F38" i="20"/>
  <c r="F45" i="20"/>
  <c r="F25" i="20" s="1"/>
  <c r="F52" i="20"/>
  <c r="F32" i="20" s="1"/>
  <c r="F44" i="20"/>
  <c r="F24" i="20" s="1"/>
  <c r="F51" i="20"/>
  <c r="F31" i="20" s="1"/>
  <c r="F18" i="20" l="1"/>
  <c r="F53" i="20"/>
  <c r="H18" i="26"/>
  <c r="H19" i="26"/>
  <c r="I20" i="28" s="1"/>
  <c r="H20" i="26"/>
  <c r="H21" i="26"/>
  <c r="I22" i="28" s="1"/>
  <c r="H22" i="26"/>
  <c r="I23" i="28" s="1"/>
  <c r="H23" i="26"/>
  <c r="H26" i="26"/>
  <c r="H27" i="26"/>
  <c r="I39" i="28" s="1"/>
  <c r="H28" i="26"/>
  <c r="H29" i="26"/>
  <c r="H30" i="26"/>
  <c r="H31" i="26"/>
  <c r="H32" i="26"/>
  <c r="I40" i="28" s="1"/>
  <c r="H33" i="26"/>
  <c r="H34" i="26"/>
  <c r="H35" i="26"/>
  <c r="I41" i="28" s="1"/>
  <c r="H36" i="26"/>
  <c r="I42" i="28" s="1"/>
  <c r="H37" i="26"/>
  <c r="I43" i="28" s="1"/>
  <c r="H40" i="26"/>
  <c r="H43" i="26"/>
  <c r="H46" i="26"/>
  <c r="H47" i="26"/>
  <c r="I59" i="28" s="1"/>
  <c r="H48" i="26"/>
  <c r="I60" i="28" s="1"/>
  <c r="H49" i="26"/>
  <c r="H50" i="26"/>
  <c r="I61" i="28" s="1"/>
  <c r="H51" i="26"/>
  <c r="I62" i="28" s="1"/>
  <c r="H52" i="26"/>
  <c r="H53" i="26"/>
  <c r="H56" i="26"/>
  <c r="H57" i="26"/>
  <c r="I73" i="28" s="1"/>
  <c r="H58" i="26"/>
  <c r="H59" i="26"/>
  <c r="I74" i="28" s="1"/>
  <c r="H60" i="26"/>
  <c r="I75" i="28" s="1"/>
  <c r="H61" i="26"/>
  <c r="H62" i="26"/>
  <c r="H63" i="26"/>
  <c r="I76" i="28" s="1"/>
  <c r="H64" i="26"/>
  <c r="I77" i="28" s="1"/>
  <c r="H65" i="26"/>
  <c r="I78" i="28" s="1"/>
  <c r="H66" i="26"/>
  <c r="H67" i="26"/>
  <c r="H68" i="26"/>
  <c r="I79" i="28" s="1"/>
  <c r="H69" i="26"/>
  <c r="I80" i="28" s="1"/>
  <c r="H70" i="26"/>
  <c r="I81" i="28" s="1"/>
  <c r="H71" i="26"/>
  <c r="H72" i="26"/>
  <c r="H73" i="26"/>
  <c r="H74" i="26"/>
  <c r="I82" i="28" s="1"/>
  <c r="H77" i="26"/>
  <c r="H78" i="26"/>
  <c r="I92" i="28" s="1"/>
  <c r="H79" i="26"/>
  <c r="I93" i="28" s="1"/>
  <c r="H80" i="26"/>
  <c r="I94" i="28" s="1"/>
  <c r="H81" i="26"/>
  <c r="H82" i="26"/>
  <c r="I95" i="28" s="1"/>
  <c r="H83" i="26"/>
  <c r="I96" i="28" s="1"/>
  <c r="H84" i="26"/>
  <c r="I97" i="28" s="1"/>
  <c r="H85" i="26"/>
  <c r="I98" i="28" s="1"/>
  <c r="H86" i="26"/>
  <c r="I99" i="28" s="1"/>
  <c r="H87" i="26"/>
  <c r="I100" i="28" s="1"/>
  <c r="H88" i="26"/>
  <c r="I101" i="28" s="1"/>
  <c r="H89" i="26"/>
  <c r="I102" i="28" s="1"/>
  <c r="H90" i="26"/>
  <c r="I103" i="28" s="1"/>
  <c r="H91" i="26"/>
  <c r="I104" i="28" s="1"/>
  <c r="H92" i="26"/>
  <c r="I105" i="28" s="1"/>
  <c r="H93" i="26"/>
  <c r="I106" i="28" s="1"/>
  <c r="H94" i="26"/>
  <c r="I107" i="28" s="1"/>
  <c r="H95" i="26"/>
  <c r="I108" i="28" s="1"/>
  <c r="H96" i="26"/>
  <c r="H97" i="26"/>
  <c r="I109" i="28" s="1"/>
  <c r="H98" i="26"/>
  <c r="I110" i="28" s="1"/>
  <c r="H99" i="26"/>
  <c r="I111" i="28" s="1"/>
  <c r="H100" i="26"/>
  <c r="H101" i="26"/>
  <c r="H102" i="26"/>
  <c r="H103" i="26"/>
  <c r="I112" i="28" s="1"/>
  <c r="H104" i="26"/>
  <c r="I113" i="28" s="1"/>
  <c r="H105" i="26"/>
  <c r="H106" i="26"/>
  <c r="I114" i="28" s="1"/>
  <c r="H107" i="26"/>
  <c r="I115" i="28" s="1"/>
  <c r="H108" i="26"/>
  <c r="I116" i="28" s="1"/>
  <c r="H109" i="26"/>
  <c r="H110" i="26"/>
  <c r="I117" i="28" s="1"/>
  <c r="H111" i="26"/>
  <c r="I118" i="28" s="1"/>
  <c r="H112" i="26"/>
  <c r="I119" i="28" s="1"/>
  <c r="H115" i="26"/>
  <c r="H116" i="26"/>
  <c r="I128" i="28" s="1"/>
  <c r="H117" i="26"/>
  <c r="I129" i="28" s="1"/>
  <c r="H118" i="26"/>
  <c r="I130" i="28" s="1"/>
  <c r="H119" i="26"/>
  <c r="H120" i="26"/>
  <c r="I131" i="28" s="1"/>
  <c r="H121" i="26"/>
  <c r="H122" i="26"/>
  <c r="I132" i="28" s="1"/>
  <c r="H123" i="26"/>
  <c r="I133" i="28" s="1"/>
  <c r="H124" i="26"/>
  <c r="I134" i="28" s="1"/>
  <c r="H125" i="26"/>
  <c r="I135" i="28" s="1"/>
  <c r="H126" i="26"/>
  <c r="I136" i="28" s="1"/>
  <c r="H127" i="26"/>
  <c r="H128" i="26"/>
  <c r="H129" i="26"/>
  <c r="H130" i="26"/>
  <c r="H133" i="26"/>
  <c r="H134" i="26"/>
  <c r="I148" i="28" s="1"/>
  <c r="H135" i="26"/>
  <c r="I149" i="28" s="1"/>
  <c r="H136" i="26"/>
  <c r="I150" i="28" s="1"/>
  <c r="H137" i="26"/>
  <c r="I151" i="28" s="1"/>
  <c r="H138" i="26"/>
  <c r="I152" i="28" s="1"/>
  <c r="H139" i="26"/>
  <c r="I153" i="28" s="1"/>
  <c r="H140" i="26"/>
  <c r="I154" i="28" s="1"/>
  <c r="H141" i="26"/>
  <c r="I155" i="28" s="1"/>
  <c r="H142" i="26"/>
  <c r="I156" i="28" s="1"/>
  <c r="H143" i="26"/>
  <c r="I157" i="28" s="1"/>
  <c r="H144" i="26"/>
  <c r="I158" i="28" s="1"/>
  <c r="H145" i="26"/>
  <c r="H146" i="26"/>
  <c r="I159" i="28" s="1"/>
  <c r="H147" i="26"/>
  <c r="I160" i="28" s="1"/>
  <c r="H148" i="26"/>
  <c r="H149" i="26"/>
  <c r="H150" i="26"/>
  <c r="I161" i="28" s="1"/>
  <c r="H151" i="26"/>
  <c r="H154" i="26"/>
  <c r="H155" i="26"/>
  <c r="I170" i="28" s="1"/>
  <c r="H156" i="26"/>
  <c r="I171" i="28" s="1"/>
  <c r="H157" i="26"/>
  <c r="I172" i="28" s="1"/>
  <c r="H158" i="26"/>
  <c r="I173" i="28" s="1"/>
  <c r="H159" i="26"/>
  <c r="H160" i="26"/>
  <c r="H161" i="26"/>
  <c r="H162" i="26"/>
  <c r="H163" i="26"/>
  <c r="I174" i="28" s="1"/>
  <c r="H164" i="26"/>
  <c r="I175" i="28" s="1"/>
  <c r="H165" i="26"/>
  <c r="H166" i="26"/>
  <c r="H167" i="26"/>
  <c r="I176" i="28" s="1"/>
  <c r="H168" i="26"/>
  <c r="I177" i="28" s="1"/>
  <c r="H171" i="26"/>
  <c r="H172" i="26"/>
  <c r="I185" i="28" s="1"/>
  <c r="H173" i="26"/>
  <c r="H174" i="26"/>
  <c r="I186" i="28" s="1"/>
  <c r="H175" i="26"/>
  <c r="I187" i="28" s="1"/>
  <c r="H176" i="26"/>
  <c r="H177" i="26"/>
  <c r="I188" i="28" s="1"/>
  <c r="H178" i="26"/>
  <c r="H179" i="26"/>
  <c r="H180" i="26"/>
  <c r="H183" i="26"/>
  <c r="H184" i="26"/>
  <c r="I195" i="28" s="1"/>
  <c r="H185" i="26"/>
  <c r="I196" i="28" s="1"/>
  <c r="H186" i="26"/>
  <c r="I197" i="28" s="1"/>
  <c r="H187" i="26"/>
  <c r="H188" i="26"/>
  <c r="H189" i="26"/>
  <c r="H190" i="26"/>
  <c r="H191" i="26"/>
  <c r="I198" i="28" s="1"/>
  <c r="H192" i="26"/>
  <c r="I199" i="28" s="1"/>
  <c r="H195" i="26"/>
  <c r="H196" i="26"/>
  <c r="I205" i="28" s="1"/>
  <c r="H197" i="26"/>
  <c r="I206" i="28" s="1"/>
  <c r="H198" i="26"/>
  <c r="H199" i="26"/>
  <c r="I207" i="28" s="1"/>
  <c r="H200" i="26"/>
  <c r="H201" i="26"/>
  <c r="H202" i="26"/>
  <c r="I208" i="28" s="1"/>
  <c r="H203" i="26"/>
  <c r="I209" i="28" s="1"/>
  <c r="H204" i="26"/>
  <c r="I210" i="28" s="1"/>
  <c r="H207" i="26"/>
  <c r="H208" i="26"/>
  <c r="I214" i="28" s="1"/>
  <c r="H209" i="26"/>
  <c r="I215" i="28" s="1"/>
  <c r="H210" i="26"/>
  <c r="I216" i="28" s="1"/>
  <c r="H211" i="26"/>
  <c r="I217" i="28" s="1"/>
  <c r="H212" i="26"/>
  <c r="I218" i="28" s="1"/>
  <c r="H213" i="26"/>
  <c r="H214" i="26"/>
  <c r="I219" i="28" s="1"/>
  <c r="H218" i="26"/>
  <c r="I223" i="28" s="1"/>
  <c r="H219" i="26"/>
  <c r="I224" i="28" s="1"/>
  <c r="I21" i="28" l="1"/>
  <c r="I24" i="28" s="1"/>
  <c r="I83" i="28"/>
  <c r="I63" i="28"/>
  <c r="I220" i="28"/>
  <c r="I162" i="28"/>
  <c r="I137" i="28"/>
  <c r="I225" i="28"/>
  <c r="I211" i="28"/>
  <c r="I200" i="28"/>
  <c r="I120" i="28"/>
  <c r="I178" i="28"/>
  <c r="I44" i="28"/>
  <c r="I189" i="28"/>
  <c r="H221" i="26"/>
  <c r="H222" i="26" s="1"/>
  <c r="G45" i="28" l="1"/>
  <c r="I45" i="28" s="1"/>
  <c r="G46" i="28"/>
  <c r="I46" i="28" s="1"/>
  <c r="I47" i="28" l="1"/>
  <c r="I226" i="28" s="1"/>
  <c r="C35" i="20"/>
  <c r="C57" i="20" s="1"/>
  <c r="C79" i="20" l="1"/>
  <c r="C101" i="20"/>
  <c r="C123" i="20" l="1"/>
  <c r="C145"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148" authorId="0" shapeId="0" xr:uid="{B99DA91A-CA8F-824D-AA4E-ABCB7ADB359D}">
      <text>
        <r>
          <rPr>
            <sz val="10"/>
            <color rgb="FF000000"/>
            <rFont val="Tahoma"/>
            <family val="2"/>
          </rPr>
          <t xml:space="preserve">https://www.insee.fr/fr/statistiques/5225246
</t>
        </r>
      </text>
    </comment>
    <comment ref="N148" authorId="0" shapeId="0" xr:uid="{102F9D48-5000-434B-9580-ED88D866BC44}">
      <text>
        <r>
          <rPr>
            <sz val="10"/>
            <color rgb="FF000000"/>
            <rFont val="Tahoma"/>
            <family val="2"/>
          </rPr>
          <t>Selon un deuxième budget rectificatif présenté par Bercy début novembre 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Anastasia Radziszewski</author>
    <author>Microsoft Office User</author>
  </authors>
  <commentList>
    <comment ref="AK14" authorId="0" shapeId="0" xr:uid="{18E3A287-3B92-496A-A2BC-C0EB1EB1089F}">
      <text>
        <r>
          <rPr>
            <sz val="9"/>
            <color rgb="FF000000"/>
            <rFont val="Tahoma"/>
            <family val="2"/>
          </rPr>
          <t>Programme de Stabilité 2022 page 6</t>
        </r>
      </text>
    </comment>
    <comment ref="AI15" authorId="1" shapeId="0" xr:uid="{F840B356-F29C-5749-B990-9ACCA314EF5F}">
      <text>
        <r>
          <rPr>
            <sz val="10"/>
            <color rgb="FF000000"/>
            <rFont val="Calibri"/>
            <family val="2"/>
          </rPr>
          <t xml:space="preserve">60,6 % en 2020 
</t>
        </r>
        <r>
          <rPr>
            <sz val="10"/>
            <color rgb="FF000000"/>
            <rFont val="Tahoma"/>
            <family val="2"/>
          </rPr>
          <t xml:space="preserve"> selon le </t>
        </r>
        <r>
          <rPr>
            <sz val="10"/>
            <color rgb="FF000000"/>
            <rFont val="Calibri"/>
            <family val="2"/>
          </rPr>
          <t xml:space="preserve">Programme de Stabilité 2022 </t>
        </r>
      </text>
    </comment>
    <comment ref="AK15" authorId="1" shapeId="0" xr:uid="{837695EE-1300-9E40-A284-AD1AC19199F7}">
      <text>
        <r>
          <rPr>
            <sz val="10"/>
            <color rgb="FF000000"/>
            <rFont val="Calibri"/>
            <family val="2"/>
          </rPr>
          <t xml:space="preserve">57,3 % </t>
        </r>
        <r>
          <rPr>
            <sz val="10"/>
            <color rgb="FF000000"/>
            <rFont val="Tahoma"/>
            <family val="2"/>
          </rPr>
          <t xml:space="preserve"> selon le </t>
        </r>
        <r>
          <rPr>
            <sz val="10"/>
            <color rgb="FF000000"/>
            <rFont val="Calibri"/>
            <family val="2"/>
          </rPr>
          <t xml:space="preserve">Programme de Stabilité 2022 </t>
        </r>
      </text>
    </comment>
    <comment ref="AI18" authorId="0" shapeId="0" xr:uid="{0C22D754-1BFC-4668-89EB-4FF8C8EA652F}">
      <text>
        <r>
          <rPr>
            <sz val="9"/>
            <color rgb="FF000000"/>
            <rFont val="Tahoma"/>
            <family val="2"/>
          </rPr>
          <t xml:space="preserve">1422,8 selon l'INSEE
</t>
        </r>
        <r>
          <rPr>
            <sz val="9"/>
            <color rgb="FF000000"/>
            <rFont val="Tahoma"/>
            <family val="2"/>
          </rPr>
          <t>https://www.insee.fr/fr/statistiques/5387893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J18" authorId="0" shapeId="0" xr:uid="{88E87DE7-D8F1-F248-BD65-BBAA02603BB2}">
      <text>
        <r>
          <rPr>
            <b/>
            <sz val="10"/>
            <color rgb="FF000000"/>
            <rFont val="Tahoma"/>
            <family val="2"/>
          </rPr>
          <t xml:space="preserve">Microsoft Office User:
</t>
        </r>
        <r>
          <rPr>
            <sz val="10"/>
            <color rgb="FF000000"/>
            <rFont val="Calibri"/>
            <family val="2"/>
          </rPr>
          <t>prévision pour 2021 de la part du RESF</t>
        </r>
      </text>
    </comment>
    <comment ref="AK18" authorId="0" shapeId="0" xr:uid="{96E1699A-53D5-B44E-A4A0-33769DA8B74B}">
      <text>
        <r>
          <rPr>
            <b/>
            <sz val="10"/>
            <color rgb="FF000000"/>
            <rFont val="Tahoma"/>
            <family val="2"/>
          </rPr>
          <t>Microsoft Office User:</t>
        </r>
        <r>
          <rPr>
            <sz val="10"/>
            <color rgb="FF000000"/>
            <rFont val="Tahoma"/>
            <family val="2"/>
          </rPr>
          <t xml:space="preserve">
</t>
        </r>
        <r>
          <rPr>
            <sz val="10"/>
            <color rgb="FF000000"/>
            <rFont val="Tahoma"/>
            <family val="2"/>
          </rPr>
          <t>prévision pour 2022 de la part du RESF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J60" authorId="0" shapeId="0" xr:uid="{50226619-A31F-2C45-8BBF-DFFAB80809EF}">
      <text>
        <r>
          <rPr>
            <b/>
            <sz val="10"/>
            <color rgb="FF000000"/>
            <rFont val="Tahoma"/>
            <family val="2"/>
          </rPr>
          <t>Microsoft Office User:</t>
        </r>
        <r>
          <rPr>
            <sz val="10"/>
            <color rgb="FF000000"/>
            <rFont val="Tahoma"/>
            <family val="2"/>
          </rPr>
          <t xml:space="preserve">
</t>
        </r>
        <r>
          <rPr>
            <sz val="10"/>
            <color rgb="FF000000"/>
            <rFont val="Tahoma"/>
            <family val="2"/>
          </rPr>
          <t xml:space="preserve">Dépense principalement liée au Covid qui baisse donc en 2021
</t>
        </r>
        <r>
          <rPr>
            <sz val="10"/>
            <color rgb="FF000000"/>
            <rFont val="Tahoma"/>
            <family val="2"/>
          </rPr>
          <t>Chiffre contestable</t>
        </r>
      </text>
    </comment>
    <comment ref="AK60" authorId="0" shapeId="0" xr:uid="{71DD882F-EC81-B24A-9A78-7BBB56D632C0}">
      <text>
        <r>
          <rPr>
            <b/>
            <sz val="10"/>
            <color rgb="FF000000"/>
            <rFont val="Tahoma"/>
            <family val="2"/>
          </rPr>
          <t>Microsoft Office User:</t>
        </r>
        <r>
          <rPr>
            <sz val="10"/>
            <color rgb="FF000000"/>
            <rFont val="Tahoma"/>
            <family val="2"/>
          </rPr>
          <t xml:space="preserve">
</t>
        </r>
        <r>
          <rPr>
            <sz val="10"/>
            <color rgb="FF000000"/>
            <rFont val="Calibri"/>
            <family val="2"/>
            <scheme val="minor"/>
          </rPr>
          <t>Dépense principalement liée au Covid qui n'est peut etr eplus d'actualité en 2022
Chiffre contestable</t>
        </r>
      </text>
    </comment>
    <comment ref="AJ117" authorId="0" shapeId="0" xr:uid="{59ECFFC8-4EB2-314B-B1CC-FD14D4FF5655}">
      <text>
        <r>
          <rPr>
            <b/>
            <sz val="10"/>
            <color rgb="FF000000"/>
            <rFont val="Tahoma"/>
            <family val="2"/>
          </rPr>
          <t>Microsoft Office User:</t>
        </r>
        <r>
          <rPr>
            <sz val="10"/>
            <color rgb="FF000000"/>
            <rFont val="Tahoma"/>
            <family val="2"/>
          </rPr>
          <t xml:space="preserve">
</t>
        </r>
        <r>
          <rPr>
            <sz val="10"/>
            <color rgb="FF000000"/>
            <rFont val="Tahoma"/>
            <family val="2"/>
          </rPr>
          <t>UNEDIC 2022</t>
        </r>
      </text>
    </comment>
    <comment ref="AK117" authorId="0" shapeId="0" xr:uid="{6A53B4BF-BD44-2244-B186-BDF38D91800B}">
      <text>
        <r>
          <rPr>
            <b/>
            <sz val="10"/>
            <color rgb="FF000000"/>
            <rFont val="Tahoma"/>
            <family val="2"/>
          </rPr>
          <t>Microsoft Office User:</t>
        </r>
        <r>
          <rPr>
            <sz val="10"/>
            <color rgb="FF000000"/>
            <rFont val="Tahoma"/>
            <family val="2"/>
          </rPr>
          <t xml:space="preserve">
</t>
        </r>
        <r>
          <rPr>
            <sz val="10"/>
            <color rgb="FF000000"/>
            <rFont val="Calibri"/>
            <family val="2"/>
            <scheme val="minor"/>
          </rPr>
          <t>UNEDIC 2022</t>
        </r>
        <r>
          <rPr>
            <sz val="10"/>
            <color rgb="FF000000"/>
            <rFont val="Calibri"/>
            <family val="2"/>
            <scheme val="minor"/>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Anastasia Radziszewski</author>
  </authors>
  <commentList>
    <comment ref="N27" authorId="0" shapeId="0" xr:uid="{69323F07-4964-4382-B7B9-7E09D5628313}">
      <text>
        <r>
          <rPr>
            <b/>
            <sz val="9"/>
            <color rgb="FF000000"/>
            <rFont val="Tahoma"/>
            <family val="2"/>
          </rPr>
          <t>Source : (17/08) https://www.legifrance.gouv.fr/jorf/id/JORFTEXT000046186661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<sst xmlns="http://schemas.openxmlformats.org/spreadsheetml/2006/main" count="2755" uniqueCount="463">
  <si>
    <t/>
  </si>
  <si>
    <t>TOTAL</t>
  </si>
  <si>
    <t>Total</t>
  </si>
  <si>
    <t>GF01</t>
  </si>
  <si>
    <t>Services généraux des administrations publiques</t>
  </si>
  <si>
    <t>GF0101</t>
  </si>
  <si>
    <t>Fonctionnement des organes exécutifs et législatifs, affaires financières et fiscales, affaires étrangères</t>
  </si>
  <si>
    <t>GF0102</t>
  </si>
  <si>
    <t>Aide économique extérieure</t>
  </si>
  <si>
    <t>GF0103</t>
  </si>
  <si>
    <t>Services généraux</t>
  </si>
  <si>
    <t>GF0104</t>
  </si>
  <si>
    <t>Recherche fondamentale</t>
  </si>
  <si>
    <t>GF0105</t>
  </si>
  <si>
    <t>R &amp; D concernant des services généraux des administrations publiques</t>
  </si>
  <si>
    <t>GF0106</t>
  </si>
  <si>
    <t>Services généraux des administrations publiques n.c.a.</t>
  </si>
  <si>
    <t>GF0107</t>
  </si>
  <si>
    <t>Opérations concernant la dette publique</t>
  </si>
  <si>
    <t>GF0108</t>
  </si>
  <si>
    <t>Transferts de caractère général entre administrations publiques</t>
  </si>
  <si>
    <t>GF02</t>
  </si>
  <si>
    <t>Défense</t>
  </si>
  <si>
    <t>GF0201</t>
  </si>
  <si>
    <t>Défense militaire</t>
  </si>
  <si>
    <t>GF0202</t>
  </si>
  <si>
    <t>Défense civile</t>
  </si>
  <si>
    <t>GF0203</t>
  </si>
  <si>
    <t>Aide militaire à des pays étrangers</t>
  </si>
  <si>
    <t>GF0204</t>
  </si>
  <si>
    <t>R &amp; D concernant la défense</t>
  </si>
  <si>
    <t>GF0205</t>
  </si>
  <si>
    <t>Défense n.c.a.</t>
  </si>
  <si>
    <t>GF03</t>
  </si>
  <si>
    <t>Ordre et sécurité publics</t>
  </si>
  <si>
    <t>GF0301</t>
  </si>
  <si>
    <t>Services de police</t>
  </si>
  <si>
    <t>GF0302</t>
  </si>
  <si>
    <t>Services de protection civile</t>
  </si>
  <si>
    <t>GF0303</t>
  </si>
  <si>
    <t>Tribunaux</t>
  </si>
  <si>
    <t>GF0304</t>
  </si>
  <si>
    <t>Administration pénitentiaire</t>
  </si>
  <si>
    <t>GF0305</t>
  </si>
  <si>
    <t>R &amp; D concernant l'ordre et la sécurité publics</t>
  </si>
  <si>
    <t>GF0306</t>
  </si>
  <si>
    <t>Ordre et sécurité publics n.c.a.</t>
  </si>
  <si>
    <t>GF04</t>
  </si>
  <si>
    <t>Affaires économiques</t>
  </si>
  <si>
    <t>GF0401</t>
  </si>
  <si>
    <t>Tutelle de l'économie générale, des échanges et de l'emploi</t>
  </si>
  <si>
    <t>GF0402</t>
  </si>
  <si>
    <t>Agriculture, sylviculture, pêche et chasse</t>
  </si>
  <si>
    <t>GF0403</t>
  </si>
  <si>
    <t>Combustibles et énergie</t>
  </si>
  <si>
    <t>GF0404</t>
  </si>
  <si>
    <t>Industries extractives et manufacturières, construction</t>
  </si>
  <si>
    <t>GF0405</t>
  </si>
  <si>
    <t>Transports</t>
  </si>
  <si>
    <t>GF0406</t>
  </si>
  <si>
    <t>Communications</t>
  </si>
  <si>
    <t>GF0407</t>
  </si>
  <si>
    <t>Autres branches d'activité</t>
  </si>
  <si>
    <t>GF0408</t>
  </si>
  <si>
    <t>R &amp; D concernant les affaires économiques</t>
  </si>
  <si>
    <t>GF0409</t>
  </si>
  <si>
    <t>Affaires économiques n.c.a.</t>
  </si>
  <si>
    <t>GF05</t>
  </si>
  <si>
    <t>Protection de l'environnement</t>
  </si>
  <si>
    <t>GF0501</t>
  </si>
  <si>
    <t>Gestion des déchets</t>
  </si>
  <si>
    <t>GF0502</t>
  </si>
  <si>
    <t>Gestion des eaux usées</t>
  </si>
  <si>
    <t>GF0503</t>
  </si>
  <si>
    <t>Lutte contre la pollution</t>
  </si>
  <si>
    <t>GF0504</t>
  </si>
  <si>
    <t>Préservation de la diversité biologique et protection de la nature</t>
  </si>
  <si>
    <t>GF0505</t>
  </si>
  <si>
    <t>R &amp; D dans le domaine de la protection de l'environnement</t>
  </si>
  <si>
    <t>GF0506</t>
  </si>
  <si>
    <t>Protection de l'environnement n.c.a.</t>
  </si>
  <si>
    <t>GF06</t>
  </si>
  <si>
    <t>Logements et équipements collectifs</t>
  </si>
  <si>
    <t>GF0601</t>
  </si>
  <si>
    <t>Logements</t>
  </si>
  <si>
    <t>GF0602</t>
  </si>
  <si>
    <t>Équipements collectifs</t>
  </si>
  <si>
    <t>GF0603</t>
  </si>
  <si>
    <t>Alimentation en eau</t>
  </si>
  <si>
    <t>GF0604</t>
  </si>
  <si>
    <t>Éclairage public</t>
  </si>
  <si>
    <t>GF0605</t>
  </si>
  <si>
    <t>R &amp; D dans le domaine du logement et des équipements collectifs</t>
  </si>
  <si>
    <t>GF0606</t>
  </si>
  <si>
    <t>Logement et équipements collectifs n.c.a.</t>
  </si>
  <si>
    <t>GF07</t>
  </si>
  <si>
    <t>Santé</t>
  </si>
  <si>
    <t>GF0701</t>
  </si>
  <si>
    <t>Produits, appareils et matériels médicaux</t>
  </si>
  <si>
    <t>GF0702</t>
  </si>
  <si>
    <t>Services ambulatoires</t>
  </si>
  <si>
    <t>GF0703</t>
  </si>
  <si>
    <t>Services hospitaliers</t>
  </si>
  <si>
    <t>GF0704</t>
  </si>
  <si>
    <t>Services de santé publique</t>
  </si>
  <si>
    <t>GF0705</t>
  </si>
  <si>
    <t>R &amp; D dans le domaine de la santé</t>
  </si>
  <si>
    <t>GF0706</t>
  </si>
  <si>
    <t>Santé n.c.a.</t>
  </si>
  <si>
    <t>GF08</t>
  </si>
  <si>
    <t>Loisirs, culture et culte</t>
  </si>
  <si>
    <t>GF0801</t>
  </si>
  <si>
    <t>Services récréatifs et sportifs</t>
  </si>
  <si>
    <t>GF0802</t>
  </si>
  <si>
    <t>Services culturels</t>
  </si>
  <si>
    <t>GF0803</t>
  </si>
  <si>
    <t>Services de radiodiffusion, de télévision et d'édition</t>
  </si>
  <si>
    <t>GF0804</t>
  </si>
  <si>
    <t>Culte et autres services communautaires</t>
  </si>
  <si>
    <t>GF0805</t>
  </si>
  <si>
    <t>R &amp; D dans le domaine des loisirs, de la culture et du culte</t>
  </si>
  <si>
    <t>GF0806</t>
  </si>
  <si>
    <t>Loisirs, culture et culte n.c.a.</t>
  </si>
  <si>
    <t>GF09</t>
  </si>
  <si>
    <t>Enseignement</t>
  </si>
  <si>
    <t>GF0901</t>
  </si>
  <si>
    <t>Enseignement préélémentaire et primaire</t>
  </si>
  <si>
    <t>GF0902</t>
  </si>
  <si>
    <t>Enseignement secondaire</t>
  </si>
  <si>
    <t>GF0903</t>
  </si>
  <si>
    <t>Enseignement postsecondaire non supérieur</t>
  </si>
  <si>
    <t>GF0904</t>
  </si>
  <si>
    <t>Enseignement supérieur</t>
  </si>
  <si>
    <t>GF0905</t>
  </si>
  <si>
    <t>Enseignement non défini par niveau</t>
  </si>
  <si>
    <t>GF0906</t>
  </si>
  <si>
    <t>Services annexes à l'enseignement</t>
  </si>
  <si>
    <t>GF0907</t>
  </si>
  <si>
    <t>R &amp; D dans le domaine de l'enseignement</t>
  </si>
  <si>
    <t>GF0908</t>
  </si>
  <si>
    <t>Enseignement n.c.a.</t>
  </si>
  <si>
    <t>GF10</t>
  </si>
  <si>
    <t>Protection sociale</t>
  </si>
  <si>
    <t>GF1001</t>
  </si>
  <si>
    <t>Maladie et invalidité</t>
  </si>
  <si>
    <t>GF1002</t>
  </si>
  <si>
    <t>Vieillesse</t>
  </si>
  <si>
    <t>GF1003</t>
  </si>
  <si>
    <t>Survivants</t>
  </si>
  <si>
    <t>GF1004</t>
  </si>
  <si>
    <t>Famille et enfants</t>
  </si>
  <si>
    <t>GF1005</t>
  </si>
  <si>
    <t>Chômage</t>
  </si>
  <si>
    <t>GF1006</t>
  </si>
  <si>
    <t>Logement</t>
  </si>
  <si>
    <t>GF1007</t>
  </si>
  <si>
    <t>Exclusion sociale n.c.a.</t>
  </si>
  <si>
    <t>GF1008</t>
  </si>
  <si>
    <t>R &amp; D dans le domaine de la protection sociale</t>
  </si>
  <si>
    <t>GF1009</t>
  </si>
  <si>
    <t>Protection sociale n.c.a.</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</si>
  <si>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</si>
  <si>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</si>
  <si>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</si>
  <si>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</si>
  <si>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</si>
  <si>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</si>
  <si>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</si>
  <si>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</si>
  <si>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</si>
  <si>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</si>
  <si>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</si>
  <si>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</si>
  <si>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</si>
  <si>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</si>
  <si>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</si>
  <si>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</si>
  <si>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</si>
  <si>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</si>
  <si>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</si>
  <si>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</si>
  <si>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</si>
  <si>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</si>
  <si>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</si>
  <si>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</si>
  <si>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</si>
  <si>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</si>
  <si>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TIME</t>
  </si>
  <si>
    <t>2021</t>
  </si>
  <si>
    <t>2022</t>
  </si>
  <si>
    <t>2020 BIS</t>
  </si>
  <si>
    <t>2019 BIS</t>
  </si>
  <si>
    <t>PIB</t>
  </si>
  <si>
    <t>Famille</t>
  </si>
  <si>
    <t>Sécurité</t>
  </si>
  <si>
    <t>Justice</t>
  </si>
  <si>
    <t>Charge de la dette</t>
  </si>
  <si>
    <t>Remboursements et dégrèvements</t>
  </si>
  <si>
    <t>Avances aux collectivités territoriales</t>
  </si>
  <si>
    <t>Enseignement scolaire</t>
  </si>
  <si>
    <t>Enseignement scolaire public du second degré</t>
  </si>
  <si>
    <t>Enseignement scolaire public du premier degré</t>
  </si>
  <si>
    <t>Enseignement privé du premier et du second degrés</t>
  </si>
  <si>
    <t>Vie de l'élève</t>
  </si>
  <si>
    <t>Soutien de la politique de l'éducation nationale</t>
  </si>
  <si>
    <t>Enseignement technique agricole</t>
  </si>
  <si>
    <t>Pensions</t>
  </si>
  <si>
    <t>Plan d'urgence face à la crise sanitaire</t>
  </si>
  <si>
    <t>Prise en charge du dispositif exceptionnel de chômage partiel à la suite de la crise sanitaire</t>
  </si>
  <si>
    <t>Fonds de solidarité pour les entreprises à la suite de la crise sanitaire</t>
  </si>
  <si>
    <t>Renforcement exceptionnel des participations financières de l'État dans le cadre de la crise sanitaire</t>
  </si>
  <si>
    <t>Compensation à la sécurité sociale des allègements de prélèvements pour les entreprises les plus touchées par la crise sanitaire</t>
  </si>
  <si>
    <t>Matériels sanitaires pour faire face à la crise du Covid-19</t>
  </si>
  <si>
    <t>Engagements financiers de l'État</t>
  </si>
  <si>
    <t>Solidarité, insertion et égalité des chances</t>
  </si>
  <si>
    <t>Inclusion sociale et protection des personnes</t>
  </si>
  <si>
    <t>Handicap et dépendance</t>
  </si>
  <si>
    <t>Conduite et soutien des politiques sanitaires, sociales, du sport, de la jeunesse et de la vie associative</t>
  </si>
  <si>
    <t>Conduite et soutien des politiques sanitaires et sociales</t>
  </si>
  <si>
    <t>Égalité entre les femmes et les hommes</t>
  </si>
  <si>
    <t>Recherche et enseignement supérieur</t>
  </si>
  <si>
    <t>Formations supérieures et recherche universitaire</t>
  </si>
  <si>
    <t>Recherches scientifiques et technologiques pluridisciplinaires</t>
  </si>
  <si>
    <t>Vie étudiante</t>
  </si>
  <si>
    <t>Recherche spatiale</t>
  </si>
  <si>
    <t>Recherche dans les domaines de l'énergie, du développement et de la mobilité durables</t>
  </si>
  <si>
    <t>Recherche et enseignement supérieur en matière économique et industrielle</t>
  </si>
  <si>
    <t>Enseignement supérieur et recherche agricoles</t>
  </si>
  <si>
    <t>Recherche duale (civile et militaire)</t>
  </si>
  <si>
    <t>Recherche culturelle et culture scientifique</t>
  </si>
  <si>
    <t>Plan de relance</t>
  </si>
  <si>
    <t>Cohésion</t>
  </si>
  <si>
    <t>Écologie</t>
  </si>
  <si>
    <t>Compétitivité</t>
  </si>
  <si>
    <t>Sécurités</t>
  </si>
  <si>
    <t>Cohésion des territoires</t>
  </si>
  <si>
    <t>Aide à l'accès au logement</t>
  </si>
  <si>
    <t>Hébergement, parcours vers le logement et insertion des personnes vulnérables</t>
  </si>
  <si>
    <t>Urbanisme, territoires et amélioration de l'habitat</t>
  </si>
  <si>
    <t>Politique de la ville</t>
  </si>
  <si>
    <t>Impulsion et coordination de la politique d'aménagement du territoire</t>
  </si>
  <si>
    <t>Interventions territoriales de l'État</t>
  </si>
  <si>
    <t>Écologie, développement et mobilité durables</t>
  </si>
  <si>
    <t>Infrastructures et services de transports</t>
  </si>
  <si>
    <t>Service public de l'énergie</t>
  </si>
  <si>
    <t>Conduite et pilotage des politiques de l'écologie, du développement et de la mobilité durables</t>
  </si>
  <si>
    <t>Énergie, climat et après-mines</t>
  </si>
  <si>
    <t>Prévention des risques</t>
  </si>
  <si>
    <t>Expertise, économie sociale et solidaire, information géographique et météorologie</t>
  </si>
  <si>
    <t>Expertise, information géographique et météorologie</t>
  </si>
  <si>
    <t>Charge de la dette de SNCF Réseau reprise par l'État (crédits évaluatifs)</t>
  </si>
  <si>
    <t>Paysages, eau et biodiversité</t>
  </si>
  <si>
    <t>Affaires maritimes</t>
  </si>
  <si>
    <t>Travail et emploi</t>
  </si>
  <si>
    <t>Participations financières de l'État</t>
  </si>
  <si>
    <t>Avances à divers services de l'État ou organismes gérant des services publics</t>
  </si>
  <si>
    <t>Avances à l'Agence de services et de paiement, au titre du préfinancement des aides communautaires de la politique agricole commune</t>
  </si>
  <si>
    <t>Avances à des services de l'État</t>
  </si>
  <si>
    <t>Avances remboursables destinées à soutenir Île-de-France Mobilités à la suite des conséquences de l'épidémie de la covid-19</t>
  </si>
  <si>
    <t>Avances aux exploitants d'aéroports touchés par la crise de covid-19 au titre des dépenses de sûreté-sécurité</t>
  </si>
  <si>
    <t>Avances à des organismes distincts de l'État et gérant des services publics</t>
  </si>
  <si>
    <t>Avances à l'Office national d'indemnisation des accidents médicaux, des affections iatrogènes et des infections nosocomiales (ONIAM) au titre de l'indemnisation des victimes du Benfluorex</t>
  </si>
  <si>
    <t>Gestion des finances publiques et des ressources humaines</t>
  </si>
  <si>
    <t>Justice judiciaire</t>
  </si>
  <si>
    <t>Protection judiciaire de la jeunesse</t>
  </si>
  <si>
    <t>Conduite et pilotage de la politique de la justice</t>
  </si>
  <si>
    <t>Accès au droit et à la justice</t>
  </si>
  <si>
    <t>Conseil supérieur de la magistrature</t>
  </si>
  <si>
    <t>Transition énergétique</t>
  </si>
  <si>
    <t>Régimes sociaux et de retraite</t>
  </si>
  <si>
    <t>Administration générale et territoriale de l'État</t>
  </si>
  <si>
    <t>Avances à l'audiovisuel public</t>
  </si>
  <si>
    <t>Relations avec les collectivités territoriales</t>
  </si>
  <si>
    <t>Aide publique au développement</t>
  </si>
  <si>
    <t>Culture</t>
  </si>
  <si>
    <t>Action extérieure de l'État</t>
  </si>
  <si>
    <t>Économie</t>
  </si>
  <si>
    <t>Développement des entreprises et régulations</t>
  </si>
  <si>
    <t>Statistiques et études économiques</t>
  </si>
  <si>
    <t>Stratégie économique et fiscale</t>
  </si>
  <si>
    <t>Stratégies économiques</t>
  </si>
  <si>
    <t>Plan France Très haut débit</t>
  </si>
  <si>
    <t>Financement des opérations patrimoniales envisagées en 2021 et en 2022 sur le compte d’affectation spéciale « Participations financières de l’État »</t>
  </si>
  <si>
    <t>Agriculture, alimentation, forêt et affaires rurales</t>
  </si>
  <si>
    <t>Outre-mer</t>
  </si>
  <si>
    <t>Anciens combattants, mémoire et liens avec la nation</t>
  </si>
  <si>
    <t>Anciens combattants, mémoire et liens avec la Nation</t>
  </si>
  <si>
    <t>Contrôle et exploitation aériens</t>
  </si>
  <si>
    <t>Investissements d'avenir</t>
  </si>
  <si>
    <t>Immigration, asile et intégration</t>
  </si>
  <si>
    <t>Contrôle de la circulation et du stationnement routiers</t>
  </si>
  <si>
    <t>Sport, jeunesse et vie associative</t>
  </si>
  <si>
    <t>Médias, livre et industries culturelles</t>
  </si>
  <si>
    <t>Pouvoirs publics</t>
  </si>
  <si>
    <t>Prêts et avances à des particuliers ou à des organismes privés</t>
  </si>
  <si>
    <t>Direction de l'action du Gouvernement</t>
  </si>
  <si>
    <t>Conseil et contrôle de l'État</t>
  </si>
  <si>
    <t>Prêts à des États étrangers</t>
  </si>
  <si>
    <t>Gestion du patrimoine immobilier de l'État</t>
  </si>
  <si>
    <t>Financement des aides aux collectivités pour l'électrification rurale</t>
  </si>
  <si>
    <t>Services nationaux de transport conventionnés de voyageurs</t>
  </si>
  <si>
    <t>Participation de la France au désendettement de la Grèce</t>
  </si>
  <si>
    <t>Publications officielles et information administrative</t>
  </si>
  <si>
    <t>Développement agricole et rural</t>
  </si>
  <si>
    <t>Action et transformation publiques</t>
  </si>
  <si>
    <t>Transformation et fonction publiques</t>
  </si>
  <si>
    <t>Financement national du développement et de la modernisation de l'apprentissage</t>
  </si>
  <si>
    <t>Aides à l'acquisition de véhicules propres</t>
  </si>
  <si>
    <t>Crédits non répartis</t>
  </si>
  <si>
    <t>Pensions civiles et militaires de retraite et allocations temporaires d'invalidité</t>
  </si>
  <si>
    <t>Ouvriers des établissements industriels de l'État</t>
  </si>
  <si>
    <t>Pensions militaires d'invalidité et des victimes de guerre et autres pensions</t>
  </si>
  <si>
    <t>Soutien de la politique de la défense</t>
  </si>
  <si>
    <t>Équipement des forces</t>
  </si>
  <si>
    <t>Préparation et emploi des forces</t>
  </si>
  <si>
    <t>Environnement et prospective de la politique de défense</t>
  </si>
  <si>
    <t>Charge de la dette et trésorerie de l'État (crédits évaluatifs)</t>
  </si>
  <si>
    <t>Fonds de soutien relatif aux prêts et contrats financiers structurés à risque</t>
  </si>
  <si>
    <t>Dotation du Mécanisme européen de stabilité</t>
  </si>
  <si>
    <t>Appels en garantie de l'État (crédits évaluatifs)</t>
  </si>
  <si>
    <t>Épargne</t>
  </si>
  <si>
    <t>Amortissement de la dette de l’État liée à la covid-19</t>
  </si>
  <si>
    <t>Police nationale</t>
  </si>
  <si>
    <t>Gendarmerie nationale</t>
  </si>
  <si>
    <t>Sécurité civile</t>
  </si>
  <si>
    <t>Sécurité et éducation routières</t>
  </si>
  <si>
    <t>Accompagnement des mutations économiques et développement de l'emploi</t>
  </si>
  <si>
    <t>Accès et retour à l'emploi</t>
  </si>
  <si>
    <t>Conception, gestion et évaluation des politiques de l'emploi et du travail</t>
  </si>
  <si>
    <t>Amélioration de la qualité de l'emploi et des relations du travail</t>
  </si>
  <si>
    <t>Opérations en capital intéressant les participations financières de l'État</t>
  </si>
  <si>
    <t>Désendettement de l'État et d'établissements publics de l'État</t>
  </si>
  <si>
    <t>Gestion fiscale et financière de l'État et du secteur public local</t>
  </si>
  <si>
    <t>Facilitation et sécurisation des échanges</t>
  </si>
  <si>
    <t>Conduite et pilotage des politiques économiques et financières</t>
  </si>
  <si>
    <t>Fonction publique</t>
  </si>
  <si>
    <t>Écologie*</t>
  </si>
  <si>
    <t>Enseignement privé du premier et du second degrés*</t>
  </si>
  <si>
    <t>Assurance-Maladie et Santé</t>
  </si>
  <si>
    <t>Croissance dans la répartition Cofog fournie par Eurostat</t>
  </si>
  <si>
    <t>Retraites</t>
  </si>
  <si>
    <t>Soutien à l'économie</t>
  </si>
  <si>
    <t>Autres solidarités</t>
  </si>
  <si>
    <t>Services Généraux</t>
  </si>
  <si>
    <t>Opérations en capital intéressant les participations financières de l'État**</t>
  </si>
  <si>
    <t>Culture et Sport</t>
  </si>
  <si>
    <t>Environnement et Energie</t>
  </si>
  <si>
    <t>Transports et Urbanisme</t>
  </si>
  <si>
    <t>Éducation</t>
  </si>
  <si>
    <t>Environnement et Énergie</t>
  </si>
  <si>
    <t>Différence entre 2022 et 1995</t>
  </si>
  <si>
    <t>% croissance du PIB</t>
  </si>
  <si>
    <t xml:space="preserve">% Dépenses Publiques vs. PIB </t>
  </si>
  <si>
    <t>% croissance des dépenses publiques</t>
  </si>
  <si>
    <t>CHECK</t>
  </si>
  <si>
    <t>DONNEES EUROSTAT</t>
  </si>
  <si>
    <t xml:space="preserve">ESTIMATIONS </t>
  </si>
  <si>
    <t>Nomenclature</t>
  </si>
  <si>
    <t>Programme</t>
  </si>
  <si>
    <t>Mission</t>
  </si>
  <si>
    <t>2022 PLF</t>
  </si>
  <si>
    <t>2022 PLF2</t>
  </si>
  <si>
    <t>TOTAL Calculé</t>
  </si>
  <si>
    <t>Poids moyen</t>
  </si>
  <si>
    <t>2017-2021</t>
  </si>
  <si>
    <t>Croissance des dépenses %</t>
  </si>
  <si>
    <t>TOTAL Données</t>
  </si>
  <si>
    <t>APUL</t>
  </si>
  <si>
    <t>Secteurs</t>
  </si>
  <si>
    <t>Identification</t>
  </si>
  <si>
    <t>Total APU</t>
  </si>
  <si>
    <t>APU 2022</t>
  </si>
  <si>
    <t>APUC 2022</t>
  </si>
  <si>
    <t>APUL 2022</t>
  </si>
  <si>
    <t>ASS 2022</t>
  </si>
  <si>
    <t>APU 1995</t>
  </si>
  <si>
    <t>Différence entre 1995 et 2022</t>
  </si>
  <si>
    <t>Secteur</t>
  </si>
  <si>
    <t xml:space="preserve">Sous-Secteur </t>
  </si>
  <si>
    <t>Total APU  1995</t>
  </si>
  <si>
    <t>Total APU 2022</t>
  </si>
  <si>
    <t>APUC
(sur 1000€)</t>
  </si>
  <si>
    <t>APU
(sur 1000€)</t>
  </si>
  <si>
    <t>Administration publiques</t>
  </si>
  <si>
    <t>Sous-Secteur / Programme</t>
  </si>
  <si>
    <t>APUC</t>
  </si>
  <si>
    <t>ASS</t>
  </si>
  <si>
    <t>Total 2022 (/1000)</t>
  </si>
  <si>
    <t>APU</t>
  </si>
  <si>
    <t>Répartition Graphique</t>
  </si>
  <si>
    <t>Répartition 1000€</t>
  </si>
  <si>
    <t>Répartition Budget</t>
  </si>
  <si>
    <t>Commentaires</t>
  </si>
  <si>
    <t>APUC 
(en milliards €)</t>
  </si>
  <si>
    <t>TOTAL RESF 2022</t>
  </si>
  <si>
    <t>Montant de dépenses publiques par mois par habitant en 2022</t>
  </si>
  <si>
    <t>APUC - Avances, au titre du préfinancement de la PAC***</t>
  </si>
  <si>
    <t>APUC - Financement des « Participations financières de l’État »***</t>
  </si>
  <si>
    <t>APUC - Conduite des politiques de la mobilité durable***</t>
  </si>
  <si>
    <t>APUL - Fonctionnement des organes exécutifs et législatifs***</t>
  </si>
  <si>
    <t>APUC - Recherche dans le domaines de l'énergie***</t>
  </si>
  <si>
    <t>Toutes ces données sont issues du ministère du budget : https://www.budget.gouv.fr/budget-etat/mission?annee=124&amp;loi_finances=50&amp;type_budget=all&amp;type_donnee_budget=cp&amp;op=Valider</t>
  </si>
  <si>
    <t>Nous avons utilisé les CP (Crédits de Paiement), ainsi que le PLR (Projet de Loi de Règlement) quand cela était possible, et le PLF (Projet de Loi de Finance) qui n'est pas définitif pour les années 2021 et 2022.</t>
  </si>
  <si>
    <t>Nous avons pris en compte la version du PLF (Projet de Loi de Finance) de 2022 votée en août 2022 qui n'était pas encore prise en compte sur le site du Ministère du Budget, mais qui était disponible</t>
  </si>
  <si>
    <t>Ainsi, à partir de "Régimes sociaux et de retraite" on obtient donc dans la colonne des programmes le nom global de la mission.</t>
  </si>
  <si>
    <t>Dans la révision du PLF 2022, il semblerait que soient inclus deux fois un ajout de 12732000000, une fois dans la mission "Économie", et une fois dans la mission "Participations financières de l’État".</t>
  </si>
  <si>
    <t>De même pour l'amortissement de la dette liée au Covid-19 qui semble être comptabilisée dans deux programmes : "Amortissement de la dette de l’État liée à la covid-19",</t>
  </si>
  <si>
    <t>et "Désendettement de l'État et d'établissements publics de l'État". Nous ne l'avons donc pris en compte que dans le programme "Amortissement de la dette de l’État liée à la covid-19".</t>
  </si>
  <si>
    <t xml:space="preserve">Enfin, on notera qu'il y a deux programmes qui appartenaient entièrement à deux différents cofog, j'ai décidé de les attribuer à un des deux arbitrairement et ils sont marqués d'un "*". </t>
  </si>
  <si>
    <t>Mais cela est sans conséquence sur le montant accordé à chaque grand secteur car les deux différents cofog appartiennent dans les deux cas au même grand secteur.</t>
  </si>
  <si>
    <t>Enfin, pour les dépenses liées au chômage, celles-ci ne sont pas mentionnées dans la LFSS, nous nous sommes donc basés sur les chiffres de l'UNEDIC</t>
  </si>
  <si>
    <t>Les estimations pour les années 2021 et 2022 ont été calculées en utilisant les taux de croissance des principaux postes de dépense prévus dans la LFSS 2022.</t>
  </si>
  <si>
    <t>Pour connaître les dépenses des Administrations de Sécurité Sociale, nous avons fait une distinction entre les dépenses à proprement parler d'aides sociales,</t>
  </si>
  <si>
    <t>comme les dépenses d'Assurance-Maladie et Santé, les dépenses de Famille, et les dépenses de Vieillesse, et les autres dépenses.</t>
  </si>
  <si>
    <t>Pour les dépenses annexes nous les avons toutes conservées stables par rapport à 2020 (ces dépenses évoluent d'ailleurs assez peu dans le temps), à l'exception des dépenses</t>
  </si>
  <si>
    <t>de tutelle de l'économie (GF0401), qui sont sans doute liées à la crise Covid, et que nous avons donc diminuées en 2021 et réduites à 0 en 2022.</t>
  </si>
  <si>
    <t>malheureusement, la LFSS ne prend pas exactement la même chose en compte que les ASSO (elle omet notamment les montants versés pour la retraite complémentaire,</t>
  </si>
  <si>
    <t>Pour les dépenses sociales à proprement parler, nous avons voulu suivre les indications du LFSS 2022 (Loi de Financement de la Sécurité Sociale 2022),</t>
  </si>
  <si>
    <t xml:space="preserve">Nous n'obtenons donc pas les mêmes chiffres pour des catégories comme la vieillesse, mais pour autant on remarque que le taux de croissances d'une année sur l'autre </t>
  </si>
  <si>
    <t>des différents secteurs de dépenses dans la LFSS, est très proche du taux de croissance constaté pour les données Eurostat.</t>
  </si>
  <si>
    <t>Vous trouverez ci-dessous l'analyse depuis 2016 des taux de croissance des dépenses pour les trois secteurs principaux (Assurance-Maladie et Santé, Famille, et Vieillesse).</t>
  </si>
  <si>
    <t xml:space="preserve">Ainsi, nous avons utilisé les taux de croissance des dépenses prévus dans la LFSS 2022 pour chacun des 3 secteurs principaux, afin d'estimer le montant des dépenses </t>
  </si>
  <si>
    <t>en termes de données Eurostat (cofog) pour ces mêmes secteurs en 2021 et 2022.</t>
  </si>
  <si>
    <t>Les données pour 2021 et 2022 ont été calculées en utilisant d'une part le poids moyen de chaque sous-secteur cofog sur la période 2017 et 2020 ;</t>
  </si>
  <si>
    <t>et d'autre part en rapportant le poids de chaque sous-secteur au montant de dépenses des APUL prévu dans le Rapport Économique Social et Financier 2022.</t>
  </si>
  <si>
    <t>Toutes les données jusqu'en 2020 sont issues d'Eurostat. Les données pour 2019 BIS, 2020 BIS, 2021 et 2022 sont issues de la répartition faite en feuille Budget.</t>
  </si>
  <si>
    <t>On trouve des dépenses quasi systématiquement plus basses en colonne 2019 BIS qu'en colonne 2019, mais pourtant des montants similaires une fois sommés dans les APU.</t>
  </si>
  <si>
    <t>Ceci est dû au fait qu'Eurostat comptent parfois doublement des dépenses entre les trois types d'administration, mais ne les comptent qu'une fois quand ils calculent le montant</t>
  </si>
  <si>
    <t>total de dépenses d'APU. C'est pourquoi la somme des dépenses des trois types d'administration est toujours supérieure au total des APU dans les données Eurostat.</t>
  </si>
  <si>
    <t>Ainsi, il n'est pas incohérent de trouver des montants sensiblement plus faibles que ceux d'Eurostat ici.</t>
  </si>
  <si>
    <t>Croissance des dépenses par secteur dans la LFSS (Loi de Financement de la Sécurité Sociale Oct-2021)</t>
  </si>
  <si>
    <t>Toutes les données jusqu'en 2020 sont issues d'Eurostat.</t>
  </si>
  <si>
    <t>Les données pour 2019 BIS, 2020 BIS, 2021 et 2022 sont la somme des dépenses des mêmes colonnes des feuilles APUC, APUL et ASS.</t>
  </si>
  <si>
    <t>Nous avons décidé de diviser les 69 sous-secteurs cofog en 15 grands sous-secteurs aussi homogènes que possibles et dont les noms seraient compréhensibles par tous.</t>
  </si>
  <si>
    <t>Les calculs ci-dessous utilisent les résultats obtenus pour 2022 dans les feuilles ASS, APUL, APUC et APU.</t>
  </si>
  <si>
    <t>Ils permettent d'analyser la répartition de 1000€ de dépenses publiques entre secteurs et entre administrations en France en 2022.</t>
  </si>
  <si>
    <t>Total APUC (sur 1000€)</t>
  </si>
  <si>
    <t>Total APU (sur 1000€)</t>
  </si>
  <si>
    <t>Total APUL (sur 1000€)</t>
  </si>
  <si>
    <t>Total ASS (sur 1000€)</t>
  </si>
  <si>
    <t>On trouve aussi sur cette feuille la justification du montant de 1815€ de dépenses publiques par habitant par mois en 2021.</t>
  </si>
  <si>
    <t>Bien entendu, la répartition des sous-secteurs cofog d'Eurostat décidée en feuille répartition 1000€ a été respectée ici.</t>
  </si>
  <si>
    <t>Ici, on peut voir la façon dont les dépenses de la feuille budget sont réparties entre les 15 grands secteurs. Les données en colonne APUC (en milliards €) sont tirées directement de la feuille Budget.</t>
  </si>
  <si>
    <t>pour marquer la différence avec les dépenses des APUL et des ASS qui elles sont intrinséquement rattachées aux sous-secteurs cofog.</t>
  </si>
  <si>
    <t>ainsi que les dépenses de la feuille Répartition Budget.</t>
  </si>
  <si>
    <t>Les programmes compris dans des missions qui représentaient moins de 5€ sur 1000€ pour l'année 2022 ne sont pas explicités, par cohérence ils ne le sont pas non plus pour les annéees précédentes.</t>
  </si>
  <si>
    <t>En outre, nous n'avons pas pris en compte la loi de finance rectificative pour l'année 2021 (qui rajoutait un peu plus de 20 milliards d'euros de CP), car nous n'utilisons pas les données pour cette année là ;</t>
  </si>
  <si>
    <t>mais pour avoir des résultats probents, il aurait fallu ajouter les CP débloqués par la loi rectificative de juillet 2021 consultable sur cette page : https://www.legifrance.gouv.fr/jorf/id/JORFTEXT000043805899.</t>
  </si>
  <si>
    <t>Montant de dépenses publiques total en milions en 2022</t>
  </si>
  <si>
    <t>Population en millions d'habitants en 2022 selon l'INSEE</t>
  </si>
  <si>
    <t xml:space="preserve">% croissance </t>
  </si>
  <si>
    <t>Ces données sont celles qui figurent sur le site internet. Elles reprennent notamment les dépenses détaillées par secteur des APUL et des ASS,</t>
  </si>
  <si>
    <t>Les dépenses des APUC tirées du budget ne sont pas assignées ici à une nomenclature précise, mais seulement à un grand secteur</t>
  </si>
  <si>
    <t>Les noms de 5 sous-secteurs ou programmes ont été raccourcis pour assurer la bonne lisibilité des informations présentées sur les Treemap, vous les trouverez ci-dessous :</t>
  </si>
  <si>
    <t>Cette division de tous les sous-secteurs cofog en 15 grands secteurs est ensuite utilisée pour comparer tous les pays entre eux de façon homogène.</t>
  </si>
  <si>
    <t>Toutes les données jusqu'en 2020 sont issues d'Eurostat. Les données pour 2019 BIS et 2020 BIS sont copiées-collées (à des erreurs d'arrondis près) aux données d'Eurostat.</t>
  </si>
  <si>
    <t>et intègre les retraites versées aux fonctionnaires civils et militaires). Plus de détails sont disponibles sur ce sujet en partie FAQ.</t>
  </si>
  <si>
    <t>qui correspondent bien, historiquement parlant, aux dépenses mentionnées par Eurostat dans le secteur chômage.</t>
  </si>
  <si>
    <t>sur le site de légifrance (c'est ce à quoi correspondent les colonnes "PLF2" et "Version de loi de finance rectificative promulguée") : https://www.legifrance.gouv.fr/jorf/id/JORFTEXT000046186661</t>
  </si>
  <si>
    <t>Il est probable que cet ajout ne soit pas à prendre en compte deux fois, nous ne l'avons donc pas ajouté à la mission "Participations financières".</t>
  </si>
  <si>
    <t>Montant de déficit public total en milions en 2022</t>
  </si>
  <si>
    <t>Montant de déficit public par mois par habitant en 2022</t>
  </si>
  <si>
    <t>Déficit public en pourcentage du PIB en 2022 selon le Ministère de l'Économie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</si>
</sst>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0"/>
    <numFmt numFmtId="167" formatCode="0.0%"/>
    <numFmt numFmtId="168" formatCode="#,##0;\-#,##0;\-"/>
    <numFmt numFmtId="169" formatCode="#,##0.0;\-#,##0.0;\-"/>
    <numFmt numFmtId="170" formatCode="0.0%;\(0.0\)%"/>
  </numFmts>
  <fonts count="42" x14ac:knownFonts="1">
    <font>
      <sz val="11"/>
      <color indexed="8"/>
      <name val="Calibri"/>
      <family val="2"/>
      <scheme val="minor"/>
    </font>
    <font>
      <sz val="12"/>
      <color theme="1"/>
      <name val="Calibri"/>
      <family val="2"/>
      <scheme val="minor"/>
    </font>
    <font>
      <sz val="10"/>
      <color theme="1"/>
      <name val="Arial"/>
      <family val="2"/>
    </font>
    <font>
      <sz val="10"/>
      <color theme="1"/>
      <name val="Arial"/>
      <family val="2"/>
    </font>
    <font>
      <sz val="10"/>
      <color theme="1"/>
      <name val="Arial"/>
      <family val="2"/>
    </font>
    <font>
      <sz val="12"/>
      <color theme="1"/>
      <name val="Calibri"/>
      <family val="2"/>
      <scheme val="minor"/>
    </font>
    <font>
      <sz val="11"/>
      <color indexed="8"/>
      <name val="Calibri"/>
      <family val="2"/>
      <scheme val="minor"/>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indexed="8"/>
      <name val="Arial"/>
      <family val="2"/>
    </font>
    <font>
      <sz val="10"/>
      <color indexed="8"/>
      <name val="Arial"/>
      <family val="2"/>
    </font>
    <font>
      <sz val="10"/>
      <name val="Arial"/>
      <family val="2"/>
    </font>
    <font>
      <b/>
      <sz val="10"/>
      <name val="Arial"/>
      <family val="2"/>
    </font>
    <font>
      <b/>
      <sz val="10"/>
      <color indexed="9"/>
      <name val="Arial"/>
      <family val="2"/>
    </font>
    <font>
      <sz val="10"/>
      <color rgb="FF0000FF"/>
      <name val="Arial"/>
      <family val="2"/>
    </font>
    <font>
      <i/>
      <sz val="10"/>
      <name val="Arial"/>
      <family val="2"/>
    </font>
    <font>
      <i/>
      <sz val="10"/>
      <color indexed="9"/>
      <name val="Arial"/>
      <family val="2"/>
    </font>
    <font>
      <i/>
      <sz val="10"/>
      <color indexed="8"/>
      <name val="Arial"/>
      <family val="2"/>
    </font>
    <font>
      <i/>
      <sz val="10"/>
      <color rgb="FF0000FF"/>
      <name val="Arial"/>
      <family val="2"/>
    </font>
    <font>
      <sz val="10"/>
      <color rgb="FF009B00"/>
      <name val="Arial"/>
      <family val="2"/>
    </font>
    <font>
      <b/>
      <sz val="10"/>
      <color indexed="8"/>
      <name val="Arial"/>
      <family val="2"/>
    </font>
    <font>
      <b/>
      <sz val="10"/>
      <color rgb="FF0000FF"/>
      <name val="Arial"/>
      <family val="2"/>
    </font>
    <font>
      <i/>
      <sz val="11"/>
      <color indexed="8"/>
      <name val="Arial"/>
      <family val="2"/>
    </font>
    <font>
      <b/>
      <sz val="11"/>
      <color indexed="8"/>
      <name val="Arial"/>
      <family val="2"/>
    </font>
    <font>
      <sz val="10"/>
      <color indexed="8"/>
      <name val="Calibri"/>
      <family val="2"/>
      <scheme val="minor"/>
    </font>
    <font>
      <b/>
      <sz val="10"/>
      <color theme="1"/>
      <name val="Arial"/>
      <family val="2"/>
    </font>
    <font>
      <b/>
      <sz val="11"/>
      <color indexed="8"/>
      <name val="Calibri"/>
      <family val="2"/>
      <scheme val="minor"/>
    </font>
    <font>
      <sz val="11"/>
      <color rgb="FF0000FF"/>
      <name val="Calibri"/>
      <family val="2"/>
      <scheme val="minor"/>
    </font>
    <font>
      <b/>
      <i/>
      <sz val="10"/>
      <color indexed="8"/>
      <name val="Arial"/>
      <family val="2"/>
    </font>
    <font>
      <b/>
      <sz val="10"/>
      <color rgb="FF009B00"/>
      <name val="Arial"/>
      <family val="2"/>
    </font>
    <font>
      <i/>
      <sz val="9"/>
      <color rgb="FFC00000"/>
      <name val="Arial"/>
      <family val="2"/>
    </font>
    <font>
      <b/>
      <sz val="20"/>
      <color indexed="8"/>
      <name val="Arial"/>
      <family val="2"/>
    </font>
    <font>
      <b/>
      <sz val="10"/>
      <color indexed="8"/>
      <name val="Calibri"/>
      <family val="2"/>
      <scheme val="minor"/>
    </font>
    <font>
      <b/>
      <i/>
      <sz val="11"/>
      <color indexed="8"/>
      <name val="Arial"/>
      <family val="2"/>
    </font>
    <font>
      <b/>
      <sz val="9"/>
      <color rgb="FF000000"/>
      <name val="Tahoma"/>
      <family val="2"/>
    </font>
    <font>
      <sz val="9"/>
      <color rgb="FF000000"/>
      <name val="Tahoma"/>
      <family val="2"/>
    </font>
    <font>
      <i/>
      <sz val="11"/>
      <color indexed="8"/>
      <name val="Calibri"/>
      <family val="2"/>
      <scheme val="minor"/>
    </font>
    <font>
      <i/>
      <sz val="10"/>
      <color indexed="8"/>
      <name val="Calibri"/>
      <family val="2"/>
      <scheme val="minor"/>
    </font>
    <font>
      <i/>
      <sz val="10"/>
      <color rgb="FF009B00"/>
      <name val="Arial"/>
      <family val="2"/>
    </font>
  </fonts>
  <fills count="7">
    <fill>
      <patternFill patternType="none"/>
    </fill>
    <fill>
      <patternFill patternType="gray125"/>
    </fill>
    <fill>
      <patternFill patternType="solid">
        <fgColor rgb="FF4669AF"/>
      </patternFill>
    </fill>
    <fill>
      <patternFill patternType="solid">
        <fgColor rgb="FFFFFFCC"/>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s>
  <borders count="16">
    <border>
      <left/>
      <right/>
      <top/>
      <bottom/>
      <diagonal/>
    </border>
    <border>
      <left style="thin">
        <color rgb="FFB0B0B0"/>
      </left>
      <right/>
      <top style="thin">
        <color rgb="FFB0B0B0"/>
      </top>
      <bottom style="thin">
        <color rgb="FFB0B0B0"/>
      </bottom>
      <diagonal/>
    </border>
    <border>
      <left/>
      <right/>
      <top style="thin">
        <color indexed="64"/>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6" fillId="0" borderId="0"/>
    <xf numFmtId="0" fontId="5" fillId="0" borderId="0"/>
    <xf numFmtId="9" fontId="6" fillId="0" borderId="0" applyFont="0" applyFill="0" applyBorder="0" applyAlignment="0" applyProtection="0"/>
  </cellStyleXfs>
  <cellXfs count="166">
    <xf numFmtId="0" fontId="0" fillId="0" borderId="0" xfId="0"/>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applyAlignment="1">
      <alignment horizontal="left" vertical="center"/>
    </xf>
    <xf numFmtId="165" fontId="13" fillId="0" borderId="0" xfId="0" applyNumberFormat="1" applyFont="1"/>
    <xf numFmtId="0" fontId="16" fillId="2" borderId="1" xfId="0" applyFont="1" applyFill="1" applyBorder="1" applyAlignment="1">
      <alignment horizontal="right" vertical="center"/>
    </xf>
    <xf numFmtId="0" fontId="16" fillId="0" borderId="0" xfId="0" applyFont="1" applyAlignment="1">
      <alignment horizontal="left" vertical="center"/>
    </xf>
    <xf numFmtId="0" fontId="16" fillId="2" borderId="0" xfId="0" applyFont="1" applyFill="1" applyAlignment="1">
      <alignment horizontal="left" vertical="center"/>
    </xf>
    <xf numFmtId="0" fontId="16" fillId="2" borderId="0" xfId="0" applyFont="1" applyFill="1" applyAlignment="1">
      <alignment horizontal="right" vertical="center"/>
    </xf>
    <xf numFmtId="0" fontId="16" fillId="0" borderId="0" xfId="0" applyFont="1" applyAlignment="1">
      <alignment horizontal="right" vertical="center"/>
    </xf>
    <xf numFmtId="0" fontId="16" fillId="0" borderId="0" xfId="0" applyFont="1" applyAlignment="1">
      <alignment horizontal="centerContinuous" vertical="center"/>
    </xf>
    <xf numFmtId="0" fontId="13" fillId="0" borderId="0" xfId="0" applyFont="1" applyAlignment="1">
      <alignment horizontal="right"/>
    </xf>
    <xf numFmtId="165" fontId="14" fillId="0" borderId="0" xfId="1" applyNumberFormat="1" applyFont="1" applyAlignment="1">
      <alignment horizontal="right" vertical="center" shrinkToFit="1"/>
    </xf>
    <xf numFmtId="165" fontId="17" fillId="3" borderId="3" xfId="1" applyNumberFormat="1" applyFont="1" applyFill="1" applyBorder="1" applyAlignment="1">
      <alignment horizontal="right" vertical="center" shrinkToFit="1"/>
    </xf>
    <xf numFmtId="0" fontId="19" fillId="0" borderId="0" xfId="0" applyFont="1" applyAlignment="1">
      <alignment horizontal="right" vertical="center"/>
    </xf>
    <xf numFmtId="0" fontId="19" fillId="0" borderId="0" xfId="0" applyFont="1" applyAlignment="1">
      <alignment horizontal="left" vertical="center"/>
    </xf>
    <xf numFmtId="0" fontId="20" fillId="0" borderId="0" xfId="0" applyFont="1"/>
    <xf numFmtId="165" fontId="21" fillId="0" borderId="0" xfId="1" applyNumberFormat="1" applyFont="1" applyAlignment="1">
      <alignment horizontal="right" vertical="center" shrinkToFit="1"/>
    </xf>
    <xf numFmtId="167" fontId="21" fillId="3" borderId="3" xfId="3" applyNumberFormat="1" applyFont="1" applyFill="1" applyBorder="1" applyAlignment="1">
      <alignment horizontal="right" vertical="center" shrinkToFit="1"/>
    </xf>
    <xf numFmtId="9" fontId="14" fillId="0" borderId="0" xfId="3" applyFont="1" applyFill="1" applyBorder="1" applyAlignment="1">
      <alignment horizontal="right" vertical="center" shrinkToFit="1"/>
    </xf>
    <xf numFmtId="167" fontId="18" fillId="0" borderId="0" xfId="3" applyNumberFormat="1" applyFont="1" applyFill="1" applyBorder="1" applyAlignment="1">
      <alignment horizontal="right" vertical="center" shrinkToFit="1"/>
    </xf>
    <xf numFmtId="165" fontId="14" fillId="0" borderId="0" xfId="0" applyNumberFormat="1" applyFont="1"/>
    <xf numFmtId="0" fontId="14" fillId="0" borderId="0" xfId="0" applyFont="1" applyAlignment="1">
      <alignment horizontal="left" vertical="center" indent="1"/>
    </xf>
    <xf numFmtId="164" fontId="17" fillId="0" borderId="0" xfId="0" applyNumberFormat="1" applyFont="1" applyAlignment="1">
      <alignment horizontal="right" vertical="center" shrinkToFit="1"/>
    </xf>
    <xf numFmtId="3" fontId="17" fillId="0" borderId="0" xfId="0" applyNumberFormat="1" applyFont="1" applyAlignment="1">
      <alignment horizontal="right" vertical="center" shrinkToFit="1"/>
    </xf>
    <xf numFmtId="165" fontId="22" fillId="0" borderId="0" xfId="0" applyNumberFormat="1" applyFont="1" applyAlignment="1">
      <alignment horizontal="right" vertical="center" shrinkToFit="1"/>
    </xf>
    <xf numFmtId="165" fontId="17" fillId="0" borderId="0" xfId="0" applyNumberFormat="1" applyFont="1" applyAlignment="1">
      <alignment horizontal="right" vertical="center" shrinkToFit="1"/>
    </xf>
    <xf numFmtId="0" fontId="15" fillId="4" borderId="4" xfId="0" applyFont="1" applyFill="1" applyBorder="1" applyAlignment="1">
      <alignment horizontal="left" vertical="center"/>
    </xf>
    <xf numFmtId="3" fontId="17" fillId="4" borderId="4" xfId="0" applyNumberFormat="1" applyFont="1" applyFill="1" applyBorder="1" applyAlignment="1">
      <alignment horizontal="right" vertical="center" shrinkToFit="1"/>
    </xf>
    <xf numFmtId="0" fontId="13" fillId="4" borderId="4" xfId="0" applyFont="1" applyFill="1" applyBorder="1"/>
    <xf numFmtId="3" fontId="14" fillId="4" borderId="4" xfId="0" applyNumberFormat="1" applyFont="1" applyFill="1" applyBorder="1" applyAlignment="1">
      <alignment horizontal="right" vertical="center" shrinkToFit="1"/>
    </xf>
    <xf numFmtId="0" fontId="23" fillId="0" borderId="0" xfId="0" applyFont="1"/>
    <xf numFmtId="165" fontId="24" fillId="4" borderId="4" xfId="0" applyNumberFormat="1" applyFont="1" applyFill="1" applyBorder="1" applyAlignment="1">
      <alignment horizontal="right" vertical="center" shrinkToFit="1"/>
    </xf>
    <xf numFmtId="164" fontId="24" fillId="4" borderId="4" xfId="0" applyNumberFormat="1" applyFont="1" applyFill="1" applyBorder="1" applyAlignment="1">
      <alignment horizontal="right" vertical="center" shrinkToFit="1"/>
    </xf>
    <xf numFmtId="3" fontId="24" fillId="4" borderId="4" xfId="0" applyNumberFormat="1" applyFont="1" applyFill="1" applyBorder="1" applyAlignment="1">
      <alignment horizontal="right" vertical="center" shrinkToFit="1"/>
    </xf>
    <xf numFmtId="0" fontId="23" fillId="4" borderId="4" xfId="0" applyFont="1" applyFill="1" applyBorder="1"/>
    <xf numFmtId="3" fontId="15" fillId="4" borderId="4" xfId="0" applyNumberFormat="1" applyFont="1" applyFill="1" applyBorder="1"/>
    <xf numFmtId="0" fontId="14" fillId="0" borderId="0" xfId="0" applyFont="1" applyAlignment="1">
      <alignment horizontal="right" vertical="center"/>
    </xf>
    <xf numFmtId="0" fontId="15" fillId="0" borderId="4" xfId="0" applyFont="1" applyBorder="1" applyAlignment="1">
      <alignment horizontal="centerContinuous" vertical="center"/>
    </xf>
    <xf numFmtId="0" fontId="23" fillId="0" borderId="4" xfId="0" applyFont="1" applyBorder="1" applyAlignment="1">
      <alignment horizontal="centerContinuous"/>
    </xf>
    <xf numFmtId="0" fontId="15" fillId="5" borderId="4" xfId="0" applyFont="1" applyFill="1" applyBorder="1" applyAlignment="1">
      <alignment horizontal="left" vertical="center"/>
    </xf>
    <xf numFmtId="164" fontId="17" fillId="5" borderId="4" xfId="0" applyNumberFormat="1" applyFont="1" applyFill="1" applyBorder="1" applyAlignment="1">
      <alignment horizontal="right" vertical="center" shrinkToFit="1"/>
    </xf>
    <xf numFmtId="3" fontId="17" fillId="5" borderId="4" xfId="0" applyNumberFormat="1" applyFont="1" applyFill="1" applyBorder="1" applyAlignment="1">
      <alignment horizontal="right" vertical="center" shrinkToFit="1"/>
    </xf>
    <xf numFmtId="0" fontId="13" fillId="5" borderId="4" xfId="0" applyFont="1" applyFill="1" applyBorder="1"/>
    <xf numFmtId="165" fontId="22" fillId="5" borderId="4" xfId="0" applyNumberFormat="1" applyFont="1" applyFill="1" applyBorder="1" applyAlignment="1">
      <alignment horizontal="right" vertical="center" shrinkToFit="1"/>
    </xf>
    <xf numFmtId="165" fontId="17" fillId="5" borderId="4" xfId="0" applyNumberFormat="1" applyFont="1" applyFill="1" applyBorder="1" applyAlignment="1">
      <alignment horizontal="right" vertical="center" shrinkToFit="1"/>
    </xf>
    <xf numFmtId="0" fontId="25" fillId="0" borderId="0" xfId="0" applyFont="1"/>
    <xf numFmtId="0" fontId="26" fillId="0" borderId="0" xfId="0" applyFont="1"/>
    <xf numFmtId="0" fontId="18" fillId="0" borderId="0" xfId="0" applyFont="1" applyAlignment="1">
      <alignment horizontal="left" vertical="center" indent="1"/>
    </xf>
    <xf numFmtId="3" fontId="13" fillId="0" borderId="0" xfId="0" applyNumberFormat="1" applyFont="1"/>
    <xf numFmtId="4" fontId="13" fillId="0" borderId="0" xfId="0" applyNumberFormat="1" applyFont="1"/>
    <xf numFmtId="3" fontId="17" fillId="3" borderId="4" xfId="0" applyNumberFormat="1" applyFont="1" applyFill="1" applyBorder="1" applyAlignment="1">
      <alignment horizontal="right" vertical="center" shrinkToFit="1"/>
    </xf>
    <xf numFmtId="3" fontId="14" fillId="0" borderId="0" xfId="0" applyNumberFormat="1" applyFont="1" applyAlignment="1">
      <alignment horizontal="right" vertical="center" shrinkToFit="1"/>
    </xf>
    <xf numFmtId="1" fontId="13" fillId="0" borderId="0" xfId="0" applyNumberFormat="1" applyFont="1"/>
    <xf numFmtId="3" fontId="14" fillId="5" borderId="4" xfId="0" applyNumberFormat="1" applyFont="1" applyFill="1" applyBorder="1" applyAlignment="1">
      <alignment horizontal="right" vertical="center" shrinkToFit="1"/>
    </xf>
    <xf numFmtId="3" fontId="13" fillId="0" borderId="0" xfId="0" applyNumberFormat="1" applyFont="1" applyAlignment="1">
      <alignment horizontal="left" indent="1"/>
    </xf>
    <xf numFmtId="3" fontId="13" fillId="5" borderId="4" xfId="0" applyNumberFormat="1" applyFont="1" applyFill="1" applyBorder="1"/>
    <xf numFmtId="167" fontId="13" fillId="5" borderId="4" xfId="3" applyNumberFormat="1" applyFont="1" applyFill="1" applyBorder="1"/>
    <xf numFmtId="167" fontId="14" fillId="0" borderId="0" xfId="3" applyNumberFormat="1" applyFont="1" applyFill="1" applyBorder="1" applyAlignment="1">
      <alignment horizontal="right" vertical="center" shrinkToFit="1"/>
    </xf>
    <xf numFmtId="167" fontId="14" fillId="5" borderId="4" xfId="3" applyNumberFormat="1" applyFont="1" applyFill="1" applyBorder="1" applyAlignment="1">
      <alignment horizontal="right" vertical="center" shrinkToFit="1"/>
    </xf>
    <xf numFmtId="0" fontId="16" fillId="2" borderId="0" xfId="0" applyFont="1" applyFill="1" applyAlignment="1">
      <alignment horizontal="center" vertical="center"/>
    </xf>
    <xf numFmtId="3" fontId="13" fillId="4" borderId="4" xfId="0" applyNumberFormat="1" applyFont="1" applyFill="1" applyBorder="1" applyAlignment="1">
      <alignment horizontal="right"/>
    </xf>
    <xf numFmtId="167" fontId="20" fillId="0" borderId="0" xfId="3" applyNumberFormat="1" applyFont="1"/>
    <xf numFmtId="0" fontId="4" fillId="0" borderId="0" xfId="2" applyFont="1"/>
    <xf numFmtId="166" fontId="4" fillId="0" borderId="0" xfId="2" applyNumberFormat="1" applyFont="1"/>
    <xf numFmtId="166" fontId="17" fillId="0" borderId="0" xfId="2" applyNumberFormat="1" applyFont="1"/>
    <xf numFmtId="166" fontId="17" fillId="0" borderId="0" xfId="0" applyNumberFormat="1" applyFont="1"/>
    <xf numFmtId="0" fontId="4" fillId="0" borderId="2" xfId="2" applyFont="1" applyBorder="1"/>
    <xf numFmtId="166" fontId="23" fillId="4" borderId="4" xfId="0" applyNumberFormat="1" applyFont="1" applyFill="1" applyBorder="1"/>
    <xf numFmtId="3" fontId="22" fillId="4" borderId="4" xfId="0" applyNumberFormat="1" applyFont="1" applyFill="1" applyBorder="1" applyAlignment="1">
      <alignment horizontal="right" vertical="center" shrinkToFit="1"/>
    </xf>
    <xf numFmtId="167" fontId="13" fillId="0" borderId="0" xfId="3" applyNumberFormat="1" applyFont="1" applyFill="1" applyBorder="1"/>
    <xf numFmtId="0" fontId="27" fillId="0" borderId="0" xfId="0" applyFont="1"/>
    <xf numFmtId="3" fontId="17" fillId="0" borderId="0" xfId="0" applyNumberFormat="1" applyFont="1"/>
    <xf numFmtId="167" fontId="14" fillId="0" borderId="0" xfId="3" applyNumberFormat="1" applyFont="1" applyFill="1" applyBorder="1" applyAlignment="1">
      <alignment vertical="center" shrinkToFit="1"/>
    </xf>
    <xf numFmtId="0" fontId="3" fillId="0" borderId="0" xfId="2" applyFont="1"/>
    <xf numFmtId="2" fontId="3" fillId="0" borderId="0" xfId="2" applyNumberFormat="1" applyFont="1"/>
    <xf numFmtId="166" fontId="3" fillId="0" borderId="0" xfId="2" applyNumberFormat="1" applyFont="1"/>
    <xf numFmtId="2" fontId="13" fillId="0" borderId="0" xfId="0" applyNumberFormat="1" applyFont="1"/>
    <xf numFmtId="0" fontId="3" fillId="0" borderId="5" xfId="2" applyFont="1" applyBorder="1"/>
    <xf numFmtId="0" fontId="3" fillId="0" borderId="7" xfId="2" applyFont="1" applyBorder="1"/>
    <xf numFmtId="2" fontId="3" fillId="0" borderId="4" xfId="2" applyNumberFormat="1" applyFont="1" applyBorder="1"/>
    <xf numFmtId="37" fontId="3" fillId="0" borderId="8" xfId="2" applyNumberFormat="1" applyFont="1" applyBorder="1"/>
    <xf numFmtId="37" fontId="3" fillId="0" borderId="6" xfId="2" applyNumberFormat="1" applyFont="1" applyBorder="1"/>
    <xf numFmtId="37" fontId="28" fillId="0" borderId="8" xfId="2" applyNumberFormat="1" applyFont="1" applyBorder="1" applyAlignment="1">
      <alignment horizontal="right"/>
    </xf>
    <xf numFmtId="37" fontId="28" fillId="0" borderId="6" xfId="2" applyNumberFormat="1" applyFont="1" applyBorder="1" applyAlignment="1">
      <alignment horizontal="right"/>
    </xf>
    <xf numFmtId="0" fontId="28" fillId="0" borderId="4" xfId="2" applyFont="1" applyBorder="1"/>
    <xf numFmtId="168" fontId="3" fillId="0" borderId="8" xfId="2" applyNumberFormat="1" applyFont="1" applyBorder="1"/>
    <xf numFmtId="168" fontId="3" fillId="0" borderId="6" xfId="2" applyNumberFormat="1" applyFont="1" applyBorder="1"/>
    <xf numFmtId="168" fontId="28" fillId="0" borderId="8" xfId="2" applyNumberFormat="1" applyFont="1" applyBorder="1"/>
    <xf numFmtId="168" fontId="28" fillId="0" borderId="6" xfId="2" applyNumberFormat="1" applyFont="1" applyBorder="1"/>
    <xf numFmtId="0" fontId="3" fillId="0" borderId="9" xfId="2" applyFont="1" applyBorder="1"/>
    <xf numFmtId="37" fontId="28" fillId="0" borderId="10" xfId="2" applyNumberFormat="1" applyFont="1" applyBorder="1" applyAlignment="1">
      <alignment horizontal="right"/>
    </xf>
    <xf numFmtId="37" fontId="3" fillId="0" borderId="10" xfId="2" applyNumberFormat="1" applyFont="1" applyBorder="1"/>
    <xf numFmtId="37" fontId="28" fillId="0" borderId="4" xfId="2" applyNumberFormat="1" applyFont="1" applyBorder="1" applyAlignment="1">
      <alignment horizontal="right"/>
    </xf>
    <xf numFmtId="168" fontId="28" fillId="0" borderId="10" xfId="2" applyNumberFormat="1" applyFont="1" applyBorder="1"/>
    <xf numFmtId="168" fontId="28" fillId="0" borderId="4" xfId="2" applyNumberFormat="1" applyFont="1" applyBorder="1"/>
    <xf numFmtId="0" fontId="3" fillId="0" borderId="11" xfId="2" applyFont="1" applyBorder="1"/>
    <xf numFmtId="37" fontId="28" fillId="0" borderId="12" xfId="2" applyNumberFormat="1" applyFont="1" applyBorder="1" applyAlignment="1">
      <alignment horizontal="right"/>
    </xf>
    <xf numFmtId="37" fontId="3" fillId="0" borderId="12" xfId="2" applyNumberFormat="1" applyFont="1" applyBorder="1"/>
    <xf numFmtId="0" fontId="3" fillId="0" borderId="13" xfId="2" applyFont="1" applyBorder="1"/>
    <xf numFmtId="37" fontId="28" fillId="0" borderId="14" xfId="2" applyNumberFormat="1" applyFont="1" applyBorder="1" applyAlignment="1">
      <alignment horizontal="right"/>
    </xf>
    <xf numFmtId="37" fontId="3" fillId="0" borderId="14" xfId="2" applyNumberFormat="1" applyFont="1" applyBorder="1"/>
    <xf numFmtId="168" fontId="17" fillId="0" borderId="8" xfId="2" applyNumberFormat="1" applyFont="1" applyBorder="1"/>
    <xf numFmtId="37" fontId="17" fillId="0" borderId="8" xfId="2" applyNumberFormat="1" applyFont="1" applyBorder="1"/>
    <xf numFmtId="168" fontId="17" fillId="0" borderId="6" xfId="2" applyNumberFormat="1" applyFont="1" applyBorder="1"/>
    <xf numFmtId="37" fontId="17" fillId="0" borderId="6" xfId="2" applyNumberFormat="1" applyFont="1" applyBorder="1"/>
    <xf numFmtId="168" fontId="17" fillId="3" borderId="12" xfId="2" applyNumberFormat="1" applyFont="1" applyFill="1" applyBorder="1"/>
    <xf numFmtId="168" fontId="17" fillId="3" borderId="6" xfId="2" applyNumberFormat="1" applyFont="1" applyFill="1" applyBorder="1"/>
    <xf numFmtId="168" fontId="17" fillId="3" borderId="14" xfId="2" applyNumberFormat="1" applyFont="1" applyFill="1" applyBorder="1"/>
    <xf numFmtId="0" fontId="17" fillId="3" borderId="0" xfId="2" applyFont="1" applyFill="1" applyAlignment="1">
      <alignment horizontal="center"/>
    </xf>
    <xf numFmtId="0" fontId="17" fillId="3" borderId="0" xfId="2" applyFont="1" applyFill="1" applyAlignment="1">
      <alignment horizontal="center" vertical="center"/>
    </xf>
    <xf numFmtId="0" fontId="17" fillId="3" borderId="0" xfId="0" applyFont="1" applyFill="1" applyAlignment="1">
      <alignment horizontal="center" vertical="center"/>
    </xf>
    <xf numFmtId="0" fontId="28" fillId="0" borderId="0" xfId="2" applyFont="1"/>
    <xf numFmtId="0" fontId="29" fillId="0" borderId="0" xfId="0" applyFont="1"/>
    <xf numFmtId="0" fontId="14" fillId="0" borderId="0" xfId="2" applyFont="1" applyAlignment="1">
      <alignment horizontal="left" vertical="center"/>
    </xf>
    <xf numFmtId="0" fontId="23" fillId="5" borderId="4" xfId="0" applyFont="1" applyFill="1" applyBorder="1"/>
    <xf numFmtId="169" fontId="22" fillId="0" borderId="8" xfId="2" applyNumberFormat="1" applyFont="1" applyBorder="1"/>
    <xf numFmtId="169" fontId="22" fillId="0" borderId="6" xfId="2" applyNumberFormat="1" applyFont="1" applyBorder="1"/>
    <xf numFmtId="169" fontId="22" fillId="0" borderId="10" xfId="2" applyNumberFormat="1" applyFont="1" applyBorder="1"/>
    <xf numFmtId="0" fontId="17" fillId="0" borderId="0" xfId="2" applyFont="1"/>
    <xf numFmtId="2" fontId="17" fillId="0" borderId="0" xfId="2" applyNumberFormat="1" applyFont="1"/>
    <xf numFmtId="0" fontId="30" fillId="0" borderId="0" xfId="0" applyFont="1"/>
    <xf numFmtId="0" fontId="31" fillId="0" borderId="0" xfId="0" applyFont="1"/>
    <xf numFmtId="1" fontId="13" fillId="5" borderId="4" xfId="0" applyNumberFormat="1" applyFont="1" applyFill="1" applyBorder="1"/>
    <xf numFmtId="0" fontId="33" fillId="0" borderId="0" xfId="2" applyFont="1"/>
    <xf numFmtId="0" fontId="33" fillId="0" borderId="0" xfId="2" applyFont="1" applyAlignment="1">
      <alignment horizontal="right"/>
    </xf>
    <xf numFmtId="0" fontId="28" fillId="4" borderId="4" xfId="2" applyFont="1" applyFill="1" applyBorder="1"/>
    <xf numFmtId="2" fontId="3" fillId="4" borderId="4" xfId="2" applyNumberFormat="1" applyFont="1" applyFill="1" applyBorder="1"/>
    <xf numFmtId="1" fontId="32" fillId="4" borderId="4" xfId="2" applyNumberFormat="1" applyFont="1" applyFill="1" applyBorder="1"/>
    <xf numFmtId="37" fontId="28" fillId="4" borderId="4" xfId="2" applyNumberFormat="1" applyFont="1" applyFill="1" applyBorder="1" applyAlignment="1">
      <alignment horizontal="right"/>
    </xf>
    <xf numFmtId="0" fontId="2" fillId="0" borderId="0" xfId="2" applyFont="1"/>
    <xf numFmtId="0" fontId="34" fillId="0" borderId="0" xfId="0" applyFont="1"/>
    <xf numFmtId="0" fontId="22" fillId="0" borderId="0" xfId="0" applyFont="1" applyAlignment="1">
      <alignment horizontal="left" vertical="center"/>
    </xf>
    <xf numFmtId="169" fontId="22" fillId="0" borderId="0" xfId="0" applyNumberFormat="1" applyFont="1"/>
    <xf numFmtId="0" fontId="32" fillId="0" borderId="0" xfId="0" applyFont="1" applyAlignment="1">
      <alignment horizontal="left" vertical="center"/>
    </xf>
    <xf numFmtId="169" fontId="32" fillId="0" borderId="0" xfId="0" applyNumberFormat="1" applyFont="1"/>
    <xf numFmtId="169" fontId="32" fillId="0" borderId="2" xfId="0" applyNumberFormat="1" applyFont="1" applyBorder="1"/>
    <xf numFmtId="0" fontId="23" fillId="0" borderId="2" xfId="0" applyFont="1" applyBorder="1"/>
    <xf numFmtId="0" fontId="3" fillId="0" borderId="6" xfId="2" applyFont="1" applyBorder="1"/>
    <xf numFmtId="0" fontId="17" fillId="0" borderId="6" xfId="2" applyFont="1" applyBorder="1"/>
    <xf numFmtId="0" fontId="4" fillId="0" borderId="6" xfId="2" applyFont="1" applyBorder="1"/>
    <xf numFmtId="0" fontId="13" fillId="0" borderId="6" xfId="0" applyFont="1" applyBorder="1"/>
    <xf numFmtId="2" fontId="3" fillId="0" borderId="6" xfId="2" applyNumberFormat="1" applyFont="1" applyBorder="1"/>
    <xf numFmtId="0" fontId="16" fillId="2" borderId="0" xfId="0" applyFont="1" applyFill="1" applyAlignment="1">
      <alignment horizontal="right" vertical="center" wrapText="1"/>
    </xf>
    <xf numFmtId="0" fontId="16" fillId="2" borderId="4" xfId="0" applyFont="1" applyFill="1" applyBorder="1" applyAlignment="1">
      <alignment horizontal="centerContinuous" vertical="center"/>
    </xf>
    <xf numFmtId="0" fontId="16" fillId="2" borderId="15" xfId="0" applyFont="1" applyFill="1" applyBorder="1" applyAlignment="1">
      <alignment horizontal="centerContinuous" vertical="center"/>
    </xf>
    <xf numFmtId="0" fontId="35" fillId="0" borderId="0" xfId="0" applyFont="1"/>
    <xf numFmtId="0" fontId="36" fillId="0" borderId="0" xfId="0" applyFont="1"/>
    <xf numFmtId="0" fontId="26" fillId="5" borderId="4" xfId="0" applyFont="1" applyFill="1" applyBorder="1"/>
    <xf numFmtId="2" fontId="5" fillId="0" borderId="0" xfId="2" applyNumberFormat="1"/>
    <xf numFmtId="1" fontId="5" fillId="0" borderId="0" xfId="2" applyNumberFormat="1"/>
    <xf numFmtId="0" fontId="2" fillId="0" borderId="6" xfId="2" applyFont="1" applyBorder="1"/>
    <xf numFmtId="1" fontId="1" fillId="0" borderId="0" xfId="2" applyNumberFormat="1" applyFont="1"/>
    <xf numFmtId="0" fontId="39" fillId="0" borderId="0" xfId="0" applyFont="1"/>
    <xf numFmtId="0" fontId="40" fillId="0" borderId="0" xfId="0" applyFont="1"/>
    <xf numFmtId="170" fontId="20" fillId="0" borderId="0" xfId="3" applyNumberFormat="1" applyFont="1"/>
    <xf numFmtId="170" fontId="41" fillId="0" borderId="0" xfId="3" applyNumberFormat="1" applyFont="1"/>
    <xf numFmtId="0" fontId="0" fillId="6" borderId="0" xfId="0" applyFill="1"/>
    <xf numFmtId="0" fontId="16" fillId="6" borderId="0" xfId="0" applyFont="1" applyFill="1" applyAlignment="1">
      <alignment horizontal="right" vertical="center"/>
    </xf>
    <xf numFmtId="3" fontId="14" fillId="6" borderId="0" xfId="0" applyNumberFormat="1" applyFont="1" applyFill="1" applyAlignment="1">
      <alignment horizontal="right" vertical="center" shrinkToFit="1"/>
    </xf>
    <xf numFmtId="3" fontId="13" fillId="6" borderId="0" xfId="0" applyNumberFormat="1" applyFont="1" applyFill="1"/>
    <xf numFmtId="0" fontId="13" fillId="6" borderId="0" xfId="0" applyFont="1" applyFill="1"/>
    <xf numFmtId="0" fontId="20" fillId="6" borderId="0" xfId="0" applyFont="1" applyFill="1"/>
    <xf numFmtId="0" fontId="16" fillId="2" borderId="0" xfId="0" applyFont="1" applyFill="1" applyAlignment="1">
      <alignment horizontal="right" vertical="center"/>
    </xf>
    <xf numFmtId="167" fontId="5" fillId="0" borderId="0" xfId="3" applyNumberFormat="1" applyFont="1"/>
  </cellXfs>
  <cellStyles count="4">
    <cellStyle name="Normal" xfId="0" builtinId="0"/>
    <cellStyle name="Normal 2" xfId="1" xr:uid="{865A009D-3328-6A46-9E23-60D85380CB33}"/>
    <cellStyle name="Normal 3" xfId="2" xr:uid="{AEB93F17-5480-FD44-B5BA-7839F4EA6A27}"/>
    <cellStyle name="Pourcentage" xfId="3" builtinId="5"/>
  </cellStyles>
  <dxfs count="0"/>
  <tableStyles count="0" defaultTableStyle="TableStyleMedium2" defaultPivotStyle="PivotStyleLight16"/>
  <colors>
    <mruColors>
      <color rgb="FF009B00"/>
      <color rgb="FFFFFFCC"/>
      <color rgb="FF0000FF"/>
      <color rgb="FF004AAD"/>
      <color rgb="FFB1A195"/>
      <color rgb="FFD4B781"/>
      <color rgb="FF3A56A3"/>
      <color rgb="FFC6804A"/>
      <color rgb="FF4ABCB6"/>
      <color rgb="FF039C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ECBA-1F4D-4617-AF55-A13DB5190F2F}">
  <sheetPr>
    <tabColor theme="4" tint="-0.499984740745262"/>
  </sheetPr>
  <dimension ref="A2:AF226"/>
  <sheetViews>
    <sheetView showGridLines="0" view="pageBreakPreview" zoomScaleNormal="115" zoomScaleSheetLayoutView="100" workbookViewId="0"/>
  </sheetViews>
  <sheetFormatPr baseColWidth="10" defaultColWidth="9.1640625" defaultRowHeight="13" x14ac:dyDescent="0.15"/>
  <cols>
    <col min="1" max="4" width="2.6640625" style="2" customWidth="1"/>
    <col min="5" max="5" width="18.5" style="2" customWidth="1"/>
    <col min="6" max="7" width="29.5" style="2" customWidth="1"/>
    <col min="8" max="8" width="27.33203125" style="2" bestFit="1" customWidth="1"/>
    <col min="9" max="9" width="18.5" style="2" customWidth="1"/>
    <col min="10" max="10" width="2.6640625" style="2" customWidth="1"/>
    <col min="11" max="16384" width="9.1640625" style="2"/>
  </cols>
  <sheetData>
    <row r="2" spans="1:32" ht="25" x14ac:dyDescent="0.25">
      <c r="C2" s="132" t="s">
        <v>389</v>
      </c>
      <c r="E2" s="4"/>
      <c r="G2" s="3"/>
      <c r="K2"/>
      <c r="L2"/>
      <c r="M2"/>
      <c r="N2"/>
      <c r="O2"/>
      <c r="P2"/>
      <c r="Q2" s="12"/>
      <c r="R2" s="12"/>
      <c r="S2" s="12"/>
      <c r="T2" s="12"/>
      <c r="U2" s="12"/>
      <c r="V2" s="12"/>
      <c r="W2" s="12"/>
      <c r="X2" s="12"/>
      <c r="Y2" s="12"/>
      <c r="Z2" s="12"/>
      <c r="AA2" s="12"/>
      <c r="AB2" s="12"/>
      <c r="AC2" s="12"/>
      <c r="AD2" s="12"/>
      <c r="AE2" s="12"/>
      <c r="AF2" s="12"/>
    </row>
    <row r="3" spans="1:32" ht="15" x14ac:dyDescent="0.2">
      <c r="K3"/>
      <c r="L3"/>
      <c r="M3"/>
      <c r="N3"/>
      <c r="O3"/>
      <c r="P3"/>
    </row>
    <row r="4" spans="1:32" ht="15" x14ac:dyDescent="0.2">
      <c r="J4"/>
      <c r="K4"/>
      <c r="L4"/>
      <c r="M4"/>
      <c r="N4"/>
      <c r="O4"/>
      <c r="P4"/>
    </row>
    <row r="5" spans="1:32" s="75" customFormat="1" ht="15" x14ac:dyDescent="0.2">
      <c r="A5" s="2"/>
      <c r="B5" s="2"/>
      <c r="C5" s="116">
        <v>0</v>
      </c>
      <c r="E5" s="41" t="s">
        <v>392</v>
      </c>
      <c r="F5" s="44"/>
      <c r="G5" s="44"/>
      <c r="H5" s="44"/>
      <c r="I5" s="44"/>
      <c r="J5"/>
      <c r="K5"/>
      <c r="L5"/>
      <c r="M5"/>
      <c r="N5"/>
      <c r="O5"/>
      <c r="P5"/>
      <c r="Q5" s="76"/>
      <c r="R5"/>
      <c r="S5"/>
      <c r="T5"/>
      <c r="U5"/>
      <c r="V5"/>
      <c r="W5"/>
      <c r="X5"/>
      <c r="Y5"/>
    </row>
    <row r="6" spans="1:32" ht="15" x14ac:dyDescent="0.2">
      <c r="E6" s="152" t="s">
        <v>451</v>
      </c>
      <c r="J6"/>
      <c r="K6"/>
      <c r="L6"/>
      <c r="M6"/>
      <c r="N6"/>
      <c r="O6"/>
      <c r="P6"/>
    </row>
    <row r="7" spans="1:32" ht="15" x14ac:dyDescent="0.2">
      <c r="E7" s="2" t="s">
        <v>444</v>
      </c>
      <c r="F7" s="142"/>
      <c r="G7" s="142"/>
      <c r="H7" s="142"/>
      <c r="I7" s="142"/>
      <c r="J7"/>
      <c r="K7"/>
      <c r="L7"/>
      <c r="M7"/>
      <c r="N7"/>
      <c r="O7"/>
      <c r="P7"/>
    </row>
    <row r="8" spans="1:32" ht="15" x14ac:dyDescent="0.2">
      <c r="E8" s="152" t="s">
        <v>452</v>
      </c>
      <c r="F8" s="142"/>
      <c r="G8" s="142"/>
      <c r="H8" s="142"/>
      <c r="I8" s="142"/>
      <c r="J8"/>
      <c r="K8"/>
      <c r="L8"/>
      <c r="M8"/>
      <c r="N8"/>
      <c r="O8"/>
      <c r="P8"/>
    </row>
    <row r="9" spans="1:32" ht="15" x14ac:dyDescent="0.2">
      <c r="E9" s="152" t="s">
        <v>443</v>
      </c>
      <c r="F9" s="142"/>
      <c r="G9" s="142"/>
      <c r="H9" s="142"/>
      <c r="I9" s="142"/>
      <c r="J9"/>
      <c r="K9"/>
      <c r="L9"/>
      <c r="M9"/>
      <c r="N9"/>
      <c r="O9"/>
      <c r="P9"/>
    </row>
    <row r="10" spans="1:32" ht="15" x14ac:dyDescent="0.2">
      <c r="E10" s="152" t="s">
        <v>453</v>
      </c>
      <c r="F10" s="142"/>
      <c r="G10" s="142"/>
      <c r="H10" s="142"/>
      <c r="I10" s="142"/>
      <c r="J10"/>
      <c r="K10"/>
      <c r="L10"/>
      <c r="M10"/>
      <c r="N10"/>
      <c r="O10"/>
      <c r="P10"/>
    </row>
    <row r="11" spans="1:32" ht="15" x14ac:dyDescent="0.2">
      <c r="E11" s="152" t="s">
        <v>396</v>
      </c>
      <c r="F11" s="152" t="s">
        <v>397</v>
      </c>
      <c r="G11" s="152" t="s">
        <v>398</v>
      </c>
      <c r="H11" s="152" t="s">
        <v>399</v>
      </c>
      <c r="I11" s="152" t="s">
        <v>400</v>
      </c>
      <c r="J11"/>
      <c r="K11"/>
      <c r="L11"/>
      <c r="M11"/>
      <c r="N11"/>
      <c r="O11"/>
      <c r="P11"/>
    </row>
    <row r="12" spans="1:32" ht="15" x14ac:dyDescent="0.2">
      <c r="E12" s="152"/>
      <c r="J12"/>
      <c r="K12"/>
      <c r="L12"/>
      <c r="M12"/>
      <c r="N12"/>
      <c r="O12"/>
      <c r="P12"/>
    </row>
    <row r="13" spans="1:32" ht="15" x14ac:dyDescent="0.2">
      <c r="K13"/>
      <c r="L13"/>
      <c r="M13"/>
      <c r="N13"/>
      <c r="O13"/>
      <c r="P13"/>
    </row>
    <row r="14" spans="1:32" ht="15" x14ac:dyDescent="0.2">
      <c r="K14"/>
      <c r="L14"/>
      <c r="M14"/>
      <c r="N14"/>
      <c r="O14"/>
      <c r="P14"/>
    </row>
    <row r="15" spans="1:32" ht="15" x14ac:dyDescent="0.2">
      <c r="E15" s="8" t="s">
        <v>377</v>
      </c>
      <c r="F15" s="8" t="s">
        <v>383</v>
      </c>
      <c r="G15" s="8" t="s">
        <v>357</v>
      </c>
      <c r="H15" s="8" t="s">
        <v>384</v>
      </c>
      <c r="I15" s="9" t="s">
        <v>387</v>
      </c>
      <c r="K15"/>
      <c r="L15"/>
      <c r="M15"/>
      <c r="N15"/>
      <c r="O15"/>
      <c r="P15"/>
    </row>
    <row r="16" spans="1:32" ht="15" x14ac:dyDescent="0.2">
      <c r="E16" s="2" t="s">
        <v>340</v>
      </c>
      <c r="F16" s="3" t="s">
        <v>367</v>
      </c>
      <c r="G16" s="133" t="str">
        <f>IF(OR(F16="APUC",F16="TOTAL"),"",INDEX(APU!$E$21:$E$108,MATCH(H16,APU!$F$21:$F$108,0),1))</f>
        <v>GF1002</v>
      </c>
      <c r="H16" s="2" t="s">
        <v>146</v>
      </c>
      <c r="I16" s="134">
        <f>INDEX(_xlfn.ANCHORARRAY('Répartition 1000€'!$H$82),MATCH(E16,'Répartition 1000€'!$E$82:$E$96,0),MATCH(G16,'Répartition 1000€'!$H$18:$P$18,0))</f>
        <v>5.0500891834653983</v>
      </c>
      <c r="K16"/>
      <c r="L16"/>
      <c r="M16"/>
      <c r="N16"/>
      <c r="O16"/>
      <c r="P16"/>
    </row>
    <row r="17" spans="1:16" ht="15" x14ac:dyDescent="0.2">
      <c r="A17" s="17"/>
      <c r="B17" s="17"/>
      <c r="E17" s="2" t="s">
        <v>340</v>
      </c>
      <c r="F17" s="3" t="s">
        <v>367</v>
      </c>
      <c r="G17" s="133" t="str">
        <f>IF(OR(F17="APUC",F17="TOTAL"),"",INDEX(APU!$E$21:$E$108,MATCH(H17,APU!$F$21:$F$108,0),1))</f>
        <v>GF1003</v>
      </c>
      <c r="H17" s="2" t="s">
        <v>148</v>
      </c>
      <c r="I17" s="134">
        <f>INDEX(_xlfn.ANCHORARRAY('Répartition 1000€'!$H$82),MATCH(E17,'Répartition 1000€'!$E$82:$E$96,0),MATCH(G17,'Répartition 1000€'!$H$18:$P$18,0))</f>
        <v>0</v>
      </c>
      <c r="K17"/>
      <c r="L17"/>
      <c r="M17"/>
      <c r="N17"/>
      <c r="O17"/>
      <c r="P17"/>
    </row>
    <row r="18" spans="1:16" ht="15" x14ac:dyDescent="0.2">
      <c r="E18" s="2" t="s">
        <v>340</v>
      </c>
      <c r="F18" s="3" t="s">
        <v>386</v>
      </c>
      <c r="G18" s="133" t="str">
        <f>IF(OR(F18="APUC",F18="TOTAL"),"",INDEX(APU!$E$21:$E$108,MATCH(H18,APU!$F$21:$F$108,0),1))</f>
        <v>GF1002</v>
      </c>
      <c r="H18" s="2" t="s">
        <v>146</v>
      </c>
      <c r="I18" s="134">
        <f>INDEX(_xlfn.ANCHORARRAY('Répartition 1000€'!$H$104),MATCH(E18,'Répartition 1000€'!$E$104:$E$118,0),MATCH(G18,'Répartition 1000€'!$H$18:$P$18,0))</f>
        <v>186.89179880195695</v>
      </c>
      <c r="K18"/>
      <c r="L18"/>
      <c r="M18"/>
      <c r="N18"/>
      <c r="O18"/>
      <c r="P18"/>
    </row>
    <row r="19" spans="1:16" ht="15" x14ac:dyDescent="0.2">
      <c r="E19" s="2" t="s">
        <v>340</v>
      </c>
      <c r="F19" s="3" t="s">
        <v>386</v>
      </c>
      <c r="G19" s="133" t="str">
        <f>IF(OR(F19="APUC",F19="TOTAL"),"",INDEX(APU!$E$21:$E$108,MATCH(H19,APU!$F$21:$F$108,0),1))</f>
        <v>GF1003</v>
      </c>
      <c r="H19" s="2" t="s">
        <v>148</v>
      </c>
      <c r="I19" s="134">
        <f>INDEX(_xlfn.ANCHORARRAY('Répartition 1000€'!$H$104),MATCH(E19,'Répartition 1000€'!$E$104:$E$118,0),MATCH(G19,'Répartition 1000€'!$H$18:$P$18,0))</f>
        <v>24.45294943474687</v>
      </c>
      <c r="K19"/>
      <c r="L19"/>
      <c r="M19"/>
      <c r="N19"/>
      <c r="O19"/>
      <c r="P19"/>
    </row>
    <row r="20" spans="1:16" x14ac:dyDescent="0.15">
      <c r="E20" s="2" t="s">
        <v>340</v>
      </c>
      <c r="F20" s="3" t="s">
        <v>385</v>
      </c>
      <c r="G20" s="133" t="str">
        <f>IF(OR(F20="APUC",F20="TOTAL"),"",INDEX(APU!$E$21:$E$108,MATCH(H20,APU!$F$21:$F$108,0),1))</f>
        <v/>
      </c>
      <c r="H20" s="2" t="s">
        <v>309</v>
      </c>
      <c r="I20" s="134">
        <f>VLOOKUP(H20,'Répartition Budget'!$G$18:$H$219,2,FALSE)</f>
        <v>39.475284576333856</v>
      </c>
      <c r="K20" s="4"/>
    </row>
    <row r="21" spans="1:16" x14ac:dyDescent="0.15">
      <c r="E21" s="2" t="s">
        <v>340</v>
      </c>
      <c r="F21" s="3" t="s">
        <v>385</v>
      </c>
      <c r="G21" s="133" t="str">
        <f>IF(OR(F21="APUC",F21="TOTAL"),"",INDEX(APU!$E$21:$E$108,MATCH(H21,APU!$F$21:$F$108,0),1))</f>
        <v/>
      </c>
      <c r="H21" s="2" t="s">
        <v>269</v>
      </c>
      <c r="I21" s="134">
        <f>VLOOKUP(H21,'Répartition Budget'!$G$18:$H$219,2,FALSE)</f>
        <v>4.1850244124803808</v>
      </c>
      <c r="K21" s="4"/>
    </row>
    <row r="22" spans="1:16" x14ac:dyDescent="0.15">
      <c r="E22" s="2" t="s">
        <v>340</v>
      </c>
      <c r="F22" s="3" t="s">
        <v>385</v>
      </c>
      <c r="G22" s="133" t="str">
        <f>IF(OR(F22="APUC",F22="TOTAL"),"",INDEX(APU!$E$21:$E$108,MATCH(H22,APU!$F$21:$F$108,0),1))</f>
        <v/>
      </c>
      <c r="H22" s="2" t="s">
        <v>310</v>
      </c>
      <c r="I22" s="134">
        <f>VLOOKUP(H22,'Répartition Budget'!$G$18:$H$219,2,FALSE)</f>
        <v>1.3255228797410747</v>
      </c>
      <c r="K22" s="4"/>
    </row>
    <row r="23" spans="1:16" x14ac:dyDescent="0.15">
      <c r="E23" s="2" t="s">
        <v>340</v>
      </c>
      <c r="F23" s="3" t="s">
        <v>385</v>
      </c>
      <c r="G23" s="133" t="str">
        <f>IF(OR(F23="APUC",F23="TOTAL"),"",INDEX(APU!$E$21:$E$108,MATCH(H23,APU!$F$21:$F$108,0),1))</f>
        <v/>
      </c>
      <c r="H23" s="2" t="s">
        <v>311</v>
      </c>
      <c r="I23" s="134">
        <f>VLOOKUP(H23,'Répartition Budget'!$G$18:$H$219,2,FALSE)</f>
        <v>0.98025257710085079</v>
      </c>
      <c r="K23" s="4"/>
    </row>
    <row r="24" spans="1:16" x14ac:dyDescent="0.15">
      <c r="A24" s="17"/>
      <c r="B24" s="17"/>
      <c r="E24" s="32" t="s">
        <v>340</v>
      </c>
      <c r="F24" s="32" t="s">
        <v>1</v>
      </c>
      <c r="G24" s="135" t="str">
        <f>IF(OR(F24="APUC",F24="TOTAL"),"",INDEX(APU!$E$21:$E$108,MATCH(H24,APU!$F$21:$F$108,0),1))</f>
        <v/>
      </c>
      <c r="H24" s="32" t="s">
        <v>1</v>
      </c>
      <c r="I24" s="136">
        <f>SUM(I16:I23)</f>
        <v>262.36092186582533</v>
      </c>
    </row>
    <row r="25" spans="1:16" x14ac:dyDescent="0.15">
      <c r="E25" s="131" t="s">
        <v>338</v>
      </c>
      <c r="F25" s="3" t="s">
        <v>367</v>
      </c>
      <c r="G25" s="133" t="str">
        <f>IF(OR(F25="APUC",F25="TOTAL"),"",INDEX(APU!$E$21:$E$108,MATCH(H25,APU!$F$21:$F$108,0),1))</f>
        <v>GF1001</v>
      </c>
      <c r="H25" s="2" t="s">
        <v>144</v>
      </c>
      <c r="I25" s="134">
        <f>INDEX(_xlfn.ANCHORARRAY('Répartition 1000€'!$H$82),MATCH(E25,'Répartition 1000€'!$E$82:$E$96,0),MATCH(G25,'Répartition 1000€'!$H$19:$P$19,0))</f>
        <v>5.7947162027470211</v>
      </c>
    </row>
    <row r="26" spans="1:16" x14ac:dyDescent="0.15">
      <c r="A26" s="32"/>
      <c r="B26" s="32"/>
      <c r="E26" s="131" t="s">
        <v>338</v>
      </c>
      <c r="F26" s="3" t="s">
        <v>367</v>
      </c>
      <c r="G26" s="133" t="str">
        <f>IF(OR(F26="APUC",F26="TOTAL"),"",INDEX(APU!$E$21:$E$108,MATCH(H26,APU!$F$21:$F$108,0),1))</f>
        <v>GF0701</v>
      </c>
      <c r="H26" s="2" t="s">
        <v>98</v>
      </c>
      <c r="I26" s="134">
        <f>INDEX(_xlfn.ANCHORARRAY('Répartition 1000€'!$H$82),MATCH(E26,'Répartition 1000€'!$E$82:$E$96,0),MATCH(G26,'Répartition 1000€'!$H$19:$P$19,0))</f>
        <v>0</v>
      </c>
    </row>
    <row r="27" spans="1:16" x14ac:dyDescent="0.15">
      <c r="E27" s="131" t="s">
        <v>338</v>
      </c>
      <c r="F27" s="3" t="s">
        <v>367</v>
      </c>
      <c r="G27" s="133" t="str">
        <f>IF(OR(F27="APUC",F27="TOTAL"),"",INDEX(APU!$E$21:$E$108,MATCH(H27,APU!$F$21:$F$108,0),1))</f>
        <v>GF0702</v>
      </c>
      <c r="H27" s="2" t="s">
        <v>100</v>
      </c>
      <c r="I27" s="134">
        <f>INDEX(_xlfn.ANCHORARRAY('Répartition 1000€'!$H$82),MATCH(E27,'Répartition 1000€'!$E$82:$E$96,0),MATCH(G27,'Répartition 1000€'!$H$19:$P$19,0))</f>
        <v>0</v>
      </c>
    </row>
    <row r="28" spans="1:16" x14ac:dyDescent="0.15">
      <c r="E28" s="131" t="s">
        <v>338</v>
      </c>
      <c r="F28" s="3" t="s">
        <v>367</v>
      </c>
      <c r="G28" s="133" t="str">
        <f>IF(OR(F28="APUC",F28="TOTAL"),"",INDEX(APU!$E$21:$E$108,MATCH(H28,APU!$F$21:$F$108,0),1))</f>
        <v>GF0703</v>
      </c>
      <c r="H28" s="2" t="s">
        <v>102</v>
      </c>
      <c r="I28" s="134">
        <f>INDEX(_xlfn.ANCHORARRAY('Répartition 1000€'!$H$82),MATCH(E28,'Répartition 1000€'!$E$82:$E$96,0),MATCH(G28,'Répartition 1000€'!$H$19:$P$19,0))</f>
        <v>0</v>
      </c>
    </row>
    <row r="29" spans="1:16" x14ac:dyDescent="0.15">
      <c r="E29" s="131" t="s">
        <v>338</v>
      </c>
      <c r="F29" s="3" t="s">
        <v>367</v>
      </c>
      <c r="G29" s="133" t="str">
        <f>IF(OR(F29="APUC",F29="TOTAL"),"",INDEX(APU!$E$21:$E$108,MATCH(H29,APU!$F$21:$F$108,0),1))</f>
        <v>GF0704</v>
      </c>
      <c r="H29" s="2" t="s">
        <v>104</v>
      </c>
      <c r="I29" s="134">
        <f>INDEX(_xlfn.ANCHORARRAY('Répartition 1000€'!$H$82),MATCH(E29,'Répartition 1000€'!$E$82:$E$96,0),MATCH(G29,'Répartition 1000€'!$H$19:$P$19,0))</f>
        <v>0.79399862768525398</v>
      </c>
    </row>
    <row r="30" spans="1:16" x14ac:dyDescent="0.15">
      <c r="E30" s="131" t="s">
        <v>338</v>
      </c>
      <c r="F30" s="3" t="s">
        <v>367</v>
      </c>
      <c r="G30" s="133" t="str">
        <f>IF(OR(F30="APUC",F30="TOTAL"),"",INDEX(APU!$E$21:$E$108,MATCH(H30,APU!$F$21:$F$108,0),1))</f>
        <v>GF0705</v>
      </c>
      <c r="H30" s="2" t="s">
        <v>106</v>
      </c>
      <c r="I30" s="134">
        <f>INDEX(_xlfn.ANCHORARRAY('Répartition 1000€'!$H$82),MATCH(E30,'Répartition 1000€'!$E$82:$E$96,0),MATCH(G30,'Répartition 1000€'!$H$19:$P$19,0))</f>
        <v>0</v>
      </c>
    </row>
    <row r="31" spans="1:16" x14ac:dyDescent="0.15">
      <c r="E31" s="131" t="s">
        <v>338</v>
      </c>
      <c r="F31" s="3" t="s">
        <v>367</v>
      </c>
      <c r="G31" s="133" t="str">
        <f>IF(OR(F31="APUC",F31="TOTAL"),"",INDEX(APU!$E$21:$E$108,MATCH(H31,APU!$F$21:$F$108,0),1))</f>
        <v>GF0706</v>
      </c>
      <c r="H31" s="2" t="s">
        <v>108</v>
      </c>
      <c r="I31" s="134">
        <f>INDEX(_xlfn.ANCHORARRAY('Répartition 1000€'!$H$82),MATCH(E31,'Répartition 1000€'!$E$82:$E$96,0),MATCH(G31,'Répartition 1000€'!$H$19:$P$19,0))</f>
        <v>0.64496269037727938</v>
      </c>
    </row>
    <row r="32" spans="1:16" x14ac:dyDescent="0.15">
      <c r="E32" s="131" t="s">
        <v>338</v>
      </c>
      <c r="F32" s="3" t="s">
        <v>386</v>
      </c>
      <c r="G32" s="133" t="str">
        <f>IF(OR(F32="APUC",F32="TOTAL"),"",INDEX(APU!$E$21:$E$108,MATCH(H32,APU!$F$21:$F$108,0),1))</f>
        <v>GF1001</v>
      </c>
      <c r="H32" s="2" t="s">
        <v>144</v>
      </c>
      <c r="I32" s="134">
        <f>INDEX(_xlfn.ANCHORARRAY('Répartition 1000€'!$H$104),MATCH(E32,'Répartition 1000€'!$E$104:$E$118,0),MATCH(G32,'Répartition 1000€'!$H$19:$P$19,0))</f>
        <v>40.596277689794931</v>
      </c>
    </row>
    <row r="33" spans="5:9" x14ac:dyDescent="0.15">
      <c r="E33" s="131" t="s">
        <v>338</v>
      </c>
      <c r="F33" s="3" t="s">
        <v>386</v>
      </c>
      <c r="G33" s="133" t="str">
        <f>IF(OR(F33="APUC",F33="TOTAL"),"",INDEX(APU!$E$21:$E$108,MATCH(H33,APU!$F$21:$F$108,0),1))</f>
        <v>GF0701</v>
      </c>
      <c r="H33" s="2" t="s">
        <v>98</v>
      </c>
      <c r="I33" s="134">
        <f>INDEX(_xlfn.ANCHORARRAY('Répartition 1000€'!$H$104),MATCH(E33,'Répartition 1000€'!$E$104:$E$118,0),MATCH(G33,'Répartition 1000€'!$H$19:$P$19,0))</f>
        <v>25.75208490575606</v>
      </c>
    </row>
    <row r="34" spans="5:9" x14ac:dyDescent="0.15">
      <c r="E34" s="131" t="s">
        <v>338</v>
      </c>
      <c r="F34" s="3" t="s">
        <v>386</v>
      </c>
      <c r="G34" s="133" t="str">
        <f>IF(OR(F34="APUC",F34="TOTAL"),"",INDEX(APU!$E$21:$E$108,MATCH(H34,APU!$F$21:$F$108,0),1))</f>
        <v>GF0702</v>
      </c>
      <c r="H34" s="2" t="s">
        <v>100</v>
      </c>
      <c r="I34" s="134">
        <f>INDEX(_xlfn.ANCHORARRAY('Répartition 1000€'!$H$104),MATCH(E34,'Répartition 1000€'!$E$104:$E$118,0),MATCH(G34,'Répartition 1000€'!$H$19:$P$19,0))</f>
        <v>53.221466619274018</v>
      </c>
    </row>
    <row r="35" spans="5:9" x14ac:dyDescent="0.15">
      <c r="E35" s="131" t="s">
        <v>338</v>
      </c>
      <c r="F35" s="3" t="s">
        <v>386</v>
      </c>
      <c r="G35" s="133" t="str">
        <f>IF(OR(F35="APUC",F35="TOTAL"),"",INDEX(APU!$E$21:$E$108,MATCH(H35,APU!$F$21:$F$108,0),1))</f>
        <v>GF0703</v>
      </c>
      <c r="H35" s="2" t="s">
        <v>102</v>
      </c>
      <c r="I35" s="134">
        <f>INDEX(_xlfn.ANCHORARRAY('Répartition 1000€'!$H$104),MATCH(E35,'Répartition 1000€'!$E$104:$E$118,0),MATCH(G35,'Répartition 1000€'!$H$19:$P$19,0))</f>
        <v>64.439518310303853</v>
      </c>
    </row>
    <row r="36" spans="5:9" x14ac:dyDescent="0.15">
      <c r="E36" s="131" t="s">
        <v>338</v>
      </c>
      <c r="F36" s="3" t="s">
        <v>386</v>
      </c>
      <c r="G36" s="133" t="str">
        <f>IF(OR(F36="APUC",F36="TOTAL"),"",INDEX(APU!$E$21:$E$108,MATCH(H36,APU!$F$21:$F$108,0),1))</f>
        <v>GF0704</v>
      </c>
      <c r="H36" s="2" t="s">
        <v>104</v>
      </c>
      <c r="I36" s="134">
        <f>INDEX(_xlfn.ANCHORARRAY('Répartition 1000€'!$H$104),MATCH(E36,'Répartition 1000€'!$E$104:$E$118,0),MATCH(G36,'Répartition 1000€'!$H$19:$P$19,0))</f>
        <v>3.3299792239741777</v>
      </c>
    </row>
    <row r="37" spans="5:9" x14ac:dyDescent="0.15">
      <c r="E37" s="131" t="s">
        <v>338</v>
      </c>
      <c r="F37" s="3" t="s">
        <v>386</v>
      </c>
      <c r="G37" s="133" t="str">
        <f>IF(OR(F37="APUC",F37="TOTAL"),"",INDEX(APU!$E$21:$E$108,MATCH(H37,APU!$F$21:$F$108,0),1))</f>
        <v>GF0705</v>
      </c>
      <c r="H37" s="2" t="s">
        <v>106</v>
      </c>
      <c r="I37" s="134">
        <f>INDEX(_xlfn.ANCHORARRAY('Répartition 1000€'!$H$104),MATCH(E37,'Répartition 1000€'!$E$104:$E$118,0),MATCH(G37,'Répartition 1000€'!$H$19:$P$19,0))</f>
        <v>0</v>
      </c>
    </row>
    <row r="38" spans="5:9" x14ac:dyDescent="0.15">
      <c r="E38" s="131" t="s">
        <v>338</v>
      </c>
      <c r="F38" s="3" t="s">
        <v>386</v>
      </c>
      <c r="G38" s="133" t="str">
        <f>IF(OR(F38="APUC",F38="TOTAL"),"",INDEX(APU!$E$21:$E$108,MATCH(H38,APU!$F$21:$F$108,0),1))</f>
        <v>GF0706</v>
      </c>
      <c r="H38" s="2" t="s">
        <v>108</v>
      </c>
      <c r="I38" s="134">
        <f>INDEX(_xlfn.ANCHORARRAY('Répartition 1000€'!$H$104),MATCH(E38,'Répartition 1000€'!$E$104:$E$118,0),MATCH(G38,'Répartition 1000€'!$H$19:$P$19,0))</f>
        <v>5.525408004381932E-2</v>
      </c>
    </row>
    <row r="39" spans="5:9" x14ac:dyDescent="0.15">
      <c r="E39" s="131" t="s">
        <v>338</v>
      </c>
      <c r="F39" s="3" t="s">
        <v>385</v>
      </c>
      <c r="G39" s="133" t="str">
        <f>IF(OR(F39="APUC",F39="TOTAL"),"",INDEX(APU!$E$21:$E$108,MATCH(H39,APU!$F$21:$F$108,0),1))</f>
        <v/>
      </c>
      <c r="H39" s="2" t="s">
        <v>216</v>
      </c>
      <c r="I39" s="134">
        <f>VLOOKUP(H39,'Répartition Budget'!$G$18:$H$219,2,FALSE)</f>
        <v>9.014046335507528</v>
      </c>
    </row>
    <row r="40" spans="5:9" x14ac:dyDescent="0.15">
      <c r="E40" s="131" t="s">
        <v>338</v>
      </c>
      <c r="F40" s="3" t="s">
        <v>385</v>
      </c>
      <c r="G40" s="133" t="str">
        <f>IF(OR(F40="APUC",F40="TOTAL"),"",INDEX(APU!$E$21:$E$108,MATCH(H40,APU!$F$21:$F$108,0),1))</f>
        <v/>
      </c>
      <c r="H40" s="2" t="s">
        <v>96</v>
      </c>
      <c r="I40" s="134">
        <f>VLOOKUP(H40,'Répartition Budget'!$G$18:$H$219,2,FALSE)</f>
        <v>0.90576321667432924</v>
      </c>
    </row>
    <row r="41" spans="5:9" x14ac:dyDescent="0.15">
      <c r="E41" s="131" t="s">
        <v>338</v>
      </c>
      <c r="F41" s="3" t="s">
        <v>385</v>
      </c>
      <c r="G41" s="133" t="str">
        <f>IF(OR(F41="APUC",F41="TOTAL"),"",INDEX(APU!$E$21:$E$108,MATCH(H41,APU!$F$21:$F$108,0),1))</f>
        <v/>
      </c>
      <c r="H41" s="2" t="s">
        <v>218</v>
      </c>
      <c r="I41" s="134">
        <f>VLOOKUP(H41,'Répartition Budget'!$G$18:$H$219,2,FALSE)</f>
        <v>0.79409791628134851</v>
      </c>
    </row>
    <row r="42" spans="5:9" x14ac:dyDescent="0.15">
      <c r="E42" s="131" t="s">
        <v>338</v>
      </c>
      <c r="F42" s="3" t="s">
        <v>385</v>
      </c>
      <c r="G42" s="133" t="str">
        <f>IF(OR(F42="APUC",F42="TOTAL"),"",INDEX(APU!$E$21:$E$108,MATCH(H42,APU!$F$21:$F$108,0),1))</f>
        <v/>
      </c>
      <c r="H42" s="2" t="s">
        <v>212</v>
      </c>
      <c r="I42" s="134">
        <f>VLOOKUP(H42,'Répartition Budget'!$G$18:$H$219,2,FALSE)</f>
        <v>0.13422814563408797</v>
      </c>
    </row>
    <row r="43" spans="5:9" x14ac:dyDescent="0.15">
      <c r="E43" s="131" t="s">
        <v>338</v>
      </c>
      <c r="F43" s="3" t="s">
        <v>385</v>
      </c>
      <c r="G43" s="133" t="str">
        <f>IF(OR(F43="APUC",F43="TOTAL"),"",INDEX(APU!$E$21:$E$108,MATCH(H43,APU!$F$21:$F$108,0),1))</f>
        <v/>
      </c>
      <c r="H43" s="2" t="s">
        <v>261</v>
      </c>
      <c r="I43" s="134">
        <f>VLOOKUP(H43,'Répartition Budget'!$G$18:$H$219,2,FALSE)</f>
        <v>1.0067110922556598E-2</v>
      </c>
    </row>
    <row r="44" spans="5:9" x14ac:dyDescent="0.15">
      <c r="E44" s="113" t="s">
        <v>338</v>
      </c>
      <c r="F44" s="4" t="s">
        <v>1</v>
      </c>
      <c r="G44" s="135" t="str">
        <f>IF(OR(F44="APUC",F44="TOTAL"),"",INDEX(APU!$E$21:$E$108,MATCH(H44,APU!$F$21:$F$108,0),1))</f>
        <v/>
      </c>
      <c r="H44" s="4" t="s">
        <v>1</v>
      </c>
      <c r="I44" s="136">
        <f>SUM(I25:I43)</f>
        <v>205.48646107497626</v>
      </c>
    </row>
    <row r="45" spans="5:9" x14ac:dyDescent="0.15">
      <c r="E45" s="2" t="s">
        <v>193</v>
      </c>
      <c r="F45" s="3" t="s">
        <v>367</v>
      </c>
      <c r="G45" s="133" t="str">
        <f>IF(OR(F45="APUC",F45="TOTAL"),"",INDEX(APU!$E$21:$E$108,MATCH(H45,APU!$F$21:$F$108,0),1))</f>
        <v>GF1004</v>
      </c>
      <c r="H45" s="2" t="s">
        <v>150</v>
      </c>
      <c r="I45" s="134">
        <f>INDEX(_xlfn.ANCHORARRAY('Répartition 1000€'!$H$82),MATCH(E45,'Répartition 1000€'!$E$82:$E$96,0),MATCH(G45,'Répartition 1000€'!$H$20:$P$20,0))</f>
        <v>10.830988704756178</v>
      </c>
    </row>
    <row r="46" spans="5:9" x14ac:dyDescent="0.15">
      <c r="E46" s="2" t="s">
        <v>193</v>
      </c>
      <c r="F46" s="3" t="s">
        <v>386</v>
      </c>
      <c r="G46" s="133" t="str">
        <f>IF(OR(F46="APUC",F46="TOTAL"),"",INDEX(APU!$E$21:$E$108,MATCH(H46,APU!$F$21:$F$108,0),1))</f>
        <v>GF1004</v>
      </c>
      <c r="H46" s="2" t="s">
        <v>150</v>
      </c>
      <c r="I46" s="134">
        <f>INDEX(_xlfn.ANCHORARRAY('Répartition 1000€'!$H$104),MATCH(E46,'Répartition 1000€'!$E$104:$E$118,0),MATCH(G46,'Répartition 1000€'!$H$20:$P$20,0))</f>
        <v>28.563148048841484</v>
      </c>
    </row>
    <row r="47" spans="5:9" x14ac:dyDescent="0.15">
      <c r="E47" s="32" t="s">
        <v>193</v>
      </c>
      <c r="F47" s="4" t="s">
        <v>1</v>
      </c>
      <c r="G47" s="135" t="str">
        <f>IF(OR(F47="APUC",F47="TOTAL"),"",INDEX(APU!$E$21:$E$108,MATCH(H47,APU!$F$21:$F$108,0),1))</f>
        <v/>
      </c>
      <c r="H47" s="4" t="s">
        <v>1</v>
      </c>
      <c r="I47" s="136">
        <f>SUM(I45:I46)</f>
        <v>39.394136753597664</v>
      </c>
    </row>
    <row r="48" spans="5:9" x14ac:dyDescent="0.15">
      <c r="E48" s="2" t="s">
        <v>152</v>
      </c>
      <c r="F48" s="3" t="s">
        <v>367</v>
      </c>
      <c r="G48" s="133" t="str">
        <f>IF(OR(F48="APUC",F48="TOTAL"),"",INDEX(APU!$E$21:$E$108,MATCH(H48,APU!$F$21:$F$108,0),1))</f>
        <v>GF1005</v>
      </c>
      <c r="H48" s="2" t="s">
        <v>152</v>
      </c>
      <c r="I48" s="134">
        <f>INDEX(_xlfn.ANCHORARRAY('Répartition 1000€'!$H$82),MATCH(E48,'Répartition 1000€'!$E$82:$E$96,0),MATCH(G48,'Répartition 1000€'!$H$21:$P$21,0))</f>
        <v>0</v>
      </c>
    </row>
    <row r="49" spans="5:9" x14ac:dyDescent="0.15">
      <c r="E49" s="2" t="s">
        <v>152</v>
      </c>
      <c r="F49" s="3" t="s">
        <v>386</v>
      </c>
      <c r="G49" s="133" t="str">
        <f>IF(OR(F49="APUC",F49="TOTAL"),"",INDEX(APU!$E$21:$E$108,MATCH(H49,APU!$F$21:$F$108,0),1))</f>
        <v>GF1005</v>
      </c>
      <c r="H49" s="2" t="s">
        <v>152</v>
      </c>
      <c r="I49" s="134">
        <f>INDEX(_xlfn.ANCHORARRAY('Répartition 1000€'!$H$104),MATCH(E49,'Répartition 1000€'!$E$104:$E$118,0),MATCH(G49,'Répartition 1000€'!$H$21:$P$21,0))</f>
        <v>26.845629126817599</v>
      </c>
    </row>
    <row r="50" spans="5:9" x14ac:dyDescent="0.15">
      <c r="E50" s="32" t="s">
        <v>152</v>
      </c>
      <c r="F50" s="4" t="s">
        <v>1</v>
      </c>
      <c r="G50" s="135" t="str">
        <f>IF(OR(F50="APUC",F50="TOTAL"),"",INDEX(APU!$E$21:$E$108,MATCH(H50,APU!$F$21:$F$108,0),1))</f>
        <v/>
      </c>
      <c r="H50" s="4" t="s">
        <v>1</v>
      </c>
      <c r="I50" s="136">
        <f>SUM(I48:I49)</f>
        <v>26.845629126817599</v>
      </c>
    </row>
    <row r="51" spans="5:9" x14ac:dyDescent="0.15">
      <c r="E51" s="131" t="s">
        <v>342</v>
      </c>
      <c r="F51" s="3" t="s">
        <v>367</v>
      </c>
      <c r="G51" s="133" t="str">
        <f>IF(OR(F51="APUC",F51="TOTAL"),"",INDEX(APU!$E$21:$E$108,MATCH(H51,APU!$F$21:$F$108,0),1))</f>
        <v>GF1006</v>
      </c>
      <c r="H51" s="2" t="s">
        <v>154</v>
      </c>
      <c r="I51" s="134">
        <f>INDEX(_xlfn.ANCHORARRAY('Répartition 1000€'!$H$82),MATCH(E51,'Répartition 1000€'!$E$82:$E$96,0),MATCH(G51,'Répartition 1000€'!$H$22:$P$22,0))</f>
        <v>3.2607368236726206E-2</v>
      </c>
    </row>
    <row r="52" spans="5:9" x14ac:dyDescent="0.15">
      <c r="E52" s="131" t="s">
        <v>342</v>
      </c>
      <c r="F52" s="3" t="s">
        <v>367</v>
      </c>
      <c r="G52" s="133" t="str">
        <f>IF(OR(F52="APUC",F52="TOTAL"),"",INDEX(APU!$E$21:$E$108,MATCH(H52,APU!$F$21:$F$108,0),1))</f>
        <v>GF1007</v>
      </c>
      <c r="H52" s="2" t="s">
        <v>156</v>
      </c>
      <c r="I52" s="134">
        <f>INDEX(_xlfn.ANCHORARRAY('Répartition 1000€'!$H$82),MATCH(E52,'Répartition 1000€'!$E$82:$E$96,0),MATCH(G52,'Répartition 1000€'!$H$22:$P$22,0))</f>
        <v>12.842881747204128</v>
      </c>
    </row>
    <row r="53" spans="5:9" x14ac:dyDescent="0.15">
      <c r="E53" s="131" t="s">
        <v>342</v>
      </c>
      <c r="F53" s="3" t="s">
        <v>367</v>
      </c>
      <c r="G53" s="133" t="str">
        <f>IF(OR(F53="APUC",F53="TOTAL"),"",INDEX(APU!$E$21:$E$108,MATCH(H53,APU!$F$21:$F$108,0),1))</f>
        <v>GF1008</v>
      </c>
      <c r="H53" s="2" t="s">
        <v>158</v>
      </c>
      <c r="I53" s="134">
        <f>INDEX(_xlfn.ANCHORARRAY('Répartition 1000€'!$H$82),MATCH(E53,'Répartition 1000€'!$E$82:$E$96,0),MATCH(G53,'Répartition 1000€'!$H$22:$P$22,0))</f>
        <v>0</v>
      </c>
    </row>
    <row r="54" spans="5:9" x14ac:dyDescent="0.15">
      <c r="E54" s="131" t="s">
        <v>342</v>
      </c>
      <c r="F54" s="3" t="s">
        <v>367</v>
      </c>
      <c r="G54" s="133" t="str">
        <f>IF(OR(F54="APUC",F54="TOTAL"),"",INDEX(APU!$E$21:$E$108,MATCH(H54,APU!$F$21:$F$108,0),1))</f>
        <v>GF1009</v>
      </c>
      <c r="H54" s="2" t="s">
        <v>160</v>
      </c>
      <c r="I54" s="134">
        <f>INDEX(_xlfn.ANCHORARRAY('Répartition 1000€'!$H$82),MATCH(E54,'Répartition 1000€'!$E$82:$E$96,0),MATCH(G54,'Répartition 1000€'!$H$22:$P$22,0))</f>
        <v>3.0936470892618257</v>
      </c>
    </row>
    <row r="55" spans="5:9" x14ac:dyDescent="0.15">
      <c r="E55" s="131" t="s">
        <v>342</v>
      </c>
      <c r="F55" s="3" t="s">
        <v>386</v>
      </c>
      <c r="G55" s="133" t="str">
        <f>IF(OR(F55="APUC",F55="TOTAL"),"",INDEX(APU!$E$21:$E$108,MATCH(H55,APU!$F$21:$F$108,0),1))</f>
        <v>GF1006</v>
      </c>
      <c r="H55" s="2" t="s">
        <v>154</v>
      </c>
      <c r="I55" s="134">
        <f>INDEX(_xlfn.ANCHORARRAY('Répartition 1000€'!$H$104),MATCH(E55,'Répartition 1000€'!$E$104:$E$118,0),MATCH(G55,'Répartition 1000€'!$H$22:$P$22,0))</f>
        <v>0</v>
      </c>
    </row>
    <row r="56" spans="5:9" x14ac:dyDescent="0.15">
      <c r="E56" s="131" t="s">
        <v>342</v>
      </c>
      <c r="F56" s="3" t="s">
        <v>386</v>
      </c>
      <c r="G56" s="133" t="str">
        <f>IF(OR(F56="APUC",F56="TOTAL"),"",INDEX(APU!$E$21:$E$108,MATCH(H56,APU!$F$21:$F$108,0),1))</f>
        <v>GF1007</v>
      </c>
      <c r="H56" s="2" t="s">
        <v>156</v>
      </c>
      <c r="I56" s="134">
        <f>INDEX(_xlfn.ANCHORARRAY('Répartition 1000€'!$H$104),MATCH(E56,'Répartition 1000€'!$E$104:$E$118,0),MATCH(G56,'Répartition 1000€'!$H$22:$P$22,0))</f>
        <v>0</v>
      </c>
    </row>
    <row r="57" spans="5:9" x14ac:dyDescent="0.15">
      <c r="E57" s="131" t="s">
        <v>342</v>
      </c>
      <c r="F57" s="3" t="s">
        <v>386</v>
      </c>
      <c r="G57" s="133" t="str">
        <f>IF(OR(F57="APUC",F57="TOTAL"),"",INDEX(APU!$E$21:$E$108,MATCH(H57,APU!$F$21:$F$108,0),1))</f>
        <v>GF1008</v>
      </c>
      <c r="H57" s="2" t="s">
        <v>158</v>
      </c>
      <c r="I57" s="134">
        <f>INDEX(_xlfn.ANCHORARRAY('Répartition 1000€'!$H$104),MATCH(E57,'Répartition 1000€'!$E$104:$E$118,0),MATCH(G57,'Répartition 1000€'!$H$22:$P$22,0))</f>
        <v>0</v>
      </c>
    </row>
    <row r="58" spans="5:9" x14ac:dyDescent="0.15">
      <c r="E58" s="131" t="s">
        <v>342</v>
      </c>
      <c r="F58" s="3" t="s">
        <v>386</v>
      </c>
      <c r="G58" s="133" t="str">
        <f>IF(OR(F58="APUC",F58="TOTAL"),"",INDEX(APU!$E$21:$E$108,MATCH(H58,APU!$F$21:$F$108,0),1))</f>
        <v>GF1009</v>
      </c>
      <c r="H58" s="2" t="s">
        <v>160</v>
      </c>
      <c r="I58" s="134">
        <f>INDEX(_xlfn.ANCHORARRAY('Répartition 1000€'!$H$104),MATCH(E58,'Répartition 1000€'!$E$104:$E$118,0),MATCH(G58,'Répartition 1000€'!$H$22:$P$22,0))</f>
        <v>0.17986571514967792</v>
      </c>
    </row>
    <row r="59" spans="5:9" x14ac:dyDescent="0.15">
      <c r="E59" s="131" t="s">
        <v>342</v>
      </c>
      <c r="F59" s="3" t="s">
        <v>385</v>
      </c>
      <c r="G59" s="133" t="str">
        <f>IF(OR(F59="APUC",F59="TOTAL"),"",INDEX(APU!$E$21:$E$108,MATCH(H59,APU!$F$21:$F$108,0),1))</f>
        <v/>
      </c>
      <c r="H59" s="2" t="s">
        <v>236</v>
      </c>
      <c r="I59" s="134">
        <f>VLOOKUP(H59,'Répartition Budget'!$G$18:$H$219,2,FALSE)</f>
        <v>8.803940425857455</v>
      </c>
    </row>
    <row r="60" spans="5:9" x14ac:dyDescent="0.15">
      <c r="E60" s="131" t="s">
        <v>342</v>
      </c>
      <c r="F60" s="3" t="s">
        <v>385</v>
      </c>
      <c r="G60" s="133" t="str">
        <f>IF(OR(F60="APUC",F60="TOTAL"),"",INDEX(APU!$E$21:$E$108,MATCH(H60,APU!$F$21:$F$108,0),1))</f>
        <v/>
      </c>
      <c r="H60" s="2" t="s">
        <v>237</v>
      </c>
      <c r="I60" s="134">
        <f>VLOOKUP(H60,'Répartition Budget'!$G$18:$H$219,2,FALSE)</f>
        <v>1.8871350893957273</v>
      </c>
    </row>
    <row r="61" spans="5:9" x14ac:dyDescent="0.15">
      <c r="E61" s="131" t="s">
        <v>342</v>
      </c>
      <c r="F61" s="3" t="s">
        <v>385</v>
      </c>
      <c r="G61" s="133" t="str">
        <f>IF(OR(F61="APUC",F61="TOTAL"),"",INDEX(APU!$E$21:$E$108,MATCH(H61,APU!$F$21:$F$108,0),1))</f>
        <v/>
      </c>
      <c r="H61" s="2" t="s">
        <v>215</v>
      </c>
      <c r="I61" s="134">
        <f>VLOOKUP(H61,'Répartition Budget'!$G$18:$H$219,2,FALSE)</f>
        <v>9.8674996082581714</v>
      </c>
    </row>
    <row r="62" spans="5:9" x14ac:dyDescent="0.15">
      <c r="E62" s="131" t="s">
        <v>342</v>
      </c>
      <c r="F62" s="3" t="s">
        <v>385</v>
      </c>
      <c r="G62" s="133" t="str">
        <f>IF(OR(F62="APUC",F62="TOTAL"),"",INDEX(APU!$E$21:$E$108,MATCH(H62,APU!$F$21:$F$108,0),1))</f>
        <v/>
      </c>
      <c r="H62" s="2" t="s">
        <v>219</v>
      </c>
      <c r="I62" s="134">
        <f>VLOOKUP(H62,'Répartition Budget'!$G$18:$H$219,2,FALSE)</f>
        <v>3.3966036279676336E-2</v>
      </c>
    </row>
    <row r="63" spans="5:9" x14ac:dyDescent="0.15">
      <c r="E63" s="113" t="s">
        <v>342</v>
      </c>
      <c r="F63" s="4" t="s">
        <v>1</v>
      </c>
      <c r="G63" s="135" t="str">
        <f>IF(OR(F63="APUC",F63="TOTAL"),"",INDEX(APU!$E$21:$E$108,MATCH(H63,APU!$F$21:$F$108,0),1))</f>
        <v/>
      </c>
      <c r="H63" s="4" t="s">
        <v>1</v>
      </c>
      <c r="I63" s="136">
        <f>SUM(I51:I62)</f>
        <v>36.741543079643392</v>
      </c>
    </row>
    <row r="64" spans="5:9" x14ac:dyDescent="0.15">
      <c r="E64" s="2" t="s">
        <v>348</v>
      </c>
      <c r="F64" s="3" t="s">
        <v>367</v>
      </c>
      <c r="G64" s="133" t="str">
        <f>IF(OR(F64="APUC",F64="TOTAL"),"",INDEX(APU!$E$21:$E$108,MATCH(H64,APU!$F$21:$F$108,0),1))</f>
        <v>GF0901</v>
      </c>
      <c r="H64" s="2" t="s">
        <v>126</v>
      </c>
      <c r="I64" s="134">
        <f>INDEX(_xlfn.ANCHORARRAY('Répartition 1000€'!$H$82),MATCH(E64,'Répartition 1000€'!$E$82:$E$96,0),MATCH(G64,'Répartition 1000€'!$H$23:$P$23,0))</f>
        <v>7.6437566264307559</v>
      </c>
    </row>
    <row r="65" spans="5:9" x14ac:dyDescent="0.15">
      <c r="E65" s="2" t="s">
        <v>348</v>
      </c>
      <c r="F65" s="3" t="s">
        <v>367</v>
      </c>
      <c r="G65" s="133" t="str">
        <f>IF(OR(F65="APUC",F65="TOTAL"),"",INDEX(APU!$E$21:$E$108,MATCH(H65,APU!$F$21:$F$108,0),1))</f>
        <v>GF0902</v>
      </c>
      <c r="H65" s="2" t="s">
        <v>128</v>
      </c>
      <c r="I65" s="134">
        <f>INDEX(_xlfn.ANCHORARRAY('Répartition 1000€'!$H$82),MATCH(E65,'Répartition 1000€'!$E$82:$E$96,0),MATCH(G65,'Répartition 1000€'!$H$23:$P$23,0))</f>
        <v>12.073568923720689</v>
      </c>
    </row>
    <row r="66" spans="5:9" x14ac:dyDescent="0.15">
      <c r="E66" s="2" t="s">
        <v>348</v>
      </c>
      <c r="F66" s="3" t="s">
        <v>367</v>
      </c>
      <c r="G66" s="133" t="str">
        <f>IF(OR(F66="APUC",F66="TOTAL"),"",INDEX(APU!$E$21:$E$108,MATCH(H66,APU!$F$21:$F$108,0),1))</f>
        <v>GF0903</v>
      </c>
      <c r="H66" s="2" t="s">
        <v>130</v>
      </c>
      <c r="I66" s="134">
        <f>INDEX(_xlfn.ANCHORARRAY('Répartition 1000€'!$H$82),MATCH(E66,'Répartition 1000€'!$E$82:$E$96,0),MATCH(G66,'Répartition 1000€'!$H$23:$P$23,0))</f>
        <v>0.33160035494975804</v>
      </c>
    </row>
    <row r="67" spans="5:9" x14ac:dyDescent="0.15">
      <c r="E67" s="2" t="s">
        <v>348</v>
      </c>
      <c r="F67" s="3" t="s">
        <v>367</v>
      </c>
      <c r="G67" s="133" t="str">
        <f>IF(OR(F67="APUC",F67="TOTAL"),"",INDEX(APU!$E$21:$E$108,MATCH(H67,APU!$F$21:$F$108,0),1))</f>
        <v>GF0904</v>
      </c>
      <c r="H67" s="2" t="s">
        <v>132</v>
      </c>
      <c r="I67" s="134">
        <f>INDEX(_xlfn.ANCHORARRAY('Répartition 1000€'!$H$82),MATCH(E67,'Répartition 1000€'!$E$82:$E$96,0),MATCH(G67,'Répartition 1000€'!$H$23:$P$23,0))</f>
        <v>0.2166455652338419</v>
      </c>
    </row>
    <row r="68" spans="5:9" x14ac:dyDescent="0.15">
      <c r="E68" s="2" t="s">
        <v>348</v>
      </c>
      <c r="F68" s="3" t="s">
        <v>367</v>
      </c>
      <c r="G68" s="133" t="str">
        <f>IF(OR(F68="APUC",F68="TOTAL"),"",INDEX(APU!$E$21:$E$108,MATCH(H68,APU!$F$21:$F$108,0),1))</f>
        <v>GF0905</v>
      </c>
      <c r="H68" s="2" t="s">
        <v>134</v>
      </c>
      <c r="I68" s="134">
        <f>INDEX(_xlfn.ANCHORARRAY('Répartition 1000€'!$H$82),MATCH(E68,'Répartition 1000€'!$E$82:$E$96,0),MATCH(G68,'Répartition 1000€'!$H$23:$P$23,0))</f>
        <v>3.2946337488452619</v>
      </c>
    </row>
    <row r="69" spans="5:9" x14ac:dyDescent="0.15">
      <c r="E69" s="2" t="s">
        <v>348</v>
      </c>
      <c r="F69" s="3" t="s">
        <v>367</v>
      </c>
      <c r="G69" s="133" t="str">
        <f>IF(OR(F69="APUC",F69="TOTAL"),"",INDEX(APU!$E$21:$E$108,MATCH(H69,APU!$F$21:$F$108,0),1))</f>
        <v>GF0906</v>
      </c>
      <c r="H69" s="2" t="s">
        <v>136</v>
      </c>
      <c r="I69" s="134">
        <f>INDEX(_xlfn.ANCHORARRAY('Répartition 1000€'!$H$82),MATCH(E69,'Répartition 1000€'!$E$82:$E$96,0),MATCH(G69,'Répartition 1000€'!$H$23:$P$23,0))</f>
        <v>3.8305367669279544</v>
      </c>
    </row>
    <row r="70" spans="5:9" x14ac:dyDescent="0.15">
      <c r="E70" s="2" t="s">
        <v>348</v>
      </c>
      <c r="F70" s="3" t="s">
        <v>367</v>
      </c>
      <c r="G70" s="133" t="str">
        <f>IF(OR(F70="APUC",F70="TOTAL"),"",INDEX(APU!$E$21:$E$108,MATCH(H70,APU!$F$21:$F$108,0),1))</f>
        <v>GF0907</v>
      </c>
      <c r="H70" s="2" t="s">
        <v>138</v>
      </c>
      <c r="I70" s="134">
        <f>INDEX(_xlfn.ANCHORARRAY('Répartition 1000€'!$H$82),MATCH(E70,'Répartition 1000€'!$E$82:$E$96,0),MATCH(G70,'Répartition 1000€'!$H$23:$P$23,0))</f>
        <v>0</v>
      </c>
    </row>
    <row r="71" spans="5:9" x14ac:dyDescent="0.15">
      <c r="E71" s="2" t="s">
        <v>348</v>
      </c>
      <c r="F71" s="3" t="s">
        <v>367</v>
      </c>
      <c r="G71" s="133" t="str">
        <f>IF(OR(F71="APUC",F71="TOTAL"),"",INDEX(APU!$E$21:$E$108,MATCH(H71,APU!$F$21:$F$108,0),1))</f>
        <v>GF0908</v>
      </c>
      <c r="H71" s="2" t="s">
        <v>140</v>
      </c>
      <c r="I71" s="134">
        <f>INDEX(_xlfn.ANCHORARRAY('Répartition 1000€'!$H$82),MATCH(E71,'Répartition 1000€'!$E$82:$E$96,0),MATCH(G71,'Répartition 1000€'!$H$23:$P$23,0))</f>
        <v>0</v>
      </c>
    </row>
    <row r="72" spans="5:9" x14ac:dyDescent="0.15">
      <c r="E72" s="2" t="s">
        <v>348</v>
      </c>
      <c r="F72" s="3" t="s">
        <v>367</v>
      </c>
      <c r="G72" s="133" t="str">
        <f>IF(OR(F72="APUC",F72="TOTAL"),"",INDEX(APU!$E$21:$E$108,MATCH(H72,APU!$F$21:$F$108,0),1))</f>
        <v>GF0104</v>
      </c>
      <c r="H72" s="2" t="s">
        <v>12</v>
      </c>
      <c r="I72" s="134">
        <f>INDEX(_xlfn.ANCHORARRAY('Répartition 1000€'!$H$82),MATCH(E72,'Répartition 1000€'!$E$82:$E$96,0),MATCH(G72,'Répartition 1000€'!$H$23:$P$23,0))</f>
        <v>0</v>
      </c>
    </row>
    <row r="73" spans="5:9" x14ac:dyDescent="0.15">
      <c r="E73" s="2" t="s">
        <v>348</v>
      </c>
      <c r="F73" s="3" t="s">
        <v>385</v>
      </c>
      <c r="G73" s="133" t="str">
        <f>IF(OR(F73="APUC",F73="TOTAL"),"",INDEX(APU!$E$21:$E$108,MATCH(H73,APU!$F$21:$F$108,0),1))</f>
        <v/>
      </c>
      <c r="H73" s="2" t="s">
        <v>201</v>
      </c>
      <c r="I73" s="134">
        <f>VLOOKUP(H73,'Répartition Budget'!$G$18:$H$219,2,FALSE)</f>
        <v>16.244729818727016</v>
      </c>
    </row>
    <row r="74" spans="5:9" x14ac:dyDescent="0.15">
      <c r="E74" s="2" t="s">
        <v>348</v>
      </c>
      <c r="F74" s="3" t="s">
        <v>385</v>
      </c>
      <c r="G74" s="133" t="str">
        <f>IF(OR(F74="APUC",F74="TOTAL"),"",INDEX(APU!$E$21:$E$108,MATCH(H74,APU!$F$21:$F$108,0),1))</f>
        <v/>
      </c>
      <c r="H74" s="2" t="s">
        <v>200</v>
      </c>
      <c r="I74" s="134">
        <f>VLOOKUP(H74,'Répartition Budget'!$G$18:$H$219,2,FALSE)</f>
        <v>23.226565087051608</v>
      </c>
    </row>
    <row r="75" spans="5:9" x14ac:dyDescent="0.15">
      <c r="E75" s="2" t="s">
        <v>348</v>
      </c>
      <c r="F75" s="3" t="s">
        <v>385</v>
      </c>
      <c r="G75" s="133" t="str">
        <f>IF(OR(F75="APUC",F75="TOTAL"),"",INDEX(APU!$E$21:$E$108,MATCH(H75,APU!$F$21:$F$108,0),1))</f>
        <v/>
      </c>
      <c r="H75" s="2" t="s">
        <v>337</v>
      </c>
      <c r="I75" s="134">
        <f>VLOOKUP(H75,'Répartition Budget'!$G$18:$H$219,2,FALSE)</f>
        <v>5.3670981145929044</v>
      </c>
    </row>
    <row r="76" spans="5:9" x14ac:dyDescent="0.15">
      <c r="E76" s="2" t="s">
        <v>348</v>
      </c>
      <c r="F76" s="3" t="s">
        <v>385</v>
      </c>
      <c r="G76" s="133" t="str">
        <f>IF(OR(F76="APUC",F76="TOTAL"),"",INDEX(APU!$E$21:$E$108,MATCH(H76,APU!$F$21:$F$108,0),1))</f>
        <v/>
      </c>
      <c r="H76" s="2" t="s">
        <v>221</v>
      </c>
      <c r="I76" s="134">
        <f>VLOOKUP(H76,'Répartition Budget'!$G$18:$H$219,2,FALSE)</f>
        <v>9.5572692496130074</v>
      </c>
    </row>
    <row r="77" spans="5:9" x14ac:dyDescent="0.15">
      <c r="E77" s="2" t="s">
        <v>348</v>
      </c>
      <c r="F77" s="3" t="s">
        <v>385</v>
      </c>
      <c r="G77" s="133" t="str">
        <f>IF(OR(F77="APUC",F77="TOTAL"),"",INDEX(APU!$E$21:$E$108,MATCH(H77,APU!$F$21:$F$108,0),1))</f>
        <v/>
      </c>
      <c r="H77" s="2" t="s">
        <v>205</v>
      </c>
      <c r="I77" s="134">
        <f>VLOOKUP(H77,'Répartition Budget'!$G$18:$H$219,2,FALSE)</f>
        <v>1.0331853657947661</v>
      </c>
    </row>
    <row r="78" spans="5:9" x14ac:dyDescent="0.15">
      <c r="E78" s="2" t="s">
        <v>348</v>
      </c>
      <c r="F78" s="3" t="s">
        <v>385</v>
      </c>
      <c r="G78" s="133" t="str">
        <f>IF(OR(F78="APUC",F78="TOTAL"),"",INDEX(APU!$E$21:$E$108,MATCH(H78,APU!$F$21:$F$108,0),1))</f>
        <v/>
      </c>
      <c r="H78" s="2" t="s">
        <v>227</v>
      </c>
      <c r="I78" s="134">
        <f>VLOOKUP(H78,'Répartition Budget'!$G$18:$H$219,2,FALSE)</f>
        <v>0.25598231935887705</v>
      </c>
    </row>
    <row r="79" spans="5:9" x14ac:dyDescent="0.15">
      <c r="E79" s="2" t="s">
        <v>348</v>
      </c>
      <c r="F79" s="3" t="s">
        <v>385</v>
      </c>
      <c r="G79" s="133" t="str">
        <f>IF(OR(F79="APUC",F79="TOTAL"),"",INDEX(APU!$E$21:$E$108,MATCH(H79,APU!$F$21:$F$108,0),1))</f>
        <v/>
      </c>
      <c r="H79" s="2" t="s">
        <v>203</v>
      </c>
      <c r="I79" s="134">
        <f>VLOOKUP(H79,'Répartition Budget'!$G$18:$H$219,2,FALSE)</f>
        <v>4.6649784800742484</v>
      </c>
    </row>
    <row r="80" spans="5:9" x14ac:dyDescent="0.15">
      <c r="E80" s="2" t="s">
        <v>348</v>
      </c>
      <c r="F80" s="3" t="s">
        <v>385</v>
      </c>
      <c r="G80" s="133" t="str">
        <f>IF(OR(F80="APUC",F80="TOTAL"),"",INDEX(APU!$E$21:$E$108,MATCH(H80,APU!$F$21:$F$108,0),1))</f>
        <v/>
      </c>
      <c r="H80" s="2" t="s">
        <v>223</v>
      </c>
      <c r="I80" s="134">
        <f>VLOOKUP(H80,'Répartition Budget'!$G$18:$H$219,2,FALSE)</f>
        <v>2.1245668233233559</v>
      </c>
    </row>
    <row r="81" spans="5:9" x14ac:dyDescent="0.15">
      <c r="E81" s="2" t="s">
        <v>348</v>
      </c>
      <c r="F81" s="3" t="s">
        <v>385</v>
      </c>
      <c r="G81" s="133" t="str">
        <f>IF(OR(F81="APUC",F81="TOTAL"),"",INDEX(APU!$E$21:$E$108,MATCH(H81,APU!$F$21:$F$108,0),1))</f>
        <v/>
      </c>
      <c r="H81" s="2" t="s">
        <v>204</v>
      </c>
      <c r="I81" s="134">
        <f>VLOOKUP(H81,'Répartition Budget'!$G$18:$H$219,2,FALSE)</f>
        <v>1.7446655678343981</v>
      </c>
    </row>
    <row r="82" spans="5:9" x14ac:dyDescent="0.15">
      <c r="E82" s="2" t="s">
        <v>348</v>
      </c>
      <c r="F82" s="3" t="s">
        <v>385</v>
      </c>
      <c r="G82" s="133" t="str">
        <f>IF(OR(F82="APUC",F82="TOTAL"),"",INDEX(APU!$E$21:$E$108,MATCH(H82,APU!$F$21:$F$108,0),1))</f>
        <v/>
      </c>
      <c r="H82" s="2" t="s">
        <v>222</v>
      </c>
      <c r="I82" s="134">
        <f>VLOOKUP(H82,'Répartition Budget'!$G$18:$H$219,2,FALSE)</f>
        <v>5.0760958505615275</v>
      </c>
    </row>
    <row r="83" spans="5:9" x14ac:dyDescent="0.15">
      <c r="E83" s="32" t="s">
        <v>348</v>
      </c>
      <c r="F83" s="4" t="s">
        <v>1</v>
      </c>
      <c r="G83" s="135" t="str">
        <f>IF(OR(F83="APUC",F83="TOTAL"),"",INDEX(APU!$E$21:$E$108,MATCH(H83,APU!$F$21:$F$108,0),1))</f>
        <v/>
      </c>
      <c r="H83" s="4" t="s">
        <v>1</v>
      </c>
      <c r="I83" s="136">
        <f>SUM(I64:I82)</f>
        <v>96.685878663039972</v>
      </c>
    </row>
    <row r="84" spans="5:9" x14ac:dyDescent="0.15">
      <c r="E84" s="2" t="s">
        <v>341</v>
      </c>
      <c r="F84" s="3" t="s">
        <v>367</v>
      </c>
      <c r="G84" s="133" t="str">
        <f>IF(OR(F84="APUC",F84="TOTAL"),"",INDEX(APU!$E$21:$E$108,MATCH(H84,APU!$F$21:$F$108,0),1))</f>
        <v>GF0102</v>
      </c>
      <c r="H84" s="2" t="s">
        <v>8</v>
      </c>
      <c r="I84" s="134">
        <f>INDEX(_xlfn.ANCHORARRAY('Répartition 1000€'!$H$82),MATCH(E84,'Répartition 1000€'!$E$82:$E$96,0),MATCH(G84,'Répartition 1000€'!$H$24:$P$24,0))</f>
        <v>0</v>
      </c>
    </row>
    <row r="85" spans="5:9" x14ac:dyDescent="0.15">
      <c r="E85" s="2" t="s">
        <v>341</v>
      </c>
      <c r="F85" s="3" t="s">
        <v>367</v>
      </c>
      <c r="G85" s="133" t="str">
        <f>IF(OR(F85="APUC",F85="TOTAL"),"",INDEX(APU!$E$21:$E$108,MATCH(H85,APU!$F$21:$F$108,0),1))</f>
        <v>GF0401</v>
      </c>
      <c r="H85" s="2" t="s">
        <v>50</v>
      </c>
      <c r="I85" s="134">
        <f>INDEX(_xlfn.ANCHORARRAY('Répartition 1000€'!$H$82),MATCH(E85,'Répartition 1000€'!$E$82:$E$96,0),MATCH(G85,'Répartition 1000€'!$H$24:$P$24,0))</f>
        <v>3.0243794595612092</v>
      </c>
    </row>
    <row r="86" spans="5:9" x14ac:dyDescent="0.15">
      <c r="E86" s="2" t="s">
        <v>341</v>
      </c>
      <c r="F86" s="3" t="s">
        <v>367</v>
      </c>
      <c r="G86" s="133" t="str">
        <f>IF(OR(F86="APUC",F86="TOTAL"),"",INDEX(APU!$E$21:$E$108,MATCH(H86,APU!$F$21:$F$108,0),1))</f>
        <v>GF0402</v>
      </c>
      <c r="H86" s="2" t="s">
        <v>52</v>
      </c>
      <c r="I86" s="134">
        <f>INDEX(_xlfn.ANCHORARRAY('Répartition 1000€'!$H$82),MATCH(E86,'Répartition 1000€'!$E$82:$E$96,0),MATCH(G86,'Répartition 1000€'!$H$24:$P$24,0))</f>
        <v>1.9402305212949174</v>
      </c>
    </row>
    <row r="87" spans="5:9" x14ac:dyDescent="0.15">
      <c r="E87" s="2" t="s">
        <v>341</v>
      </c>
      <c r="F87" s="3" t="s">
        <v>367</v>
      </c>
      <c r="G87" s="133" t="str">
        <f>IF(OR(F87="APUC",F87="TOTAL"),"",INDEX(APU!$E$21:$E$108,MATCH(H87,APU!$F$21:$F$108,0),1))</f>
        <v>GF0404</v>
      </c>
      <c r="H87" s="2" t="s">
        <v>56</v>
      </c>
      <c r="I87" s="134">
        <f>INDEX(_xlfn.ANCHORARRAY('Répartition 1000€'!$H$82),MATCH(E87,'Répartition 1000€'!$E$82:$E$96,0),MATCH(G87,'Répartition 1000€'!$H$24:$P$24,0))</f>
        <v>2.8554475009562492E-2</v>
      </c>
    </row>
    <row r="88" spans="5:9" x14ac:dyDescent="0.15">
      <c r="E88" s="2" t="s">
        <v>341</v>
      </c>
      <c r="F88" s="3" t="s">
        <v>367</v>
      </c>
      <c r="G88" s="133" t="str">
        <f>IF(OR(F88="APUC",F88="TOTAL"),"",INDEX(APU!$E$21:$E$108,MATCH(H88,APU!$F$21:$F$108,0),1))</f>
        <v>GF0406</v>
      </c>
      <c r="H88" s="2" t="s">
        <v>60</v>
      </c>
      <c r="I88" s="134">
        <f>INDEX(_xlfn.ANCHORARRAY('Répartition 1000€'!$H$82),MATCH(E88,'Répartition 1000€'!$E$82:$E$96,0),MATCH(G88,'Répartition 1000€'!$H$24:$P$24,0))</f>
        <v>0.27817585331896361</v>
      </c>
    </row>
    <row r="89" spans="5:9" x14ac:dyDescent="0.15">
      <c r="E89" s="2" t="s">
        <v>341</v>
      </c>
      <c r="F89" s="3" t="s">
        <v>367</v>
      </c>
      <c r="G89" s="133" t="str">
        <f>IF(OR(F89="APUC",F89="TOTAL"),"",INDEX(APU!$E$21:$E$108,MATCH(H89,APU!$F$21:$F$108,0),1))</f>
        <v>GF0407</v>
      </c>
      <c r="H89" s="2" t="s">
        <v>62</v>
      </c>
      <c r="I89" s="134">
        <f>INDEX(_xlfn.ANCHORARRAY('Répartition 1000€'!$H$82),MATCH(E89,'Répartition 1000€'!$E$82:$E$96,0),MATCH(G89,'Répartition 1000€'!$H$24:$P$24,0))</f>
        <v>4.2713810165917163</v>
      </c>
    </row>
    <row r="90" spans="5:9" x14ac:dyDescent="0.15">
      <c r="E90" s="2" t="s">
        <v>341</v>
      </c>
      <c r="F90" s="3" t="s">
        <v>367</v>
      </c>
      <c r="G90" s="133" t="str">
        <f>IF(OR(F90="APUC",F90="TOTAL"),"",INDEX(APU!$E$21:$E$108,MATCH(H90,APU!$F$21:$F$108,0),1))</f>
        <v>GF0408</v>
      </c>
      <c r="H90" s="2" t="s">
        <v>64</v>
      </c>
      <c r="I90" s="134">
        <f>INDEX(_xlfn.ANCHORARRAY('Répartition 1000€'!$H$82),MATCH(E90,'Répartition 1000€'!$E$82:$E$96,0),MATCH(G90,'Répartition 1000€'!$H$24:$P$24,0))</f>
        <v>0.36623416980006607</v>
      </c>
    </row>
    <row r="91" spans="5:9" x14ac:dyDescent="0.15">
      <c r="E91" s="2" t="s">
        <v>341</v>
      </c>
      <c r="F91" s="3" t="s">
        <v>367</v>
      </c>
      <c r="G91" s="133" t="str">
        <f>IF(OR(F91="APUC",F91="TOTAL"),"",INDEX(APU!$E$21:$E$108,MATCH(H91,APU!$F$21:$F$108,0),1))</f>
        <v>GF0409</v>
      </c>
      <c r="H91" s="2" t="s">
        <v>66</v>
      </c>
      <c r="I91" s="134">
        <f>INDEX(_xlfn.ANCHORARRAY('Répartition 1000€'!$H$82),MATCH(E91,'Répartition 1000€'!$E$82:$E$96,0),MATCH(G91,'Répartition 1000€'!$H$24:$P$24,0))</f>
        <v>0.36641839221948264</v>
      </c>
    </row>
    <row r="92" spans="5:9" x14ac:dyDescent="0.15">
      <c r="E92" s="2" t="s">
        <v>341</v>
      </c>
      <c r="F92" s="3" t="s">
        <v>385</v>
      </c>
      <c r="G92" s="133" t="str">
        <f>IF(OR(F92="APUC",F92="TOTAL"),"",INDEX(APU!$E$21:$E$108,MATCH(H92,APU!$F$21:$F$108,0),1))</f>
        <v/>
      </c>
      <c r="H92" s="2" t="s">
        <v>273</v>
      </c>
      <c r="I92" s="134">
        <f>VLOOKUP(H92,'Répartition Budget'!$G$18:$H$219,2,FALSE)</f>
        <v>3.4261438112791534</v>
      </c>
    </row>
    <row r="93" spans="5:9" x14ac:dyDescent="0.15">
      <c r="E93" s="2" t="s">
        <v>341</v>
      </c>
      <c r="F93" s="3" t="s">
        <v>385</v>
      </c>
      <c r="G93" s="133" t="str">
        <f>IF(OR(F93="APUC",F93="TOTAL"),"",INDEX(APU!$E$21:$E$108,MATCH(H93,APU!$F$21:$F$108,0),1))</f>
        <v/>
      </c>
      <c r="H93" s="2" t="s">
        <v>297</v>
      </c>
      <c r="I93" s="134">
        <f>VLOOKUP(H93,'Répartition Budget'!$G$18:$H$219,2,FALSE)</f>
        <v>0.69820917601901</v>
      </c>
    </row>
    <row r="94" spans="5:9" x14ac:dyDescent="0.15">
      <c r="E94" s="2" t="s">
        <v>341</v>
      </c>
      <c r="F94" s="3" t="s">
        <v>385</v>
      </c>
      <c r="G94" s="133" t="str">
        <f>IF(OR(F94="APUC",F94="TOTAL"),"",INDEX(APU!$E$21:$E$108,MATCH(H94,APU!$F$21:$F$108,0),1))</f>
        <v/>
      </c>
      <c r="H94" s="2" t="s">
        <v>301</v>
      </c>
      <c r="I94" s="134">
        <f>VLOOKUP(H94,'Répartition Budget'!$G$18:$H$219,2,FALSE)</f>
        <v>6.6375818016056506E-2</v>
      </c>
    </row>
    <row r="95" spans="5:9" x14ac:dyDescent="0.15">
      <c r="E95" s="2" t="s">
        <v>341</v>
      </c>
      <c r="F95" s="3" t="s">
        <v>385</v>
      </c>
      <c r="G95" s="133" t="str">
        <f>IF(OR(F95="APUC",F95="TOTAL"),"",INDEX(APU!$E$21:$E$108,MATCH(H95,APU!$F$21:$F$108,0),1))</f>
        <v/>
      </c>
      <c r="H95" s="2" t="s">
        <v>326</v>
      </c>
      <c r="I95" s="134">
        <f>VLOOKUP(H95,'Répartition Budget'!$G$18:$H$219,2,FALSE)</f>
        <v>5.4579230483967827</v>
      </c>
    </row>
    <row r="96" spans="5:9" x14ac:dyDescent="0.15">
      <c r="E96" s="2" t="s">
        <v>341</v>
      </c>
      <c r="F96" s="3" t="s">
        <v>385</v>
      </c>
      <c r="G96" s="133" t="str">
        <f>IF(OR(F96="APUC",F96="TOTAL"),"",INDEX(APU!$E$21:$E$108,MATCH(H96,APU!$F$21:$F$108,0),1))</f>
        <v/>
      </c>
      <c r="H96" s="2" t="s">
        <v>327</v>
      </c>
      <c r="I96" s="134">
        <f>VLOOKUP(H96,'Répartition Budget'!$G$18:$H$219,2,FALSE)</f>
        <v>4.8845702061991263</v>
      </c>
    </row>
    <row r="97" spans="5:9" x14ac:dyDescent="0.15">
      <c r="E97" s="2" t="s">
        <v>341</v>
      </c>
      <c r="F97" s="3" t="s">
        <v>385</v>
      </c>
      <c r="G97" s="133" t="str">
        <f>IF(OR(F97="APUC",F97="TOTAL"),"",INDEX(APU!$E$21:$E$108,MATCH(H97,APU!$F$21:$F$108,0),1))</f>
        <v/>
      </c>
      <c r="H97" s="2" t="s">
        <v>231</v>
      </c>
      <c r="I97" s="134">
        <f>VLOOKUP(H97,'Répartition Budget'!$G$18:$H$219,2,FALSE)</f>
        <v>2.9841297042164281</v>
      </c>
    </row>
    <row r="98" spans="5:9" x14ac:dyDescent="0.15">
      <c r="E98" s="2" t="s">
        <v>341</v>
      </c>
      <c r="F98" s="3" t="s">
        <v>385</v>
      </c>
      <c r="G98" s="133" t="str">
        <f>IF(OR(F98="APUC",F98="TOTAL"),"",INDEX(APU!$E$21:$E$108,MATCH(H98,APU!$F$21:$F$108,0),1))</f>
        <v/>
      </c>
      <c r="H98" s="2" t="s">
        <v>277</v>
      </c>
      <c r="I98" s="134">
        <f>VLOOKUP(H98,'Répartition Budget'!$G$18:$H$219,2,FALSE)</f>
        <v>2.6559175525782797</v>
      </c>
    </row>
    <row r="99" spans="5:9" x14ac:dyDescent="0.15">
      <c r="E99" s="2" t="s">
        <v>341</v>
      </c>
      <c r="F99" s="3" t="s">
        <v>385</v>
      </c>
      <c r="G99" s="133" t="str">
        <f>IF(OR(F99="APUC",F99="TOTAL"),"",INDEX(APU!$E$21:$E$108,MATCH(H99,APU!$F$21:$F$108,0),1))</f>
        <v/>
      </c>
      <c r="H99" s="2" t="s">
        <v>308</v>
      </c>
      <c r="I99" s="134">
        <f>VLOOKUP(H99,'Répartition Budget'!$G$18:$H$219,2,FALSE)</f>
        <v>2.3138697408691957</v>
      </c>
    </row>
    <row r="100" spans="5:9" x14ac:dyDescent="0.15">
      <c r="E100" s="2" t="s">
        <v>341</v>
      </c>
      <c r="F100" s="3" t="s">
        <v>385</v>
      </c>
      <c r="G100" s="133" t="str">
        <f>IF(OR(F100="APUC",F100="TOTAL"),"",INDEX(APU!$E$21:$E$108,MATCH(H100,APU!$F$21:$F$108,0),1))</f>
        <v/>
      </c>
      <c r="H100" s="2" t="s">
        <v>319</v>
      </c>
      <c r="I100" s="134">
        <f>VLOOKUP(H100,'Répartition Budget'!$G$18:$H$219,2,FALSE)</f>
        <v>2.2489315062928803</v>
      </c>
    </row>
    <row r="101" spans="5:9" x14ac:dyDescent="0.15">
      <c r="E101" s="2" t="s">
        <v>341</v>
      </c>
      <c r="F101" s="3" t="s">
        <v>385</v>
      </c>
      <c r="G101" s="133" t="str">
        <f>IF(OR(F101="APUC",F101="TOTAL"),"",INDEX(APU!$E$21:$E$108,MATCH(H101,APU!$F$21:$F$108,0),1))</f>
        <v/>
      </c>
      <c r="H101" s="2" t="s">
        <v>233</v>
      </c>
      <c r="I101" s="134">
        <f>VLOOKUP(H101,'Répartition Budget'!$G$18:$H$219,2,FALSE)</f>
        <v>1.8541386105287359</v>
      </c>
    </row>
    <row r="102" spans="5:9" x14ac:dyDescent="0.15">
      <c r="E102" s="2" t="s">
        <v>341</v>
      </c>
      <c r="F102" s="3" t="s">
        <v>385</v>
      </c>
      <c r="G102" s="133" t="str">
        <f>IF(OR(F102="APUC",F102="TOTAL"),"",INDEX(APU!$E$21:$E$108,MATCH(H102,APU!$F$21:$F$108,0),1))</f>
        <v/>
      </c>
      <c r="H102" s="2" t="s">
        <v>284</v>
      </c>
      <c r="I102" s="134">
        <f>VLOOKUP(H102,'Répartition Budget'!$G$18:$H$219,2,FALSE)</f>
        <v>1.7046291911851585</v>
      </c>
    </row>
    <row r="103" spans="5:9" x14ac:dyDescent="0.15">
      <c r="E103" s="2" t="s">
        <v>341</v>
      </c>
      <c r="F103" s="3" t="s">
        <v>385</v>
      </c>
      <c r="G103" s="133" t="str">
        <f>IF(OR(F103="APUC",F103="TOTAL"),"",INDEX(APU!$E$21:$E$108,MATCH(H103,APU!$F$21:$F$108,0),1))</f>
        <v/>
      </c>
      <c r="H103" s="2" t="s">
        <v>294</v>
      </c>
      <c r="I103" s="134">
        <f>VLOOKUP(H103,'Répartition Budget'!$G$18:$H$219,2,FALSE)</f>
        <v>0.47654347403742076</v>
      </c>
    </row>
    <row r="104" spans="5:9" x14ac:dyDescent="0.15">
      <c r="E104" s="2" t="s">
        <v>341</v>
      </c>
      <c r="F104" s="3" t="s">
        <v>385</v>
      </c>
      <c r="G104" s="133" t="str">
        <f>IF(OR(F104="APUC",F104="TOTAL"),"",INDEX(APU!$E$21:$E$108,MATCH(H104,APU!$F$21:$F$108,0),1))</f>
        <v/>
      </c>
      <c r="H104" s="2" t="s">
        <v>328</v>
      </c>
      <c r="I104" s="134">
        <f>VLOOKUP(H104,'Répartition Budget'!$G$18:$H$219,2,FALSE)</f>
        <v>0.43296974145556094</v>
      </c>
    </row>
    <row r="105" spans="5:9" x14ac:dyDescent="0.15">
      <c r="E105" s="2" t="s">
        <v>341</v>
      </c>
      <c r="F105" s="3" t="s">
        <v>385</v>
      </c>
      <c r="G105" s="133" t="str">
        <f>IF(OR(F105="APUC",F105="TOTAL"),"",INDEX(APU!$E$21:$E$108,MATCH(H105,APU!$F$21:$F$108,0),1))</f>
        <v/>
      </c>
      <c r="H105" s="2" t="s">
        <v>317</v>
      </c>
      <c r="I105" s="134">
        <f>VLOOKUP(H105,'Répartition Budget'!$G$18:$H$219,2,FALSE)</f>
        <v>0.1275260356648909</v>
      </c>
    </row>
    <row r="106" spans="5:9" x14ac:dyDescent="0.15">
      <c r="E106" s="2" t="s">
        <v>341</v>
      </c>
      <c r="F106" s="3" t="s">
        <v>385</v>
      </c>
      <c r="G106" s="133" t="str">
        <f>IF(OR(F106="APUC",F106="TOTAL"),"",INDEX(APU!$E$21:$E$108,MATCH(H106,APU!$F$21:$F$108,0),1))</f>
        <v/>
      </c>
      <c r="H106" s="2" t="s">
        <v>329</v>
      </c>
      <c r="I106" s="134">
        <f>VLOOKUP(H106,'Répartition Budget'!$G$18:$H$219,2,FALSE)</f>
        <v>6.2030452942007076E-2</v>
      </c>
    </row>
    <row r="107" spans="5:9" x14ac:dyDescent="0.15">
      <c r="E107" s="2" t="s">
        <v>341</v>
      </c>
      <c r="F107" s="3" t="s">
        <v>385</v>
      </c>
      <c r="G107" s="133" t="str">
        <f>IF(OR(F107="APUC",F107="TOTAL"),"",INDEX(APU!$E$21:$E$108,MATCH(H107,APU!$F$21:$F$108,0),1))</f>
        <v/>
      </c>
      <c r="H107" s="2" t="s">
        <v>320</v>
      </c>
      <c r="I107" s="134">
        <f>VLOOKUP(H107,'Répartition Budget'!$G$18:$H$219,2,FALSE)</f>
        <v>4.1359276232491658E-2</v>
      </c>
    </row>
    <row r="108" spans="5:9" x14ac:dyDescent="0.15">
      <c r="E108" s="2" t="s">
        <v>341</v>
      </c>
      <c r="F108" s="3" t="s">
        <v>385</v>
      </c>
      <c r="G108" s="133" t="str">
        <f>IF(OR(F108="APUC",F108="TOTAL"),"",INDEX(APU!$E$21:$E$108,MATCH(H108,APU!$F$21:$F$108,0),1))</f>
        <v/>
      </c>
      <c r="H108" s="2" t="s">
        <v>318</v>
      </c>
      <c r="I108" s="134">
        <f>VLOOKUP(H108,'Répartition Budget'!$G$18:$H$219,2,FALSE)</f>
        <v>3.9785222365943673E-2</v>
      </c>
    </row>
    <row r="109" spans="5:9" x14ac:dyDescent="0.15">
      <c r="E109" s="2" t="s">
        <v>341</v>
      </c>
      <c r="F109" s="3" t="s">
        <v>385</v>
      </c>
      <c r="G109" s="133" t="str">
        <f>IF(OR(F109="APUC",F109="TOTAL"),"",INDEX(APU!$E$21:$E$108,MATCH(H109,APU!$F$21:$F$108,0),1))</f>
        <v/>
      </c>
      <c r="H109" s="2" t="s">
        <v>256</v>
      </c>
      <c r="I109" s="134">
        <f>VLOOKUP(H109,'Répartition Budget'!$G$18:$H$219,2,FALSE)</f>
        <v>6.7114072817043979</v>
      </c>
    </row>
    <row r="110" spans="5:9" x14ac:dyDescent="0.15">
      <c r="E110" s="2" t="s">
        <v>341</v>
      </c>
      <c r="F110" s="3" t="s">
        <v>385</v>
      </c>
      <c r="G110" s="133" t="str">
        <f>IF(OR(F110="APUC",F110="TOTAL"),"",INDEX(APU!$E$21:$E$108,MATCH(H110,APU!$F$21:$F$108,0),1))</f>
        <v/>
      </c>
      <c r="H110" s="2" t="s">
        <v>283</v>
      </c>
      <c r="I110" s="134">
        <f>VLOOKUP(H110,'Répartition Budget'!$G$18:$H$219,2,FALSE)</f>
        <v>2.3471283162979146</v>
      </c>
    </row>
    <row r="111" spans="5:9" x14ac:dyDescent="0.15">
      <c r="E111" s="2" t="s">
        <v>341</v>
      </c>
      <c r="F111" s="3" t="s">
        <v>385</v>
      </c>
      <c r="G111" s="133" t="str">
        <f>IF(OR(F111="APUC",F111="TOTAL"),"",INDEX(APU!$E$21:$E$108,MATCH(H111,APU!$F$21:$F$108,0),1))</f>
        <v/>
      </c>
      <c r="H111" s="2" t="s">
        <v>303</v>
      </c>
      <c r="I111" s="134">
        <f>VLOOKUP(H111,'Répartition Budget'!$G$18:$H$219,2,FALSE)</f>
        <v>8.4563731749475415E-2</v>
      </c>
    </row>
    <row r="112" spans="5:9" x14ac:dyDescent="0.15">
      <c r="E112" s="2" t="s">
        <v>341</v>
      </c>
      <c r="F112" s="3" t="s">
        <v>385</v>
      </c>
      <c r="G112" s="133" t="str">
        <f>IF(OR(F112="APUC",F112="TOTAL"),"",INDEX(APU!$E$21:$E$108,MATCH(H112,APU!$F$21:$F$108,0),1))</f>
        <v/>
      </c>
      <c r="H112" s="2" t="s">
        <v>287</v>
      </c>
      <c r="I112" s="134">
        <f>VLOOKUP(H112,'Répartition Budget'!$G$18:$H$219,2,FALSE)</f>
        <v>1.6122583967944408</v>
      </c>
    </row>
    <row r="113" spans="5:9" x14ac:dyDescent="0.15">
      <c r="E113" s="2" t="s">
        <v>341</v>
      </c>
      <c r="F113" s="3" t="s">
        <v>385</v>
      </c>
      <c r="G113" s="133" t="str">
        <f>IF(OR(F113="APUC",F113="TOTAL"),"",INDEX(APU!$E$21:$E$108,MATCH(H113,APU!$F$21:$F$108,0),1))</f>
        <v/>
      </c>
      <c r="H113" s="2" t="s">
        <v>299</v>
      </c>
      <c r="I113" s="134">
        <f>VLOOKUP(H113,'Répartition Budget'!$G$18:$H$219,2,FALSE)</f>
        <v>0.24161066214135835</v>
      </c>
    </row>
    <row r="114" spans="5:9" x14ac:dyDescent="0.15">
      <c r="E114" s="2" t="s">
        <v>341</v>
      </c>
      <c r="F114" s="3" t="s">
        <v>385</v>
      </c>
      <c r="G114" s="133" t="str">
        <f>IF(OR(F114="APUC",F114="TOTAL"),"",INDEX(APU!$E$21:$E$108,MATCH(H114,APU!$F$21:$F$108,0),1))</f>
        <v/>
      </c>
      <c r="H114" s="2" t="s">
        <v>288</v>
      </c>
      <c r="I114" s="134">
        <f>VLOOKUP(H114,'Répartition Budget'!$G$18:$H$219,2,FALSE)</f>
        <v>2.3525643595518622</v>
      </c>
    </row>
    <row r="115" spans="5:9" x14ac:dyDescent="0.15">
      <c r="E115" s="2" t="s">
        <v>341</v>
      </c>
      <c r="F115" s="3" t="s">
        <v>385</v>
      </c>
      <c r="G115" s="133" t="str">
        <f>IF(OR(F115="APUC",F115="TOTAL"),"",INDEX(APU!$E$21:$E$108,MATCH(H115,APU!$F$21:$F$108,0),1))</f>
        <v/>
      </c>
      <c r="H115" s="2" t="s">
        <v>224</v>
      </c>
      <c r="I115" s="134">
        <f>VLOOKUP(H115,'Répartition Budget'!$G$18:$H$219,2,FALSE)</f>
        <v>1.1714785537724204</v>
      </c>
    </row>
    <row r="116" spans="5:9" x14ac:dyDescent="0.15">
      <c r="E116" s="2" t="s">
        <v>341</v>
      </c>
      <c r="F116" s="3" t="s">
        <v>385</v>
      </c>
      <c r="G116" s="133" t="str">
        <f>IF(OR(F116="APUC",F116="TOTAL"),"",INDEX(APU!$E$21:$E$108,MATCH(H116,APU!$F$21:$F$108,0),1))</f>
        <v/>
      </c>
      <c r="H116" s="2" t="s">
        <v>226</v>
      </c>
      <c r="I116" s="134">
        <f>VLOOKUP(H116,'Répartition Budget'!$G$18:$H$219,2,FALSE)</f>
        <v>0.46955184134063904</v>
      </c>
    </row>
    <row r="117" spans="5:9" x14ac:dyDescent="0.15">
      <c r="E117" s="2" t="s">
        <v>341</v>
      </c>
      <c r="F117" s="3" t="s">
        <v>385</v>
      </c>
      <c r="G117" s="133" t="str">
        <f>IF(OR(F117="APUC",F117="TOTAL"),"",INDEX(APU!$E$21:$E$108,MATCH(H117,APU!$F$21:$F$108,0),1))</f>
        <v/>
      </c>
      <c r="H117" s="2" t="s">
        <v>282</v>
      </c>
      <c r="I117" s="134">
        <f>VLOOKUP(H117,'Répartition Budget'!$G$18:$H$219,2,FALSE)</f>
        <v>9.0469770157375269</v>
      </c>
    </row>
    <row r="118" spans="5:9" x14ac:dyDescent="0.15">
      <c r="E118" s="2" t="s">
        <v>341</v>
      </c>
      <c r="F118" s="3" t="s">
        <v>385</v>
      </c>
      <c r="G118" s="133" t="str">
        <f>IF(OR(F118="APUC",F118="TOTAL"),"",INDEX(APU!$E$21:$E$108,MATCH(H118,APU!$F$21:$F$108,0),1))</f>
        <v/>
      </c>
      <c r="H118" s="2" t="s">
        <v>344</v>
      </c>
      <c r="I118" s="134">
        <f>VLOOKUP(H118,'Répartition Budget'!$G$18:$H$219,2,FALSE)</f>
        <v>4.729528711417089</v>
      </c>
    </row>
    <row r="119" spans="5:9" x14ac:dyDescent="0.15">
      <c r="E119" s="2" t="s">
        <v>341</v>
      </c>
      <c r="F119" s="3" t="s">
        <v>385</v>
      </c>
      <c r="G119" s="133" t="str">
        <f>IF(OR(F119="APUC",F119="TOTAL"),"",INDEX(APU!$E$21:$E$108,MATCH(H119,APU!$F$21:$F$108,0),1))</f>
        <v/>
      </c>
      <c r="H119" s="2" t="s">
        <v>298</v>
      </c>
      <c r="I119" s="134">
        <f>VLOOKUP(H119,'Répartition Budget'!$G$18:$H$219,2,FALSE)</f>
        <v>0.28187910583158471</v>
      </c>
    </row>
    <row r="120" spans="5:9" x14ac:dyDescent="0.15">
      <c r="E120" s="32" t="s">
        <v>341</v>
      </c>
      <c r="F120" s="4" t="s">
        <v>1</v>
      </c>
      <c r="G120" s="135" t="str">
        <f>IF(OR(F120="APUC",F120="TOTAL"),"",INDEX(APU!$E$21:$E$108,MATCH(H120,APU!$F$21:$F$108,0),1))</f>
        <v/>
      </c>
      <c r="H120" s="4" t="s">
        <v>1</v>
      </c>
      <c r="I120" s="136">
        <f>SUM(I84:I119)</f>
        <v>68.799374432413728</v>
      </c>
    </row>
    <row r="121" spans="5:9" x14ac:dyDescent="0.15">
      <c r="E121" s="2" t="s">
        <v>347</v>
      </c>
      <c r="F121" s="3" t="s">
        <v>367</v>
      </c>
      <c r="G121" s="133" t="str">
        <f>IF(OR(F121="APUC",F121="TOTAL"),"",INDEX(APU!$E$21:$E$108,MATCH(H121,APU!$F$21:$F$108,0),1))</f>
        <v>GF0405</v>
      </c>
      <c r="H121" s="2" t="s">
        <v>58</v>
      </c>
      <c r="I121" s="134">
        <f>INDEX(_xlfn.ANCHORARRAY('Répartition 1000€'!$H$82),MATCH(E121,'Répartition 1000€'!$E$82:$E$96,0),MATCH(G121,'Répartition 1000€'!$H$25:$P$25,0))</f>
        <v>26.60742825874917</v>
      </c>
    </row>
    <row r="122" spans="5:9" x14ac:dyDescent="0.15">
      <c r="E122" s="2" t="s">
        <v>347</v>
      </c>
      <c r="F122" s="3" t="s">
        <v>367</v>
      </c>
      <c r="G122" s="133" t="str">
        <f>IF(OR(F122="APUC",F122="TOTAL"),"",INDEX(APU!$E$21:$E$108,MATCH(H122,APU!$F$21:$F$108,0),1))</f>
        <v>GF0601</v>
      </c>
      <c r="H122" s="2" t="s">
        <v>84</v>
      </c>
      <c r="I122" s="134">
        <f>INDEX(_xlfn.ANCHORARRAY('Répartition 1000€'!$H$82),MATCH(E122,'Répartition 1000€'!$E$82:$E$96,0),MATCH(G122,'Répartition 1000€'!$H$25:$P$25,0))</f>
        <v>1.7165845041232473</v>
      </c>
    </row>
    <row r="123" spans="5:9" x14ac:dyDescent="0.15">
      <c r="E123" s="2" t="s">
        <v>347</v>
      </c>
      <c r="F123" s="3" t="s">
        <v>367</v>
      </c>
      <c r="G123" s="133" t="str">
        <f>IF(OR(F123="APUC",F123="TOTAL"),"",INDEX(APU!$E$21:$E$108,MATCH(H123,APU!$F$21:$F$108,0),1))</f>
        <v>GF0602</v>
      </c>
      <c r="H123" s="2" t="s">
        <v>86</v>
      </c>
      <c r="I123" s="134">
        <f>INDEX(_xlfn.ANCHORARRAY('Répartition 1000€'!$H$82),MATCH(E123,'Répartition 1000€'!$E$82:$E$96,0),MATCH(G123,'Répartition 1000€'!$H$25:$P$25,0))</f>
        <v>9.9988560362517038</v>
      </c>
    </row>
    <row r="124" spans="5:9" x14ac:dyDescent="0.15">
      <c r="E124" s="2" t="s">
        <v>347</v>
      </c>
      <c r="F124" s="3" t="s">
        <v>367</v>
      </c>
      <c r="G124" s="133" t="str">
        <f>IF(OR(F124="APUC",F124="TOTAL"),"",INDEX(APU!$E$21:$E$108,MATCH(H124,APU!$F$21:$F$108,0),1))</f>
        <v>GF0603</v>
      </c>
      <c r="H124" s="2" t="s">
        <v>88</v>
      </c>
      <c r="I124" s="134">
        <f>INDEX(_xlfn.ANCHORARRAY('Répartition 1000€'!$H$82),MATCH(E124,'Répartition 1000€'!$E$82:$E$96,0),MATCH(G124,'Répartition 1000€'!$H$25:$P$25,0))</f>
        <v>2.1856147839577384</v>
      </c>
    </row>
    <row r="125" spans="5:9" x14ac:dyDescent="0.15">
      <c r="E125" s="2" t="s">
        <v>347</v>
      </c>
      <c r="F125" s="3" t="s">
        <v>367</v>
      </c>
      <c r="G125" s="133" t="str">
        <f>IF(OR(F125="APUC",F125="TOTAL"),"",INDEX(APU!$E$21:$E$108,MATCH(H125,APU!$F$21:$F$108,0),1))</f>
        <v>GF0604</v>
      </c>
      <c r="H125" s="2" t="s">
        <v>90</v>
      </c>
      <c r="I125" s="134">
        <f>INDEX(_xlfn.ANCHORARRAY('Répartition 1000€'!$H$82),MATCH(E125,'Répartition 1000€'!$E$82:$E$96,0),MATCH(G125,'Répartition 1000€'!$H$25:$P$25,0))</f>
        <v>1.0859911624604577</v>
      </c>
    </row>
    <row r="126" spans="5:9" x14ac:dyDescent="0.15">
      <c r="E126" s="2" t="s">
        <v>347</v>
      </c>
      <c r="F126" s="3" t="s">
        <v>367</v>
      </c>
      <c r="G126" s="133" t="str">
        <f>IF(OR(F126="APUC",F126="TOTAL"),"",INDEX(APU!$E$21:$E$108,MATCH(H126,APU!$F$21:$F$108,0),1))</f>
        <v>GF0605</v>
      </c>
      <c r="H126" s="2" t="s">
        <v>92</v>
      </c>
      <c r="I126" s="134">
        <f>INDEX(_xlfn.ANCHORARRAY('Répartition 1000€'!$H$82),MATCH(E126,'Répartition 1000€'!$E$82:$E$96,0),MATCH(G126,'Répartition 1000€'!$H$25:$P$25,0))</f>
        <v>0</v>
      </c>
    </row>
    <row r="127" spans="5:9" x14ac:dyDescent="0.15">
      <c r="E127" s="2" t="s">
        <v>347</v>
      </c>
      <c r="F127" s="3" t="s">
        <v>367</v>
      </c>
      <c r="G127" s="133" t="str">
        <f>IF(OR(F127="APUC",F127="TOTAL"),"",INDEX(APU!$E$21:$E$108,MATCH(H127,APU!$F$21:$F$108,0),1))</f>
        <v>GF0606</v>
      </c>
      <c r="H127" s="2" t="s">
        <v>94</v>
      </c>
      <c r="I127" s="134">
        <f>INDEX(_xlfn.ANCHORARRAY('Répartition 1000€'!$H$82),MATCH(E127,'Répartition 1000€'!$E$82:$E$96,0),MATCH(G127,'Répartition 1000€'!$H$25:$P$25,0))</f>
        <v>0.22677779830175118</v>
      </c>
    </row>
    <row r="128" spans="5:9" x14ac:dyDescent="0.15">
      <c r="E128" s="2" t="s">
        <v>347</v>
      </c>
      <c r="F128" s="3" t="s">
        <v>385</v>
      </c>
      <c r="G128" s="133" t="str">
        <f>IF(OR(F128="APUC",F128="TOTAL"),"",INDEX(APU!$E$21:$E$108,MATCH(H128,APU!$F$21:$F$108,0),1))</f>
        <v/>
      </c>
      <c r="H128" s="2" t="s">
        <v>243</v>
      </c>
      <c r="I128" s="134">
        <f>VLOOKUP(H128,'Répartition Budget'!$G$18:$H$219,2,FALSE)</f>
        <v>2.6168049044971018</v>
      </c>
    </row>
    <row r="129" spans="5:9" x14ac:dyDescent="0.15">
      <c r="E129" s="2" t="s">
        <v>347</v>
      </c>
      <c r="F129" s="3" t="s">
        <v>385</v>
      </c>
      <c r="G129" s="133" t="str">
        <f>IF(OR(F129="APUC",F129="TOTAL"),"",INDEX(APU!$E$21:$E$108,MATCH(H129,APU!$F$21:$F$108,0),1))</f>
        <v/>
      </c>
      <c r="H129" s="2" t="s">
        <v>245</v>
      </c>
      <c r="I129" s="134">
        <f>VLOOKUP(H129,'Répartition Budget'!$G$18:$H$219,2,FALSE)</f>
        <v>1.9642880966341374</v>
      </c>
    </row>
    <row r="130" spans="5:9" x14ac:dyDescent="0.15">
      <c r="E130" s="2" t="s">
        <v>347</v>
      </c>
      <c r="F130" s="3" t="s">
        <v>385</v>
      </c>
      <c r="G130" s="133" t="str">
        <f>IF(OR(F130="APUC",F130="TOTAL"),"",INDEX(APU!$E$21:$E$108,MATCH(H130,APU!$F$21:$F$108,0),1))</f>
        <v/>
      </c>
      <c r="H130" s="2" t="s">
        <v>250</v>
      </c>
      <c r="I130" s="134">
        <f>VLOOKUP(H130,'Répartition Budget'!$G$18:$H$219,2,FALSE)</f>
        <v>0.55503338219695375</v>
      </c>
    </row>
    <row r="131" spans="5:9" x14ac:dyDescent="0.15">
      <c r="E131" s="2" t="s">
        <v>347</v>
      </c>
      <c r="F131" s="3" t="s">
        <v>385</v>
      </c>
      <c r="G131" s="133" t="str">
        <f>IF(OR(F131="APUC",F131="TOTAL"),"",INDEX(APU!$E$21:$E$108,MATCH(H131,APU!$F$21:$F$108,0),1))</f>
        <v/>
      </c>
      <c r="H131" s="2" t="s">
        <v>238</v>
      </c>
      <c r="I131" s="134">
        <f>VLOOKUP(H131,'Répartition Budget'!$G$18:$H$219,2,FALSE)</f>
        <v>0.36425486176026267</v>
      </c>
    </row>
    <row r="132" spans="5:9" x14ac:dyDescent="0.15">
      <c r="E132" s="2" t="s">
        <v>347</v>
      </c>
      <c r="F132" s="3" t="s">
        <v>385</v>
      </c>
      <c r="G132" s="133" t="str">
        <f>IF(OR(F132="APUC",F132="TOTAL"),"",INDEX(APU!$E$21:$E$108,MATCH(H132,APU!$F$21:$F$108,0),1))</f>
        <v/>
      </c>
      <c r="H132" s="2" t="s">
        <v>272</v>
      </c>
      <c r="I132" s="134">
        <f>VLOOKUP(H132,'Répartition Budget'!$G$18:$H$219,2,FALSE)</f>
        <v>2.9280606762420542</v>
      </c>
    </row>
    <row r="133" spans="5:9" x14ac:dyDescent="0.15">
      <c r="E133" s="2" t="s">
        <v>347</v>
      </c>
      <c r="F133" s="3" t="s">
        <v>385</v>
      </c>
      <c r="G133" s="133" t="str">
        <f>IF(OR(F133="APUC",F133="TOTAL"),"",INDEX(APU!$E$21:$E$108,MATCH(H133,APU!$F$21:$F$108,0),1))</f>
        <v/>
      </c>
      <c r="H133" s="2" t="s">
        <v>281</v>
      </c>
      <c r="I133" s="134">
        <f>VLOOKUP(H133,'Répartition Budget'!$G$18:$H$219,2,FALSE)</f>
        <v>0.43244069665578089</v>
      </c>
    </row>
    <row r="134" spans="5:9" x14ac:dyDescent="0.15">
      <c r="E134" s="2" t="s">
        <v>347</v>
      </c>
      <c r="F134" s="3" t="s">
        <v>385</v>
      </c>
      <c r="G134" s="133" t="str">
        <f>IF(OR(F134="APUC",F134="TOTAL"),"",INDEX(APU!$E$21:$E$108,MATCH(H134,APU!$F$21:$F$108,0),1))</f>
        <v/>
      </c>
      <c r="H134" s="2" t="s">
        <v>239</v>
      </c>
      <c r="I134" s="134">
        <f>VLOOKUP(H134,'Répartition Budget'!$G$18:$H$219,2,FALSE)</f>
        <v>0.3872546900851852</v>
      </c>
    </row>
    <row r="135" spans="5:9" x14ac:dyDescent="0.15">
      <c r="E135" s="2" t="s">
        <v>347</v>
      </c>
      <c r="F135" s="3" t="s">
        <v>385</v>
      </c>
      <c r="G135" s="133" t="str">
        <f>IF(OR(F135="APUC",F135="TOTAL"),"",INDEX(APU!$E$21:$E$108,MATCH(H135,APU!$F$21:$F$108,0),1))</f>
        <v/>
      </c>
      <c r="H135" s="2" t="s">
        <v>240</v>
      </c>
      <c r="I135" s="134">
        <f>VLOOKUP(H135,'Répartition Budget'!$G$18:$H$219,2,FALSE)</f>
        <v>0.16653723075789487</v>
      </c>
    </row>
    <row r="136" spans="5:9" x14ac:dyDescent="0.15">
      <c r="E136" s="2" t="s">
        <v>347</v>
      </c>
      <c r="F136" s="3" t="s">
        <v>385</v>
      </c>
      <c r="G136" s="133" t="str">
        <f>IF(OR(F136="APUC",F136="TOTAL"),"",INDEX(APU!$E$21:$E$108,MATCH(H136,APU!$F$21:$F$108,0),1))</f>
        <v/>
      </c>
      <c r="H136" s="2" t="s">
        <v>241</v>
      </c>
      <c r="I136" s="134">
        <f>VLOOKUP(H136,'Répartition Budget'!$G$18:$H$219,2,FALSE)</f>
        <v>2.9844775161873952E-2</v>
      </c>
    </row>
    <row r="137" spans="5:9" x14ac:dyDescent="0.15">
      <c r="E137" s="32" t="s">
        <v>347</v>
      </c>
      <c r="F137" s="4" t="s">
        <v>1</v>
      </c>
      <c r="G137" s="135" t="str">
        <f>IF(OR(F137="APUC",F137="TOTAL"),"",INDEX(APU!$E$21:$E$108,MATCH(H137,APU!$F$21:$F$108,0),1))</f>
        <v/>
      </c>
      <c r="H137" s="4" t="s">
        <v>1</v>
      </c>
      <c r="I137" s="136">
        <f>SUM(I121:I136)</f>
        <v>51.265771857835325</v>
      </c>
    </row>
    <row r="138" spans="5:9" x14ac:dyDescent="0.15">
      <c r="E138" s="2" t="s">
        <v>343</v>
      </c>
      <c r="F138" s="3" t="s">
        <v>367</v>
      </c>
      <c r="G138" s="133" t="str">
        <f>IF(OR(F138="APUC",F138="TOTAL"),"",INDEX(APU!$E$21:$E$108,MATCH(H138,APU!$F$21:$F$108,0),1))</f>
        <v>GF0101</v>
      </c>
      <c r="H138" s="2" t="s">
        <v>6</v>
      </c>
      <c r="I138" s="134">
        <f>INDEX(_xlfn.ANCHORARRAY('Répartition 1000€'!$H$82),MATCH(E138,'Répartition 1000€'!$E$82:$E$96,0),MATCH(G138,'Répartition 1000€'!$H$26:$P$26,0))</f>
        <v>1.5478367679377041</v>
      </c>
    </row>
    <row r="139" spans="5:9" x14ac:dyDescent="0.15">
      <c r="E139" s="2" t="s">
        <v>343</v>
      </c>
      <c r="F139" s="3" t="s">
        <v>367</v>
      </c>
      <c r="G139" s="133" t="str">
        <f>IF(OR(F139="APUC",F139="TOTAL"),"",INDEX(APU!$E$21:$E$108,MATCH(H139,APU!$F$21:$F$108,0),1))</f>
        <v>GF0103</v>
      </c>
      <c r="H139" s="2" t="s">
        <v>10</v>
      </c>
      <c r="I139" s="134">
        <f>INDEX(_xlfn.ANCHORARRAY('Répartition 1000€'!$H$82),MATCH(E139,'Répartition 1000€'!$E$82:$E$96,0),MATCH(G139,'Répartition 1000€'!$H$26:$P$26,0))</f>
        <v>30.610212987831581</v>
      </c>
    </row>
    <row r="140" spans="5:9" x14ac:dyDescent="0.15">
      <c r="E140" s="2" t="s">
        <v>343</v>
      </c>
      <c r="F140" s="3" t="s">
        <v>367</v>
      </c>
      <c r="G140" s="133" t="str">
        <f>IF(OR(F140="APUC",F140="TOTAL"),"",INDEX(APU!$E$21:$E$108,MATCH(H140,APU!$F$21:$F$108,0),1))</f>
        <v>GF0105</v>
      </c>
      <c r="H140" s="2" t="s">
        <v>14</v>
      </c>
      <c r="I140" s="134">
        <f>INDEX(_xlfn.ANCHORARRAY('Répartition 1000€'!$H$82),MATCH(E140,'Répartition 1000€'!$E$82:$E$96,0),MATCH(G140,'Répartition 1000€'!$H$26:$P$26,0))</f>
        <v>0</v>
      </c>
    </row>
    <row r="141" spans="5:9" x14ac:dyDescent="0.15">
      <c r="E141" s="2" t="s">
        <v>343</v>
      </c>
      <c r="F141" s="3" t="s">
        <v>367</v>
      </c>
      <c r="G141" s="133" t="str">
        <f>IF(OR(F141="APUC",F141="TOTAL"),"",INDEX(APU!$E$21:$E$108,MATCH(H141,APU!$F$21:$F$108,0),1))</f>
        <v>GF0106</v>
      </c>
      <c r="H141" s="2" t="s">
        <v>16</v>
      </c>
      <c r="I141" s="134">
        <f>INDEX(_xlfn.ANCHORARRAY('Répartition 1000€'!$H$82),MATCH(E141,'Répartition 1000€'!$E$82:$E$96,0),MATCH(G141,'Répartition 1000€'!$H$26:$P$26,0))</f>
        <v>0.32183656672068178</v>
      </c>
    </row>
    <row r="142" spans="5:9" x14ac:dyDescent="0.15">
      <c r="E142" s="2" t="s">
        <v>343</v>
      </c>
      <c r="F142" s="3" t="s">
        <v>367</v>
      </c>
      <c r="G142" s="133" t="str">
        <f>IF(OR(F142="APUC",F142="TOTAL"),"",INDEX(APU!$E$21:$E$108,MATCH(H142,APU!$F$21:$F$108,0),1))</f>
        <v>GF0108</v>
      </c>
      <c r="H142" s="2" t="s">
        <v>20</v>
      </c>
      <c r="I142" s="134">
        <f>INDEX(_xlfn.ANCHORARRAY('Répartition 1000€'!$H$82),MATCH(E142,'Répartition 1000€'!$E$82:$E$96,0),MATCH(G142,'Répartition 1000€'!$H$26:$P$26,0))</f>
        <v>0</v>
      </c>
    </row>
    <row r="143" spans="5:9" x14ac:dyDescent="0.15">
      <c r="E143" s="2" t="s">
        <v>343</v>
      </c>
      <c r="F143" s="3" t="s">
        <v>386</v>
      </c>
      <c r="G143" s="133" t="str">
        <f>IF(OR(F143="APUC",F143="TOTAL"),"",INDEX(APU!$E$21:$E$108,MATCH(H143,APU!$F$21:$F$108,0),1))</f>
        <v>GF0101</v>
      </c>
      <c r="H143" s="2" t="s">
        <v>6</v>
      </c>
      <c r="I143" s="134">
        <f>INDEX(_xlfn.ANCHORARRAY('Répartition 1000€'!$H$104),MATCH(E143,'Répartition 1000€'!$E$104:$E$118,0),MATCH(G143,'Répartition 1000€'!$H$26:$P$26,0))</f>
        <v>0.98859029259505804</v>
      </c>
    </row>
    <row r="144" spans="5:9" x14ac:dyDescent="0.15">
      <c r="E144" s="2" t="s">
        <v>343</v>
      </c>
      <c r="F144" s="3" t="s">
        <v>386</v>
      </c>
      <c r="G144" s="133" t="str">
        <f>IF(OR(F144="APUC",F144="TOTAL"),"",INDEX(APU!$E$21:$E$108,MATCH(H144,APU!$F$21:$F$108,0),1))</f>
        <v>GF0103</v>
      </c>
      <c r="H144" s="2" t="s">
        <v>10</v>
      </c>
      <c r="I144" s="134">
        <f>INDEX(_xlfn.ANCHORARRAY('Répartition 1000€'!$H$104),MATCH(E144,'Répartition 1000€'!$E$104:$E$118,0),MATCH(G144,'Répartition 1000€'!$H$26:$P$26,0))</f>
        <v>0</v>
      </c>
    </row>
    <row r="145" spans="5:9" x14ac:dyDescent="0.15">
      <c r="E145" s="2" t="s">
        <v>343</v>
      </c>
      <c r="F145" s="3" t="s">
        <v>386</v>
      </c>
      <c r="G145" s="133" t="str">
        <f>IF(OR(F145="APUC",F145="TOTAL"),"",INDEX(APU!$E$21:$E$108,MATCH(H145,APU!$F$21:$F$108,0),1))</f>
        <v>GF0105</v>
      </c>
      <c r="H145" s="2" t="s">
        <v>14</v>
      </c>
      <c r="I145" s="134">
        <f>INDEX(_xlfn.ANCHORARRAY('Répartition 1000€'!$H$104),MATCH(E145,'Répartition 1000€'!$E$104:$E$118,0),MATCH(G145,'Répartition 1000€'!$H$26:$P$26,0))</f>
        <v>6.7114072817043994E-4</v>
      </c>
    </row>
    <row r="146" spans="5:9" x14ac:dyDescent="0.15">
      <c r="E146" s="2" t="s">
        <v>343</v>
      </c>
      <c r="F146" s="3" t="s">
        <v>386</v>
      </c>
      <c r="G146" s="133" t="str">
        <f>IF(OR(F146="APUC",F146="TOTAL"),"",INDEX(APU!$E$21:$E$108,MATCH(H146,APU!$F$21:$F$108,0),1))</f>
        <v>GF0106</v>
      </c>
      <c r="H146" s="2" t="s">
        <v>16</v>
      </c>
      <c r="I146" s="134">
        <f>INDEX(_xlfn.ANCHORARRAY('Répartition 1000€'!$H$104),MATCH(E146,'Répartition 1000€'!$E$104:$E$118,0),MATCH(G146,'Répartition 1000€'!$H$26:$P$26,0))</f>
        <v>0</v>
      </c>
    </row>
    <row r="147" spans="5:9" x14ac:dyDescent="0.15">
      <c r="E147" s="2" t="s">
        <v>343</v>
      </c>
      <c r="F147" s="3" t="s">
        <v>386</v>
      </c>
      <c r="G147" s="133" t="str">
        <f>IF(OR(F147="APUC",F147="TOTAL"),"",INDEX(APU!$E$21:$E$108,MATCH(H147,APU!$F$21:$F$108,0),1))</f>
        <v>GF0108</v>
      </c>
      <c r="H147" s="2" t="s">
        <v>20</v>
      </c>
      <c r="I147" s="134">
        <f>INDEX(_xlfn.ANCHORARRAY('Répartition 1000€'!$H$104),MATCH(E147,'Répartition 1000€'!$E$104:$E$118,0),MATCH(G147,'Répartition 1000€'!$H$26:$P$26,0))</f>
        <v>5.3691258253635195E-3</v>
      </c>
    </row>
    <row r="148" spans="5:9" x14ac:dyDescent="0.15">
      <c r="E148" s="2" t="s">
        <v>343</v>
      </c>
      <c r="F148" s="3" t="s">
        <v>385</v>
      </c>
      <c r="G148" s="133" t="str">
        <f>IF(OR(F148="APUC",F148="TOTAL"),"",INDEX(APU!$E$21:$E$108,MATCH(H148,APU!$F$21:$F$108,0),1))</f>
        <v/>
      </c>
      <c r="H148" s="2" t="s">
        <v>332</v>
      </c>
      <c r="I148" s="134">
        <f>VLOOKUP(H148,'Répartition Budget'!$G$18:$H$219,2,FALSE)</f>
        <v>5.0772947394455912</v>
      </c>
    </row>
    <row r="149" spans="5:9" x14ac:dyDescent="0.15">
      <c r="E149" s="2" t="s">
        <v>343</v>
      </c>
      <c r="F149" s="3" t="s">
        <v>385</v>
      </c>
      <c r="G149" s="133" t="str">
        <f>IF(OR(F149="APUC",F149="TOTAL"),"",INDEX(APU!$E$21:$E$108,MATCH(H149,APU!$F$21:$F$108,0),1))</f>
        <v/>
      </c>
      <c r="H149" s="2" t="s">
        <v>270</v>
      </c>
      <c r="I149" s="134">
        <f>VLOOKUP(H149,'Répartition Budget'!$G$18:$H$219,2,FALSE)</f>
        <v>2.974903832626175</v>
      </c>
    </row>
    <row r="150" spans="5:9" x14ac:dyDescent="0.15">
      <c r="E150" s="2" t="s">
        <v>343</v>
      </c>
      <c r="F150" s="3" t="s">
        <v>385</v>
      </c>
      <c r="G150" s="133" t="str">
        <f>IF(OR(F150="APUC",F150="TOTAL"),"",INDEX(APU!$E$21:$E$108,MATCH(H150,APU!$F$21:$F$108,0),1))</f>
        <v/>
      </c>
      <c r="H150" s="2" t="s">
        <v>275</v>
      </c>
      <c r="I150" s="134">
        <f>VLOOKUP(H150,'Répartition Budget'!$G$18:$H$219,2,FALSE)</f>
        <v>2.0329456810454714</v>
      </c>
    </row>
    <row r="151" spans="5:9" x14ac:dyDescent="0.15">
      <c r="E151" s="2" t="s">
        <v>343</v>
      </c>
      <c r="F151" s="3" t="s">
        <v>385</v>
      </c>
      <c r="G151" s="133" t="str">
        <f>IF(OR(F151="APUC",F151="TOTAL"),"",INDEX(APU!$E$21:$E$108,MATCH(H151,APU!$F$21:$F$108,0),1))</f>
        <v/>
      </c>
      <c r="H151" s="2" t="s">
        <v>333</v>
      </c>
      <c r="I151" s="134">
        <f>VLOOKUP(H151,'Répartition Budget'!$G$18:$H$219,2,FALSE)</f>
        <v>1.057363040728502</v>
      </c>
    </row>
    <row r="152" spans="5:9" x14ac:dyDescent="0.15">
      <c r="E152" s="2" t="s">
        <v>343</v>
      </c>
      <c r="F152" s="3" t="s">
        <v>385</v>
      </c>
      <c r="G152" s="133" t="str">
        <f>IF(OR(F152="APUC",F152="TOTAL"),"",INDEX(APU!$E$21:$E$108,MATCH(H152,APU!$F$21:$F$108,0),1))</f>
        <v/>
      </c>
      <c r="H152" s="2" t="s">
        <v>293</v>
      </c>
      <c r="I152" s="134">
        <f>VLOOKUP(H152,'Répartition Budget'!$G$18:$H$219,2,FALSE)</f>
        <v>0.70309447649343537</v>
      </c>
    </row>
    <row r="153" spans="5:9" x14ac:dyDescent="0.15">
      <c r="E153" s="2" t="s">
        <v>343</v>
      </c>
      <c r="F153" s="3" t="s">
        <v>385</v>
      </c>
      <c r="G153" s="133" t="str">
        <f>IF(OR(F153="APUC",F153="TOTAL"),"",INDEX(APU!$E$21:$E$108,MATCH(H153,APU!$F$21:$F$108,0),1))</f>
        <v/>
      </c>
      <c r="H153" s="2" t="s">
        <v>295</v>
      </c>
      <c r="I153" s="134">
        <f>VLOOKUP(H153,'Répartition Budget'!$G$18:$H$219,2,FALSE)</f>
        <v>0.65161635177079336</v>
      </c>
    </row>
    <row r="154" spans="5:9" x14ac:dyDescent="0.15">
      <c r="E154" s="2" t="s">
        <v>343</v>
      </c>
      <c r="F154" s="3" t="s">
        <v>385</v>
      </c>
      <c r="G154" s="133" t="str">
        <f>IF(OR(F154="APUC",F154="TOTAL"),"",INDEX(APU!$E$21:$E$108,MATCH(H154,APU!$F$21:$F$108,0),1))</f>
        <v/>
      </c>
      <c r="H154" s="2" t="s">
        <v>334</v>
      </c>
      <c r="I154" s="134">
        <f>VLOOKUP(H154,'Répartition Budget'!$G$18:$H$219,2,FALSE)</f>
        <v>0.59963777821251696</v>
      </c>
    </row>
    <row r="155" spans="5:9" x14ac:dyDescent="0.15">
      <c r="E155" s="2" t="s">
        <v>343</v>
      </c>
      <c r="F155" s="3" t="s">
        <v>385</v>
      </c>
      <c r="G155" s="133" t="str">
        <f>IF(OR(F155="APUC",F155="TOTAL"),"",INDEX(APU!$E$21:$E$108,MATCH(H155,APU!$F$21:$F$108,0),1))</f>
        <v/>
      </c>
      <c r="H155" s="2" t="s">
        <v>296</v>
      </c>
      <c r="I155" s="134">
        <f>VLOOKUP(H155,'Répartition Budget'!$G$18:$H$219,2,FALSE)</f>
        <v>0.5163060628534476</v>
      </c>
    </row>
    <row r="156" spans="5:9" x14ac:dyDescent="0.15">
      <c r="E156" s="2" t="s">
        <v>343</v>
      </c>
      <c r="F156" s="3" t="s">
        <v>385</v>
      </c>
      <c r="G156" s="133" t="str">
        <f>IF(OR(F156="APUC",F156="TOTAL"),"",INDEX(APU!$E$21:$E$108,MATCH(H156,APU!$F$21:$F$108,0),1))</f>
        <v/>
      </c>
      <c r="H156" s="2" t="s">
        <v>278</v>
      </c>
      <c r="I156" s="134">
        <f>VLOOKUP(H156,'Répartition Budget'!$G$18:$H$219,2,FALSE)</f>
        <v>0.29339087938628317</v>
      </c>
    </row>
    <row r="157" spans="5:9" x14ac:dyDescent="0.15">
      <c r="E157" s="2" t="s">
        <v>343</v>
      </c>
      <c r="F157" s="3" t="s">
        <v>385</v>
      </c>
      <c r="G157" s="133" t="str">
        <f>IF(OR(F157="APUC",F157="TOTAL"),"",INDEX(APU!$E$21:$E$108,MATCH(H157,APU!$F$21:$F$108,0),1))</f>
        <v/>
      </c>
      <c r="H157" s="2" t="s">
        <v>280</v>
      </c>
      <c r="I157" s="134">
        <f>VLOOKUP(H157,'Répartition Budget'!$G$18:$H$219,2,FALSE)</f>
        <v>0.28439854127950742</v>
      </c>
    </row>
    <row r="158" spans="5:9" x14ac:dyDescent="0.15">
      <c r="E158" s="2" t="s">
        <v>343</v>
      </c>
      <c r="F158" s="3" t="s">
        <v>385</v>
      </c>
      <c r="G158" s="133" t="str">
        <f>IF(OR(F158="APUC",F158="TOTAL"),"",INDEX(APU!$E$21:$E$108,MATCH(H158,APU!$F$21:$F$108,0),1))</f>
        <v/>
      </c>
      <c r="H158" s="2" t="s">
        <v>302</v>
      </c>
      <c r="I158" s="134">
        <f>VLOOKUP(H158,'Répartition Budget'!$G$18:$H$219,2,FALSE)</f>
        <v>0.10054227705138637</v>
      </c>
    </row>
    <row r="159" spans="5:9" x14ac:dyDescent="0.15">
      <c r="E159" s="2" t="s">
        <v>343</v>
      </c>
      <c r="F159" s="3" t="s">
        <v>385</v>
      </c>
      <c r="G159" s="133" t="str">
        <f>IF(OR(F159="APUC",F159="TOTAL"),"",INDEX(APU!$E$21:$E$108,MATCH(H159,APU!$F$21:$F$108,0),1))</f>
        <v/>
      </c>
      <c r="H159" s="2" t="s">
        <v>257</v>
      </c>
      <c r="I159" s="134">
        <f>VLOOKUP(H159,'Répartition Budget'!$G$18:$H$219,2,FALSE)</f>
        <v>0.47449649481650091</v>
      </c>
    </row>
    <row r="160" spans="5:9" x14ac:dyDescent="0.15">
      <c r="E160" s="2" t="s">
        <v>343</v>
      </c>
      <c r="F160" s="3" t="s">
        <v>385</v>
      </c>
      <c r="G160" s="133" t="str">
        <f>IF(OR(F160="APUC",F160="TOTAL"),"",INDEX(APU!$E$21:$E$108,MATCH(H160,APU!$F$21:$F$108,0),1))</f>
        <v/>
      </c>
      <c r="H160" s="2" t="s">
        <v>260</v>
      </c>
      <c r="I160" s="134">
        <f>VLOOKUP(H160,'Répartition Budget'!$G$18:$H$219,2,FALSE)</f>
        <v>0.22442945950019505</v>
      </c>
    </row>
    <row r="161" spans="5:9" x14ac:dyDescent="0.15">
      <c r="E161" s="2" t="s">
        <v>343</v>
      </c>
      <c r="F161" s="3" t="s">
        <v>385</v>
      </c>
      <c r="G161" s="133" t="str">
        <f>IF(OR(F161="APUC",F161="TOTAL"),"",INDEX(APU!$E$21:$E$108,MATCH(H161,APU!$F$21:$F$108,0),1))</f>
        <v/>
      </c>
      <c r="H161" s="2" t="s">
        <v>305</v>
      </c>
      <c r="I161" s="134">
        <f>VLOOKUP(H161,'Répartition Budget'!$G$18:$H$219,2,FALSE)</f>
        <v>0.54292288198523231</v>
      </c>
    </row>
    <row r="162" spans="5:9" x14ac:dyDescent="0.15">
      <c r="E162" s="32" t="s">
        <v>343</v>
      </c>
      <c r="F162" s="4" t="s">
        <v>1</v>
      </c>
      <c r="G162" s="135" t="str">
        <f>IF(OR(F162="APUC",F162="TOTAL"),"",INDEX(APU!$E$21:$E$108,MATCH(H162,APU!$F$21:$F$108,0),1))</f>
        <v/>
      </c>
      <c r="H162" s="4" t="s">
        <v>1</v>
      </c>
      <c r="I162" s="136">
        <f>SUM(I138:I161)</f>
        <v>49.007859378833587</v>
      </c>
    </row>
    <row r="163" spans="5:9" x14ac:dyDescent="0.15">
      <c r="E163" s="131" t="s">
        <v>349</v>
      </c>
      <c r="F163" s="3" t="s">
        <v>367</v>
      </c>
      <c r="G163" s="133" t="str">
        <f>IF(OR(F163="APUC",F163="TOTAL"),"",INDEX(APU!$E$21:$E$108,MATCH(H163,APU!$F$21:$F$108,0),1))</f>
        <v>GF0403</v>
      </c>
      <c r="H163" s="2" t="s">
        <v>54</v>
      </c>
      <c r="I163" s="134">
        <f>INDEX(_xlfn.ANCHORARRAY('Répartition 1000€'!$H$82),MATCH(E163,'Répartition 1000€'!$E$82:$E$96,0),MATCH(G163,'Répartition 1000€'!$H$27:$P$27,0))</f>
        <v>1.4807798072700862</v>
      </c>
    </row>
    <row r="164" spans="5:9" x14ac:dyDescent="0.15">
      <c r="E164" s="131" t="s">
        <v>349</v>
      </c>
      <c r="F164" s="3" t="s">
        <v>367</v>
      </c>
      <c r="G164" s="133" t="str">
        <f>IF(OR(F164="APUC",F164="TOTAL"),"",INDEX(APU!$E$21:$E$108,MATCH(H164,APU!$F$21:$F$108,0),1))</f>
        <v>GF0501</v>
      </c>
      <c r="H164" s="2" t="s">
        <v>70</v>
      </c>
      <c r="I164" s="134">
        <f>INDEX(_xlfn.ANCHORARRAY('Répartition 1000€'!$H$82),MATCH(E164,'Répartition 1000€'!$E$82:$E$96,0),MATCH(G164,'Répartition 1000€'!$H$27:$P$27,0))</f>
        <v>8.6566114883828487</v>
      </c>
    </row>
    <row r="165" spans="5:9" x14ac:dyDescent="0.15">
      <c r="E165" s="131" t="s">
        <v>349</v>
      </c>
      <c r="F165" s="3" t="s">
        <v>367</v>
      </c>
      <c r="G165" s="133" t="str">
        <f>IF(OR(F165="APUC",F165="TOTAL"),"",INDEX(APU!$E$21:$E$108,MATCH(H165,APU!$F$21:$F$108,0),1))</f>
        <v>GF0502</v>
      </c>
      <c r="H165" s="2" t="s">
        <v>72</v>
      </c>
      <c r="I165" s="134">
        <f>INDEX(_xlfn.ANCHORARRAY('Répartition 1000€'!$H$82),MATCH(E165,'Répartition 1000€'!$E$82:$E$96,0),MATCH(G165,'Répartition 1000€'!$H$27:$P$27,0))</f>
        <v>3.4869619547161217</v>
      </c>
    </row>
    <row r="166" spans="5:9" x14ac:dyDescent="0.15">
      <c r="E166" s="131" t="s">
        <v>349</v>
      </c>
      <c r="F166" s="3" t="s">
        <v>367</v>
      </c>
      <c r="G166" s="133" t="str">
        <f>IF(OR(F166="APUC",F166="TOTAL"),"",INDEX(APU!$E$21:$E$108,MATCH(H166,APU!$F$21:$F$108,0),1))</f>
        <v>GF0503</v>
      </c>
      <c r="H166" s="2" t="s">
        <v>74</v>
      </c>
      <c r="I166" s="134">
        <f>INDEX(_xlfn.ANCHORARRAY('Répartition 1000€'!$H$82),MATCH(E166,'Répartition 1000€'!$E$82:$E$96,0),MATCH(G166,'Répartition 1000€'!$H$27:$P$27,0))</f>
        <v>1.3024525052748828</v>
      </c>
    </row>
    <row r="167" spans="5:9" x14ac:dyDescent="0.15">
      <c r="E167" s="131" t="s">
        <v>349</v>
      </c>
      <c r="F167" s="3" t="s">
        <v>367</v>
      </c>
      <c r="G167" s="133" t="str">
        <f>IF(OR(F167="APUC",F167="TOTAL"),"",INDEX(APU!$E$21:$E$108,MATCH(H167,APU!$F$21:$F$108,0),1))</f>
        <v>GF0504</v>
      </c>
      <c r="H167" s="2" t="s">
        <v>76</v>
      </c>
      <c r="I167" s="134">
        <f>INDEX(_xlfn.ANCHORARRAY('Répartition 1000€'!$H$82),MATCH(E167,'Répartition 1000€'!$E$82:$E$96,0),MATCH(G167,'Répartition 1000€'!$H$27:$P$27,0))</f>
        <v>1.065726696324639</v>
      </c>
    </row>
    <row r="168" spans="5:9" x14ac:dyDescent="0.15">
      <c r="E168" s="131" t="s">
        <v>349</v>
      </c>
      <c r="F168" s="3" t="s">
        <v>367</v>
      </c>
      <c r="G168" s="133" t="str">
        <f>IF(OR(F168="APUC",F168="TOTAL"),"",INDEX(APU!$E$21:$E$108,MATCH(H168,APU!$F$21:$F$108,0),1))</f>
        <v>GF0505</v>
      </c>
      <c r="H168" s="2" t="s">
        <v>78</v>
      </c>
      <c r="I168" s="134">
        <f>INDEX(_xlfn.ANCHORARRAY('Répartition 1000€'!$H$82),MATCH(E168,'Répartition 1000€'!$E$82:$E$96,0),MATCH(G168,'Répartition 1000€'!$H$27:$P$27,0))</f>
        <v>9.2663876966515707E-2</v>
      </c>
    </row>
    <row r="169" spans="5:9" x14ac:dyDescent="0.15">
      <c r="E169" s="131" t="s">
        <v>349</v>
      </c>
      <c r="F169" s="3" t="s">
        <v>367</v>
      </c>
      <c r="G169" s="133" t="str">
        <f>IF(OR(F169="APUC",F169="TOTAL"),"",INDEX(APU!$E$21:$E$108,MATCH(H169,APU!$F$21:$F$108,0),1))</f>
        <v>GF0506</v>
      </c>
      <c r="H169" s="2" t="s">
        <v>80</v>
      </c>
      <c r="I169" s="134">
        <f>INDEX(_xlfn.ANCHORARRAY('Répartition 1000€'!$H$82),MATCH(E169,'Répartition 1000€'!$E$82:$E$96,0),MATCH(G169,'Répartition 1000€'!$H$27:$P$27,0))</f>
        <v>0.27191229105880155</v>
      </c>
    </row>
    <row r="170" spans="5:9" x14ac:dyDescent="0.15">
      <c r="E170" s="131" t="s">
        <v>349</v>
      </c>
      <c r="F170" s="3" t="s">
        <v>385</v>
      </c>
      <c r="G170" s="133" t="str">
        <f>IF(OR(F170="APUC",F170="TOTAL"),"",INDEX(APU!$E$21:$E$108,MATCH(H170,APU!$F$21:$F$108,0),1))</f>
        <v/>
      </c>
      <c r="H170" s="2" t="s">
        <v>244</v>
      </c>
      <c r="I170" s="134">
        <f>VLOOKUP(H170,'Répartition Budget'!$G$18:$H$219,2,FALSE)</f>
        <v>6.1304508580094508</v>
      </c>
    </row>
    <row r="171" spans="5:9" x14ac:dyDescent="0.15">
      <c r="E171" s="131" t="s">
        <v>349</v>
      </c>
      <c r="F171" s="3" t="s">
        <v>385</v>
      </c>
      <c r="G171" s="133" t="str">
        <f>IF(OR(F171="APUC",F171="TOTAL"),"",INDEX(APU!$E$21:$E$108,MATCH(H171,APU!$F$21:$F$108,0),1))</f>
        <v/>
      </c>
      <c r="H171" s="2" t="s">
        <v>246</v>
      </c>
      <c r="I171" s="134">
        <f>VLOOKUP(H171,'Répartition Budget'!$G$18:$H$219,2,FALSE)</f>
        <v>5.7164984441199822</v>
      </c>
    </row>
    <row r="172" spans="5:9" x14ac:dyDescent="0.15">
      <c r="E172" s="131" t="s">
        <v>349</v>
      </c>
      <c r="F172" s="3" t="s">
        <v>385</v>
      </c>
      <c r="G172" s="133" t="str">
        <f>IF(OR(F172="APUC",F172="TOTAL"),"",INDEX(APU!$E$21:$E$108,MATCH(H172,APU!$F$21:$F$108,0),1))</f>
        <v/>
      </c>
      <c r="H172" s="2" t="s">
        <v>336</v>
      </c>
      <c r="I172" s="134">
        <f>VLOOKUP(H172,'Répartition Budget'!$G$18:$H$219,2,FALSE)</f>
        <v>3.8233994398245201</v>
      </c>
    </row>
    <row r="173" spans="5:9" x14ac:dyDescent="0.15">
      <c r="E173" s="131" t="s">
        <v>349</v>
      </c>
      <c r="F173" s="3" t="s">
        <v>385</v>
      </c>
      <c r="G173" s="133" t="str">
        <f>IF(OR(F173="APUC",F173="TOTAL"),"",INDEX(APU!$E$21:$E$108,MATCH(H173,APU!$F$21:$F$108,0),1))</f>
        <v/>
      </c>
      <c r="H173" s="2" t="s">
        <v>225</v>
      </c>
      <c r="I173" s="134">
        <f>VLOOKUP(H173,'Répartition Budget'!$G$18:$H$219,2,FALSE)</f>
        <v>1.1237494325667308</v>
      </c>
    </row>
    <row r="174" spans="5:9" x14ac:dyDescent="0.15">
      <c r="E174" s="131" t="s">
        <v>349</v>
      </c>
      <c r="F174" s="3" t="s">
        <v>385</v>
      </c>
      <c r="G174" s="133" t="str">
        <f>IF(OR(F174="APUC",F174="TOTAL"),"",INDEX(APU!$E$21:$E$108,MATCH(H174,APU!$F$21:$F$108,0),1))</f>
        <v/>
      </c>
      <c r="H174" s="2" t="s">
        <v>251</v>
      </c>
      <c r="I174" s="134">
        <f>VLOOKUP(H174,'Répartition Budget'!$G$18:$H$219,2,FALSE)</f>
        <v>0.16987990420150964</v>
      </c>
    </row>
    <row r="175" spans="5:9" x14ac:dyDescent="0.15">
      <c r="E175" s="131" t="s">
        <v>349</v>
      </c>
      <c r="F175" s="3" t="s">
        <v>385</v>
      </c>
      <c r="G175" s="133" t="str">
        <f>IF(OR(F175="APUC",F175="TOTAL"),"",INDEX(APU!$E$21:$E$108,MATCH(H175,APU!$F$21:$F$108,0),1))</f>
        <v/>
      </c>
      <c r="H175" s="2" t="s">
        <v>252</v>
      </c>
      <c r="I175" s="134">
        <f>VLOOKUP(H175,'Répartition Budget'!$G$18:$H$219,2,FALSE)</f>
        <v>0.1322006664070251</v>
      </c>
    </row>
    <row r="176" spans="5:9" x14ac:dyDescent="0.15">
      <c r="E176" s="131" t="s">
        <v>349</v>
      </c>
      <c r="F176" s="3" t="s">
        <v>385</v>
      </c>
      <c r="G176" s="133" t="str">
        <f>IF(OR(F176="APUC",F176="TOTAL"),"",INDEX(APU!$E$21:$E$108,MATCH(H176,APU!$F$21:$F$108,0),1))</f>
        <v/>
      </c>
      <c r="H176" s="2" t="s">
        <v>247</v>
      </c>
      <c r="I176" s="134">
        <f>VLOOKUP(H176,'Répartition Budget'!$G$18:$H$219,2,FALSE)</f>
        <v>0.73819073993383921</v>
      </c>
    </row>
    <row r="177" spans="5:9" x14ac:dyDescent="0.15">
      <c r="E177" s="131" t="s">
        <v>349</v>
      </c>
      <c r="F177" s="3" t="s">
        <v>385</v>
      </c>
      <c r="G177" s="133" t="str">
        <f>IF(OR(F177="APUC",F177="TOTAL"),"",INDEX(APU!$E$21:$E$108,MATCH(H177,APU!$F$21:$F$108,0),1))</f>
        <v/>
      </c>
      <c r="H177" s="2" t="s">
        <v>249</v>
      </c>
      <c r="I177" s="134">
        <f>VLOOKUP(H177,'Répartition Budget'!$G$18:$H$219,2,FALSE)</f>
        <v>0.32027115078406665</v>
      </c>
    </row>
    <row r="178" spans="5:9" x14ac:dyDescent="0.15">
      <c r="E178" s="113" t="s">
        <v>349</v>
      </c>
      <c r="F178" s="4" t="s">
        <v>1</v>
      </c>
      <c r="G178" s="135" t="str">
        <f>IF(OR(F178="APUC",F178="TOTAL"),"",INDEX(APU!$E$21:$E$108,MATCH(H178,APU!$F$21:$F$108,0),1))</f>
        <v/>
      </c>
      <c r="H178" s="4" t="s">
        <v>1</v>
      </c>
      <c r="I178" s="136">
        <f>SUM(I163:I177)</f>
        <v>34.511749255841018</v>
      </c>
    </row>
    <row r="179" spans="5:9" x14ac:dyDescent="0.15">
      <c r="E179" s="2" t="s">
        <v>345</v>
      </c>
      <c r="F179" s="3" t="s">
        <v>367</v>
      </c>
      <c r="G179" s="133" t="str">
        <f>IF(OR(F179="APUC",F179="TOTAL"),"",INDEX(APU!$E$21:$E$108,MATCH(H179,APU!$F$21:$F$108,0),1))</f>
        <v>GF0801</v>
      </c>
      <c r="H179" s="2" t="s">
        <v>112</v>
      </c>
      <c r="I179" s="134">
        <f>INDEX(_xlfn.ANCHORARRAY('Répartition 1000€'!$H$82),MATCH(E179,'Répartition 1000€'!$E$82:$E$96,0),MATCH(G179,'Répartition 1000€'!$H$28:$P$28,0))</f>
        <v>9.065769481906969</v>
      </c>
    </row>
    <row r="180" spans="5:9" x14ac:dyDescent="0.15">
      <c r="E180" s="2" t="s">
        <v>345</v>
      </c>
      <c r="F180" s="3" t="s">
        <v>367</v>
      </c>
      <c r="G180" s="133" t="str">
        <f>IF(OR(F180="APUC",F180="TOTAL"),"",INDEX(APU!$E$21:$E$108,MATCH(H180,APU!$F$21:$F$108,0),1))</f>
        <v>GF0802</v>
      </c>
      <c r="H180" s="2" t="s">
        <v>114</v>
      </c>
      <c r="I180" s="134">
        <f>INDEX(_xlfn.ANCHORARRAY('Répartition 1000€'!$H$82),MATCH(E180,'Répartition 1000€'!$E$82:$E$96,0),MATCH(G180,'Répartition 1000€'!$H$28:$P$28,0))</f>
        <v>8.4303863573393478</v>
      </c>
    </row>
    <row r="181" spans="5:9" x14ac:dyDescent="0.15">
      <c r="E181" s="2" t="s">
        <v>345</v>
      </c>
      <c r="F181" s="3" t="s">
        <v>367</v>
      </c>
      <c r="G181" s="133" t="str">
        <f>IF(OR(F181="APUC",F181="TOTAL"),"",INDEX(APU!$E$21:$E$108,MATCH(H181,APU!$F$21:$F$108,0),1))</f>
        <v>GF0803</v>
      </c>
      <c r="H181" s="2" t="s">
        <v>116</v>
      </c>
      <c r="I181" s="134">
        <f>INDEX(_xlfn.ANCHORARRAY('Répartition 1000€'!$H$82),MATCH(E181,'Répartition 1000€'!$E$82:$E$96,0),MATCH(G181,'Répartition 1000€'!$H$28:$P$28,0))</f>
        <v>1.3448236617406852E-2</v>
      </c>
    </row>
    <row r="182" spans="5:9" x14ac:dyDescent="0.15">
      <c r="E182" s="2" t="s">
        <v>345</v>
      </c>
      <c r="F182" s="3" t="s">
        <v>367</v>
      </c>
      <c r="G182" s="133" t="str">
        <f>IF(OR(F182="APUC",F182="TOTAL"),"",INDEX(APU!$E$21:$E$108,MATCH(H182,APU!$F$21:$F$108,0),1))</f>
        <v>GF0804</v>
      </c>
      <c r="H182" s="2" t="s">
        <v>118</v>
      </c>
      <c r="I182" s="134">
        <f>INDEX(_xlfn.ANCHORARRAY('Répartition 1000€'!$H$82),MATCH(E182,'Répartition 1000€'!$E$82:$E$96,0),MATCH(G182,'Répartition 1000€'!$H$28:$P$28,0))</f>
        <v>0.34781192785841286</v>
      </c>
    </row>
    <row r="183" spans="5:9" x14ac:dyDescent="0.15">
      <c r="E183" s="2" t="s">
        <v>345</v>
      </c>
      <c r="F183" s="3" t="s">
        <v>367</v>
      </c>
      <c r="G183" s="133" t="str">
        <f>IF(OR(F183="APUC",F183="TOTAL"),"",INDEX(APU!$E$21:$E$108,MATCH(H183,APU!$F$21:$F$108,0),1))</f>
        <v>GF0805</v>
      </c>
      <c r="H183" s="2" t="s">
        <v>120</v>
      </c>
      <c r="I183" s="134">
        <f>INDEX(_xlfn.ANCHORARRAY('Répartition 1000€'!$H$82),MATCH(E183,'Répartition 1000€'!$E$82:$E$96,0),MATCH(G183,'Répartition 1000€'!$H$28:$P$28,0))</f>
        <v>0</v>
      </c>
    </row>
    <row r="184" spans="5:9" x14ac:dyDescent="0.15">
      <c r="E184" s="2" t="s">
        <v>345</v>
      </c>
      <c r="F184" s="3" t="s">
        <v>367</v>
      </c>
      <c r="G184" s="133" t="str">
        <f>IF(OR(F184="APUC",F184="TOTAL"),"",INDEX(APU!$E$21:$E$108,MATCH(H184,APU!$F$21:$F$108,0),1))</f>
        <v>GF0806</v>
      </c>
      <c r="H184" s="2" t="s">
        <v>122</v>
      </c>
      <c r="I184" s="134">
        <f>INDEX(_xlfn.ANCHORARRAY('Répartition 1000€'!$H$82),MATCH(E184,'Répartition 1000€'!$E$82:$E$96,0),MATCH(G184,'Répartition 1000€'!$H$28:$P$28,0))</f>
        <v>3.2975813075559267E-2</v>
      </c>
    </row>
    <row r="185" spans="5:9" x14ac:dyDescent="0.15">
      <c r="E185" s="2" t="s">
        <v>345</v>
      </c>
      <c r="F185" s="3" t="s">
        <v>385</v>
      </c>
      <c r="G185" s="133" t="str">
        <f>IF(OR(F185="APUC",F185="TOTAL"),"",INDEX(APU!$E$21:$E$108,MATCH(H185,APU!$F$21:$F$108,0),1))</f>
        <v/>
      </c>
      <c r="H185" s="2" t="s">
        <v>291</v>
      </c>
      <c r="I185" s="134">
        <f>VLOOKUP(H185,'Répartition Budget'!$G$18:$H$219,2,FALSE)</f>
        <v>1.1180064283356588</v>
      </c>
    </row>
    <row r="186" spans="5:9" x14ac:dyDescent="0.15">
      <c r="E186" s="2" t="s">
        <v>345</v>
      </c>
      <c r="F186" s="3" t="s">
        <v>385</v>
      </c>
      <c r="G186" s="133" t="str">
        <f>IF(OR(F186="APUC",F186="TOTAL"),"",INDEX(APU!$E$21:$E$108,MATCH(H186,APU!$F$21:$F$108,0),1))</f>
        <v/>
      </c>
      <c r="H186" s="2" t="s">
        <v>274</v>
      </c>
      <c r="I186" s="134">
        <f>VLOOKUP(H186,'Répartition Budget'!$G$18:$H$219,2,FALSE)</f>
        <v>2.3586244220723143</v>
      </c>
    </row>
    <row r="187" spans="5:9" x14ac:dyDescent="0.15">
      <c r="E187" s="2" t="s">
        <v>345</v>
      </c>
      <c r="F187" s="3" t="s">
        <v>385</v>
      </c>
      <c r="G187" s="133" t="str">
        <f>IF(OR(F187="APUC",F187="TOTAL"),"",INDEX(APU!$E$21:$E$108,MATCH(H187,APU!$F$21:$F$108,0),1))</f>
        <v/>
      </c>
      <c r="H187" s="2" t="s">
        <v>292</v>
      </c>
      <c r="I187" s="134">
        <f>VLOOKUP(H187,'Répartition Budget'!$G$18:$H$219,2,FALSE)</f>
        <v>0.46177857331962296</v>
      </c>
    </row>
    <row r="188" spans="5:9" x14ac:dyDescent="0.15">
      <c r="E188" s="2" t="s">
        <v>345</v>
      </c>
      <c r="F188" s="3" t="s">
        <v>385</v>
      </c>
      <c r="G188" s="133" t="str">
        <f>IF(OR(F188="APUC",F188="TOTAL"),"",INDEX(APU!$E$21:$E$108,MATCH(H188,APU!$F$21:$F$108,0),1))</f>
        <v/>
      </c>
      <c r="H188" s="2" t="s">
        <v>271</v>
      </c>
      <c r="I188" s="134">
        <f>VLOOKUP(H188,'Répartition Budget'!$G$18:$H$219,2,FALSE)</f>
        <v>2.4731544880057723</v>
      </c>
    </row>
    <row r="189" spans="5:9" x14ac:dyDescent="0.15">
      <c r="E189" s="32" t="s">
        <v>345</v>
      </c>
      <c r="F189" s="4" t="s">
        <v>1</v>
      </c>
      <c r="G189" s="135" t="str">
        <f>IF(OR(F189="APUC",F189="TOTAL"),"",INDEX(APU!$E$21:$E$108,MATCH(H189,APU!$F$21:$F$108,0),1))</f>
        <v/>
      </c>
      <c r="H189" s="4" t="s">
        <v>1</v>
      </c>
      <c r="I189" s="136">
        <f>SUM(I179:I188)</f>
        <v>24.301955728531063</v>
      </c>
    </row>
    <row r="190" spans="5:9" x14ac:dyDescent="0.15">
      <c r="E190" s="2" t="s">
        <v>22</v>
      </c>
      <c r="F190" s="3" t="s">
        <v>367</v>
      </c>
      <c r="G190" s="133" t="str">
        <f>IF(OR(F190="APUC",F190="TOTAL"),"",INDEX(APU!$E$21:$E$108,MATCH(H190,APU!$F$21:$F$108,0),1))</f>
        <v>GF0201</v>
      </c>
      <c r="H190" s="2" t="s">
        <v>24</v>
      </c>
      <c r="I190" s="134">
        <f>INDEX(_xlfn.ANCHORARRAY('Répartition 1000€'!$H$82),MATCH(E190,'Répartition 1000€'!$E$82:$E$96,0),MATCH(G190,'Répartition 1000€'!$H$29:$P$29,0))</f>
        <v>0</v>
      </c>
    </row>
    <row r="191" spans="5:9" x14ac:dyDescent="0.15">
      <c r="E191" s="2" t="s">
        <v>22</v>
      </c>
      <c r="F191" s="3" t="s">
        <v>367</v>
      </c>
      <c r="G191" s="133" t="str">
        <f>IF(OR(F191="APUC",F191="TOTAL"),"",INDEX(APU!$E$21:$E$108,MATCH(H191,APU!$F$21:$F$108,0),1))</f>
        <v>GF0202</v>
      </c>
      <c r="H191" s="2" t="s">
        <v>26</v>
      </c>
      <c r="I191" s="134">
        <f>INDEX(_xlfn.ANCHORARRAY('Répartition 1000€'!$H$82),MATCH(E191,'Répartition 1000€'!$E$82:$E$96,0),MATCH(G191,'Répartition 1000€'!$H$29:$P$29,0))</f>
        <v>0</v>
      </c>
    </row>
    <row r="192" spans="5:9" x14ac:dyDescent="0.15">
      <c r="E192" s="2" t="s">
        <v>22</v>
      </c>
      <c r="F192" s="3" t="s">
        <v>367</v>
      </c>
      <c r="G192" s="133" t="str">
        <f>IF(OR(F192="APUC",F192="TOTAL"),"",INDEX(APU!$E$21:$E$108,MATCH(H192,APU!$F$21:$F$108,0),1))</f>
        <v>GF0203</v>
      </c>
      <c r="H192" s="2" t="s">
        <v>28</v>
      </c>
      <c r="I192" s="134">
        <f>INDEX(_xlfn.ANCHORARRAY('Répartition 1000€'!$H$82),MATCH(E192,'Répartition 1000€'!$E$82:$E$96,0),MATCH(G192,'Répartition 1000€'!$H$29:$P$29,0))</f>
        <v>0</v>
      </c>
    </row>
    <row r="193" spans="5:9" x14ac:dyDescent="0.15">
      <c r="E193" s="2" t="s">
        <v>22</v>
      </c>
      <c r="F193" s="3" t="s">
        <v>367</v>
      </c>
      <c r="G193" s="133" t="str">
        <f>IF(OR(F193="APUC",F193="TOTAL"),"",INDEX(APU!$E$21:$E$108,MATCH(H193,APU!$F$21:$F$108,0),1))</f>
        <v>GF0204</v>
      </c>
      <c r="H193" s="2" t="s">
        <v>30</v>
      </c>
      <c r="I193" s="134">
        <f>INDEX(_xlfn.ANCHORARRAY('Répartition 1000€'!$H$82),MATCH(E193,'Répartition 1000€'!$E$82:$E$96,0),MATCH(G193,'Répartition 1000€'!$H$29:$P$29,0))</f>
        <v>0</v>
      </c>
    </row>
    <row r="194" spans="5:9" x14ac:dyDescent="0.15">
      <c r="E194" s="2" t="s">
        <v>22</v>
      </c>
      <c r="F194" s="3" t="s">
        <v>367</v>
      </c>
      <c r="G194" s="133" t="str">
        <f>IF(OR(F194="APUC",F194="TOTAL"),"",INDEX(APU!$E$21:$E$108,MATCH(H194,APU!$F$21:$F$108,0),1))</f>
        <v>GF0205</v>
      </c>
      <c r="H194" s="2" t="s">
        <v>32</v>
      </c>
      <c r="I194" s="134">
        <f>INDEX(_xlfn.ANCHORARRAY('Répartition 1000€'!$H$82),MATCH(E194,'Répartition 1000€'!$E$82:$E$96,0),MATCH(G194,'Répartition 1000€'!$H$29:$P$29,0))</f>
        <v>0</v>
      </c>
    </row>
    <row r="195" spans="5:9" x14ac:dyDescent="0.15">
      <c r="E195" s="2" t="s">
        <v>22</v>
      </c>
      <c r="F195" s="3" t="s">
        <v>385</v>
      </c>
      <c r="G195" s="133" t="str">
        <f>IF(OR(F195="APUC",F195="TOTAL"),"",INDEX(APU!$E$21:$E$108,MATCH(H195,APU!$F$21:$F$108,0),1))</f>
        <v/>
      </c>
      <c r="H195" s="2" t="s">
        <v>312</v>
      </c>
      <c r="I195" s="134">
        <f>VLOOKUP(H195,'Répartition Budget'!$G$18:$H$219,2,FALSE)</f>
        <v>15.119116033056329</v>
      </c>
    </row>
    <row r="196" spans="5:9" x14ac:dyDescent="0.15">
      <c r="E196" s="2" t="s">
        <v>22</v>
      </c>
      <c r="F196" s="3" t="s">
        <v>385</v>
      </c>
      <c r="G196" s="133" t="str">
        <f>IF(OR(F196="APUC",F196="TOTAL"),"",INDEX(APU!$E$21:$E$108,MATCH(H196,APU!$F$21:$F$108,0),1))</f>
        <v/>
      </c>
      <c r="H196" s="2" t="s">
        <v>313</v>
      </c>
      <c r="I196" s="134">
        <f>VLOOKUP(H196,'Répartition Budget'!$G$18:$H$219,2,FALSE)</f>
        <v>9.8697312411121949</v>
      </c>
    </row>
    <row r="197" spans="5:9" x14ac:dyDescent="0.15">
      <c r="E197" s="2" t="s">
        <v>22</v>
      </c>
      <c r="F197" s="3" t="s">
        <v>385</v>
      </c>
      <c r="G197" s="133" t="str">
        <f>IF(OR(F197="APUC",F197="TOTAL"),"",INDEX(APU!$E$21:$E$108,MATCH(H197,APU!$F$21:$F$108,0),1))</f>
        <v/>
      </c>
      <c r="H197" s="2" t="s">
        <v>314</v>
      </c>
      <c r="I197" s="134">
        <f>VLOOKUP(H197,'Répartition Budget'!$G$18:$H$219,2,FALSE)</f>
        <v>7.2475997678233046</v>
      </c>
    </row>
    <row r="198" spans="5:9" x14ac:dyDescent="0.15">
      <c r="E198" s="2" t="s">
        <v>22</v>
      </c>
      <c r="F198" s="3" t="s">
        <v>385</v>
      </c>
      <c r="G198" s="133" t="str">
        <f>IF(OR(F198="APUC",F198="TOTAL"),"",INDEX(APU!$E$21:$E$108,MATCH(H198,APU!$F$21:$F$108,0),1))</f>
        <v/>
      </c>
      <c r="H198" s="2" t="s">
        <v>286</v>
      </c>
      <c r="I198" s="134">
        <f>VLOOKUP(H198,'Répartition Budget'!$G$18:$H$219,2,FALSE)</f>
        <v>1.3873532018736452</v>
      </c>
    </row>
    <row r="199" spans="5:9" x14ac:dyDescent="0.15">
      <c r="E199" s="2" t="s">
        <v>22</v>
      </c>
      <c r="F199" s="3" t="s">
        <v>385</v>
      </c>
      <c r="G199" s="133" t="str">
        <f>IF(OR(F199="APUC",F199="TOTAL"),"",INDEX(APU!$E$21:$E$108,MATCH(H199,APU!$F$21:$F$108,0),1))</f>
        <v/>
      </c>
      <c r="H199" s="2" t="s">
        <v>315</v>
      </c>
      <c r="I199" s="134">
        <f>VLOOKUP(H199,'Répartition Budget'!$G$18:$H$219,2,FALSE)</f>
        <v>1.2271374993256456</v>
      </c>
    </row>
    <row r="200" spans="5:9" x14ac:dyDescent="0.15">
      <c r="E200" s="32" t="s">
        <v>22</v>
      </c>
      <c r="F200" s="4" t="s">
        <v>1</v>
      </c>
      <c r="G200" s="135" t="str">
        <f>IF(OR(F200="APUC",F200="TOTAL"),"",INDEX(APU!$E$21:$E$108,MATCH(H200,APU!$F$21:$F$108,0),1))</f>
        <v/>
      </c>
      <c r="H200" s="4" t="s">
        <v>1</v>
      </c>
      <c r="I200" s="136">
        <f>SUM(I190:I199)</f>
        <v>34.850937743191118</v>
      </c>
    </row>
    <row r="201" spans="5:9" x14ac:dyDescent="0.15">
      <c r="E201" s="131" t="s">
        <v>194</v>
      </c>
      <c r="F201" s="3" t="s">
        <v>367</v>
      </c>
      <c r="G201" s="133" t="str">
        <f>IF(OR(F201="APUC",F201="TOTAL"),"",INDEX(APU!$E$21:$E$108,MATCH(H201,APU!$F$21:$F$108,0),1))</f>
        <v>GF0301</v>
      </c>
      <c r="H201" s="2" t="s">
        <v>36</v>
      </c>
      <c r="I201" s="134">
        <f>INDEX(_xlfn.ANCHORARRAY('Répartition 1000€'!$H$82),MATCH(E201,'Répartition 1000€'!$E$82:$E$96,0),MATCH(G201,'Répartition 1000€'!$H$30:$P$30,0))</f>
        <v>1.5739963514948514</v>
      </c>
    </row>
    <row r="202" spans="5:9" x14ac:dyDescent="0.15">
      <c r="E202" s="131" t="s">
        <v>194</v>
      </c>
      <c r="F202" s="3" t="s">
        <v>367</v>
      </c>
      <c r="G202" s="133" t="str">
        <f>IF(OR(F202="APUC",F202="TOTAL"),"",INDEX(APU!$E$21:$E$108,MATCH(H202,APU!$F$21:$F$108,0),1))</f>
        <v>GF0302</v>
      </c>
      <c r="H202" s="2" t="s">
        <v>38</v>
      </c>
      <c r="I202" s="134">
        <f>INDEX(_xlfn.ANCHORARRAY('Répartition 1000€'!$H$82),MATCH(E202,'Répartition 1000€'!$E$82:$E$96,0),MATCH(G202,'Répartition 1000€'!$H$30:$P$30,0))</f>
        <v>4.3198315128982641</v>
      </c>
    </row>
    <row r="203" spans="5:9" x14ac:dyDescent="0.15">
      <c r="E203" s="131" t="s">
        <v>194</v>
      </c>
      <c r="F203" s="3" t="s">
        <v>367</v>
      </c>
      <c r="G203" s="133" t="str">
        <f>IF(OR(F203="APUC",F203="TOTAL"),"",INDEX(APU!$E$21:$E$108,MATCH(H203,APU!$F$21:$F$108,0),1))</f>
        <v>GF0305</v>
      </c>
      <c r="H203" s="2" t="s">
        <v>44</v>
      </c>
      <c r="I203" s="134">
        <f>INDEX(_xlfn.ANCHORARRAY('Répartition 1000€'!$H$82),MATCH(E203,'Répartition 1000€'!$E$82:$E$96,0),MATCH(G203,'Répartition 1000€'!$H$30:$P$30,0))</f>
        <v>0</v>
      </c>
    </row>
    <row r="204" spans="5:9" x14ac:dyDescent="0.15">
      <c r="E204" s="131" t="s">
        <v>194</v>
      </c>
      <c r="F204" s="3" t="s">
        <v>367</v>
      </c>
      <c r="G204" s="133" t="str">
        <f>IF(OR(F204="APUC",F204="TOTAL"),"",INDEX(APU!$E$21:$E$108,MATCH(H204,APU!$F$21:$F$108,0),1))</f>
        <v>GF0306</v>
      </c>
      <c r="H204" s="2" t="s">
        <v>46</v>
      </c>
      <c r="I204" s="134">
        <f>INDEX(_xlfn.ANCHORARRAY('Répartition 1000€'!$H$82),MATCH(E204,'Répartition 1000€'!$E$82:$E$96,0),MATCH(G204,'Répartition 1000€'!$H$30:$P$30,0))</f>
        <v>3.6844483883306448E-4</v>
      </c>
    </row>
    <row r="205" spans="5:9" x14ac:dyDescent="0.15">
      <c r="E205" s="131" t="s">
        <v>194</v>
      </c>
      <c r="F205" s="3" t="s">
        <v>385</v>
      </c>
      <c r="G205" s="133" t="str">
        <f>IF(OR(F205="APUC",F205="TOTAL"),"",INDEX(APU!$E$21:$E$108,MATCH(H205,APU!$F$21:$F$108,0),1))</f>
        <v/>
      </c>
      <c r="H205" s="2" t="s">
        <v>322</v>
      </c>
      <c r="I205" s="134">
        <f>VLOOKUP(H205,'Répartition Budget'!$G$18:$H$219,2,FALSE)</f>
        <v>7.8365232185386304</v>
      </c>
    </row>
    <row r="206" spans="5:9" x14ac:dyDescent="0.15">
      <c r="E206" s="131" t="s">
        <v>194</v>
      </c>
      <c r="F206" s="3" t="s">
        <v>385</v>
      </c>
      <c r="G206" s="133" t="str">
        <f>IF(OR(F206="APUC",F206="TOTAL"),"",INDEX(APU!$E$21:$E$108,MATCH(H206,APU!$F$21:$F$108,0),1))</f>
        <v/>
      </c>
      <c r="H206" s="2" t="s">
        <v>323</v>
      </c>
      <c r="I206" s="134">
        <f>VLOOKUP(H206,'Répartition Budget'!$G$18:$H$219,2,FALSE)</f>
        <v>6.2727722816308571</v>
      </c>
    </row>
    <row r="207" spans="5:9" x14ac:dyDescent="0.15">
      <c r="E207" s="131" t="s">
        <v>194</v>
      </c>
      <c r="F207" s="3" t="s">
        <v>385</v>
      </c>
      <c r="G207" s="133" t="str">
        <f>IF(OR(F207="APUC",F207="TOTAL"),"",INDEX(APU!$E$21:$E$108,MATCH(H207,APU!$F$21:$F$108,0),1))</f>
        <v/>
      </c>
      <c r="H207" s="2" t="s">
        <v>324</v>
      </c>
      <c r="I207" s="134">
        <f>VLOOKUP(H207,'Répartition Budget'!$G$18:$H$219,2,FALSE)</f>
        <v>0.38990759864542274</v>
      </c>
    </row>
    <row r="208" spans="5:9" x14ac:dyDescent="0.15">
      <c r="E208" s="131" t="s">
        <v>194</v>
      </c>
      <c r="F208" s="3" t="s">
        <v>385</v>
      </c>
      <c r="G208" s="133" t="str">
        <f>IF(OR(F208="APUC",F208="TOTAL"),"",INDEX(APU!$E$21:$E$108,MATCH(H208,APU!$F$21:$F$108,0),1))</f>
        <v/>
      </c>
      <c r="H208" s="2" t="s">
        <v>289</v>
      </c>
      <c r="I208" s="134">
        <f>VLOOKUP(H208,'Répartition Budget'!$G$18:$H$219,2,FALSE)</f>
        <v>1.3004374634825628</v>
      </c>
    </row>
    <row r="209" spans="5:9" x14ac:dyDescent="0.15">
      <c r="E209" s="131" t="s">
        <v>194</v>
      </c>
      <c r="F209" s="3" t="s">
        <v>385</v>
      </c>
      <c r="G209" s="133" t="str">
        <f>IF(OR(F209="APUC",F209="TOTAL"),"",INDEX(APU!$E$21:$E$108,MATCH(H209,APU!$F$21:$F$108,0),1))</f>
        <v/>
      </c>
      <c r="H209" s="2" t="s">
        <v>290</v>
      </c>
      <c r="I209" s="134">
        <f>VLOOKUP(H209,'Répartition Budget'!$G$18:$H$219,2,FALSE)</f>
        <v>1.0302918230821467</v>
      </c>
    </row>
    <row r="210" spans="5:9" x14ac:dyDescent="0.15">
      <c r="E210" s="131" t="s">
        <v>194</v>
      </c>
      <c r="F210" s="3" t="s">
        <v>385</v>
      </c>
      <c r="G210" s="133" t="str">
        <f>IF(OR(F210="APUC",F210="TOTAL"),"",INDEX(APU!$E$21:$E$108,MATCH(H210,APU!$F$21:$F$108,0),1))</f>
        <v/>
      </c>
      <c r="H210" s="2" t="s">
        <v>325</v>
      </c>
      <c r="I210" s="134">
        <f>VLOOKUP(H210,'Répartition Budget'!$G$18:$H$219,2,FALSE)</f>
        <v>3.7024681624847927E-2</v>
      </c>
    </row>
    <row r="211" spans="5:9" x14ac:dyDescent="0.15">
      <c r="E211" s="113" t="s">
        <v>194</v>
      </c>
      <c r="F211" s="4" t="s">
        <v>1</v>
      </c>
      <c r="G211" s="135" t="str">
        <f>IF(OR(F211="APUC",F211="TOTAL"),"",INDEX(APU!$E$21:$E$108,MATCH(H211,APU!$F$21:$F$108,0),1))</f>
        <v/>
      </c>
      <c r="H211" s="4" t="s">
        <v>1</v>
      </c>
      <c r="I211" s="136">
        <f>SUM(I201:I210)</f>
        <v>22.761153376236418</v>
      </c>
    </row>
    <row r="212" spans="5:9" x14ac:dyDescent="0.15">
      <c r="E212" s="2" t="s">
        <v>195</v>
      </c>
      <c r="F212" s="3" t="s">
        <v>367</v>
      </c>
      <c r="G212" s="133" t="str">
        <f>IF(OR(F212="APUC",F212="TOTAL"),"",INDEX(APU!$E$21:$E$108,MATCH(H212,APU!$F$21:$F$108,0),1))</f>
        <v>GF0303</v>
      </c>
      <c r="H212" s="2" t="s">
        <v>40</v>
      </c>
      <c r="I212" s="134">
        <f>INDEX(_xlfn.ANCHORARRAY('Répartition 1000€'!$H$82),MATCH(E212,'Répartition 1000€'!$E$82:$E$96,0),MATCH(G212,'Répartition 1000€'!$H$31:$P$31,0))</f>
        <v>9.7637882290762101E-3</v>
      </c>
    </row>
    <row r="213" spans="5:9" x14ac:dyDescent="0.15">
      <c r="E213" s="2" t="s">
        <v>195</v>
      </c>
      <c r="F213" s="3" t="s">
        <v>367</v>
      </c>
      <c r="G213" s="133" t="str">
        <f>IF(OR(F213="APUC",F213="TOTAL"),"",INDEX(APU!$E$21:$E$108,MATCH(H213,APU!$F$21:$F$108,0),1))</f>
        <v>GF0304</v>
      </c>
      <c r="H213" s="2" t="s">
        <v>42</v>
      </c>
      <c r="I213" s="134">
        <f>INDEX(_xlfn.ANCHORARRAY('Répartition 1000€'!$H$82),MATCH(E213,'Répartition 1000€'!$E$82:$E$96,0),MATCH(G213,'Répartition 1000€'!$H$31:$P$31,0))</f>
        <v>0</v>
      </c>
    </row>
    <row r="214" spans="5:9" x14ac:dyDescent="0.15">
      <c r="E214" s="2" t="s">
        <v>195</v>
      </c>
      <c r="F214" s="3" t="s">
        <v>385</v>
      </c>
      <c r="G214" s="133" t="str">
        <f>IF(OR(F214="APUC",F214="TOTAL"),"",INDEX(APU!$E$21:$E$108,MATCH(H214,APU!$F$21:$F$108,0),1))</f>
        <v/>
      </c>
      <c r="H214" s="2" t="s">
        <v>263</v>
      </c>
      <c r="I214" s="134">
        <f>VLOOKUP(H214,'Répartition Budget'!$G$18:$H$219,2,FALSE)</f>
        <v>2.5982720814763653</v>
      </c>
    </row>
    <row r="215" spans="5:9" x14ac:dyDescent="0.15">
      <c r="E215" s="2" t="s">
        <v>195</v>
      </c>
      <c r="F215" s="3" t="s">
        <v>385</v>
      </c>
      <c r="G215" s="133" t="str">
        <f>IF(OR(F215="APUC",F215="TOTAL"),"",INDEX(APU!$E$21:$E$108,MATCH(H215,APU!$F$21:$F$108,0),1))</f>
        <v/>
      </c>
      <c r="H215" s="2" t="s">
        <v>264</v>
      </c>
      <c r="I215" s="134">
        <f>VLOOKUP(H215,'Répartition Budget'!$G$18:$H$219,2,FALSE)</f>
        <v>0.68721001706792528</v>
      </c>
    </row>
    <row r="216" spans="5:9" x14ac:dyDescent="0.15">
      <c r="E216" s="2" t="s">
        <v>195</v>
      </c>
      <c r="F216" s="3" t="s">
        <v>385</v>
      </c>
      <c r="G216" s="133" t="str">
        <f>IF(OR(F216="APUC",F216="TOTAL"),"",INDEX(APU!$E$21:$E$108,MATCH(H216,APU!$F$21:$F$108,0),1))</f>
        <v/>
      </c>
      <c r="H216" s="2" t="s">
        <v>266</v>
      </c>
      <c r="I216" s="134">
        <f>VLOOKUP(H216,'Répartition Budget'!$G$18:$H$219,2,FALSE)</f>
        <v>0.46426151213474781</v>
      </c>
    </row>
    <row r="217" spans="5:9" x14ac:dyDescent="0.15">
      <c r="E217" s="2" t="s">
        <v>195</v>
      </c>
      <c r="F217" s="3" t="s">
        <v>385</v>
      </c>
      <c r="G217" s="133" t="str">
        <f>IF(OR(F217="APUC",F217="TOTAL"),"",INDEX(APU!$E$21:$E$108,MATCH(H217,APU!$F$21:$F$108,0),1))</f>
        <v/>
      </c>
      <c r="H217" s="2" t="s">
        <v>265</v>
      </c>
      <c r="I217" s="134">
        <f>VLOOKUP(H217,'Répartition Budget'!$G$18:$H$219,2,FALSE)</f>
        <v>0.43325747693538652</v>
      </c>
    </row>
    <row r="218" spans="5:9" x14ac:dyDescent="0.15">
      <c r="E218" s="2" t="s">
        <v>195</v>
      </c>
      <c r="F218" s="3" t="s">
        <v>385</v>
      </c>
      <c r="G218" s="133" t="str">
        <f>IF(OR(F218="APUC",F218="TOTAL"),"",INDEX(APU!$E$21:$E$108,MATCH(H218,APU!$F$21:$F$108,0),1))</f>
        <v/>
      </c>
      <c r="H218" s="2" t="s">
        <v>267</v>
      </c>
      <c r="I218" s="134">
        <f>VLOOKUP(H218,'Répartition Budget'!$G$18:$H$219,2,FALSE)</f>
        <v>3.5685565939321822E-3</v>
      </c>
    </row>
    <row r="219" spans="5:9" x14ac:dyDescent="0.15">
      <c r="E219" s="2" t="s">
        <v>195</v>
      </c>
      <c r="F219" s="3" t="s">
        <v>385</v>
      </c>
      <c r="G219" s="133" t="str">
        <f>IF(OR(F219="APUC",F219="TOTAL"),"",INDEX(APU!$E$21:$E$108,MATCH(H219,APU!$F$21:$F$108,0),1))</f>
        <v/>
      </c>
      <c r="H219" s="2" t="s">
        <v>42</v>
      </c>
      <c r="I219" s="134">
        <f>VLOOKUP(H219,'Répartition Budget'!$G$18:$H$219,2,FALSE)</f>
        <v>3.1024968286726557</v>
      </c>
    </row>
    <row r="220" spans="5:9" x14ac:dyDescent="0.15">
      <c r="E220" s="32" t="s">
        <v>195</v>
      </c>
      <c r="F220" s="4" t="s">
        <v>1</v>
      </c>
      <c r="G220" s="135" t="str">
        <f>IF(OR(F220="APUC",F220="TOTAL"),"",INDEX(APU!$E$21:$E$108,MATCH(H220,APU!$F$21:$F$108,0),1))</f>
        <v/>
      </c>
      <c r="H220" s="4" t="s">
        <v>1</v>
      </c>
      <c r="I220" s="136">
        <f>SUM(I212:I219)</f>
        <v>7.2988302611100888</v>
      </c>
    </row>
    <row r="221" spans="5:9" x14ac:dyDescent="0.15">
      <c r="E221" s="2" t="s">
        <v>196</v>
      </c>
      <c r="F221" s="3" t="s">
        <v>367</v>
      </c>
      <c r="G221" s="133" t="str">
        <f>IF(OR(F221="APUC",F221="TOTAL"),"",INDEX(APU!$E$21:$E$108,MATCH(H221,APU!$F$21:$F$108,0),1))</f>
        <v>GF0107</v>
      </c>
      <c r="H221" s="2" t="s">
        <v>18</v>
      </c>
      <c r="I221" s="134">
        <f>INDEX(_xlfn.ANCHORARRAY('Répartition 1000€'!$H$82),MATCH(E221,'Répartition 1000€'!$E$82:$E$96,0),MATCH(G221,'Répartition 1000€'!$H$32:$P$32,0))</f>
        <v>3.328714896437321</v>
      </c>
    </row>
    <row r="222" spans="5:9" x14ac:dyDescent="0.15">
      <c r="E222" s="2" t="s">
        <v>196</v>
      </c>
      <c r="F222" s="3" t="s">
        <v>386</v>
      </c>
      <c r="G222" s="133" t="str">
        <f>IF(OR(F222="APUC",F222="TOTAL"),"",INDEX(APU!$E$21:$E$108,MATCH(H222,APU!$F$21:$F$108,0),1))</f>
        <v>GF0107</v>
      </c>
      <c r="H222" s="2" t="s">
        <v>18</v>
      </c>
      <c r="I222" s="134">
        <f>INDEX(_xlfn.ANCHORARRAY('Répartition 1000€'!$H$104),MATCH(E222,'Répartition 1000€'!$E$104:$E$118,0),MATCH(G222,'Répartition 1000€'!$H$32:$P$32,0))</f>
        <v>1.9335564378590375</v>
      </c>
    </row>
    <row r="223" spans="5:9" x14ac:dyDescent="0.15">
      <c r="E223" s="2" t="s">
        <v>196</v>
      </c>
      <c r="F223" s="3" t="s">
        <v>385</v>
      </c>
      <c r="G223" s="133" t="str">
        <f>IF(OR(F223="APUC",F223="TOTAL"),"",INDEX(APU!$E$21:$E$108,MATCH(H223,APU!$F$21:$F$108,0),1))</f>
        <v/>
      </c>
      <c r="H223" s="2" t="s">
        <v>316</v>
      </c>
      <c r="I223" s="134">
        <f>VLOOKUP(H223,'Répartition Budget'!$G$18:$H$219,2,FALSE)</f>
        <v>33.160392238173266</v>
      </c>
    </row>
    <row r="224" spans="5:9" x14ac:dyDescent="0.15">
      <c r="E224" s="2" t="s">
        <v>196</v>
      </c>
      <c r="F224" s="3" t="s">
        <v>385</v>
      </c>
      <c r="G224" s="133" t="str">
        <f>IF(OR(F224="APUC",F224="TOTAL"),"",INDEX(APU!$E$21:$E$108,MATCH(H224,APU!$F$21:$F$108,0),1))</f>
        <v/>
      </c>
      <c r="H224" s="2" t="s">
        <v>321</v>
      </c>
      <c r="I224" s="134">
        <f>VLOOKUP(H224,'Répartition Budget'!$G$18:$H$219,2,FALSE)</f>
        <v>1.2651338296376875</v>
      </c>
    </row>
    <row r="225" spans="5:9" x14ac:dyDescent="0.15">
      <c r="E225" s="32" t="s">
        <v>196</v>
      </c>
      <c r="F225" s="4" t="s">
        <v>1</v>
      </c>
      <c r="G225" s="135" t="str">
        <f>IF(OR(F225="APUC",F225="TOTAL"),"",INDEX(APU!$E$21:$E$108,MATCH(H225,APU!$F$21:$F$108,0),1))</f>
        <v/>
      </c>
      <c r="H225" s="4" t="s">
        <v>1</v>
      </c>
      <c r="I225" s="136">
        <f>SUM(I221:I224)</f>
        <v>39.687797402107314</v>
      </c>
    </row>
    <row r="226" spans="5:9" x14ac:dyDescent="0.15">
      <c r="E226" s="138" t="s">
        <v>1</v>
      </c>
      <c r="F226" s="138"/>
      <c r="G226" s="138"/>
      <c r="H226" s="138"/>
      <c r="I226" s="137">
        <f>SUM(I225,I220,I211,I200,I189,I178,I162,I137,I120,I83,I63,I50,I47,I44,I24)</f>
        <v>999.99999999999977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DE687-7488-48B8-8505-4188691AC1D0}">
  <sheetPr codeName="Sheet9">
    <tabColor theme="4" tint="-0.499984740745262"/>
  </sheetPr>
  <dimension ref="A2:AS222"/>
  <sheetViews>
    <sheetView showGridLines="0" view="pageBreakPreview" zoomScaleNormal="85" zoomScaleSheetLayoutView="100" workbookViewId="0"/>
  </sheetViews>
  <sheetFormatPr baseColWidth="10" defaultColWidth="10.83203125" defaultRowHeight="13" x14ac:dyDescent="0.15"/>
  <cols>
    <col min="1" max="2" width="2.6640625" style="2" customWidth="1"/>
    <col min="3" max="3" width="3.33203125" style="32" customWidth="1"/>
    <col min="4" max="4" width="2.6640625" style="2" customWidth="1"/>
    <col min="5" max="5" width="24.83203125" style="75" bestFit="1" customWidth="1"/>
    <col min="6" max="6" width="41.83203125" style="75" customWidth="1"/>
    <col min="7" max="7" width="67.83203125" style="75" customWidth="1"/>
    <col min="8" max="8" width="16.1640625" style="75" bestFit="1" customWidth="1"/>
    <col min="9" max="9" width="14.83203125" style="120" customWidth="1"/>
    <col min="10" max="10" width="14.83203125" style="75" bestFit="1" customWidth="1"/>
    <col min="11" max="11" width="2.6640625" style="75" customWidth="1"/>
    <col min="12" max="19" width="4.33203125" style="75" customWidth="1"/>
    <col min="20" max="26" width="11" style="75" bestFit="1" customWidth="1"/>
    <col min="27" max="16384" width="10.83203125" style="75"/>
  </cols>
  <sheetData>
    <row r="2" spans="1:32" s="2" customFormat="1" ht="25" x14ac:dyDescent="0.25">
      <c r="C2" s="132" t="s">
        <v>391</v>
      </c>
      <c r="E2" s="4"/>
      <c r="G2" s="3"/>
      <c r="K2" s="12"/>
      <c r="L2" s="12"/>
      <c r="M2" s="12"/>
      <c r="N2" s="12"/>
      <c r="O2" s="12"/>
      <c r="P2" s="12"/>
      <c r="Q2" s="12"/>
      <c r="R2" s="12"/>
      <c r="S2" s="12"/>
      <c r="T2" s="12"/>
      <c r="U2" s="12"/>
      <c r="V2" s="12"/>
      <c r="W2" s="12"/>
      <c r="X2" s="12"/>
      <c r="Y2" s="12"/>
      <c r="Z2" s="12"/>
      <c r="AA2" s="12"/>
      <c r="AB2" s="12"/>
      <c r="AC2" s="12"/>
      <c r="AD2" s="12"/>
      <c r="AE2" s="12"/>
      <c r="AF2" s="12"/>
    </row>
    <row r="5" spans="1:32" s="113" customFormat="1" ht="15" x14ac:dyDescent="0.2">
      <c r="A5" s="32"/>
      <c r="B5" s="32"/>
      <c r="C5" s="116">
        <v>0</v>
      </c>
      <c r="D5" s="32"/>
      <c r="E5" s="41" t="s">
        <v>392</v>
      </c>
      <c r="F5" s="44"/>
      <c r="G5" s="44"/>
      <c r="H5" s="44"/>
      <c r="I5" s="44"/>
      <c r="J5" s="44"/>
      <c r="K5"/>
      <c r="L5"/>
      <c r="M5"/>
      <c r="N5"/>
      <c r="O5"/>
      <c r="P5"/>
    </row>
    <row r="6" spans="1:32" x14ac:dyDescent="0.15">
      <c r="E6" s="152" t="s">
        <v>442</v>
      </c>
      <c r="F6" s="139"/>
      <c r="G6" s="139"/>
      <c r="H6" s="139"/>
      <c r="I6" s="140"/>
      <c r="J6" s="139"/>
    </row>
    <row r="7" spans="1:32" x14ac:dyDescent="0.15">
      <c r="E7" s="152" t="s">
        <v>441</v>
      </c>
      <c r="F7" s="139"/>
      <c r="G7" s="139"/>
      <c r="H7" s="139"/>
      <c r="I7" s="140"/>
      <c r="J7" s="139"/>
    </row>
    <row r="11" spans="1:32" ht="28" x14ac:dyDescent="0.15">
      <c r="E11" s="8" t="s">
        <v>377</v>
      </c>
      <c r="F11" s="8" t="s">
        <v>378</v>
      </c>
      <c r="G11" s="8" t="s">
        <v>358</v>
      </c>
      <c r="H11" s="144" t="s">
        <v>381</v>
      </c>
      <c r="I11" s="144" t="s">
        <v>393</v>
      </c>
      <c r="J11" s="144" t="s">
        <v>382</v>
      </c>
    </row>
    <row r="13" spans="1:32" customFormat="1" ht="15" x14ac:dyDescent="0.2">
      <c r="A13" s="2"/>
      <c r="B13" s="2"/>
      <c r="C13" s="32"/>
      <c r="D13" s="2"/>
      <c r="E13" s="86" t="s">
        <v>380</v>
      </c>
      <c r="F13" s="81"/>
      <c r="G13" s="81"/>
      <c r="H13" s="81"/>
      <c r="I13" s="81"/>
      <c r="J13" s="94">
        <f>+APU!$AK$18</f>
        <v>1490000.4693889541</v>
      </c>
    </row>
    <row r="14" spans="1:32" customFormat="1" ht="15" x14ac:dyDescent="0.2">
      <c r="A14" s="2"/>
      <c r="B14" s="2"/>
      <c r="C14" s="32"/>
      <c r="D14" s="2"/>
      <c r="E14" s="86"/>
      <c r="F14" s="81"/>
      <c r="G14" s="81"/>
      <c r="H14" s="81"/>
      <c r="I14" s="81"/>
      <c r="J14" s="94"/>
    </row>
    <row r="15" spans="1:32" customFormat="1" ht="15" x14ac:dyDescent="0.2">
      <c r="A15" s="2"/>
      <c r="B15" s="2"/>
      <c r="C15" s="32"/>
      <c r="D15" s="2"/>
      <c r="E15" s="127" t="s">
        <v>2</v>
      </c>
      <c r="F15" s="128"/>
      <c r="G15" s="128"/>
      <c r="H15" s="129">
        <f>+'Répartition 1000€'!F75</f>
        <v>348.21251926167093</v>
      </c>
      <c r="I15" s="129">
        <f>+APUC!AK20/1000</f>
        <v>518.83681714700003</v>
      </c>
      <c r="J15" s="130"/>
    </row>
    <row r="17" spans="1:16" s="113" customFormat="1" ht="15" x14ac:dyDescent="0.2">
      <c r="A17" s="32"/>
      <c r="B17" s="32"/>
      <c r="C17" s="116">
        <f>+MAX($C$1:$C16)+1</f>
        <v>1</v>
      </c>
      <c r="D17" s="32"/>
      <c r="E17" s="41" t="s">
        <v>340</v>
      </c>
      <c r="F17" s="44"/>
      <c r="G17" s="44"/>
      <c r="H17" s="44"/>
      <c r="I17" s="44"/>
      <c r="J17" s="44"/>
      <c r="K17"/>
      <c r="L17"/>
      <c r="M17"/>
      <c r="N17"/>
      <c r="O17"/>
      <c r="P17"/>
    </row>
    <row r="18" spans="1:16" x14ac:dyDescent="0.15">
      <c r="E18" s="3" t="s">
        <v>145</v>
      </c>
      <c r="F18" s="3" t="s">
        <v>146</v>
      </c>
      <c r="G18" s="75" t="s">
        <v>2</v>
      </c>
      <c r="H18" s="76">
        <f>L18/$I$15*$H$15</f>
        <v>0</v>
      </c>
      <c r="I18" s="75"/>
      <c r="J18" s="76">
        <f>SUMIF(APU!$E$18:$E$108,$E18,APU!$AK$18:$AK$108)*1000*(G18="Total")/$J$13</f>
        <v>237.90797243107852</v>
      </c>
      <c r="L18" s="121"/>
    </row>
    <row r="19" spans="1:16" x14ac:dyDescent="0.15">
      <c r="A19" s="17"/>
      <c r="B19" s="17"/>
      <c r="C19" s="123"/>
      <c r="D19" s="17"/>
      <c r="E19" s="3" t="s">
        <v>145</v>
      </c>
      <c r="F19" s="3" t="s">
        <v>146</v>
      </c>
      <c r="G19" s="2" t="s">
        <v>309</v>
      </c>
      <c r="H19" s="76">
        <f>I19/$I$15*$H$15</f>
        <v>39.475284576333856</v>
      </c>
      <c r="I19" s="121">
        <v>58.818192547999999</v>
      </c>
      <c r="J19" s="76">
        <f>SUMIF(APU!$E$18:$E$108,$E19,APU!$AK$18:$AK$108)*1000*(G19="Total")/$J$13</f>
        <v>0</v>
      </c>
    </row>
    <row r="20" spans="1:16" x14ac:dyDescent="0.15">
      <c r="E20" s="3" t="s">
        <v>145</v>
      </c>
      <c r="F20" s="3" t="s">
        <v>146</v>
      </c>
      <c r="G20" s="75" t="s">
        <v>269</v>
      </c>
      <c r="H20" s="76">
        <f>I20/$I$15*$H$15</f>
        <v>4.1850244124803808</v>
      </c>
      <c r="I20" s="121">
        <v>6.2356883390000002</v>
      </c>
      <c r="J20" s="76">
        <f>SUMIF(APU!$E$18:$E$108,$E20,APU!$AK$18:$AK$108)*1000*(G20="Total")/$J$13</f>
        <v>0</v>
      </c>
    </row>
    <row r="21" spans="1:16" x14ac:dyDescent="0.15">
      <c r="A21" s="17"/>
      <c r="B21" s="17"/>
      <c r="C21" s="123"/>
      <c r="D21" s="17"/>
      <c r="E21" s="3" t="s">
        <v>145</v>
      </c>
      <c r="F21" s="3" t="s">
        <v>146</v>
      </c>
      <c r="G21" s="2" t="s">
        <v>310</v>
      </c>
      <c r="H21" s="76">
        <f>I21/$I$15*$H$15</f>
        <v>1.3255228797410747</v>
      </c>
      <c r="I21" s="121">
        <v>1.9750297130000001</v>
      </c>
      <c r="J21" s="76">
        <f>SUMIF(APU!$E$18:$E$108,$E21,APU!$AK$18:$AK$108)*1000*(G21="Total")/$J$13</f>
        <v>0</v>
      </c>
    </row>
    <row r="22" spans="1:16" x14ac:dyDescent="0.15">
      <c r="E22" s="3" t="s">
        <v>145</v>
      </c>
      <c r="F22" s="3" t="s">
        <v>146</v>
      </c>
      <c r="G22" s="2" t="s">
        <v>311</v>
      </c>
      <c r="H22" s="76">
        <f>I22/$I$15*$H$15</f>
        <v>0.98025257710085079</v>
      </c>
      <c r="I22" s="121">
        <v>1.4605767999999999</v>
      </c>
      <c r="J22" s="76">
        <f>SUMIF(APU!$E$18:$E$108,$E22,APU!$AK$18:$AK$108)*1000*(G22="Total")/$J$13</f>
        <v>0</v>
      </c>
    </row>
    <row r="23" spans="1:16" x14ac:dyDescent="0.15">
      <c r="A23" s="32"/>
      <c r="B23" s="32"/>
      <c r="D23" s="32"/>
      <c r="E23" s="3" t="s">
        <v>147</v>
      </c>
      <c r="F23" s="3" t="s">
        <v>148</v>
      </c>
      <c r="G23" s="75" t="s">
        <v>2</v>
      </c>
      <c r="H23" s="76">
        <f>I23/$I$15*$H$15</f>
        <v>0</v>
      </c>
      <c r="I23" s="121"/>
      <c r="J23" s="76">
        <f>SUMIF(APU!$E$18:$E$108,$E23,APU!$AK$18:$AK$108)*1000*(G23="Total")/$J$13</f>
        <v>24.45294943474687</v>
      </c>
    </row>
    <row r="24" spans="1:16" customFormat="1" ht="15" x14ac:dyDescent="0.2">
      <c r="C24" s="114"/>
      <c r="I24" s="122"/>
      <c r="J24" s="76"/>
    </row>
    <row r="25" spans="1:16" x14ac:dyDescent="0.15">
      <c r="C25" s="116">
        <f>+MAX($C$1:$C24)+1</f>
        <v>2</v>
      </c>
      <c r="E25" s="41" t="s">
        <v>338</v>
      </c>
      <c r="F25" s="44"/>
      <c r="G25" s="44"/>
      <c r="H25" s="44"/>
      <c r="I25" s="44"/>
      <c r="J25" s="44"/>
    </row>
    <row r="26" spans="1:16" x14ac:dyDescent="0.15">
      <c r="C26" s="113"/>
      <c r="E26" s="3" t="s">
        <v>143</v>
      </c>
      <c r="F26" s="3" t="s">
        <v>144</v>
      </c>
      <c r="G26" s="75" t="s">
        <v>2</v>
      </c>
      <c r="H26" s="76">
        <f t="shared" ref="H26:H37" si="0">I26/$I$15*$H$15</f>
        <v>0</v>
      </c>
      <c r="I26" s="121"/>
      <c r="J26" s="76">
        <f>SUMIF(APU!$E$18:$E$108,$E26,APU!$AK$18:$AK$108)*1000*(G26="Total")/$J$13</f>
        <v>55.405040228049479</v>
      </c>
    </row>
    <row r="27" spans="1:16" x14ac:dyDescent="0.15">
      <c r="E27" s="3" t="s">
        <v>143</v>
      </c>
      <c r="F27" s="3" t="s">
        <v>144</v>
      </c>
      <c r="G27" s="75" t="s">
        <v>216</v>
      </c>
      <c r="H27" s="76">
        <f t="shared" si="0"/>
        <v>9.014046335507528</v>
      </c>
      <c r="I27" s="121">
        <v>13.430933271000001</v>
      </c>
      <c r="J27" s="76">
        <f>SUMIF(APU!$E$18:$E$108,$E27,APU!$AK$18:$AK$108)*1000*(G27="Total")/$J$13</f>
        <v>0</v>
      </c>
    </row>
    <row r="28" spans="1:16" x14ac:dyDescent="0.15">
      <c r="E28" s="3" t="s">
        <v>97</v>
      </c>
      <c r="F28" s="3" t="s">
        <v>98</v>
      </c>
      <c r="G28" s="75" t="s">
        <v>2</v>
      </c>
      <c r="H28" s="76">
        <f t="shared" si="0"/>
        <v>0</v>
      </c>
      <c r="I28" s="121"/>
      <c r="J28" s="76">
        <f>SUMIF(APU!$E$18:$E$108,$E28,APU!$AK$18:$AK$108)*1000*(G28="Total")/$J$13</f>
        <v>25.75208490575606</v>
      </c>
    </row>
    <row r="29" spans="1:16" x14ac:dyDescent="0.15">
      <c r="E29" s="3" t="s">
        <v>99</v>
      </c>
      <c r="F29" s="3" t="s">
        <v>100</v>
      </c>
      <c r="G29" s="75" t="s">
        <v>2</v>
      </c>
      <c r="H29" s="76">
        <f t="shared" si="0"/>
        <v>0</v>
      </c>
      <c r="I29" s="121"/>
      <c r="J29" s="76">
        <f>SUMIF(APU!$E$18:$E$108,$E29,APU!$AK$18:$AK$108)*1000*(G29="Total")/$J$13</f>
        <v>53.221466619274018</v>
      </c>
    </row>
    <row r="30" spans="1:16" x14ac:dyDescent="0.15">
      <c r="E30" s="3" t="s">
        <v>101</v>
      </c>
      <c r="F30" s="3" t="s">
        <v>102</v>
      </c>
      <c r="G30" s="75" t="s">
        <v>2</v>
      </c>
      <c r="H30" s="76">
        <f t="shared" si="0"/>
        <v>0</v>
      </c>
      <c r="I30" s="121"/>
      <c r="J30" s="76">
        <f>SUMIF(APU!$E$18:$E$108,$E30,APU!$AK$18:$AK$108)*1000*(G30="Total")/$J$13</f>
        <v>64.439518310303853</v>
      </c>
    </row>
    <row r="31" spans="1:16" x14ac:dyDescent="0.15">
      <c r="E31" s="3" t="s">
        <v>103</v>
      </c>
      <c r="F31" s="3" t="s">
        <v>104</v>
      </c>
      <c r="G31" s="75" t="s">
        <v>2</v>
      </c>
      <c r="H31" s="76">
        <f t="shared" si="0"/>
        <v>0</v>
      </c>
      <c r="I31" s="121"/>
      <c r="J31" s="76">
        <f>SUMIF(APU!$E$18:$E$108,$E31,APU!$AK$18:$AK$108)*1000*(G31="Total")/$J$13</f>
        <v>5.0297410683337613</v>
      </c>
    </row>
    <row r="32" spans="1:16" x14ac:dyDescent="0.15">
      <c r="E32" s="3" t="s">
        <v>103</v>
      </c>
      <c r="F32" s="3" t="s">
        <v>104</v>
      </c>
      <c r="G32" s="75" t="s">
        <v>96</v>
      </c>
      <c r="H32" s="76">
        <f t="shared" si="0"/>
        <v>0.90576321667432924</v>
      </c>
      <c r="I32" s="121">
        <v>1.3495876179999999</v>
      </c>
      <c r="J32" s="76">
        <f>SUMIF(APU!$E$18:$E$108,$E32,APU!$AK$18:$AK$108)*1000*(G32="Total")/$J$13</f>
        <v>0</v>
      </c>
    </row>
    <row r="33" spans="3:10" x14ac:dyDescent="0.15">
      <c r="E33" s="3" t="s">
        <v>105</v>
      </c>
      <c r="F33" s="3" t="s">
        <v>106</v>
      </c>
      <c r="G33" s="75" t="s">
        <v>2</v>
      </c>
      <c r="H33" s="76">
        <f t="shared" si="0"/>
        <v>0</v>
      </c>
      <c r="I33" s="121"/>
      <c r="J33" s="76">
        <f>SUMIF(APU!$E$18:$E$108,$E33,APU!$AK$18:$AK$108)*1000*(G33="Total")/$J$13</f>
        <v>0</v>
      </c>
    </row>
    <row r="34" spans="3:10" x14ac:dyDescent="0.15">
      <c r="E34" s="3" t="s">
        <v>107</v>
      </c>
      <c r="F34" s="3" t="s">
        <v>108</v>
      </c>
      <c r="G34" s="75" t="s">
        <v>2</v>
      </c>
      <c r="H34" s="76">
        <f t="shared" si="0"/>
        <v>0</v>
      </c>
      <c r="I34" s="121"/>
      <c r="J34" s="76">
        <f>SUMIF(APU!$E$18:$E$108,$E34,APU!$AK$18:$AK$108)*1000*(G34="Total")/$J$13</f>
        <v>1.6386099432590919</v>
      </c>
    </row>
    <row r="35" spans="3:10" x14ac:dyDescent="0.15">
      <c r="E35" s="3" t="s">
        <v>107</v>
      </c>
      <c r="F35" s="3" t="s">
        <v>108</v>
      </c>
      <c r="G35" s="75" t="s">
        <v>218</v>
      </c>
      <c r="H35" s="76">
        <f t="shared" si="0"/>
        <v>0.79409791628134851</v>
      </c>
      <c r="I35" s="121">
        <v>1.1832062679999999</v>
      </c>
      <c r="J35" s="76">
        <f>SUMIF(APU!$E$18:$E$108,$E35,APU!$AK$18:$AK$108)*1000*(G35="Total")/$J$13</f>
        <v>0</v>
      </c>
    </row>
    <row r="36" spans="3:10" x14ac:dyDescent="0.15">
      <c r="C36" s="113"/>
      <c r="E36" s="3" t="s">
        <v>107</v>
      </c>
      <c r="F36" s="3" t="s">
        <v>108</v>
      </c>
      <c r="G36" s="75" t="s">
        <v>212</v>
      </c>
      <c r="H36" s="76">
        <f t="shared" si="0"/>
        <v>0.13422814563408797</v>
      </c>
      <c r="I36" s="121">
        <v>0.2</v>
      </c>
      <c r="J36" s="76">
        <f>SUMIF(APU!$E$18:$E$108,$E36,APU!$AK$18:$AK$108)*1000*(G36="Total")/$J$13</f>
        <v>0</v>
      </c>
    </row>
    <row r="37" spans="3:10" x14ac:dyDescent="0.15">
      <c r="E37" s="3" t="s">
        <v>107</v>
      </c>
      <c r="F37" s="3" t="s">
        <v>108</v>
      </c>
      <c r="G37" s="75" t="s">
        <v>261</v>
      </c>
      <c r="H37" s="76">
        <f t="shared" si="0"/>
        <v>1.0067110922556598E-2</v>
      </c>
      <c r="I37" s="121">
        <v>1.4999999999999999E-2</v>
      </c>
      <c r="J37" s="76">
        <f>SUMIF(APU!$E$18:$E$108,$E37,APU!$AK$18:$AK$108)*1000*(G37="Total")/$J$13</f>
        <v>0</v>
      </c>
    </row>
    <row r="38" spans="3:10" x14ac:dyDescent="0.15">
      <c r="H38" s="76"/>
      <c r="I38" s="121"/>
      <c r="J38" s="76"/>
    </row>
    <row r="39" spans="3:10" x14ac:dyDescent="0.15">
      <c r="C39" s="116">
        <f>+MAX($C$1:$C38)+1</f>
        <v>3</v>
      </c>
      <c r="E39" s="41" t="s">
        <v>193</v>
      </c>
      <c r="F39" s="44"/>
      <c r="G39" s="44"/>
      <c r="H39" s="44"/>
      <c r="I39" s="44"/>
      <c r="J39" s="44"/>
    </row>
    <row r="40" spans="3:10" x14ac:dyDescent="0.15">
      <c r="E40" s="3" t="s">
        <v>149</v>
      </c>
      <c r="F40" s="3" t="s">
        <v>150</v>
      </c>
      <c r="G40" s="75" t="s">
        <v>2</v>
      </c>
      <c r="H40" s="76">
        <f>I40/$I$15*$H$15</f>
        <v>0</v>
      </c>
      <c r="I40" s="121"/>
      <c r="J40" s="76">
        <f>SUMIF(APU!$E$18:$E$108,$E40,APU!$AK$18:$AK$108)*1000*(G40="Total")/$J$13</f>
        <v>39.394136753597664</v>
      </c>
    </row>
    <row r="41" spans="3:10" x14ac:dyDescent="0.15">
      <c r="H41" s="76"/>
      <c r="I41" s="121"/>
      <c r="J41" s="76"/>
    </row>
    <row r="42" spans="3:10" x14ac:dyDescent="0.15">
      <c r="C42" s="116">
        <f>+MAX($C$1:$C41)+1</f>
        <v>4</v>
      </c>
      <c r="E42" s="41" t="s">
        <v>152</v>
      </c>
      <c r="F42" s="44"/>
      <c r="G42" s="44"/>
      <c r="H42" s="44"/>
      <c r="I42" s="44"/>
      <c r="J42" s="44"/>
    </row>
    <row r="43" spans="3:10" x14ac:dyDescent="0.15">
      <c r="C43" s="113"/>
      <c r="E43" s="3" t="s">
        <v>151</v>
      </c>
      <c r="F43" s="3" t="s">
        <v>152</v>
      </c>
      <c r="G43" s="75" t="s">
        <v>2</v>
      </c>
      <c r="H43" s="76">
        <f>I43/$I$15*$H$15</f>
        <v>0</v>
      </c>
      <c r="I43" s="121"/>
      <c r="J43" s="76">
        <f>SUMIF(APU!$E$18:$E$108,$E43,APU!$AK$18:$AK$108)*1000*(G43="Total")/$J$13</f>
        <v>26.845629126817599</v>
      </c>
    </row>
    <row r="44" spans="3:10" x14ac:dyDescent="0.15">
      <c r="H44" s="76"/>
      <c r="I44" s="121"/>
      <c r="J44" s="76"/>
    </row>
    <row r="45" spans="3:10" x14ac:dyDescent="0.15">
      <c r="C45" s="116">
        <f>+MAX($C$1:$C44)+1</f>
        <v>5</v>
      </c>
      <c r="E45" s="41" t="s">
        <v>342</v>
      </c>
      <c r="F45" s="44"/>
      <c r="G45" s="44"/>
      <c r="H45" s="44"/>
      <c r="I45" s="44"/>
      <c r="J45" s="44"/>
    </row>
    <row r="46" spans="3:10" x14ac:dyDescent="0.15">
      <c r="E46" s="3" t="s">
        <v>153</v>
      </c>
      <c r="F46" s="3" t="s">
        <v>154</v>
      </c>
      <c r="G46" s="75" t="s">
        <v>2</v>
      </c>
      <c r="H46" s="76">
        <f t="shared" ref="H46:H53" si="1">I46/$I$15*$H$15</f>
        <v>0</v>
      </c>
      <c r="I46" s="121"/>
      <c r="J46" s="76">
        <f>SUMIF(APU!$E$18:$E$108,$E46,APU!$AK$18:$AK$108)*1000*(G46="Total")/$J$13</f>
        <v>10.723682883489911</v>
      </c>
    </row>
    <row r="47" spans="3:10" x14ac:dyDescent="0.15">
      <c r="E47" s="3" t="s">
        <v>153</v>
      </c>
      <c r="F47" s="3" t="s">
        <v>154</v>
      </c>
      <c r="G47" s="75" t="s">
        <v>236</v>
      </c>
      <c r="H47" s="76">
        <f t="shared" si="1"/>
        <v>8.803940425857455</v>
      </c>
      <c r="I47" s="121">
        <v>13.117875367</v>
      </c>
      <c r="J47" s="76">
        <f>SUMIF(APU!$E$18:$E$108,$E47,APU!$AK$18:$AK$108)*1000*(G47="Total")/$J$13</f>
        <v>0</v>
      </c>
    </row>
    <row r="48" spans="3:10" x14ac:dyDescent="0.15">
      <c r="E48" s="3" t="s">
        <v>153</v>
      </c>
      <c r="F48" s="3" t="s">
        <v>154</v>
      </c>
      <c r="G48" s="75" t="s">
        <v>237</v>
      </c>
      <c r="H48" s="76">
        <f t="shared" si="1"/>
        <v>1.8871350893957273</v>
      </c>
      <c r="I48" s="121">
        <v>2.8118321690000001</v>
      </c>
      <c r="J48" s="76">
        <f>SUMIF(APU!$E$18:$E$108,$E48,APU!$AK$18:$AK$108)*1000*(G48="Total")/$J$13</f>
        <v>0</v>
      </c>
    </row>
    <row r="49" spans="3:45" x14ac:dyDescent="0.15">
      <c r="E49" s="3" t="s">
        <v>155</v>
      </c>
      <c r="F49" s="3" t="s">
        <v>156</v>
      </c>
      <c r="G49" s="75" t="s">
        <v>2</v>
      </c>
      <c r="H49" s="76">
        <f t="shared" si="1"/>
        <v>0</v>
      </c>
      <c r="I49" s="121"/>
      <c r="J49" s="76">
        <f>SUMIF(APU!$E$18:$E$108,$E49,APU!$AK$18:$AK$108)*1000*(G49="Total")/$J$13</f>
        <v>22.744347391741982</v>
      </c>
    </row>
    <row r="50" spans="3:45" x14ac:dyDescent="0.15">
      <c r="E50" s="3" t="s">
        <v>155</v>
      </c>
      <c r="F50" s="3" t="s">
        <v>156</v>
      </c>
      <c r="G50" s="75" t="s">
        <v>215</v>
      </c>
      <c r="H50" s="76">
        <f t="shared" si="1"/>
        <v>9.8674996082581714</v>
      </c>
      <c r="I50" s="121">
        <v>14.702579048</v>
      </c>
      <c r="J50" s="76">
        <f>SUMIF(APU!$E$18:$E$108,$E50,APU!$AK$18:$AK$108)*1000*(G50="Total")/$J$13</f>
        <v>0</v>
      </c>
    </row>
    <row r="51" spans="3:45" x14ac:dyDescent="0.15">
      <c r="E51" s="3" t="s">
        <v>155</v>
      </c>
      <c r="F51" s="3" t="s">
        <v>156</v>
      </c>
      <c r="G51" s="75" t="s">
        <v>219</v>
      </c>
      <c r="H51" s="76">
        <f t="shared" si="1"/>
        <v>3.3966036279676336E-2</v>
      </c>
      <c r="I51" s="121">
        <v>5.0609410000000001E-2</v>
      </c>
      <c r="J51" s="76">
        <f>SUMIF(APU!$E$18:$E$108,$E51,APU!$AK$18:$AK$108)*1000*(G51="Total")/$J$13</f>
        <v>0</v>
      </c>
    </row>
    <row r="52" spans="3:45" x14ac:dyDescent="0.15">
      <c r="E52" s="3" t="s">
        <v>157</v>
      </c>
      <c r="F52" s="3" t="s">
        <v>158</v>
      </c>
      <c r="G52" s="75" t="s">
        <v>2</v>
      </c>
      <c r="H52" s="76">
        <f t="shared" si="1"/>
        <v>0</v>
      </c>
      <c r="I52" s="121"/>
      <c r="J52" s="76">
        <f>SUMIF(APU!$E$18:$E$108,$E52,APU!$AK$18:$AK$108)*1000*(G52="Total")/$J$13</f>
        <v>0</v>
      </c>
    </row>
    <row r="53" spans="3:45" x14ac:dyDescent="0.15">
      <c r="E53" s="3" t="s">
        <v>159</v>
      </c>
      <c r="F53" s="3" t="s">
        <v>160</v>
      </c>
      <c r="G53" s="75" t="s">
        <v>2</v>
      </c>
      <c r="H53" s="76">
        <f t="shared" si="1"/>
        <v>0</v>
      </c>
      <c r="I53" s="121"/>
      <c r="J53" s="76">
        <f>SUMIF(APU!$E$18:$E$108,$E53,APU!$AK$18:$AK$108)*1000*(G53="Total")/$J$13</f>
        <v>3.2735128044115038</v>
      </c>
    </row>
    <row r="54" spans="3:45" x14ac:dyDescent="0.15">
      <c r="E54" s="3"/>
      <c r="F54" s="3"/>
      <c r="H54" s="76"/>
      <c r="I54" s="121"/>
      <c r="J54" s="76"/>
    </row>
    <row r="55" spans="3:45" x14ac:dyDescent="0.15">
      <c r="C55" s="116">
        <f>+MAX($C$1:$C54)+1</f>
        <v>6</v>
      </c>
      <c r="E55" s="41" t="s">
        <v>348</v>
      </c>
      <c r="F55" s="44"/>
      <c r="G55" s="44"/>
      <c r="H55" s="44"/>
      <c r="I55" s="44"/>
      <c r="J55" s="44"/>
    </row>
    <row r="56" spans="3:45" x14ac:dyDescent="0.15">
      <c r="E56" s="3" t="s">
        <v>125</v>
      </c>
      <c r="F56" s="3" t="s">
        <v>126</v>
      </c>
      <c r="G56" s="75" t="s">
        <v>2</v>
      </c>
      <c r="H56" s="76">
        <f t="shared" ref="H56:H74" si="2">I56/$I$15*$H$15</f>
        <v>0</v>
      </c>
      <c r="I56" s="121"/>
      <c r="J56" s="76">
        <f>SUMIF(APU!$E$18:$E$108,$E56,APU!$AK$18:$AK$108)*1000*(G56="Total")/$J$13</f>
        <v>23.888486445157778</v>
      </c>
    </row>
    <row r="57" spans="3:45" x14ac:dyDescent="0.15">
      <c r="E57" s="3" t="s">
        <v>125</v>
      </c>
      <c r="F57" s="3" t="s">
        <v>126</v>
      </c>
      <c r="G57" s="75" t="s">
        <v>201</v>
      </c>
      <c r="H57" s="76">
        <f t="shared" si="2"/>
        <v>16.244729818727016</v>
      </c>
      <c r="I57" s="121">
        <v>24.204655055</v>
      </c>
      <c r="J57" s="76">
        <f>SUMIF(APU!$E$18:$E$108,$E57,APU!$AK$18:$AK$108)*1000*(G57="Total")/$J$13</f>
        <v>0</v>
      </c>
    </row>
    <row r="58" spans="3:45" x14ac:dyDescent="0.15">
      <c r="E58" s="3" t="s">
        <v>127</v>
      </c>
      <c r="F58" s="3" t="s">
        <v>128</v>
      </c>
      <c r="G58" s="75" t="s">
        <v>2</v>
      </c>
      <c r="H58" s="76">
        <f t="shared" si="2"/>
        <v>0</v>
      </c>
      <c r="I58" s="121"/>
      <c r="J58" s="76">
        <f>SUMIF(APU!$E$18:$E$108,$E58,APU!$AK$18:$AK$108)*1000*(G58="Total")/$J$13</f>
        <v>40.66723212536521</v>
      </c>
    </row>
    <row r="59" spans="3:45" x14ac:dyDescent="0.15">
      <c r="E59" s="3" t="s">
        <v>127</v>
      </c>
      <c r="F59" s="3" t="s">
        <v>128</v>
      </c>
      <c r="G59" s="75" t="s">
        <v>200</v>
      </c>
      <c r="H59" s="76">
        <f t="shared" si="2"/>
        <v>23.226565087051608</v>
      </c>
      <c r="I59" s="121">
        <v>34.607592881999999</v>
      </c>
      <c r="J59" s="76">
        <f>SUMIF(APU!$E$18:$E$108,$E59,APU!$AK$18:$AK$108)*1000*(G59="Total")/$J$13</f>
        <v>0</v>
      </c>
    </row>
    <row r="60" spans="3:45" x14ac:dyDescent="0.15">
      <c r="E60" s="3" t="s">
        <v>127</v>
      </c>
      <c r="F60" s="3" t="s">
        <v>128</v>
      </c>
      <c r="G60" s="75" t="s">
        <v>337</v>
      </c>
      <c r="H60" s="76">
        <f t="shared" si="2"/>
        <v>5.3670981145929044</v>
      </c>
      <c r="I60" s="121">
        <v>7.9969787099999996</v>
      </c>
      <c r="J60" s="76">
        <f>SUMIF(APU!$E$18:$E$108,$E60,APU!$AK$18:$AK$108)*1000*(G60="Total")/$J$13</f>
        <v>0</v>
      </c>
    </row>
    <row r="61" spans="3:45" x14ac:dyDescent="0.15">
      <c r="E61" s="3" t="s">
        <v>129</v>
      </c>
      <c r="F61" s="3" t="s">
        <v>130</v>
      </c>
      <c r="G61" s="75" t="s">
        <v>2</v>
      </c>
      <c r="H61" s="76">
        <f t="shared" si="2"/>
        <v>0</v>
      </c>
      <c r="I61" s="121"/>
      <c r="J61" s="76">
        <f>SUMIF(APU!$E$18:$E$108,$E61,APU!$AK$18:$AK$108)*1000*(G61="Total")/$J$13</f>
        <v>0.33160035494975804</v>
      </c>
    </row>
    <row r="62" spans="3:45" x14ac:dyDescent="0.15">
      <c r="C62" s="113"/>
      <c r="E62" s="3" t="s">
        <v>131</v>
      </c>
      <c r="F62" s="3" t="s">
        <v>132</v>
      </c>
      <c r="G62" s="75" t="s">
        <v>2</v>
      </c>
      <c r="H62" s="76">
        <f t="shared" si="2"/>
        <v>0</v>
      </c>
      <c r="I62" s="121"/>
      <c r="J62" s="76">
        <f>SUMIF(APU!$E$18:$E$108,$E62,APU!$AK$18:$AK$108)*1000*(G62="Total")/$J$13</f>
        <v>11.063082500000494</v>
      </c>
    </row>
    <row r="63" spans="3:45" x14ac:dyDescent="0.15">
      <c r="E63" s="3" t="s">
        <v>131</v>
      </c>
      <c r="F63" s="3" t="s">
        <v>132</v>
      </c>
      <c r="G63" s="75" t="s">
        <v>221</v>
      </c>
      <c r="H63" s="76">
        <f t="shared" si="2"/>
        <v>9.5572692496130074</v>
      </c>
      <c r="I63" s="121">
        <v>14.240335668</v>
      </c>
      <c r="J63" s="76">
        <f>SUMIF(APU!$E$18:$E$108,$E63,APU!$AK$18:$AK$108)*1000*(G63="Total")/$J$13</f>
        <v>0</v>
      </c>
    </row>
    <row r="64" spans="3:45" x14ac:dyDescent="0.15">
      <c r="E64" s="3" t="s">
        <v>131</v>
      </c>
      <c r="F64" s="3" t="s">
        <v>132</v>
      </c>
      <c r="G64" s="75" t="s">
        <v>205</v>
      </c>
      <c r="H64" s="76">
        <f t="shared" si="2"/>
        <v>1.0331853657947661</v>
      </c>
      <c r="I64" s="121">
        <v>1.53944668</v>
      </c>
      <c r="J64" s="76">
        <f>SUMIF(APU!$E$18:$E$108,$E64,APU!$AK$18:$AK$108)*1000*(G64="Total")/$J$13</f>
        <v>0</v>
      </c>
      <c r="AS64" s="2"/>
    </row>
    <row r="65" spans="1:10" x14ac:dyDescent="0.15">
      <c r="E65" s="3" t="s">
        <v>131</v>
      </c>
      <c r="F65" s="3" t="s">
        <v>132</v>
      </c>
      <c r="G65" s="75" t="s">
        <v>227</v>
      </c>
      <c r="H65" s="76">
        <f t="shared" si="2"/>
        <v>0.25598231935887705</v>
      </c>
      <c r="I65" s="121">
        <v>0.38141377600000004</v>
      </c>
      <c r="J65" s="76">
        <f>SUMIF(APU!$E$18:$E$108,$E65,APU!$AK$18:$AK$108)*1000*(G65="Total")/$J$13</f>
        <v>0</v>
      </c>
    </row>
    <row r="66" spans="1:10" x14ac:dyDescent="0.15">
      <c r="E66" s="3" t="s">
        <v>133</v>
      </c>
      <c r="F66" s="3" t="s">
        <v>134</v>
      </c>
      <c r="G66" s="75" t="s">
        <v>2</v>
      </c>
      <c r="H66" s="76">
        <f t="shared" si="2"/>
        <v>0</v>
      </c>
      <c r="I66" s="121"/>
      <c r="J66" s="76">
        <f>SUMIF(APU!$E$18:$E$108,$E66,APU!$AK$18:$AK$108)*1000*(G66="Total")/$J$13</f>
        <v>3.2946337488452619</v>
      </c>
    </row>
    <row r="67" spans="1:10" x14ac:dyDescent="0.15">
      <c r="E67" s="3" t="s">
        <v>135</v>
      </c>
      <c r="F67" s="3" t="s">
        <v>136</v>
      </c>
      <c r="G67" s="75" t="s">
        <v>2</v>
      </c>
      <c r="H67" s="76">
        <f t="shared" si="2"/>
        <v>0</v>
      </c>
      <c r="I67" s="121"/>
      <c r="J67" s="76">
        <f>SUMIF(APU!$E$18:$E$108,$E67,APU!$AK$18:$AK$108)*1000*(G67="Total")/$J$13</f>
        <v>12.36474763815996</v>
      </c>
    </row>
    <row r="68" spans="1:10" x14ac:dyDescent="0.15">
      <c r="E68" s="3" t="s">
        <v>135</v>
      </c>
      <c r="F68" s="3" t="s">
        <v>136</v>
      </c>
      <c r="G68" s="75" t="s">
        <v>203</v>
      </c>
      <c r="H68" s="76">
        <f t="shared" si="2"/>
        <v>4.6649784800742484</v>
      </c>
      <c r="I68" s="121">
        <v>6.9508201250000008</v>
      </c>
      <c r="J68" s="76">
        <f>SUMIF(APU!$E$18:$E$108,$E68,APU!$AK$18:$AK$108)*1000*(G68="Total")/$J$13</f>
        <v>0</v>
      </c>
    </row>
    <row r="69" spans="1:10" x14ac:dyDescent="0.15">
      <c r="E69" s="3" t="s">
        <v>135</v>
      </c>
      <c r="F69" s="3" t="s">
        <v>136</v>
      </c>
      <c r="G69" s="75" t="s">
        <v>223</v>
      </c>
      <c r="H69" s="76">
        <f t="shared" si="2"/>
        <v>2.1245668233233559</v>
      </c>
      <c r="I69" s="121">
        <v>3.1656055640000003</v>
      </c>
      <c r="J69" s="76">
        <f>SUMIF(APU!$E$18:$E$108,$E69,APU!$AK$18:$AK$108)*1000*(G69="Total")/$J$13</f>
        <v>0</v>
      </c>
    </row>
    <row r="70" spans="1:10" x14ac:dyDescent="0.15">
      <c r="E70" s="3" t="s">
        <v>135</v>
      </c>
      <c r="F70" s="3" t="s">
        <v>136</v>
      </c>
      <c r="G70" s="75" t="s">
        <v>204</v>
      </c>
      <c r="H70" s="76">
        <f t="shared" si="2"/>
        <v>1.7446655678343981</v>
      </c>
      <c r="I70" s="121">
        <v>2.5995525150000001</v>
      </c>
      <c r="J70" s="76">
        <f>SUMIF(APU!$E$18:$E$108,$E70,APU!$AK$18:$AK$108)*1000*(G70="Total")/$J$13</f>
        <v>0</v>
      </c>
    </row>
    <row r="71" spans="1:10" x14ac:dyDescent="0.15">
      <c r="E71" s="3" t="s">
        <v>137</v>
      </c>
      <c r="F71" s="3" t="s">
        <v>138</v>
      </c>
      <c r="G71" s="75" t="s">
        <v>2</v>
      </c>
      <c r="H71" s="76">
        <f t="shared" si="2"/>
        <v>0</v>
      </c>
      <c r="I71" s="121"/>
      <c r="J71" s="76">
        <f>SUMIF(APU!$E$18:$E$108,$E71,APU!$AK$18:$AK$108)*1000*(G71="Total")/$J$13</f>
        <v>0</v>
      </c>
    </row>
    <row r="72" spans="1:10" ht="15" x14ac:dyDescent="0.2">
      <c r="A72"/>
      <c r="B72"/>
      <c r="C72" s="114"/>
      <c r="D72"/>
      <c r="E72" s="3" t="s">
        <v>139</v>
      </c>
      <c r="F72" s="3" t="s">
        <v>140</v>
      </c>
      <c r="G72" s="75" t="s">
        <v>2</v>
      </c>
      <c r="H72" s="76">
        <f t="shared" si="2"/>
        <v>0</v>
      </c>
      <c r="I72" s="121"/>
      <c r="J72" s="76">
        <f>SUMIF(APU!$E$18:$E$108,$E72,APU!$AK$18:$AK$108)*1000*(G72="Total")/$J$13</f>
        <v>0</v>
      </c>
    </row>
    <row r="73" spans="1:10" x14ac:dyDescent="0.15">
      <c r="E73" s="3" t="s">
        <v>11</v>
      </c>
      <c r="F73" s="3" t="s">
        <v>12</v>
      </c>
      <c r="G73" s="75" t="s">
        <v>2</v>
      </c>
      <c r="H73" s="76">
        <f t="shared" si="2"/>
        <v>0</v>
      </c>
      <c r="I73" s="121"/>
      <c r="J73" s="76">
        <f>SUMIF(APU!$E$18:$E$108,$E73,APU!$AK$18:$AK$108)*1000*(G73="Total")/$J$13</f>
        <v>5.0760958505615283</v>
      </c>
    </row>
    <row r="74" spans="1:10" x14ac:dyDescent="0.15">
      <c r="E74" s="3" t="s">
        <v>11</v>
      </c>
      <c r="F74" s="3" t="s">
        <v>12</v>
      </c>
      <c r="G74" s="75" t="s">
        <v>222</v>
      </c>
      <c r="H74" s="76">
        <f t="shared" si="2"/>
        <v>5.0760958505615275</v>
      </c>
      <c r="I74" s="121">
        <v>7.5633851999999999</v>
      </c>
      <c r="J74" s="76">
        <f>SUMIF(APU!$E$18:$E$108,$E74,APU!$AK$18:$AK$108)*1000*(G74="Total")/$J$13</f>
        <v>0</v>
      </c>
    </row>
    <row r="75" spans="1:10" x14ac:dyDescent="0.15">
      <c r="E75" s="3"/>
      <c r="F75" s="3"/>
      <c r="H75" s="76"/>
      <c r="I75" s="121"/>
      <c r="J75" s="76"/>
    </row>
    <row r="76" spans="1:10" x14ac:dyDescent="0.15">
      <c r="C76" s="116">
        <f>+MAX($C$1:$C75)+1</f>
        <v>7</v>
      </c>
      <c r="E76" s="41" t="s">
        <v>341</v>
      </c>
      <c r="F76" s="44"/>
      <c r="G76" s="44"/>
      <c r="H76" s="44"/>
      <c r="I76" s="44"/>
      <c r="J76" s="44"/>
    </row>
    <row r="77" spans="1:10" x14ac:dyDescent="0.15">
      <c r="E77" s="3" t="s">
        <v>7</v>
      </c>
      <c r="F77" s="3" t="s">
        <v>8</v>
      </c>
      <c r="G77" s="75" t="s">
        <v>2</v>
      </c>
      <c r="H77" s="76">
        <f t="shared" ref="H77:H112" si="3">I77/$I$15*$H$15</f>
        <v>0</v>
      </c>
      <c r="I77" s="121"/>
      <c r="J77" s="76">
        <f>SUMIF(APU!$E$18:$E$108,$E77,APU!$AK$18:$AK$108)*1000*(G77="Total")/$J$13</f>
        <v>4.1907288053142215</v>
      </c>
    </row>
    <row r="78" spans="1:10" x14ac:dyDescent="0.15">
      <c r="E78" s="3" t="s">
        <v>7</v>
      </c>
      <c r="F78" s="3" t="s">
        <v>8</v>
      </c>
      <c r="G78" s="75" t="s">
        <v>273</v>
      </c>
      <c r="H78" s="76">
        <f t="shared" si="3"/>
        <v>3.4261438112791534</v>
      </c>
      <c r="I78" s="121">
        <v>5.104955887</v>
      </c>
      <c r="J78" s="76">
        <f>SUMIF(APU!$E$18:$E$108,$E78,APU!$AK$18:$AK$108)*1000*(G78="Total")/$J$13</f>
        <v>0</v>
      </c>
    </row>
    <row r="79" spans="1:10" x14ac:dyDescent="0.15">
      <c r="E79" s="3" t="s">
        <v>7</v>
      </c>
      <c r="F79" s="3" t="s">
        <v>8</v>
      </c>
      <c r="G79" s="75" t="s">
        <v>297</v>
      </c>
      <c r="H79" s="76">
        <f t="shared" si="3"/>
        <v>0.69820917601901</v>
      </c>
      <c r="I79" s="121">
        <v>1.040332</v>
      </c>
      <c r="J79" s="76">
        <f>SUMIF(APU!$E$18:$E$108,$E79,APU!$AK$18:$AK$108)*1000*(G79="Total")/$J$13</f>
        <v>0</v>
      </c>
    </row>
    <row r="80" spans="1:10" x14ac:dyDescent="0.15">
      <c r="E80" s="3" t="s">
        <v>7</v>
      </c>
      <c r="F80" s="3" t="s">
        <v>8</v>
      </c>
      <c r="G80" s="75" t="s">
        <v>301</v>
      </c>
      <c r="H80" s="76">
        <f t="shared" si="3"/>
        <v>6.6375818016056506E-2</v>
      </c>
      <c r="I80" s="121">
        <v>9.8900000000000002E-2</v>
      </c>
      <c r="J80" s="76">
        <f>SUMIF(APU!$E$18:$E$108,$E80,APU!$AK$18:$AK$108)*1000*(G80="Total")/$J$13</f>
        <v>0</v>
      </c>
    </row>
    <row r="81" spans="3:10" x14ac:dyDescent="0.15">
      <c r="E81" s="3" t="s">
        <v>49</v>
      </c>
      <c r="F81" s="3" t="s">
        <v>50</v>
      </c>
      <c r="G81" s="75" t="s">
        <v>2</v>
      </c>
      <c r="H81" s="76">
        <f t="shared" si="3"/>
        <v>0</v>
      </c>
      <c r="I81" s="121"/>
      <c r="J81" s="76">
        <f>SUMIF(APU!$E$18:$E$108,$E81,APU!$AK$18:$AK$108)*1000*(G81="Total")/$J$13</f>
        <v>28.308703222526116</v>
      </c>
    </row>
    <row r="82" spans="3:10" x14ac:dyDescent="0.15">
      <c r="E82" s="3" t="s">
        <v>49</v>
      </c>
      <c r="F82" s="3" t="s">
        <v>50</v>
      </c>
      <c r="G82" s="75" t="s">
        <v>326</v>
      </c>
      <c r="H82" s="76">
        <f t="shared" si="3"/>
        <v>5.4579230483967827</v>
      </c>
      <c r="I82" s="121">
        <v>8.1323079039999993</v>
      </c>
      <c r="J82" s="76">
        <f>SUMIF(APU!$E$18:$E$108,$E82,APU!$AK$18:$AK$108)*1000*(G82="Total")/$J$13</f>
        <v>0</v>
      </c>
    </row>
    <row r="83" spans="3:10" x14ac:dyDescent="0.15">
      <c r="E83" s="3" t="s">
        <v>49</v>
      </c>
      <c r="F83" s="3" t="s">
        <v>50</v>
      </c>
      <c r="G83" s="75" t="s">
        <v>327</v>
      </c>
      <c r="H83" s="76">
        <f t="shared" si="3"/>
        <v>4.8845702061991263</v>
      </c>
      <c r="I83" s="121">
        <v>7.2780119000000001</v>
      </c>
      <c r="J83" s="76">
        <f>SUMIF(APU!$E$18:$E$108,$E83,APU!$AK$18:$AK$108)*1000*(G83="Total")/$J$13</f>
        <v>0</v>
      </c>
    </row>
    <row r="84" spans="3:10" x14ac:dyDescent="0.15">
      <c r="E84" s="3" t="s">
        <v>49</v>
      </c>
      <c r="F84" s="3" t="s">
        <v>50</v>
      </c>
      <c r="G84" s="75" t="s">
        <v>231</v>
      </c>
      <c r="H84" s="76">
        <f t="shared" si="3"/>
        <v>2.9841297042164281</v>
      </c>
      <c r="I84" s="121">
        <v>4.4463546599999999</v>
      </c>
      <c r="J84" s="76">
        <f>SUMIF(APU!$E$18:$E$108,$E84,APU!$AK$18:$AK$108)*1000*(G84="Total")/$J$13</f>
        <v>0</v>
      </c>
    </row>
    <row r="85" spans="3:10" x14ac:dyDescent="0.15">
      <c r="E85" s="3" t="s">
        <v>49</v>
      </c>
      <c r="F85" s="3" t="s">
        <v>50</v>
      </c>
      <c r="G85" s="75" t="s">
        <v>277</v>
      </c>
      <c r="H85" s="76">
        <f t="shared" si="3"/>
        <v>2.6559175525782797</v>
      </c>
      <c r="I85" s="121">
        <v>3.9573183999999997</v>
      </c>
      <c r="J85" s="76">
        <f>SUMIF(APU!$E$18:$E$108,$E85,APU!$AK$18:$AK$108)*1000*(G85="Total")/$J$13</f>
        <v>0</v>
      </c>
    </row>
    <row r="86" spans="3:10" x14ac:dyDescent="0.15">
      <c r="E86" s="3" t="s">
        <v>49</v>
      </c>
      <c r="F86" s="3" t="s">
        <v>50</v>
      </c>
      <c r="G86" s="75" t="s">
        <v>308</v>
      </c>
      <c r="H86" s="76">
        <f t="shared" si="3"/>
        <v>2.3138697408691957</v>
      </c>
      <c r="I86" s="121">
        <v>3.447667</v>
      </c>
      <c r="J86" s="76">
        <f>SUMIF(APU!$E$18:$E$108,$E86,APU!$AK$18:$AK$108)*1000*(G86="Total")/$J$13</f>
        <v>0</v>
      </c>
    </row>
    <row r="87" spans="3:10" x14ac:dyDescent="0.15">
      <c r="E87" s="3" t="s">
        <v>49</v>
      </c>
      <c r="F87" s="3" t="s">
        <v>50</v>
      </c>
      <c r="G87" s="75" t="s">
        <v>319</v>
      </c>
      <c r="H87" s="76">
        <f t="shared" si="3"/>
        <v>2.2489315062928803</v>
      </c>
      <c r="I87" s="121">
        <v>3.3509090000000001</v>
      </c>
      <c r="J87" s="76">
        <f>SUMIF(APU!$E$18:$E$108,$E87,APU!$AK$18:$AK$108)*1000*(G87="Total")/$J$13</f>
        <v>0</v>
      </c>
    </row>
    <row r="88" spans="3:10" x14ac:dyDescent="0.15">
      <c r="E88" s="3" t="s">
        <v>49</v>
      </c>
      <c r="F88" s="3" t="s">
        <v>50</v>
      </c>
      <c r="G88" s="75" t="s">
        <v>233</v>
      </c>
      <c r="H88" s="76">
        <f t="shared" si="3"/>
        <v>1.8541386105287359</v>
      </c>
      <c r="I88" s="121">
        <v>2.7626674000000002</v>
      </c>
      <c r="J88" s="76">
        <f>SUMIF(APU!$E$18:$E$108,$E88,APU!$AK$18:$AK$108)*1000*(G88="Total")/$J$13</f>
        <v>0</v>
      </c>
    </row>
    <row r="89" spans="3:10" x14ac:dyDescent="0.15">
      <c r="E89" s="3" t="s">
        <v>49</v>
      </c>
      <c r="F89" s="3" t="s">
        <v>50</v>
      </c>
      <c r="G89" s="75" t="s">
        <v>284</v>
      </c>
      <c r="H89" s="76">
        <f t="shared" si="3"/>
        <v>1.7046291911851585</v>
      </c>
      <c r="I89" s="121">
        <v>2.539898295</v>
      </c>
      <c r="J89" s="76">
        <f>SUMIF(APU!$E$18:$E$108,$E89,APU!$AK$18:$AK$108)*1000*(G89="Total")/$J$13</f>
        <v>0</v>
      </c>
    </row>
    <row r="90" spans="3:10" x14ac:dyDescent="0.15">
      <c r="E90" s="3" t="s">
        <v>49</v>
      </c>
      <c r="F90" s="3" t="s">
        <v>50</v>
      </c>
      <c r="G90" s="75" t="s">
        <v>294</v>
      </c>
      <c r="H90" s="76">
        <f t="shared" si="3"/>
        <v>0.47654347403742076</v>
      </c>
      <c r="I90" s="121">
        <v>0.71004999999999996</v>
      </c>
      <c r="J90" s="76">
        <f>SUMIF(APU!$E$18:$E$108,$E90,APU!$AK$18:$AK$108)*1000*(G90="Total")/$J$13</f>
        <v>0</v>
      </c>
    </row>
    <row r="91" spans="3:10" ht="15" x14ac:dyDescent="0.2">
      <c r="C91" s="114"/>
      <c r="E91" s="3" t="s">
        <v>49</v>
      </c>
      <c r="F91" s="3" t="s">
        <v>50</v>
      </c>
      <c r="G91" s="75" t="s">
        <v>328</v>
      </c>
      <c r="H91" s="76">
        <f t="shared" si="3"/>
        <v>0.43296974145556094</v>
      </c>
      <c r="I91" s="121">
        <v>0.64512511800000005</v>
      </c>
      <c r="J91" s="76">
        <f>SUMIF(APU!$E$18:$E$108,$E91,APU!$AK$18:$AK$108)*1000*(G91="Total")/$J$13</f>
        <v>0</v>
      </c>
    </row>
    <row r="92" spans="3:10" x14ac:dyDescent="0.15">
      <c r="E92" s="3" t="s">
        <v>49</v>
      </c>
      <c r="F92" s="3" t="s">
        <v>50</v>
      </c>
      <c r="G92" s="75" t="s">
        <v>317</v>
      </c>
      <c r="H92" s="76">
        <f t="shared" si="3"/>
        <v>0.1275260356648909</v>
      </c>
      <c r="I92" s="121">
        <v>0.19001385300000001</v>
      </c>
      <c r="J92" s="76">
        <f>SUMIF(APU!$E$18:$E$108,$E92,APU!$AK$18:$AK$108)*1000*(G92="Total")/$J$13</f>
        <v>0</v>
      </c>
    </row>
    <row r="93" spans="3:10" x14ac:dyDescent="0.15">
      <c r="E93" s="3" t="s">
        <v>49</v>
      </c>
      <c r="F93" s="3" t="s">
        <v>50</v>
      </c>
      <c r="G93" s="75" t="s">
        <v>329</v>
      </c>
      <c r="H93" s="76">
        <f t="shared" si="3"/>
        <v>6.2030452942007076E-2</v>
      </c>
      <c r="I93" s="121">
        <v>9.2425404000000003E-2</v>
      </c>
      <c r="J93" s="76">
        <f>SUMIF(APU!$E$18:$E$108,$E93,APU!$AK$18:$AK$108)*1000*(G93="Total")/$J$13</f>
        <v>0</v>
      </c>
    </row>
    <row r="94" spans="3:10" x14ac:dyDescent="0.15">
      <c r="E94" s="3" t="s">
        <v>49</v>
      </c>
      <c r="F94" s="3" t="s">
        <v>50</v>
      </c>
      <c r="G94" s="75" t="s">
        <v>320</v>
      </c>
      <c r="H94" s="76">
        <f t="shared" si="3"/>
        <v>4.1359276232491658E-2</v>
      </c>
      <c r="I94" s="121">
        <v>6.1625341E-2</v>
      </c>
      <c r="J94" s="76">
        <f>SUMIF(APU!$E$18:$E$108,$E94,APU!$AK$18:$AK$108)*1000*(G94="Total")/$J$13</f>
        <v>0</v>
      </c>
    </row>
    <row r="95" spans="3:10" x14ac:dyDescent="0.15">
      <c r="E95" s="3" t="s">
        <v>49</v>
      </c>
      <c r="F95" s="3" t="s">
        <v>50</v>
      </c>
      <c r="G95" s="75" t="s">
        <v>318</v>
      </c>
      <c r="H95" s="76">
        <f t="shared" si="3"/>
        <v>3.9785222365943673E-2</v>
      </c>
      <c r="I95" s="121">
        <v>5.9279999999999999E-2</v>
      </c>
      <c r="J95" s="76">
        <f>SUMIF(APU!$E$18:$E$108,$E95,APU!$AK$18:$AK$108)*1000*(G95="Total")/$J$13</f>
        <v>0</v>
      </c>
    </row>
    <row r="96" spans="3:10" x14ac:dyDescent="0.15">
      <c r="E96" s="3" t="s">
        <v>51</v>
      </c>
      <c r="F96" s="3" t="s">
        <v>52</v>
      </c>
      <c r="G96" s="75" t="s">
        <v>2</v>
      </c>
      <c r="H96" s="76">
        <f t="shared" si="3"/>
        <v>0</v>
      </c>
      <c r="I96" s="121"/>
      <c r="J96" s="76">
        <f>SUMIF(APU!$E$18:$E$108,$E96,APU!$AK$18:$AK$108)*1000*(G96="Total")/$J$13</f>
        <v>11.08332985104671</v>
      </c>
    </row>
    <row r="97" spans="3:10" x14ac:dyDescent="0.15">
      <c r="E97" s="3" t="s">
        <v>51</v>
      </c>
      <c r="F97" s="3" t="s">
        <v>52</v>
      </c>
      <c r="G97" s="75" t="s">
        <v>256</v>
      </c>
      <c r="H97" s="76">
        <f t="shared" si="3"/>
        <v>6.7114072817043979</v>
      </c>
      <c r="I97" s="121">
        <v>10</v>
      </c>
      <c r="J97" s="76">
        <f>SUMIF(APU!$E$18:$E$108,$E97,APU!$AK$18:$AK$108)*1000*(G97="Total")/$J$13</f>
        <v>0</v>
      </c>
    </row>
    <row r="98" spans="3:10" x14ac:dyDescent="0.15">
      <c r="E98" s="3" t="s">
        <v>51</v>
      </c>
      <c r="F98" s="3" t="s">
        <v>52</v>
      </c>
      <c r="G98" s="75" t="s">
        <v>283</v>
      </c>
      <c r="H98" s="76">
        <f t="shared" si="3"/>
        <v>2.3471283162979146</v>
      </c>
      <c r="I98" s="121">
        <v>3.4972222929999996</v>
      </c>
      <c r="J98" s="76">
        <f>SUMIF(APU!$E$18:$E$108,$E98,APU!$AK$18:$AK$108)*1000*(G98="Total")/$J$13</f>
        <v>0</v>
      </c>
    </row>
    <row r="99" spans="3:10" x14ac:dyDescent="0.15">
      <c r="E99" s="3" t="s">
        <v>51</v>
      </c>
      <c r="F99" s="3" t="s">
        <v>52</v>
      </c>
      <c r="G99" s="75" t="s">
        <v>303</v>
      </c>
      <c r="H99" s="76">
        <f t="shared" si="3"/>
        <v>8.4563731749475415E-2</v>
      </c>
      <c r="I99" s="121">
        <v>0.126</v>
      </c>
      <c r="J99" s="76">
        <f>SUMIF(APU!$E$18:$E$108,$E99,APU!$AK$18:$AK$108)*1000*(G99="Total")/$J$13</f>
        <v>0</v>
      </c>
    </row>
    <row r="100" spans="3:10" x14ac:dyDescent="0.15">
      <c r="E100" s="3" t="s">
        <v>55</v>
      </c>
      <c r="F100" s="3" t="s">
        <v>56</v>
      </c>
      <c r="G100" s="75" t="s">
        <v>2</v>
      </c>
      <c r="H100" s="76">
        <f t="shared" si="3"/>
        <v>0</v>
      </c>
      <c r="I100" s="121"/>
      <c r="J100" s="76">
        <f>SUMIF(APU!$E$18:$E$108,$E100,APU!$AK$18:$AK$108)*1000*(G100="Total")/$J$13</f>
        <v>2.8554475009562492E-2</v>
      </c>
    </row>
    <row r="101" spans="3:10" x14ac:dyDescent="0.15">
      <c r="E101" s="3" t="s">
        <v>59</v>
      </c>
      <c r="F101" s="3" t="s">
        <v>60</v>
      </c>
      <c r="G101" s="75" t="s">
        <v>2</v>
      </c>
      <c r="H101" s="76">
        <f t="shared" si="3"/>
        <v>0</v>
      </c>
      <c r="I101" s="121"/>
      <c r="J101" s="76">
        <f>SUMIF(APU!$E$18:$E$108,$E101,APU!$AK$18:$AK$108)*1000*(G101="Total")/$J$13</f>
        <v>0.27817585331896361</v>
      </c>
    </row>
    <row r="102" spans="3:10" x14ac:dyDescent="0.15">
      <c r="E102" s="3" t="s">
        <v>61</v>
      </c>
      <c r="F102" s="3" t="s">
        <v>62</v>
      </c>
      <c r="G102" s="75" t="s">
        <v>2</v>
      </c>
      <c r="H102" s="76">
        <f t="shared" si="3"/>
        <v>0</v>
      </c>
      <c r="I102" s="121"/>
      <c r="J102" s="76">
        <f>SUMIF(APU!$E$18:$E$108,$E102,APU!$AK$18:$AK$108)*1000*(G102="Total")/$J$13</f>
        <v>6.1252500755275152</v>
      </c>
    </row>
    <row r="103" spans="3:10" x14ac:dyDescent="0.15">
      <c r="E103" s="3" t="s">
        <v>61</v>
      </c>
      <c r="F103" s="3" t="s">
        <v>62</v>
      </c>
      <c r="G103" s="75" t="s">
        <v>287</v>
      </c>
      <c r="H103" s="76">
        <f t="shared" si="3"/>
        <v>1.6122583967944408</v>
      </c>
      <c r="I103" s="121">
        <v>2.4022657679999999</v>
      </c>
      <c r="J103" s="76">
        <f>SUMIF(APU!$E$18:$E$108,$E103,APU!$AK$18:$AK$108)*1000*(G103="Total")/$J$13</f>
        <v>0</v>
      </c>
    </row>
    <row r="104" spans="3:10" x14ac:dyDescent="0.15">
      <c r="E104" s="3" t="s">
        <v>61</v>
      </c>
      <c r="F104" s="3" t="s">
        <v>62</v>
      </c>
      <c r="G104" s="75" t="s">
        <v>299</v>
      </c>
      <c r="H104" s="76">
        <f t="shared" si="3"/>
        <v>0.24161066214135835</v>
      </c>
      <c r="I104" s="121">
        <v>0.36</v>
      </c>
      <c r="J104" s="76">
        <f>SUMIF(APU!$E$18:$E$108,$E104,APU!$AK$18:$AK$108)*1000*(G104="Total")/$J$13</f>
        <v>0</v>
      </c>
    </row>
    <row r="105" spans="3:10" x14ac:dyDescent="0.15">
      <c r="E105" s="3" t="s">
        <v>63</v>
      </c>
      <c r="F105" s="3" t="s">
        <v>64</v>
      </c>
      <c r="G105" s="75" t="s">
        <v>2</v>
      </c>
      <c r="H105" s="76">
        <f t="shared" si="3"/>
        <v>0</v>
      </c>
      <c r="I105" s="121"/>
      <c r="J105" s="76">
        <f>SUMIF(APU!$E$18:$E$108,$E105,APU!$AK$18:$AK$108)*1000*(G105="Total")/$J$13</f>
        <v>4.3598289244649884</v>
      </c>
    </row>
    <row r="106" spans="3:10" x14ac:dyDescent="0.15">
      <c r="E106" s="3" t="s">
        <v>63</v>
      </c>
      <c r="F106" s="3" t="s">
        <v>64</v>
      </c>
      <c r="G106" s="75" t="s">
        <v>288</v>
      </c>
      <c r="H106" s="76">
        <f t="shared" si="3"/>
        <v>2.3525643595518622</v>
      </c>
      <c r="I106" s="121">
        <v>3.505322</v>
      </c>
      <c r="J106" s="76">
        <f>SUMIF(APU!$E$18:$E$108,$E106,APU!$AK$18:$AK$108)*1000*(G106="Total")/$J$13</f>
        <v>0</v>
      </c>
    </row>
    <row r="107" spans="3:10" x14ac:dyDescent="0.15">
      <c r="E107" s="3" t="s">
        <v>63</v>
      </c>
      <c r="F107" s="3" t="s">
        <v>64</v>
      </c>
      <c r="G107" s="75" t="s">
        <v>224</v>
      </c>
      <c r="H107" s="76">
        <f t="shared" si="3"/>
        <v>1.1714785537724204</v>
      </c>
      <c r="I107" s="121">
        <v>1.745503595</v>
      </c>
      <c r="J107" s="76">
        <f>SUMIF(APU!$E$18:$E$108,$E107,APU!$AK$18:$AK$108)*1000*(G107="Total")/$J$13</f>
        <v>0</v>
      </c>
    </row>
    <row r="108" spans="3:10" x14ac:dyDescent="0.15">
      <c r="E108" s="3" t="s">
        <v>63</v>
      </c>
      <c r="F108" s="3" t="s">
        <v>64</v>
      </c>
      <c r="G108" s="75" t="s">
        <v>226</v>
      </c>
      <c r="H108" s="76">
        <f t="shared" si="3"/>
        <v>0.46955184134063904</v>
      </c>
      <c r="I108" s="121">
        <v>0.69963246400000001</v>
      </c>
      <c r="J108" s="76">
        <f>SUMIF(APU!$E$18:$E$108,$E108,APU!$AK$18:$AK$108)*1000*(G108="Total")/$J$13</f>
        <v>0</v>
      </c>
    </row>
    <row r="109" spans="3:10" x14ac:dyDescent="0.15">
      <c r="E109" s="3" t="s">
        <v>65</v>
      </c>
      <c r="F109" s="3" t="s">
        <v>66</v>
      </c>
      <c r="G109" s="75" t="s">
        <v>2</v>
      </c>
      <c r="H109" s="76">
        <f t="shared" si="3"/>
        <v>0</v>
      </c>
      <c r="I109" s="121"/>
      <c r="J109" s="76">
        <f>SUMIF(APU!$E$18:$E$108,$E109,APU!$AK$18:$AK$108)*1000*(G109="Total")/$J$13</f>
        <v>14.424803225205689</v>
      </c>
    </row>
    <row r="110" spans="3:10" x14ac:dyDescent="0.15">
      <c r="E110" s="3" t="s">
        <v>65</v>
      </c>
      <c r="F110" s="3" t="s">
        <v>66</v>
      </c>
      <c r="G110" s="75" t="s">
        <v>282</v>
      </c>
      <c r="H110" s="76">
        <f t="shared" si="3"/>
        <v>9.0469770157375269</v>
      </c>
      <c r="I110" s="121">
        <v>13.479999999999999</v>
      </c>
      <c r="J110" s="76">
        <f>SUMIF(APU!$E$18:$E$108,$E110,APU!$AK$18:$AK$108)*1000*(G110="Total")/$J$13</f>
        <v>0</v>
      </c>
    </row>
    <row r="111" spans="3:10" ht="15" x14ac:dyDescent="0.2">
      <c r="C111" s="114"/>
      <c r="E111" s="3" t="s">
        <v>65</v>
      </c>
      <c r="F111" s="3" t="s">
        <v>66</v>
      </c>
      <c r="G111" s="75" t="s">
        <v>344</v>
      </c>
      <c r="H111" s="76">
        <f t="shared" si="3"/>
        <v>4.729528711417089</v>
      </c>
      <c r="I111" s="121">
        <v>7.0469999999999997</v>
      </c>
      <c r="J111" s="76">
        <f>SUMIF(APU!$E$18:$E$108,$E111,APU!$AK$18:$AK$108)*1000*(G111="Total")/$J$13</f>
        <v>0</v>
      </c>
    </row>
    <row r="112" spans="3:10" x14ac:dyDescent="0.15">
      <c r="E112" s="3" t="s">
        <v>65</v>
      </c>
      <c r="F112" s="3" t="s">
        <v>66</v>
      </c>
      <c r="G112" s="75" t="s">
        <v>298</v>
      </c>
      <c r="H112" s="76">
        <f t="shared" si="3"/>
        <v>0.28187910583158471</v>
      </c>
      <c r="I112" s="121">
        <v>0.42</v>
      </c>
      <c r="J112" s="76">
        <f>SUMIF(APU!$E$18:$E$108,$E112,APU!$AK$18:$AK$108)*1000*(G112="Total")/$J$13</f>
        <v>0</v>
      </c>
    </row>
    <row r="113" spans="3:10" x14ac:dyDescent="0.15">
      <c r="H113" s="76"/>
      <c r="I113" s="121"/>
      <c r="J113" s="76"/>
    </row>
    <row r="114" spans="3:10" x14ac:dyDescent="0.15">
      <c r="C114" s="116">
        <f>+MAX($C$1:$C113)+1</f>
        <v>8</v>
      </c>
      <c r="E114" s="41" t="s">
        <v>347</v>
      </c>
      <c r="F114" s="44"/>
      <c r="G114" s="44"/>
      <c r="H114" s="44"/>
      <c r="I114" s="44"/>
      <c r="J114" s="44"/>
    </row>
    <row r="115" spans="3:10" x14ac:dyDescent="0.15">
      <c r="E115" s="115" t="s">
        <v>57</v>
      </c>
      <c r="F115" s="3" t="s">
        <v>58</v>
      </c>
      <c r="G115" s="75" t="s">
        <v>2</v>
      </c>
      <c r="H115" s="76">
        <f t="shared" ref="H115:H130" si="4">I115/$I$15*$H$15</f>
        <v>0</v>
      </c>
      <c r="I115" s="121"/>
      <c r="J115" s="76">
        <f>SUMIF(APU!$E$18:$E$108,$E115,APU!$AK$18:$AK$108)*1000*(G115="Total")/$J$13</f>
        <v>31.743554642077363</v>
      </c>
    </row>
    <row r="116" spans="3:10" x14ac:dyDescent="0.15">
      <c r="E116" s="115" t="s">
        <v>57</v>
      </c>
      <c r="F116" s="3" t="s">
        <v>58</v>
      </c>
      <c r="G116" s="75" t="s">
        <v>243</v>
      </c>
      <c r="H116" s="76">
        <f t="shared" si="4"/>
        <v>2.6168049044971018</v>
      </c>
      <c r="I116" s="121">
        <v>3.8990405359999998</v>
      </c>
      <c r="J116" s="76">
        <f>SUMIF(APU!$E$18:$E$108,$E116,APU!$AK$18:$AK$108)*1000*(G116="Total")/$J$13</f>
        <v>0</v>
      </c>
    </row>
    <row r="117" spans="3:10" x14ac:dyDescent="0.15">
      <c r="E117" s="115" t="s">
        <v>57</v>
      </c>
      <c r="F117" s="3" t="s">
        <v>58</v>
      </c>
      <c r="G117" s="75" t="s">
        <v>245</v>
      </c>
      <c r="H117" s="76">
        <f t="shared" si="4"/>
        <v>1.9642880966341374</v>
      </c>
      <c r="I117" s="121">
        <v>2.9267901860000003</v>
      </c>
      <c r="J117" s="76">
        <f>SUMIF(APU!$E$18:$E$108,$E117,APU!$AK$18:$AK$108)*1000*(G117="Total")/$J$13</f>
        <v>0</v>
      </c>
    </row>
    <row r="118" spans="3:10" x14ac:dyDescent="0.15">
      <c r="E118" s="115" t="s">
        <v>57</v>
      </c>
      <c r="F118" s="3" t="s">
        <v>58</v>
      </c>
      <c r="G118" s="75" t="s">
        <v>250</v>
      </c>
      <c r="H118" s="76">
        <f t="shared" si="4"/>
        <v>0.55503338219695375</v>
      </c>
      <c r="I118" s="121">
        <v>0.82699999999999996</v>
      </c>
      <c r="J118" s="76">
        <f>SUMIF(APU!$E$18:$E$108,$E118,APU!$AK$18:$AK$108)*1000*(G118="Total")/$J$13</f>
        <v>0</v>
      </c>
    </row>
    <row r="119" spans="3:10" x14ac:dyDescent="0.15">
      <c r="E119" s="3" t="s">
        <v>83</v>
      </c>
      <c r="F119" s="3" t="s">
        <v>84</v>
      </c>
      <c r="G119" s="75" t="s">
        <v>2</v>
      </c>
      <c r="H119" s="76">
        <f t="shared" si="4"/>
        <v>0</v>
      </c>
      <c r="I119" s="121"/>
      <c r="J119" s="76">
        <f>SUMIF(APU!$E$18:$E$108,$E119,APU!$AK$18:$AK$108)*1000*(G119="Total")/$J$13</f>
        <v>2.0808393658835098</v>
      </c>
    </row>
    <row r="120" spans="3:10" x14ac:dyDescent="0.15">
      <c r="E120" s="3" t="s">
        <v>83</v>
      </c>
      <c r="F120" s="3" t="s">
        <v>84</v>
      </c>
      <c r="G120" s="75" t="s">
        <v>238</v>
      </c>
      <c r="H120" s="76">
        <f t="shared" si="4"/>
        <v>0.36425486176026267</v>
      </c>
      <c r="I120" s="121">
        <v>0.54273991500000007</v>
      </c>
      <c r="J120" s="76">
        <f>SUMIF(APU!$E$18:$E$108,$E120,APU!$AK$18:$AK$108)*1000*(G120="Total")/$J$13</f>
        <v>0</v>
      </c>
    </row>
    <row r="121" spans="3:10" x14ac:dyDescent="0.15">
      <c r="E121" s="3" t="s">
        <v>85</v>
      </c>
      <c r="F121" s="3" t="s">
        <v>86</v>
      </c>
      <c r="G121" s="75" t="s">
        <v>2</v>
      </c>
      <c r="H121" s="76">
        <f t="shared" si="4"/>
        <v>0</v>
      </c>
      <c r="I121" s="121"/>
      <c r="J121" s="76">
        <f>SUMIF(APU!$E$18:$E$108,$E121,APU!$AK$18:$AK$108)*1000*(G121="Total")/$J$13</f>
        <v>13.942994105154494</v>
      </c>
    </row>
    <row r="122" spans="3:10" x14ac:dyDescent="0.15">
      <c r="E122" s="3" t="s">
        <v>85</v>
      </c>
      <c r="F122" s="3" t="s">
        <v>86</v>
      </c>
      <c r="G122" s="75" t="s">
        <v>272</v>
      </c>
      <c r="H122" s="76">
        <f t="shared" si="4"/>
        <v>2.9280606762420542</v>
      </c>
      <c r="I122" s="121">
        <v>4.3628117820000005</v>
      </c>
      <c r="J122" s="76">
        <f>SUMIF(APU!$E$18:$E$108,$E122,APU!$AK$18:$AK$108)*1000*(G122="Total")/$J$13</f>
        <v>0</v>
      </c>
    </row>
    <row r="123" spans="3:10" x14ac:dyDescent="0.15">
      <c r="E123" s="3" t="s">
        <v>85</v>
      </c>
      <c r="F123" s="3" t="s">
        <v>86</v>
      </c>
      <c r="G123" s="75" t="s">
        <v>281</v>
      </c>
      <c r="H123" s="76">
        <f t="shared" si="4"/>
        <v>0.43244069665578089</v>
      </c>
      <c r="I123" s="121">
        <v>0.64433684099999999</v>
      </c>
      <c r="J123" s="76">
        <f>SUMIF(APU!$E$18:$E$108,$E123,APU!$AK$18:$AK$108)*1000*(G123="Total")/$J$13</f>
        <v>0</v>
      </c>
    </row>
    <row r="124" spans="3:10" x14ac:dyDescent="0.15">
      <c r="E124" s="3" t="s">
        <v>85</v>
      </c>
      <c r="F124" s="3" t="s">
        <v>86</v>
      </c>
      <c r="G124" s="75" t="s">
        <v>239</v>
      </c>
      <c r="H124" s="76">
        <f t="shared" si="4"/>
        <v>0.3872546900851852</v>
      </c>
      <c r="I124" s="121">
        <v>0.57700967000000003</v>
      </c>
      <c r="J124" s="76">
        <f>SUMIF(APU!$E$18:$E$108,$E124,APU!$AK$18:$AK$108)*1000*(G124="Total")/$J$13</f>
        <v>0</v>
      </c>
    </row>
    <row r="125" spans="3:10" x14ac:dyDescent="0.15">
      <c r="E125" s="3" t="s">
        <v>85</v>
      </c>
      <c r="F125" s="3" t="s">
        <v>86</v>
      </c>
      <c r="G125" s="75" t="s">
        <v>240</v>
      </c>
      <c r="H125" s="76">
        <f t="shared" si="4"/>
        <v>0.16653723075789487</v>
      </c>
      <c r="I125" s="121">
        <v>0.24814055199999999</v>
      </c>
      <c r="J125" s="76">
        <f>SUMIF(APU!$E$18:$E$108,$E125,APU!$AK$18:$AK$108)*1000*(G125="Total")/$J$13</f>
        <v>0</v>
      </c>
    </row>
    <row r="126" spans="3:10" x14ac:dyDescent="0.15">
      <c r="E126" s="3" t="s">
        <v>85</v>
      </c>
      <c r="F126" s="3" t="s">
        <v>86</v>
      </c>
      <c r="G126" s="75" t="s">
        <v>241</v>
      </c>
      <c r="H126" s="76">
        <f t="shared" si="4"/>
        <v>2.9844775161873952E-2</v>
      </c>
      <c r="I126" s="121">
        <v>4.4468728999999999E-2</v>
      </c>
      <c r="J126" s="76">
        <f>SUMIF(APU!$E$18:$E$108,$E126,APU!$AK$18:$AK$108)*1000*(G126="Total")/$J$13</f>
        <v>0</v>
      </c>
    </row>
    <row r="127" spans="3:10" x14ac:dyDescent="0.15">
      <c r="E127" s="3" t="s">
        <v>87</v>
      </c>
      <c r="F127" s="3" t="s">
        <v>88</v>
      </c>
      <c r="G127" s="75" t="s">
        <v>2</v>
      </c>
      <c r="H127" s="76">
        <f t="shared" si="4"/>
        <v>0</v>
      </c>
      <c r="I127" s="121"/>
      <c r="J127" s="76">
        <f>SUMIF(APU!$E$18:$E$108,$E127,APU!$AK$18:$AK$108)*1000*(G127="Total")/$J$13</f>
        <v>2.1856147839577384</v>
      </c>
    </row>
    <row r="128" spans="3:10" x14ac:dyDescent="0.15">
      <c r="E128" s="3" t="s">
        <v>89</v>
      </c>
      <c r="F128" s="3" t="s">
        <v>90</v>
      </c>
      <c r="G128" s="75" t="s">
        <v>2</v>
      </c>
      <c r="H128" s="76">
        <f t="shared" si="4"/>
        <v>0</v>
      </c>
      <c r="I128" s="121"/>
      <c r="J128" s="76">
        <f>SUMIF(APU!$E$18:$E$108,$E128,APU!$AK$18:$AK$108)*1000*(G128="Total")/$J$13</f>
        <v>1.0859911624604577</v>
      </c>
    </row>
    <row r="129" spans="3:10" x14ac:dyDescent="0.15">
      <c r="E129" s="3" t="s">
        <v>91</v>
      </c>
      <c r="F129" s="3" t="s">
        <v>92</v>
      </c>
      <c r="G129" s="75" t="s">
        <v>2</v>
      </c>
      <c r="H129" s="76">
        <f t="shared" si="4"/>
        <v>0</v>
      </c>
      <c r="I129" s="121"/>
      <c r="J129" s="76">
        <f>SUMIF(APU!$E$18:$E$108,$E129,APU!$AK$18:$AK$108)*1000*(G129="Total")/$J$13</f>
        <v>0</v>
      </c>
    </row>
    <row r="130" spans="3:10" x14ac:dyDescent="0.15">
      <c r="E130" s="3" t="s">
        <v>93</v>
      </c>
      <c r="F130" s="3" t="s">
        <v>94</v>
      </c>
      <c r="G130" s="75" t="s">
        <v>2</v>
      </c>
      <c r="H130" s="76">
        <f t="shared" si="4"/>
        <v>0</v>
      </c>
      <c r="I130" s="121"/>
      <c r="J130" s="76">
        <f>SUMIF(APU!$E$18:$E$108,$E130,APU!$AK$18:$AK$108)*1000*(G130="Total")/$J$13</f>
        <v>0.22677779830175118</v>
      </c>
    </row>
    <row r="131" spans="3:10" customFormat="1" ht="15" x14ac:dyDescent="0.2">
      <c r="C131" s="114"/>
      <c r="I131" s="122"/>
      <c r="J131" s="76"/>
    </row>
    <row r="132" spans="3:10" x14ac:dyDescent="0.15">
      <c r="C132" s="116">
        <f>+MAX($C$1:$C131)+1</f>
        <v>9</v>
      </c>
      <c r="E132" s="41" t="s">
        <v>343</v>
      </c>
      <c r="F132" s="44"/>
      <c r="G132" s="44"/>
      <c r="H132" s="44"/>
      <c r="I132" s="44"/>
      <c r="J132" s="44"/>
    </row>
    <row r="133" spans="3:10" x14ac:dyDescent="0.15">
      <c r="E133" s="3" t="s">
        <v>5</v>
      </c>
      <c r="F133" s="3" t="s">
        <v>6</v>
      </c>
      <c r="G133" s="75" t="s">
        <v>2</v>
      </c>
      <c r="H133" s="76">
        <f t="shared" ref="H133:H151" si="5">I133/$I$15*$H$15</f>
        <v>0</v>
      </c>
      <c r="I133" s="121"/>
      <c r="J133" s="76">
        <f>SUMIF(APU!$E$18:$E$108,$E133,APU!$AK$18:$AK$108)*1000*(G133="Total")/$J$13</f>
        <v>16.827920721425873</v>
      </c>
    </row>
    <row r="134" spans="3:10" x14ac:dyDescent="0.15">
      <c r="E134" s="3" t="s">
        <v>5</v>
      </c>
      <c r="F134" s="3" t="s">
        <v>6</v>
      </c>
      <c r="G134" s="75" t="s">
        <v>332</v>
      </c>
      <c r="H134" s="76">
        <f t="shared" si="5"/>
        <v>5.0772947394455912</v>
      </c>
      <c r="I134" s="121">
        <v>7.5651715450000001</v>
      </c>
      <c r="J134" s="76">
        <f>SUMIF(APU!$E$18:$E$108,$E134,APU!$AK$18:$AK$108)*1000*(G134="Total")/$J$13</f>
        <v>0</v>
      </c>
    </row>
    <row r="135" spans="3:10" x14ac:dyDescent="0.15">
      <c r="E135" s="3" t="s">
        <v>5</v>
      </c>
      <c r="F135" s="3" t="s">
        <v>6</v>
      </c>
      <c r="G135" s="75" t="s">
        <v>270</v>
      </c>
      <c r="H135" s="76">
        <f t="shared" si="5"/>
        <v>2.974903832626175</v>
      </c>
      <c r="I135" s="121">
        <v>4.4326081070000001</v>
      </c>
      <c r="J135" s="76">
        <f>SUMIF(APU!$E$18:$E$108,$E135,APU!$AK$18:$AK$108)*1000*(G135="Total")/$J$13</f>
        <v>0</v>
      </c>
    </row>
    <row r="136" spans="3:10" x14ac:dyDescent="0.15">
      <c r="E136" s="3" t="s">
        <v>5</v>
      </c>
      <c r="F136" s="3" t="s">
        <v>6</v>
      </c>
      <c r="G136" s="75" t="s">
        <v>275</v>
      </c>
      <c r="H136" s="76">
        <f t="shared" si="5"/>
        <v>2.0329456810454714</v>
      </c>
      <c r="I136" s="121">
        <v>3.0290900190000003</v>
      </c>
      <c r="J136" s="76">
        <f>SUMIF(APU!$E$18:$E$108,$E136,APU!$AK$18:$AK$108)*1000*(G136="Total")/$J$13</f>
        <v>0</v>
      </c>
    </row>
    <row r="137" spans="3:10" x14ac:dyDescent="0.15">
      <c r="E137" s="3" t="s">
        <v>5</v>
      </c>
      <c r="F137" s="3" t="s">
        <v>6</v>
      </c>
      <c r="G137" s="75" t="s">
        <v>333</v>
      </c>
      <c r="H137" s="76">
        <f t="shared" si="5"/>
        <v>1.057363040728502</v>
      </c>
      <c r="I137" s="121">
        <v>1.5754714269999999</v>
      </c>
      <c r="J137" s="76">
        <f>SUMIF(APU!$E$18:$E$108,$E137,APU!$AK$18:$AK$108)*1000*(G137="Total")/$J$13</f>
        <v>0</v>
      </c>
    </row>
    <row r="138" spans="3:10" x14ac:dyDescent="0.15">
      <c r="E138" s="3" t="s">
        <v>5</v>
      </c>
      <c r="F138" s="3" t="s">
        <v>6</v>
      </c>
      <c r="G138" s="75" t="s">
        <v>293</v>
      </c>
      <c r="H138" s="76">
        <f t="shared" si="5"/>
        <v>0.70309447649343537</v>
      </c>
      <c r="I138" s="121">
        <v>1.0476110999999999</v>
      </c>
      <c r="J138" s="76">
        <f>SUMIF(APU!$E$18:$E$108,$E138,APU!$AK$18:$AK$108)*1000*(G138="Total")/$J$13</f>
        <v>0</v>
      </c>
    </row>
    <row r="139" spans="3:10" x14ac:dyDescent="0.15">
      <c r="E139" s="3" t="s">
        <v>5</v>
      </c>
      <c r="F139" s="3" t="s">
        <v>6</v>
      </c>
      <c r="G139" s="75" t="s">
        <v>295</v>
      </c>
      <c r="H139" s="76">
        <f t="shared" si="5"/>
        <v>0.65161635177079336</v>
      </c>
      <c r="I139" s="121">
        <v>0.97090867000000003</v>
      </c>
      <c r="J139" s="76">
        <f>SUMIF(APU!$E$18:$E$108,$E139,APU!$AK$18:$AK$108)*1000*(G139="Total")/$J$13</f>
        <v>0</v>
      </c>
    </row>
    <row r="140" spans="3:10" x14ac:dyDescent="0.15">
      <c r="E140" s="3" t="s">
        <v>5</v>
      </c>
      <c r="F140" s="3" t="s">
        <v>6</v>
      </c>
      <c r="G140" s="75" t="s">
        <v>334</v>
      </c>
      <c r="H140" s="76">
        <f t="shared" si="5"/>
        <v>0.59963777821251696</v>
      </c>
      <c r="I140" s="121">
        <v>0.89346057099999998</v>
      </c>
      <c r="J140" s="76">
        <f>SUMIF(APU!$E$18:$E$108,$E140,APU!$AK$18:$AK$108)*1000*(G140="Total")/$J$13</f>
        <v>0</v>
      </c>
    </row>
    <row r="141" spans="3:10" x14ac:dyDescent="0.15">
      <c r="E141" s="3" t="s">
        <v>5</v>
      </c>
      <c r="F141" s="3" t="s">
        <v>6</v>
      </c>
      <c r="G141" s="75" t="s">
        <v>296</v>
      </c>
      <c r="H141" s="76">
        <f t="shared" si="5"/>
        <v>0.5163060628534476</v>
      </c>
      <c r="I141" s="121">
        <v>0.76929627600000006</v>
      </c>
      <c r="J141" s="76">
        <f>SUMIF(APU!$E$18:$E$108,$E141,APU!$AK$18:$AK$108)*1000*(G141="Total")/$J$13</f>
        <v>0</v>
      </c>
    </row>
    <row r="142" spans="3:10" x14ac:dyDescent="0.15">
      <c r="E142" s="3" t="s">
        <v>5</v>
      </c>
      <c r="F142" s="3" t="s">
        <v>6</v>
      </c>
      <c r="G142" s="75" t="s">
        <v>278</v>
      </c>
      <c r="H142" s="76">
        <f t="shared" si="5"/>
        <v>0.29339087938628317</v>
      </c>
      <c r="I142" s="121">
        <v>0.43715254800000003</v>
      </c>
      <c r="J142" s="76">
        <f>SUMIF(APU!$E$18:$E$108,$E142,APU!$AK$18:$AK$108)*1000*(G142="Total")/$J$13</f>
        <v>0</v>
      </c>
    </row>
    <row r="143" spans="3:10" x14ac:dyDescent="0.15">
      <c r="E143" s="3" t="s">
        <v>5</v>
      </c>
      <c r="F143" s="3" t="s">
        <v>6</v>
      </c>
      <c r="G143" s="75" t="s">
        <v>280</v>
      </c>
      <c r="H143" s="76">
        <f t="shared" si="5"/>
        <v>0.28439854127950742</v>
      </c>
      <c r="I143" s="121">
        <v>0.42375396000000004</v>
      </c>
      <c r="J143" s="76">
        <f>SUMIF(APU!$E$18:$E$108,$E143,APU!$AK$18:$AK$108)*1000*(G143="Total")/$J$13</f>
        <v>0</v>
      </c>
    </row>
    <row r="144" spans="3:10" x14ac:dyDescent="0.15">
      <c r="E144" s="3" t="s">
        <v>5</v>
      </c>
      <c r="F144" s="3" t="s">
        <v>6</v>
      </c>
      <c r="G144" s="75" t="s">
        <v>302</v>
      </c>
      <c r="H144" s="76">
        <f t="shared" si="5"/>
        <v>0.10054227705138637</v>
      </c>
      <c r="I144" s="121">
        <v>0.14980804</v>
      </c>
      <c r="J144" s="76">
        <f>SUMIF(APU!$E$18:$E$108,$E144,APU!$AK$18:$AK$108)*1000*(G144="Total")/$J$13</f>
        <v>0</v>
      </c>
    </row>
    <row r="145" spans="3:10" x14ac:dyDescent="0.15">
      <c r="E145" s="3" t="s">
        <v>9</v>
      </c>
      <c r="F145" s="3" t="s">
        <v>10</v>
      </c>
      <c r="G145" s="75" t="s">
        <v>2</v>
      </c>
      <c r="H145" s="76">
        <f t="shared" si="5"/>
        <v>0</v>
      </c>
      <c r="I145" s="121"/>
      <c r="J145" s="76">
        <f>SUMIF(APU!$E$18:$E$108,$E145,APU!$AK$18:$AK$108)*1000*(G145="Total")/$J$13</f>
        <v>31.309138942148277</v>
      </c>
    </row>
    <row r="146" spans="3:10" x14ac:dyDescent="0.15">
      <c r="E146" s="3" t="s">
        <v>9</v>
      </c>
      <c r="F146" s="3" t="s">
        <v>10</v>
      </c>
      <c r="G146" s="75" t="s">
        <v>257</v>
      </c>
      <c r="H146" s="76">
        <f t="shared" si="5"/>
        <v>0.47449649481650091</v>
      </c>
      <c r="I146" s="121">
        <v>0.70699999999999996</v>
      </c>
      <c r="J146" s="76">
        <f>SUMIF(APU!$E$18:$E$108,$E146,APU!$AK$18:$AK$108)*1000*(G146="Total")/$J$13</f>
        <v>0</v>
      </c>
    </row>
    <row r="147" spans="3:10" x14ac:dyDescent="0.15">
      <c r="E147" s="3" t="s">
        <v>9</v>
      </c>
      <c r="F147" s="3" t="s">
        <v>10</v>
      </c>
      <c r="G147" s="75" t="s">
        <v>260</v>
      </c>
      <c r="H147" s="76">
        <f t="shared" si="5"/>
        <v>0.22442945950019505</v>
      </c>
      <c r="I147" s="121">
        <v>0.33439999999999998</v>
      </c>
      <c r="J147" s="76">
        <f>SUMIF(APU!$E$18:$E$108,$E147,APU!$AK$18:$AK$108)*1000*(G147="Total")/$J$13</f>
        <v>0</v>
      </c>
    </row>
    <row r="148" spans="3:10" x14ac:dyDescent="0.15">
      <c r="E148" s="3" t="s">
        <v>13</v>
      </c>
      <c r="F148" s="3" t="s">
        <v>14</v>
      </c>
      <c r="G148" s="75" t="s">
        <v>2</v>
      </c>
      <c r="H148" s="76">
        <f t="shared" si="5"/>
        <v>0</v>
      </c>
      <c r="I148" s="121"/>
      <c r="J148" s="76">
        <f>SUMIF(APU!$E$18:$E$108,$E148,APU!$AK$18:$AK$108)*1000*(G148="Total")/$J$13</f>
        <v>6.7114072817043994E-4</v>
      </c>
    </row>
    <row r="149" spans="3:10" x14ac:dyDescent="0.15">
      <c r="E149" s="3" t="s">
        <v>15</v>
      </c>
      <c r="F149" s="3" t="s">
        <v>16</v>
      </c>
      <c r="G149" s="75" t="s">
        <v>2</v>
      </c>
      <c r="H149" s="76">
        <f t="shared" si="5"/>
        <v>0</v>
      </c>
      <c r="I149" s="121"/>
      <c r="J149" s="76">
        <f>SUMIF(APU!$E$18:$E$108,$E149,APU!$AK$18:$AK$108)*1000*(G149="Total")/$J$13</f>
        <v>0.86475944870591426</v>
      </c>
    </row>
    <row r="150" spans="3:10" x14ac:dyDescent="0.15">
      <c r="E150" s="3" t="s">
        <v>15</v>
      </c>
      <c r="F150" s="3" t="s">
        <v>16</v>
      </c>
      <c r="G150" s="75" t="s">
        <v>305</v>
      </c>
      <c r="H150" s="76">
        <f t="shared" si="5"/>
        <v>0.54292288198523231</v>
      </c>
      <c r="I150" s="121">
        <v>0.80895534899999999</v>
      </c>
      <c r="J150" s="76">
        <f>SUMIF(APU!$E$18:$E$108,$E150,APU!$AK$18:$AK$108)*1000*(G150="Total")/$J$13</f>
        <v>0</v>
      </c>
    </row>
    <row r="151" spans="3:10" x14ac:dyDescent="0.15">
      <c r="E151" s="3" t="s">
        <v>19</v>
      </c>
      <c r="F151" s="3" t="s">
        <v>20</v>
      </c>
      <c r="G151" s="75" t="s">
        <v>2</v>
      </c>
      <c r="H151" s="76">
        <f t="shared" si="5"/>
        <v>0</v>
      </c>
      <c r="I151" s="121"/>
      <c r="J151" s="76">
        <f>SUMIF(APU!$E$18:$E$108,$E151,APU!$AK$18:$AK$108)*1000*(G151="Total")/$J$13</f>
        <v>5.3691258253635195E-3</v>
      </c>
    </row>
    <row r="152" spans="3:10" x14ac:dyDescent="0.15">
      <c r="H152" s="76"/>
      <c r="I152" s="121"/>
      <c r="J152" s="76"/>
    </row>
    <row r="153" spans="3:10" x14ac:dyDescent="0.15">
      <c r="C153" s="116">
        <f>+MAX($C$1:$C152)+1</f>
        <v>10</v>
      </c>
      <c r="E153" s="41" t="s">
        <v>346</v>
      </c>
      <c r="F153" s="44"/>
      <c r="G153" s="44"/>
      <c r="H153" s="44"/>
      <c r="I153" s="44"/>
      <c r="J153" s="44"/>
    </row>
    <row r="154" spans="3:10" x14ac:dyDescent="0.15">
      <c r="E154" s="3" t="s">
        <v>53</v>
      </c>
      <c r="F154" s="3" t="s">
        <v>54</v>
      </c>
      <c r="G154" s="75" t="s">
        <v>2</v>
      </c>
      <c r="H154" s="76">
        <f t="shared" ref="H154:H168" si="6">I154/$I$15*$H$15</f>
        <v>0</v>
      </c>
      <c r="I154" s="121"/>
      <c r="J154" s="76">
        <f>SUMIF(APU!$E$18:$E$108,$E154,APU!$AK$18:$AK$108)*1000*(G154="Total")/$J$13</f>
        <v>18.27487798179077</v>
      </c>
    </row>
    <row r="155" spans="3:10" x14ac:dyDescent="0.15">
      <c r="E155" s="3" t="s">
        <v>53</v>
      </c>
      <c r="F155" s="3" t="s">
        <v>54</v>
      </c>
      <c r="G155" s="75" t="s">
        <v>244</v>
      </c>
      <c r="H155" s="76">
        <f t="shared" si="6"/>
        <v>6.1304508580094508</v>
      </c>
      <c r="I155" s="121">
        <v>9.1343746560000003</v>
      </c>
      <c r="J155" s="76">
        <f>SUMIF(APU!$E$18:$E$108,$E155,APU!$AK$18:$AK$108)*1000*(G155="Total")/$J$13</f>
        <v>0</v>
      </c>
    </row>
    <row r="156" spans="3:10" x14ac:dyDescent="0.15">
      <c r="E156" s="3" t="s">
        <v>53</v>
      </c>
      <c r="F156" s="3" t="s">
        <v>54</v>
      </c>
      <c r="G156" s="75" t="s">
        <v>246</v>
      </c>
      <c r="H156" s="76">
        <f t="shared" si="6"/>
        <v>5.7164984441199822</v>
      </c>
      <c r="I156" s="121">
        <v>8.5175853650000004</v>
      </c>
      <c r="J156" s="76">
        <f>SUMIF(APU!$E$18:$E$108,$E156,APU!$AK$18:$AK$108)*1000*(G156="Total")/$J$13</f>
        <v>0</v>
      </c>
    </row>
    <row r="157" spans="3:10" x14ac:dyDescent="0.15">
      <c r="E157" s="3" t="s">
        <v>53</v>
      </c>
      <c r="F157" s="3" t="s">
        <v>54</v>
      </c>
      <c r="G157" s="75" t="s">
        <v>336</v>
      </c>
      <c r="H157" s="76">
        <f t="shared" si="6"/>
        <v>3.8233994398245201</v>
      </c>
      <c r="I157" s="121">
        <v>5.6968669600000004</v>
      </c>
      <c r="J157" s="76">
        <f>SUMIF(APU!$E$18:$E$108,$E157,APU!$AK$18:$AK$108)*1000*(G157="Total")/$J$13</f>
        <v>0</v>
      </c>
    </row>
    <row r="158" spans="3:10" x14ac:dyDescent="0.15">
      <c r="E158" s="3" t="s">
        <v>53</v>
      </c>
      <c r="F158" s="3" t="s">
        <v>54</v>
      </c>
      <c r="G158" s="75" t="s">
        <v>225</v>
      </c>
      <c r="H158" s="76">
        <f t="shared" si="6"/>
        <v>1.1237494325667308</v>
      </c>
      <c r="I158" s="121">
        <v>1.674387182</v>
      </c>
      <c r="J158" s="76">
        <f>SUMIF(APU!$E$18:$E$108,$E158,APU!$AK$18:$AK$108)*1000*(G158="Total")/$J$13</f>
        <v>0</v>
      </c>
    </row>
    <row r="159" spans="3:10" x14ac:dyDescent="0.15">
      <c r="E159" s="3" t="s">
        <v>69</v>
      </c>
      <c r="F159" s="3" t="s">
        <v>70</v>
      </c>
      <c r="G159" s="75" t="s">
        <v>2</v>
      </c>
      <c r="H159" s="76">
        <f t="shared" si="6"/>
        <v>0</v>
      </c>
      <c r="I159" s="121"/>
      <c r="J159" s="76">
        <f>SUMIF(APU!$E$18:$E$108,$E159,APU!$AK$18:$AK$108)*1000*(G159="Total")/$J$13</f>
        <v>8.6566114883828487</v>
      </c>
    </row>
    <row r="160" spans="3:10" x14ac:dyDescent="0.15">
      <c r="E160" s="3" t="s">
        <v>71</v>
      </c>
      <c r="F160" s="3" t="s">
        <v>72</v>
      </c>
      <c r="G160" s="75" t="s">
        <v>2</v>
      </c>
      <c r="H160" s="76">
        <f t="shared" si="6"/>
        <v>0</v>
      </c>
      <c r="I160" s="121"/>
      <c r="J160" s="76">
        <f>SUMIF(APU!$E$18:$E$108,$E160,APU!$AK$18:$AK$108)*1000*(G160="Total")/$J$13</f>
        <v>3.4869619547161217</v>
      </c>
    </row>
    <row r="161" spans="3:10" x14ac:dyDescent="0.15">
      <c r="E161" s="3" t="s">
        <v>73</v>
      </c>
      <c r="F161" s="3" t="s">
        <v>74</v>
      </c>
      <c r="G161" s="75" t="s">
        <v>2</v>
      </c>
      <c r="H161" s="76">
        <f t="shared" si="6"/>
        <v>0</v>
      </c>
      <c r="I161" s="121"/>
      <c r="J161" s="76">
        <f>SUMIF(APU!$E$18:$E$108,$E161,APU!$AK$18:$AK$108)*1000*(G161="Total")/$J$13</f>
        <v>1.3024525052748828</v>
      </c>
    </row>
    <row r="162" spans="3:10" x14ac:dyDescent="0.15">
      <c r="E162" s="3" t="s">
        <v>75</v>
      </c>
      <c r="F162" s="3" t="s">
        <v>76</v>
      </c>
      <c r="G162" s="75" t="s">
        <v>2</v>
      </c>
      <c r="H162" s="76">
        <f t="shared" si="6"/>
        <v>0</v>
      </c>
      <c r="I162" s="121"/>
      <c r="J162" s="76">
        <f>SUMIF(APU!$E$18:$E$108,$E162,APU!$AK$18:$AK$108)*1000*(G162="Total")/$J$13</f>
        <v>1.3678072669331738</v>
      </c>
    </row>
    <row r="163" spans="3:10" x14ac:dyDescent="0.15">
      <c r="E163" s="3" t="s">
        <v>75</v>
      </c>
      <c r="F163" s="3" t="s">
        <v>76</v>
      </c>
      <c r="G163" s="75" t="s">
        <v>251</v>
      </c>
      <c r="H163" s="76">
        <f t="shared" si="6"/>
        <v>0.16987990420150964</v>
      </c>
      <c r="I163" s="121">
        <v>0.253121137</v>
      </c>
      <c r="J163" s="76">
        <f>SUMIF(APU!$E$18:$E$108,$E163,APU!$AK$18:$AK$108)*1000*(G163="Total")/$J$13</f>
        <v>0</v>
      </c>
    </row>
    <row r="164" spans="3:10" x14ac:dyDescent="0.15">
      <c r="E164" s="3" t="s">
        <v>75</v>
      </c>
      <c r="F164" s="3" t="s">
        <v>76</v>
      </c>
      <c r="G164" s="75" t="s">
        <v>252</v>
      </c>
      <c r="H164" s="76">
        <f t="shared" si="6"/>
        <v>0.1322006664070251</v>
      </c>
      <c r="I164" s="121">
        <v>0.19697905500000001</v>
      </c>
      <c r="J164" s="76">
        <f>SUMIF(APU!$E$18:$E$108,$E164,APU!$AK$18:$AK$108)*1000*(G164="Total")/$J$13</f>
        <v>0</v>
      </c>
    </row>
    <row r="165" spans="3:10" x14ac:dyDescent="0.15">
      <c r="E165" s="3" t="s">
        <v>77</v>
      </c>
      <c r="F165" s="3" t="s">
        <v>78</v>
      </c>
      <c r="G165" s="75" t="s">
        <v>2</v>
      </c>
      <c r="H165" s="76">
        <f t="shared" si="6"/>
        <v>0</v>
      </c>
      <c r="I165" s="121"/>
      <c r="J165" s="76">
        <f>SUMIF(APU!$E$18:$E$108,$E165,APU!$AK$18:$AK$108)*1000*(G165="Total")/$J$13</f>
        <v>9.2663876966515707E-2</v>
      </c>
    </row>
    <row r="166" spans="3:10" x14ac:dyDescent="0.15">
      <c r="E166" s="3" t="s">
        <v>79</v>
      </c>
      <c r="F166" s="3" t="s">
        <v>80</v>
      </c>
      <c r="G166" s="75" t="s">
        <v>2</v>
      </c>
      <c r="H166" s="76">
        <f t="shared" si="6"/>
        <v>0</v>
      </c>
      <c r="I166" s="121"/>
      <c r="J166" s="76">
        <f>SUMIF(APU!$E$18:$E$108,$E166,APU!$AK$18:$AK$108)*1000*(G166="Total")/$J$13</f>
        <v>1.3303741817767079</v>
      </c>
    </row>
    <row r="167" spans="3:10" x14ac:dyDescent="0.15">
      <c r="E167" s="3" t="s">
        <v>79</v>
      </c>
      <c r="F167" s="3" t="s">
        <v>80</v>
      </c>
      <c r="G167" s="75" t="s">
        <v>247</v>
      </c>
      <c r="H167" s="76">
        <f t="shared" si="6"/>
        <v>0.73819073993383921</v>
      </c>
      <c r="I167" s="121">
        <v>1.0999045489999999</v>
      </c>
      <c r="J167" s="76">
        <f>SUMIF(APU!$E$18:$E$108,$E167,APU!$AK$18:$AK$108)*1000*(G167="Total")/$J$13</f>
        <v>0</v>
      </c>
    </row>
    <row r="168" spans="3:10" x14ac:dyDescent="0.15">
      <c r="E168" s="3" t="s">
        <v>79</v>
      </c>
      <c r="F168" s="3" t="s">
        <v>80</v>
      </c>
      <c r="G168" s="75" t="s">
        <v>249</v>
      </c>
      <c r="H168" s="76">
        <f t="shared" si="6"/>
        <v>0.32027115078406665</v>
      </c>
      <c r="I168" s="121">
        <v>0.47720416499999996</v>
      </c>
      <c r="J168" s="76">
        <f>SUMIF(APU!$E$18:$E$108,$E168,APU!$AK$18:$AK$108)*1000*(G168="Total")/$J$13</f>
        <v>0</v>
      </c>
    </row>
    <row r="169" spans="3:10" x14ac:dyDescent="0.15">
      <c r="H169" s="76"/>
      <c r="I169" s="121"/>
      <c r="J169" s="76"/>
    </row>
    <row r="170" spans="3:10" x14ac:dyDescent="0.15">
      <c r="C170" s="116">
        <f>+MAX($C$1:$C169)+1</f>
        <v>11</v>
      </c>
      <c r="E170" s="41" t="s">
        <v>345</v>
      </c>
      <c r="F170" s="44"/>
      <c r="G170" s="44"/>
      <c r="H170" s="44"/>
      <c r="I170" s="44"/>
      <c r="J170" s="44"/>
    </row>
    <row r="171" spans="3:10" x14ac:dyDescent="0.15">
      <c r="E171" s="3" t="s">
        <v>111</v>
      </c>
      <c r="F171" s="3" t="s">
        <v>112</v>
      </c>
      <c r="G171" s="75" t="s">
        <v>2</v>
      </c>
      <c r="H171" s="76">
        <f t="shared" ref="H171:H180" si="7">I171/$I$15*$H$15</f>
        <v>0</v>
      </c>
      <c r="I171" s="121"/>
      <c r="J171" s="76">
        <f>SUMIF(APU!$E$18:$E$108,$E171,APU!$AK$18:$AK$108)*1000*(G171="Total")/$J$13</f>
        <v>10.183775910242627</v>
      </c>
    </row>
    <row r="172" spans="3:10" x14ac:dyDescent="0.15">
      <c r="E172" s="3" t="s">
        <v>111</v>
      </c>
      <c r="F172" s="3" t="s">
        <v>112</v>
      </c>
      <c r="G172" s="75" t="s">
        <v>291</v>
      </c>
      <c r="H172" s="76">
        <f t="shared" si="7"/>
        <v>1.1180064283356588</v>
      </c>
      <c r="I172" s="121">
        <v>1.665830103</v>
      </c>
      <c r="J172" s="76">
        <f>SUMIF(APU!$E$18:$E$108,$E172,APU!$AK$18:$AK$108)*1000*(G172="Total")/$J$13</f>
        <v>0</v>
      </c>
    </row>
    <row r="173" spans="3:10" x14ac:dyDescent="0.15">
      <c r="E173" s="3" t="s">
        <v>113</v>
      </c>
      <c r="F173" s="3" t="s">
        <v>114</v>
      </c>
      <c r="G173" s="75" t="s">
        <v>2</v>
      </c>
      <c r="H173" s="76">
        <f t="shared" si="7"/>
        <v>0</v>
      </c>
      <c r="I173" s="121"/>
      <c r="J173" s="76">
        <f>SUMIF(APU!$E$18:$E$108,$E173,APU!$AK$18:$AK$108)*1000*(G173="Total")/$J$13</f>
        <v>11.250789352731285</v>
      </c>
    </row>
    <row r="174" spans="3:10" x14ac:dyDescent="0.15">
      <c r="E174" s="3" t="s">
        <v>113</v>
      </c>
      <c r="F174" s="3" t="s">
        <v>114</v>
      </c>
      <c r="G174" s="75" t="s">
        <v>274</v>
      </c>
      <c r="H174" s="76">
        <f t="shared" si="7"/>
        <v>2.3586244220723143</v>
      </c>
      <c r="I174" s="121">
        <v>3.5143514959999997</v>
      </c>
      <c r="J174" s="76">
        <f>SUMIF(APU!$E$18:$E$108,$E174,APU!$AK$18:$AK$108)*1000*(G174="Total")/$J$13</f>
        <v>0</v>
      </c>
    </row>
    <row r="175" spans="3:10" x14ac:dyDescent="0.15">
      <c r="E175" s="3" t="s">
        <v>113</v>
      </c>
      <c r="F175" s="3" t="s">
        <v>114</v>
      </c>
      <c r="G175" s="75" t="s">
        <v>292</v>
      </c>
      <c r="H175" s="76">
        <f t="shared" si="7"/>
        <v>0.46177857331962296</v>
      </c>
      <c r="I175" s="121">
        <v>0.68805029099999993</v>
      </c>
      <c r="J175" s="76">
        <f>SUMIF(APU!$E$18:$E$108,$E175,APU!$AK$18:$AK$108)*1000*(G175="Total")/$J$13</f>
        <v>0</v>
      </c>
    </row>
    <row r="176" spans="3:10" x14ac:dyDescent="0.15">
      <c r="E176" s="3" t="s">
        <v>115</v>
      </c>
      <c r="F176" s="3" t="s">
        <v>116</v>
      </c>
      <c r="G176" s="75" t="s">
        <v>2</v>
      </c>
      <c r="H176" s="76">
        <f t="shared" si="7"/>
        <v>0</v>
      </c>
      <c r="I176" s="121"/>
      <c r="J176" s="76">
        <f>SUMIF(APU!$E$18:$E$108,$E176,APU!$AK$18:$AK$108)*1000*(G176="Total")/$J$13</f>
        <v>2.4866027246231801</v>
      </c>
    </row>
    <row r="177" spans="3:10" x14ac:dyDescent="0.15">
      <c r="E177" s="3" t="s">
        <v>115</v>
      </c>
      <c r="F177" s="3" t="s">
        <v>116</v>
      </c>
      <c r="G177" s="75" t="s">
        <v>271</v>
      </c>
      <c r="H177" s="76">
        <f t="shared" si="7"/>
        <v>2.4731544880057723</v>
      </c>
      <c r="I177" s="121">
        <v>3.6850013480000001</v>
      </c>
      <c r="J177" s="76">
        <f>SUMIF(APU!$E$18:$E$108,$E177,APU!$AK$18:$AK$108)*1000*(G177="Total")/$J$13</f>
        <v>0</v>
      </c>
    </row>
    <row r="178" spans="3:10" x14ac:dyDescent="0.15">
      <c r="E178" s="3" t="s">
        <v>117</v>
      </c>
      <c r="F178" s="3" t="s">
        <v>118</v>
      </c>
      <c r="G178" s="75" t="s">
        <v>2</v>
      </c>
      <c r="H178" s="76">
        <f t="shared" si="7"/>
        <v>0</v>
      </c>
      <c r="I178" s="121"/>
      <c r="J178" s="76">
        <f>SUMIF(APU!$E$18:$E$108,$E178,APU!$AK$18:$AK$108)*1000*(G178="Total")/$J$13</f>
        <v>0.34781192785841286</v>
      </c>
    </row>
    <row r="179" spans="3:10" x14ac:dyDescent="0.15">
      <c r="E179" s="3" t="s">
        <v>119</v>
      </c>
      <c r="F179" s="3" t="s">
        <v>120</v>
      </c>
      <c r="G179" s="75" t="s">
        <v>2</v>
      </c>
      <c r="H179" s="76">
        <f t="shared" si="7"/>
        <v>0</v>
      </c>
      <c r="I179" s="121"/>
      <c r="J179" s="76">
        <f>SUMIF(APU!$E$18:$E$108,$E179,APU!$AK$18:$AK$108)*1000*(G179="Total")/$J$13</f>
        <v>0</v>
      </c>
    </row>
    <row r="180" spans="3:10" x14ac:dyDescent="0.15">
      <c r="E180" s="3" t="s">
        <v>121</v>
      </c>
      <c r="F180" s="3" t="s">
        <v>122</v>
      </c>
      <c r="G180" s="75" t="s">
        <v>2</v>
      </c>
      <c r="H180" s="76">
        <f t="shared" si="7"/>
        <v>0</v>
      </c>
      <c r="I180" s="121"/>
      <c r="J180" s="76">
        <f>SUMIF(APU!$E$18:$E$108,$E180,APU!$AK$18:$AK$108)*1000*(G180="Total")/$J$13</f>
        <v>3.2975813075559267E-2</v>
      </c>
    </row>
    <row r="181" spans="3:10" x14ac:dyDescent="0.15">
      <c r="H181" s="76"/>
      <c r="I181" s="121"/>
      <c r="J181" s="76"/>
    </row>
    <row r="182" spans="3:10" x14ac:dyDescent="0.15">
      <c r="C182" s="116">
        <f>+MAX($C$1:$C181)+1</f>
        <v>12</v>
      </c>
      <c r="E182" s="41" t="s">
        <v>22</v>
      </c>
      <c r="F182" s="44"/>
      <c r="G182" s="44"/>
      <c r="H182" s="44"/>
      <c r="I182" s="44"/>
      <c r="J182" s="44"/>
    </row>
    <row r="183" spans="3:10" x14ac:dyDescent="0.15">
      <c r="E183" s="3" t="s">
        <v>23</v>
      </c>
      <c r="F183" s="3" t="s">
        <v>24</v>
      </c>
      <c r="G183" s="75" t="s">
        <v>2</v>
      </c>
      <c r="H183" s="76">
        <f t="shared" ref="H183:H192" si="8">I183/$I$15*$H$15</f>
        <v>0</v>
      </c>
      <c r="I183" s="121"/>
      <c r="J183" s="76">
        <f>SUMIF(APU!$E$18:$E$108,$E183,APU!$AK$18:$AK$108)*1000*(G183="Total")/$J$13</f>
        <v>32.236447041991838</v>
      </c>
    </row>
    <row r="184" spans="3:10" x14ac:dyDescent="0.15">
      <c r="E184" s="3" t="s">
        <v>23</v>
      </c>
      <c r="F184" s="3" t="s">
        <v>24</v>
      </c>
      <c r="G184" s="75" t="s">
        <v>312</v>
      </c>
      <c r="H184" s="76">
        <f t="shared" si="8"/>
        <v>15.119116033056329</v>
      </c>
      <c r="I184" s="121">
        <v>22.527489985999999</v>
      </c>
      <c r="J184" s="76">
        <f>SUMIF(APU!$E$18:$E$108,$E184,APU!$AK$18:$AK$108)*1000*(G184="Total")/$J$13</f>
        <v>0</v>
      </c>
    </row>
    <row r="185" spans="3:10" x14ac:dyDescent="0.15">
      <c r="E185" s="3" t="s">
        <v>23</v>
      </c>
      <c r="F185" s="3" t="s">
        <v>24</v>
      </c>
      <c r="G185" s="75" t="s">
        <v>313</v>
      </c>
      <c r="H185" s="76">
        <f t="shared" si="8"/>
        <v>9.8697312411121949</v>
      </c>
      <c r="I185" s="121">
        <v>14.705904181999999</v>
      </c>
      <c r="J185" s="76">
        <f>SUMIF(APU!$E$18:$E$108,$E185,APU!$AK$18:$AK$108)*1000*(G185="Total")/$J$13</f>
        <v>0</v>
      </c>
    </row>
    <row r="186" spans="3:10" x14ac:dyDescent="0.15">
      <c r="E186" s="3" t="s">
        <v>23</v>
      </c>
      <c r="F186" s="3" t="s">
        <v>24</v>
      </c>
      <c r="G186" s="75" t="s">
        <v>314</v>
      </c>
      <c r="H186" s="76">
        <f t="shared" si="8"/>
        <v>7.2475997678233046</v>
      </c>
      <c r="I186" s="121">
        <v>10.798927056</v>
      </c>
      <c r="J186" s="76">
        <f>SUMIF(APU!$E$18:$E$108,$E186,APU!$AK$18:$AK$108)*1000*(G186="Total")/$J$13</f>
        <v>0</v>
      </c>
    </row>
    <row r="187" spans="3:10" x14ac:dyDescent="0.15">
      <c r="E187" s="3" t="s">
        <v>25</v>
      </c>
      <c r="F187" s="3" t="s">
        <v>26</v>
      </c>
      <c r="G187" s="75" t="s">
        <v>2</v>
      </c>
      <c r="H187" s="76">
        <f t="shared" si="8"/>
        <v>0</v>
      </c>
      <c r="I187" s="121"/>
      <c r="J187" s="76">
        <f>SUMIF(APU!$E$18:$E$108,$E187,APU!$AK$18:$AK$108)*1000*(G187="Total")/$J$13</f>
        <v>0</v>
      </c>
    </row>
    <row r="188" spans="3:10" x14ac:dyDescent="0.15">
      <c r="E188" s="3" t="s">
        <v>27</v>
      </c>
      <c r="F188" s="3" t="s">
        <v>28</v>
      </c>
      <c r="G188" s="75" t="s">
        <v>2</v>
      </c>
      <c r="H188" s="76">
        <f t="shared" si="8"/>
        <v>0</v>
      </c>
      <c r="I188" s="121"/>
      <c r="J188" s="76">
        <f>SUMIF(APU!$E$18:$E$108,$E188,APU!$AK$18:$AK$108)*1000*(G188="Total")/$J$13</f>
        <v>0</v>
      </c>
    </row>
    <row r="189" spans="3:10" x14ac:dyDescent="0.15">
      <c r="E189" s="3" t="s">
        <v>29</v>
      </c>
      <c r="F189" s="3" t="s">
        <v>30</v>
      </c>
      <c r="G189" s="75" t="s">
        <v>2</v>
      </c>
      <c r="H189" s="76">
        <f t="shared" si="8"/>
        <v>0</v>
      </c>
      <c r="I189" s="121"/>
      <c r="J189" s="76">
        <f>SUMIF(APU!$E$18:$E$108,$E189,APU!$AK$18:$AK$108)*1000*(G189="Total")/$J$13</f>
        <v>0</v>
      </c>
    </row>
    <row r="190" spans="3:10" x14ac:dyDescent="0.15">
      <c r="E190" s="3" t="s">
        <v>31</v>
      </c>
      <c r="F190" s="3" t="s">
        <v>32</v>
      </c>
      <c r="G190" s="75" t="s">
        <v>2</v>
      </c>
      <c r="H190" s="76">
        <f t="shared" si="8"/>
        <v>0</v>
      </c>
      <c r="I190" s="121"/>
      <c r="J190" s="76">
        <f>SUMIF(APU!$E$18:$E$108,$E190,APU!$AK$18:$AK$108)*1000*(G190="Total")/$J$13</f>
        <v>2.6144907011992919</v>
      </c>
    </row>
    <row r="191" spans="3:10" x14ac:dyDescent="0.15">
      <c r="E191" s="3" t="s">
        <v>31</v>
      </c>
      <c r="F191" s="3" t="s">
        <v>32</v>
      </c>
      <c r="G191" s="75" t="s">
        <v>286</v>
      </c>
      <c r="H191" s="76">
        <f t="shared" si="8"/>
        <v>1.3873532018736452</v>
      </c>
      <c r="I191" s="121">
        <v>2.0671569220000001</v>
      </c>
      <c r="J191" s="76">
        <f>SUMIF(APU!$E$18:$E$108,$E191,APU!$AK$18:$AK$108)*1000*(G191="Total")/$J$13</f>
        <v>0</v>
      </c>
    </row>
    <row r="192" spans="3:10" x14ac:dyDescent="0.15">
      <c r="E192" s="3" t="s">
        <v>31</v>
      </c>
      <c r="F192" s="3" t="s">
        <v>32</v>
      </c>
      <c r="G192" s="75" t="s">
        <v>315</v>
      </c>
      <c r="H192" s="76">
        <f t="shared" si="8"/>
        <v>1.2271374993256456</v>
      </c>
      <c r="I192" s="121">
        <v>1.82843545</v>
      </c>
      <c r="J192" s="76">
        <f>SUMIF(APU!$E$18:$E$108,$E192,APU!$AK$18:$AK$108)*1000*(G192="Total")/$J$13</f>
        <v>0</v>
      </c>
    </row>
    <row r="193" spans="3:10" x14ac:dyDescent="0.15">
      <c r="H193" s="76"/>
      <c r="I193" s="121"/>
      <c r="J193" s="76"/>
    </row>
    <row r="194" spans="3:10" x14ac:dyDescent="0.15">
      <c r="C194" s="116">
        <f>+MAX($C$1:$C193)+1</f>
        <v>13</v>
      </c>
      <c r="E194" s="41" t="s">
        <v>194</v>
      </c>
      <c r="F194" s="44"/>
      <c r="G194" s="44"/>
      <c r="H194" s="44"/>
      <c r="I194" s="44"/>
      <c r="J194" s="44"/>
    </row>
    <row r="195" spans="3:10" x14ac:dyDescent="0.15">
      <c r="E195" s="3" t="s">
        <v>35</v>
      </c>
      <c r="F195" s="3" t="s">
        <v>36</v>
      </c>
      <c r="G195" s="75" t="s">
        <v>2</v>
      </c>
      <c r="H195" s="76">
        <f t="shared" ref="H195:H204" si="9">I195/$I$15*$H$15</f>
        <v>0</v>
      </c>
      <c r="I195" s="121"/>
      <c r="J195" s="76">
        <f>SUMIF(APU!$E$18:$E$108,$E195,APU!$AK$18:$AK$108)*1000*(G195="Total")/$J$13</f>
        <v>15.68329185166434</v>
      </c>
    </row>
    <row r="196" spans="3:10" x14ac:dyDescent="0.15">
      <c r="E196" s="3" t="s">
        <v>35</v>
      </c>
      <c r="F196" s="3" t="s">
        <v>36</v>
      </c>
      <c r="G196" s="75" t="s">
        <v>322</v>
      </c>
      <c r="H196" s="76">
        <f t="shared" si="9"/>
        <v>7.8365232185386304</v>
      </c>
      <c r="I196" s="121">
        <v>11.676423273999999</v>
      </c>
      <c r="J196" s="76">
        <f>SUMIF(APU!$E$18:$E$108,$E196,APU!$AK$18:$AK$108)*1000*(G196="Total")/$J$13</f>
        <v>0</v>
      </c>
    </row>
    <row r="197" spans="3:10" x14ac:dyDescent="0.15">
      <c r="E197" s="3" t="s">
        <v>35</v>
      </c>
      <c r="F197" s="3" t="s">
        <v>36</v>
      </c>
      <c r="G197" s="75" t="s">
        <v>323</v>
      </c>
      <c r="H197" s="76">
        <f t="shared" si="9"/>
        <v>6.2727722816308571</v>
      </c>
      <c r="I197" s="121">
        <v>9.3464336439999993</v>
      </c>
      <c r="J197" s="76">
        <f>SUMIF(APU!$E$18:$E$108,$E197,APU!$AK$18:$AK$108)*1000*(G197="Total")/$J$13</f>
        <v>0</v>
      </c>
    </row>
    <row r="198" spans="3:10" x14ac:dyDescent="0.15">
      <c r="E198" s="3" t="s">
        <v>37</v>
      </c>
      <c r="F198" s="3" t="s">
        <v>38</v>
      </c>
      <c r="G198" s="75" t="s">
        <v>2</v>
      </c>
      <c r="H198" s="76">
        <f t="shared" si="9"/>
        <v>0</v>
      </c>
      <c r="I198" s="121"/>
      <c r="J198" s="76">
        <f>SUMIF(APU!$E$18:$E$108,$E198,APU!$AK$18:$AK$108)*1000*(G198="Total")/$J$13</f>
        <v>4.709739111543688</v>
      </c>
    </row>
    <row r="199" spans="3:10" x14ac:dyDescent="0.15">
      <c r="E199" s="3" t="s">
        <v>37</v>
      </c>
      <c r="F199" s="3" t="s">
        <v>38</v>
      </c>
      <c r="G199" s="75" t="s">
        <v>324</v>
      </c>
      <c r="H199" s="76">
        <f t="shared" si="9"/>
        <v>0.38990759864542274</v>
      </c>
      <c r="I199" s="121">
        <v>0.58096250500000002</v>
      </c>
      <c r="J199" s="76">
        <f>SUMIF(APU!$E$18:$E$108,$E199,APU!$AK$18:$AK$108)*1000*(G199="Total")/$J$13</f>
        <v>0</v>
      </c>
    </row>
    <row r="200" spans="3:10" x14ac:dyDescent="0.15">
      <c r="E200" s="3" t="s">
        <v>43</v>
      </c>
      <c r="F200" s="3" t="s">
        <v>44</v>
      </c>
      <c r="G200" s="75" t="s">
        <v>2</v>
      </c>
      <c r="H200" s="76">
        <f t="shared" si="9"/>
        <v>0</v>
      </c>
      <c r="I200" s="121"/>
      <c r="J200" s="76">
        <f>SUMIF(APU!$E$18:$E$108,$E200,APU!$AK$18:$AK$108)*1000*(G200="Total")/$J$13</f>
        <v>0</v>
      </c>
    </row>
    <row r="201" spans="3:10" x14ac:dyDescent="0.15">
      <c r="E201" s="3" t="s">
        <v>45</v>
      </c>
      <c r="F201" s="3" t="s">
        <v>46</v>
      </c>
      <c r="G201" s="75" t="s">
        <v>2</v>
      </c>
      <c r="H201" s="76">
        <f t="shared" si="9"/>
        <v>0</v>
      </c>
      <c r="I201" s="121"/>
      <c r="J201" s="76">
        <f>SUMIF(APU!$E$18:$E$108,$E201,APU!$AK$18:$AK$108)*1000*(G201="Total")/$J$13</f>
        <v>2.3681224130283911</v>
      </c>
    </row>
    <row r="202" spans="3:10" x14ac:dyDescent="0.15">
      <c r="E202" s="3" t="s">
        <v>45</v>
      </c>
      <c r="F202" s="3" t="s">
        <v>46</v>
      </c>
      <c r="G202" s="75" t="s">
        <v>289</v>
      </c>
      <c r="H202" s="76">
        <f t="shared" si="9"/>
        <v>1.3004374634825628</v>
      </c>
      <c r="I202" s="121">
        <v>1.9376524310000001</v>
      </c>
      <c r="J202" s="76">
        <f>SUMIF(APU!$E$18:$E$108,$E202,APU!$AK$18:$AK$108)*1000*(G202="Total")/$J$13</f>
        <v>0</v>
      </c>
    </row>
    <row r="203" spans="3:10" x14ac:dyDescent="0.15">
      <c r="E203" s="3" t="s">
        <v>45</v>
      </c>
      <c r="F203" s="3" t="s">
        <v>46</v>
      </c>
      <c r="G203" s="75" t="s">
        <v>290</v>
      </c>
      <c r="H203" s="76">
        <f t="shared" si="9"/>
        <v>1.0302918230821467</v>
      </c>
      <c r="I203" s="121">
        <v>1.5351353000000001</v>
      </c>
      <c r="J203" s="76">
        <f>SUMIF(APU!$E$18:$E$108,$E203,APU!$AK$18:$AK$108)*1000*(G203="Total")/$J$13</f>
        <v>0</v>
      </c>
    </row>
    <row r="204" spans="3:10" x14ac:dyDescent="0.15">
      <c r="E204" s="3" t="s">
        <v>45</v>
      </c>
      <c r="F204" s="3" t="s">
        <v>46</v>
      </c>
      <c r="G204" s="75" t="s">
        <v>325</v>
      </c>
      <c r="H204" s="76">
        <f t="shared" si="9"/>
        <v>3.7024681624847927E-2</v>
      </c>
      <c r="I204" s="121">
        <v>5.5166793000000006E-2</v>
      </c>
      <c r="J204" s="76">
        <f>SUMIF(APU!$E$18:$E$108,$E204,APU!$AK$18:$AK$108)*1000*(G204="Total")/$J$13</f>
        <v>0</v>
      </c>
    </row>
    <row r="205" spans="3:10" x14ac:dyDescent="0.15">
      <c r="H205" s="76"/>
      <c r="I205" s="121"/>
      <c r="J205" s="76"/>
    </row>
    <row r="206" spans="3:10" x14ac:dyDescent="0.15">
      <c r="C206" s="116">
        <f>+MAX($C$1:$C205)+1</f>
        <v>14</v>
      </c>
      <c r="E206" s="41" t="s">
        <v>195</v>
      </c>
      <c r="F206" s="44"/>
      <c r="G206" s="44"/>
      <c r="H206" s="44"/>
      <c r="I206" s="44"/>
      <c r="J206" s="44"/>
    </row>
    <row r="207" spans="3:10" x14ac:dyDescent="0.15">
      <c r="E207" s="3" t="s">
        <v>39</v>
      </c>
      <c r="F207" s="3" t="s">
        <v>40</v>
      </c>
      <c r="G207" s="75" t="s">
        <v>2</v>
      </c>
      <c r="H207" s="76">
        <f t="shared" ref="H207:H214" si="10">I207/$I$15*$H$15</f>
        <v>0</v>
      </c>
      <c r="I207" s="121"/>
      <c r="J207" s="76">
        <f>SUMIF(APU!$E$18:$E$108,$E207,APU!$AK$18:$AK$108)*1000*(G207="Total")/$J$13</f>
        <v>4.1963334324374335</v>
      </c>
    </row>
    <row r="208" spans="3:10" x14ac:dyDescent="0.15">
      <c r="E208" s="3" t="s">
        <v>39</v>
      </c>
      <c r="F208" s="3" t="s">
        <v>40</v>
      </c>
      <c r="G208" s="75" t="s">
        <v>263</v>
      </c>
      <c r="H208" s="76">
        <f t="shared" si="10"/>
        <v>2.5982720814763653</v>
      </c>
      <c r="I208" s="121">
        <v>3.8714266209999999</v>
      </c>
      <c r="J208" s="76">
        <f>SUMIF(APU!$E$18:$E$108,$E208,APU!$AK$18:$AK$108)*1000*(G208="Total")/$J$13</f>
        <v>0</v>
      </c>
    </row>
    <row r="209" spans="3:10" x14ac:dyDescent="0.15">
      <c r="E209" s="3" t="s">
        <v>39</v>
      </c>
      <c r="F209" s="3" t="s">
        <v>40</v>
      </c>
      <c r="G209" s="75" t="s">
        <v>264</v>
      </c>
      <c r="H209" s="76">
        <f t="shared" si="10"/>
        <v>0.68721001706792528</v>
      </c>
      <c r="I209" s="121">
        <v>1.0239432479999999</v>
      </c>
      <c r="J209" s="76">
        <f>SUMIF(APU!$E$18:$E$108,$E209,APU!$AK$18:$AK$108)*1000*(G209="Total")/$J$13</f>
        <v>0</v>
      </c>
    </row>
    <row r="210" spans="3:10" x14ac:dyDescent="0.15">
      <c r="E210" s="3" t="s">
        <v>39</v>
      </c>
      <c r="F210" s="3" t="s">
        <v>40</v>
      </c>
      <c r="G210" s="75" t="s">
        <v>266</v>
      </c>
      <c r="H210" s="76">
        <f t="shared" si="10"/>
        <v>0.46426151213474781</v>
      </c>
      <c r="I210" s="121">
        <v>0.69174987099999996</v>
      </c>
      <c r="J210" s="76">
        <f>SUMIF(APU!$E$18:$E$108,$E210,APU!$AK$18:$AK$108)*1000*(G210="Total")/$J$13</f>
        <v>0</v>
      </c>
    </row>
    <row r="211" spans="3:10" x14ac:dyDescent="0.15">
      <c r="E211" s="3" t="s">
        <v>39</v>
      </c>
      <c r="F211" s="3" t="s">
        <v>40</v>
      </c>
      <c r="G211" s="75" t="s">
        <v>265</v>
      </c>
      <c r="H211" s="76">
        <f t="shared" si="10"/>
        <v>0.43325747693538652</v>
      </c>
      <c r="I211" s="121">
        <v>0.64555384400000004</v>
      </c>
      <c r="J211" s="76">
        <f>SUMIF(APU!$E$18:$E$108,$E211,APU!$AK$18:$AK$108)*1000*(G211="Total")/$J$13</f>
        <v>0</v>
      </c>
    </row>
    <row r="212" spans="3:10" x14ac:dyDescent="0.15">
      <c r="E212" s="3" t="s">
        <v>39</v>
      </c>
      <c r="F212" s="3" t="s">
        <v>40</v>
      </c>
      <c r="G212" s="75" t="s">
        <v>267</v>
      </c>
      <c r="H212" s="76">
        <f t="shared" si="10"/>
        <v>3.5685565939321822E-3</v>
      </c>
      <c r="I212" s="121">
        <v>5.317151E-3</v>
      </c>
      <c r="J212" s="76">
        <f>SUMIF(APU!$E$18:$E$108,$E212,APU!$AK$18:$AK$108)*1000*(G212="Total")/$J$13</f>
        <v>0</v>
      </c>
    </row>
    <row r="213" spans="3:10" x14ac:dyDescent="0.15">
      <c r="E213" s="3" t="s">
        <v>41</v>
      </c>
      <c r="F213" s="3" t="s">
        <v>42</v>
      </c>
      <c r="G213" s="75" t="s">
        <v>2</v>
      </c>
      <c r="H213" s="76">
        <f t="shared" si="10"/>
        <v>0</v>
      </c>
      <c r="I213" s="121"/>
      <c r="J213" s="76">
        <f>SUMIF(APU!$E$18:$E$108,$E213,APU!$AK$18:$AK$108)*1000*(G213="Total")/$J$13</f>
        <v>3.1024968286726566</v>
      </c>
    </row>
    <row r="214" spans="3:10" x14ac:dyDescent="0.15">
      <c r="E214" s="3" t="s">
        <v>41</v>
      </c>
      <c r="F214" s="3" t="s">
        <v>42</v>
      </c>
      <c r="G214" s="75" t="s">
        <v>42</v>
      </c>
      <c r="H214" s="76">
        <f t="shared" si="10"/>
        <v>3.1024968286726557</v>
      </c>
      <c r="I214" s="121">
        <v>4.6227217309999995</v>
      </c>
      <c r="J214" s="76">
        <f>SUMIF(APU!$E$18:$E$108,$E214,APU!$AK$18:$AK$108)*1000*(G214="Total")/$J$13</f>
        <v>0</v>
      </c>
    </row>
    <row r="215" spans="3:10" x14ac:dyDescent="0.15">
      <c r="H215" s="76"/>
      <c r="I215" s="121"/>
      <c r="J215" s="76"/>
    </row>
    <row r="216" spans="3:10" x14ac:dyDescent="0.15">
      <c r="C216" s="116">
        <f>+MAX($C$1:$C215)+1</f>
        <v>15</v>
      </c>
      <c r="E216" s="41" t="s">
        <v>196</v>
      </c>
      <c r="F216" s="44"/>
      <c r="G216" s="44"/>
      <c r="H216" s="44"/>
      <c r="I216" s="44"/>
      <c r="J216" s="44"/>
    </row>
    <row r="217" spans="3:10" x14ac:dyDescent="0.15">
      <c r="E217" s="3" t="s">
        <v>17</v>
      </c>
      <c r="F217" s="3" t="s">
        <v>18</v>
      </c>
      <c r="G217" s="75" t="s">
        <v>2</v>
      </c>
      <c r="H217" s="76">
        <f>I217/$I$15*$H$15</f>
        <v>0</v>
      </c>
      <c r="I217" s="121"/>
      <c r="J217" s="76">
        <f>SUMIF(APU!$E$18:$E$108,$E217,APU!$AK$18:$AK$108)*1000*(G217="Total")/$J$13</f>
        <v>39.687797402107321</v>
      </c>
    </row>
    <row r="218" spans="3:10" x14ac:dyDescent="0.15">
      <c r="E218" s="3" t="s">
        <v>17</v>
      </c>
      <c r="F218" s="3" t="s">
        <v>18</v>
      </c>
      <c r="G218" s="75" t="s">
        <v>316</v>
      </c>
      <c r="H218" s="76">
        <f>I218/$I$15*$H$15</f>
        <v>33.160392238173266</v>
      </c>
      <c r="I218" s="121">
        <v>49.409000000000006</v>
      </c>
      <c r="J218" s="76">
        <f>SUMIF(APU!$E$18:$E$108,$E218,APU!$AK$18:$AK$108)*1000*(G218="Total")/$J$13</f>
        <v>0</v>
      </c>
    </row>
    <row r="219" spans="3:10" x14ac:dyDescent="0.15">
      <c r="E219" s="3" t="s">
        <v>17</v>
      </c>
      <c r="F219" s="3" t="s">
        <v>18</v>
      </c>
      <c r="G219" s="75" t="s">
        <v>321</v>
      </c>
      <c r="H219" s="76">
        <f>I219/$I$15*$H$15</f>
        <v>1.2651338296376875</v>
      </c>
      <c r="I219" s="121">
        <v>1.8850499999999999</v>
      </c>
      <c r="J219" s="76">
        <f>SUMIF(APU!$E$18:$E$108,$E219,APU!$AK$18:$AK$108)*1000*(G219="Total")/$J$13</f>
        <v>0</v>
      </c>
    </row>
    <row r="220" spans="3:10" x14ac:dyDescent="0.15">
      <c r="J220" s="76">
        <f>SUMIF(APU!$E$18:$E$108,$E220,APU!$AK$18:$AK$108)*1000*(G220="Total")/$J$13</f>
        <v>0</v>
      </c>
    </row>
    <row r="221" spans="3:10" x14ac:dyDescent="0.15">
      <c r="C221" s="116">
        <f>+MAX($C$1:$C220)+1</f>
        <v>16</v>
      </c>
      <c r="E221" s="41" t="s">
        <v>1</v>
      </c>
      <c r="F221" s="44"/>
      <c r="G221" s="44"/>
      <c r="H221" s="124">
        <f>SUM(H17:H219)</f>
        <v>348.21251926167099</v>
      </c>
      <c r="I221" s="124">
        <f>SUM(I17:I219)</f>
        <v>518.83681714699992</v>
      </c>
      <c r="J221" s="44">
        <f>SUMIF(APU!$E$18:$E$108,$E221,APU!$AK$18:$AK$108)*1000*(G221="Total")/$J$13</f>
        <v>0</v>
      </c>
    </row>
    <row r="222" spans="3:10" x14ac:dyDescent="0.15">
      <c r="E222" s="125" t="s">
        <v>354</v>
      </c>
      <c r="H222" s="126" t="b">
        <f>+H221=H15</f>
        <v>1</v>
      </c>
      <c r="I222" s="126" t="b">
        <f>+I221=I15</f>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B230-3F89-8D44-90D7-7D56EB72662B}">
  <sheetPr codeName="Sheet2">
    <tabColor theme="4" tint="-0.499984740745262"/>
  </sheetPr>
  <dimension ref="A2:BG341"/>
  <sheetViews>
    <sheetView showGridLines="0" tabSelected="1" view="pageBreakPreview" zoomScaleNormal="85" zoomScaleSheetLayoutView="100" workbookViewId="0"/>
  </sheetViews>
  <sheetFormatPr baseColWidth="10" defaultColWidth="10.83203125" defaultRowHeight="15" x14ac:dyDescent="0.2"/>
  <cols>
    <col min="1" max="2" width="2.6640625" style="2" customWidth="1"/>
    <col min="3" max="3" width="2.6640625" style="32" customWidth="1"/>
    <col min="4" max="4" width="2.6640625" style="2" customWidth="1"/>
    <col min="5" max="5" width="24.33203125" style="75" bestFit="1" customWidth="1"/>
    <col min="6" max="6" width="17.83203125" style="75" customWidth="1"/>
    <col min="7" max="7" width="6" style="75" customWidth="1"/>
    <col min="8" max="8" width="11.83203125" style="75" customWidth="1"/>
    <col min="9" max="16" width="11.83203125" style="76" customWidth="1"/>
    <col min="17" max="17" width="2.6640625" style="76" customWidth="1"/>
    <col min="18" max="18" width="11" bestFit="1" customWidth="1"/>
    <col min="19" max="19" width="8" customWidth="1"/>
    <col min="20" max="21" width="11" bestFit="1" customWidth="1"/>
    <col min="22" max="22" width="11.5" bestFit="1" customWidth="1"/>
    <col min="23" max="23" width="10.5" bestFit="1" customWidth="1"/>
    <col min="24" max="24" width="18.33203125" bestFit="1" customWidth="1"/>
    <col min="25" max="25" width="5.83203125" bestFit="1" customWidth="1"/>
    <col min="26" max="33" width="4.33203125" style="75" customWidth="1"/>
    <col min="34" max="40" width="11" style="75" bestFit="1" customWidth="1"/>
    <col min="41" max="16384" width="10.83203125" style="75"/>
  </cols>
  <sheetData>
    <row r="2" spans="3:32" s="2" customFormat="1" ht="25" x14ac:dyDescent="0.25">
      <c r="C2" s="132" t="s">
        <v>390</v>
      </c>
      <c r="E2" s="4"/>
      <c r="G2" s="3"/>
      <c r="K2" s="12"/>
      <c r="L2" s="12"/>
      <c r="M2" s="12"/>
      <c r="N2" s="12"/>
      <c r="O2" s="12"/>
      <c r="P2" s="12"/>
      <c r="Q2" s="12"/>
      <c r="R2" s="12"/>
      <c r="S2" s="12"/>
      <c r="T2" s="12"/>
      <c r="U2" s="12"/>
      <c r="V2" s="12"/>
      <c r="W2" s="12"/>
      <c r="X2" s="12"/>
      <c r="Y2" s="12"/>
      <c r="Z2" s="12"/>
      <c r="AA2" s="12"/>
      <c r="AB2" s="12"/>
      <c r="AC2" s="12"/>
      <c r="AD2" s="12"/>
      <c r="AE2" s="12"/>
      <c r="AF2" s="12"/>
    </row>
    <row r="5" spans="3:32" x14ac:dyDescent="0.2">
      <c r="C5" s="116">
        <v>0</v>
      </c>
      <c r="D5" s="75"/>
      <c r="E5" s="41" t="s">
        <v>392</v>
      </c>
      <c r="F5" s="44"/>
      <c r="G5" s="44"/>
      <c r="H5" s="44"/>
      <c r="I5" s="44"/>
      <c r="J5" s="44"/>
      <c r="K5" s="44"/>
      <c r="L5" s="44"/>
      <c r="M5" s="44"/>
      <c r="N5" s="44"/>
      <c r="O5" s="44"/>
      <c r="P5" s="44"/>
    </row>
    <row r="6" spans="3:32" x14ac:dyDescent="0.2">
      <c r="E6" s="139" t="s">
        <v>433</v>
      </c>
    </row>
    <row r="7" spans="3:32" x14ac:dyDescent="0.2">
      <c r="E7" s="152" t="s">
        <v>454</v>
      </c>
      <c r="F7" s="139"/>
      <c r="G7" s="139"/>
      <c r="H7" s="139"/>
      <c r="I7" s="143"/>
      <c r="J7" s="143"/>
      <c r="K7" s="143"/>
      <c r="L7" s="143"/>
      <c r="M7" s="143"/>
      <c r="N7" s="143"/>
      <c r="O7" s="143"/>
      <c r="P7" s="143"/>
    </row>
    <row r="8" spans="3:32" x14ac:dyDescent="0.2">
      <c r="E8" s="139" t="s">
        <v>434</v>
      </c>
      <c r="F8" s="139"/>
      <c r="G8" s="139"/>
      <c r="H8" s="139"/>
      <c r="I8" s="143"/>
      <c r="J8" s="143"/>
      <c r="K8" s="143"/>
      <c r="L8" s="143"/>
      <c r="M8" s="143"/>
      <c r="N8" s="143"/>
      <c r="O8" s="143"/>
      <c r="P8" s="143"/>
    </row>
    <row r="9" spans="3:32" x14ac:dyDescent="0.2">
      <c r="E9" s="139" t="s">
        <v>435</v>
      </c>
      <c r="F9" s="139"/>
      <c r="G9" s="139"/>
      <c r="H9" s="139"/>
      <c r="I9" s="143"/>
      <c r="J9" s="143"/>
      <c r="K9" s="143"/>
      <c r="L9" s="143"/>
      <c r="M9" s="143"/>
      <c r="N9" s="143"/>
      <c r="O9" s="143"/>
      <c r="P9" s="143"/>
    </row>
    <row r="10" spans="3:32" x14ac:dyDescent="0.2">
      <c r="E10" s="139"/>
      <c r="F10" s="139"/>
      <c r="G10" s="139"/>
      <c r="H10" s="139"/>
      <c r="I10" s="143"/>
      <c r="J10" s="143"/>
      <c r="K10" s="143"/>
      <c r="L10" s="143"/>
      <c r="M10" s="143"/>
      <c r="N10" s="143"/>
      <c r="O10" s="143"/>
      <c r="P10" s="143"/>
    </row>
    <row r="11" spans="3:32" x14ac:dyDescent="0.2">
      <c r="E11" s="152" t="s">
        <v>440</v>
      </c>
      <c r="F11" s="139"/>
      <c r="G11" s="139"/>
      <c r="H11" s="139"/>
      <c r="I11" s="143"/>
      <c r="J11" s="143"/>
      <c r="K11" s="143"/>
      <c r="L11" s="143"/>
      <c r="M11" s="143"/>
      <c r="N11" s="143"/>
      <c r="O11" s="143"/>
      <c r="P11" s="143"/>
    </row>
    <row r="15" spans="3:32" x14ac:dyDescent="0.2">
      <c r="C15" s="116">
        <f>+MAX($C1:$C$14)+1</f>
        <v>1</v>
      </c>
      <c r="D15" s="75"/>
      <c r="E15" s="41" t="s">
        <v>357</v>
      </c>
      <c r="F15" s="44"/>
      <c r="G15" s="44"/>
      <c r="H15" s="44"/>
      <c r="I15" s="44"/>
      <c r="J15" s="44"/>
      <c r="K15" s="44"/>
      <c r="L15" s="44"/>
      <c r="M15" s="44"/>
      <c r="N15" s="44"/>
      <c r="O15" s="44"/>
      <c r="P15" s="44"/>
    </row>
    <row r="17" spans="1:17" x14ac:dyDescent="0.2">
      <c r="E17" s="8" t="s">
        <v>368</v>
      </c>
      <c r="F17" s="9" t="s">
        <v>1</v>
      </c>
      <c r="G17" s="8"/>
      <c r="H17" s="145" t="s">
        <v>369</v>
      </c>
      <c r="I17" s="145"/>
      <c r="J17" s="145"/>
      <c r="K17" s="145"/>
      <c r="L17" s="145"/>
      <c r="M17" s="145"/>
      <c r="N17" s="145"/>
      <c r="O17" s="145"/>
      <c r="P17" s="146"/>
      <c r="Q17" s="75"/>
    </row>
    <row r="18" spans="1:17" x14ac:dyDescent="0.2">
      <c r="E18" s="97" t="s">
        <v>340</v>
      </c>
      <c r="F18" s="98">
        <f>ROUND(F38,0)</f>
        <v>262</v>
      </c>
      <c r="G18" s="99"/>
      <c r="H18" s="107" t="s">
        <v>145</v>
      </c>
      <c r="I18" s="107" t="s">
        <v>147</v>
      </c>
      <c r="J18" s="107"/>
      <c r="K18" s="107"/>
      <c r="L18" s="107"/>
      <c r="M18" s="107"/>
      <c r="N18" s="107"/>
      <c r="O18" s="107"/>
      <c r="P18" s="107"/>
      <c r="Q18" s="75"/>
    </row>
    <row r="19" spans="1:17" x14ac:dyDescent="0.2">
      <c r="A19" s="17"/>
      <c r="B19" s="17"/>
      <c r="C19" s="123"/>
      <c r="D19" s="17"/>
      <c r="E19" s="79" t="s">
        <v>338</v>
      </c>
      <c r="F19" s="85">
        <f t="shared" ref="F19" si="0">ROUND(F39,0)</f>
        <v>205</v>
      </c>
      <c r="G19" s="83"/>
      <c r="H19" s="108" t="s">
        <v>143</v>
      </c>
      <c r="I19" s="108" t="s">
        <v>97</v>
      </c>
      <c r="J19" s="108" t="s">
        <v>99</v>
      </c>
      <c r="K19" s="108" t="s">
        <v>101</v>
      </c>
      <c r="L19" s="108" t="s">
        <v>103</v>
      </c>
      <c r="M19" s="108" t="s">
        <v>105</v>
      </c>
      <c r="N19" s="108" t="s">
        <v>107</v>
      </c>
      <c r="O19" s="108"/>
      <c r="P19" s="108"/>
      <c r="Q19" s="75"/>
    </row>
    <row r="20" spans="1:17" x14ac:dyDescent="0.2">
      <c r="E20" s="79" t="s">
        <v>193</v>
      </c>
      <c r="F20" s="85">
        <f t="shared" ref="F20" si="1">ROUND(F40,0)</f>
        <v>39</v>
      </c>
      <c r="G20" s="83"/>
      <c r="H20" s="108" t="s">
        <v>149</v>
      </c>
      <c r="I20" s="108"/>
      <c r="J20" s="108"/>
      <c r="K20" s="108"/>
      <c r="L20" s="108"/>
      <c r="M20" s="108"/>
      <c r="N20" s="108"/>
      <c r="O20" s="108"/>
      <c r="P20" s="108"/>
      <c r="Q20" s="75"/>
    </row>
    <row r="21" spans="1:17" x14ac:dyDescent="0.2">
      <c r="A21" s="17"/>
      <c r="B21" s="17"/>
      <c r="C21" s="123"/>
      <c r="D21" s="17"/>
      <c r="E21" s="79" t="s">
        <v>152</v>
      </c>
      <c r="F21" s="85">
        <f t="shared" ref="F21" si="2">ROUND(F41,0)</f>
        <v>27</v>
      </c>
      <c r="G21" s="83"/>
      <c r="H21" s="108" t="s">
        <v>151</v>
      </c>
      <c r="I21" s="108"/>
      <c r="J21" s="108"/>
      <c r="K21" s="108"/>
      <c r="L21" s="108"/>
      <c r="M21" s="108"/>
      <c r="N21" s="108"/>
      <c r="O21" s="108"/>
      <c r="P21" s="108"/>
      <c r="Q21" s="75"/>
    </row>
    <row r="22" spans="1:17" x14ac:dyDescent="0.2">
      <c r="E22" s="79" t="s">
        <v>342</v>
      </c>
      <c r="F22" s="85">
        <f t="shared" ref="F22" si="3">ROUND(F42,0)</f>
        <v>37</v>
      </c>
      <c r="G22" s="83"/>
      <c r="H22" s="108" t="s">
        <v>153</v>
      </c>
      <c r="I22" s="108" t="s">
        <v>155</v>
      </c>
      <c r="J22" s="108" t="s">
        <v>157</v>
      </c>
      <c r="K22" s="108" t="s">
        <v>159</v>
      </c>
      <c r="L22" s="108"/>
      <c r="M22" s="108"/>
      <c r="N22" s="108"/>
      <c r="O22" s="108"/>
      <c r="P22" s="108"/>
      <c r="Q22" s="75"/>
    </row>
    <row r="23" spans="1:17" x14ac:dyDescent="0.2">
      <c r="A23" s="32"/>
      <c r="B23" s="32"/>
      <c r="D23" s="32"/>
      <c r="E23" s="79" t="s">
        <v>348</v>
      </c>
      <c r="F23" s="85">
        <f t="shared" ref="F23" si="4">ROUND(F43,0)</f>
        <v>97</v>
      </c>
      <c r="G23" s="83"/>
      <c r="H23" s="108" t="s">
        <v>125</v>
      </c>
      <c r="I23" s="108" t="s">
        <v>127</v>
      </c>
      <c r="J23" s="108" t="s">
        <v>129</v>
      </c>
      <c r="K23" s="108" t="s">
        <v>131</v>
      </c>
      <c r="L23" s="108" t="s">
        <v>133</v>
      </c>
      <c r="M23" s="108" t="s">
        <v>135</v>
      </c>
      <c r="N23" s="108" t="s">
        <v>137</v>
      </c>
      <c r="O23" s="108" t="s">
        <v>139</v>
      </c>
      <c r="P23" s="108" t="s">
        <v>11</v>
      </c>
      <c r="Q23" s="75"/>
    </row>
    <row r="24" spans="1:17" x14ac:dyDescent="0.2">
      <c r="E24" s="79" t="s">
        <v>341</v>
      </c>
      <c r="F24" s="85">
        <f t="shared" ref="F24" si="5">ROUND(F44,0)</f>
        <v>69</v>
      </c>
      <c r="G24" s="83"/>
      <c r="H24" s="108" t="s">
        <v>7</v>
      </c>
      <c r="I24" s="108" t="s">
        <v>49</v>
      </c>
      <c r="J24" s="108" t="s">
        <v>51</v>
      </c>
      <c r="K24" s="108" t="s">
        <v>55</v>
      </c>
      <c r="L24" s="108" t="s">
        <v>59</v>
      </c>
      <c r="M24" s="108" t="s">
        <v>61</v>
      </c>
      <c r="N24" s="108" t="s">
        <v>63</v>
      </c>
      <c r="O24" s="108" t="s">
        <v>65</v>
      </c>
      <c r="P24" s="108"/>
      <c r="Q24" s="75"/>
    </row>
    <row r="25" spans="1:17" x14ac:dyDescent="0.2">
      <c r="E25" s="79" t="s">
        <v>347</v>
      </c>
      <c r="F25" s="85">
        <f t="shared" ref="F25" si="6">ROUND(F45,0)</f>
        <v>51</v>
      </c>
      <c r="G25" s="83"/>
      <c r="H25" s="108" t="s">
        <v>57</v>
      </c>
      <c r="I25" s="108" t="s">
        <v>83</v>
      </c>
      <c r="J25" s="108" t="s">
        <v>85</v>
      </c>
      <c r="K25" s="108" t="s">
        <v>87</v>
      </c>
      <c r="L25" s="108" t="s">
        <v>89</v>
      </c>
      <c r="M25" s="108" t="s">
        <v>91</v>
      </c>
      <c r="N25" s="108" t="s">
        <v>93</v>
      </c>
      <c r="O25" s="108"/>
      <c r="P25" s="108"/>
      <c r="Q25" s="75"/>
    </row>
    <row r="26" spans="1:17" x14ac:dyDescent="0.2">
      <c r="C26" s="113"/>
      <c r="E26" s="79" t="s">
        <v>343</v>
      </c>
      <c r="F26" s="85">
        <f t="shared" ref="F26" si="7">ROUND(F46,0)</f>
        <v>49</v>
      </c>
      <c r="G26" s="83"/>
      <c r="H26" s="108" t="s">
        <v>5</v>
      </c>
      <c r="I26" s="108" t="s">
        <v>9</v>
      </c>
      <c r="J26" s="108" t="s">
        <v>15</v>
      </c>
      <c r="K26" s="108" t="s">
        <v>13</v>
      </c>
      <c r="L26" s="108" t="s">
        <v>19</v>
      </c>
      <c r="M26" s="108"/>
      <c r="N26" s="108"/>
      <c r="O26" s="108"/>
      <c r="P26" s="108"/>
      <c r="Q26" s="75"/>
    </row>
    <row r="27" spans="1:17" x14ac:dyDescent="0.2">
      <c r="E27" s="79" t="s">
        <v>349</v>
      </c>
      <c r="F27" s="85">
        <f t="shared" ref="F27" si="8">ROUND(F47,0)</f>
        <v>35</v>
      </c>
      <c r="G27" s="83"/>
      <c r="H27" s="108" t="s">
        <v>53</v>
      </c>
      <c r="I27" s="108" t="s">
        <v>69</v>
      </c>
      <c r="J27" s="108" t="s">
        <v>71</v>
      </c>
      <c r="K27" s="108" t="s">
        <v>73</v>
      </c>
      <c r="L27" s="108" t="s">
        <v>75</v>
      </c>
      <c r="M27" s="108" t="s">
        <v>77</v>
      </c>
      <c r="N27" s="108" t="s">
        <v>79</v>
      </c>
      <c r="O27" s="108"/>
      <c r="P27" s="108"/>
      <c r="Q27" s="75"/>
    </row>
    <row r="28" spans="1:17" x14ac:dyDescent="0.2">
      <c r="E28" s="79" t="s">
        <v>345</v>
      </c>
      <c r="F28" s="85">
        <f t="shared" ref="F28" si="9">ROUND(F48,0)</f>
        <v>24</v>
      </c>
      <c r="G28" s="83"/>
      <c r="H28" s="108" t="s">
        <v>111</v>
      </c>
      <c r="I28" s="108" t="s">
        <v>113</v>
      </c>
      <c r="J28" s="108" t="s">
        <v>115</v>
      </c>
      <c r="K28" s="108" t="s">
        <v>117</v>
      </c>
      <c r="L28" s="108" t="s">
        <v>119</v>
      </c>
      <c r="M28" s="108" t="s">
        <v>121</v>
      </c>
      <c r="N28" s="108"/>
      <c r="O28" s="108"/>
      <c r="P28" s="108"/>
      <c r="Q28" s="75"/>
    </row>
    <row r="29" spans="1:17" x14ac:dyDescent="0.2">
      <c r="E29" s="79" t="s">
        <v>22</v>
      </c>
      <c r="F29" s="85">
        <f t="shared" ref="F29" si="10">ROUND(F49,0)</f>
        <v>35</v>
      </c>
      <c r="G29" s="83"/>
      <c r="H29" s="108" t="s">
        <v>23</v>
      </c>
      <c r="I29" s="108" t="s">
        <v>25</v>
      </c>
      <c r="J29" s="108" t="s">
        <v>27</v>
      </c>
      <c r="K29" s="108" t="s">
        <v>29</v>
      </c>
      <c r="L29" s="108" t="s">
        <v>31</v>
      </c>
      <c r="M29" s="108"/>
      <c r="N29" s="108"/>
      <c r="O29" s="108"/>
      <c r="P29" s="108"/>
      <c r="Q29" s="75"/>
    </row>
    <row r="30" spans="1:17" x14ac:dyDescent="0.2">
      <c r="E30" s="79" t="s">
        <v>194</v>
      </c>
      <c r="F30" s="85">
        <f t="shared" ref="F30" si="11">ROUND(F50,0)</f>
        <v>23</v>
      </c>
      <c r="G30" s="83"/>
      <c r="H30" s="108" t="s">
        <v>35</v>
      </c>
      <c r="I30" s="108" t="s">
        <v>37</v>
      </c>
      <c r="J30" s="108" t="s">
        <v>43</v>
      </c>
      <c r="K30" s="108" t="s">
        <v>45</v>
      </c>
      <c r="L30" s="108"/>
      <c r="M30" s="108"/>
      <c r="N30" s="108"/>
      <c r="O30" s="108"/>
      <c r="P30" s="108"/>
      <c r="Q30" s="75"/>
    </row>
    <row r="31" spans="1:17" x14ac:dyDescent="0.2">
      <c r="E31" s="79" t="s">
        <v>195</v>
      </c>
      <c r="F31" s="85">
        <f t="shared" ref="F31" si="12">ROUND(F51,0)</f>
        <v>7</v>
      </c>
      <c r="G31" s="83"/>
      <c r="H31" s="108" t="s">
        <v>39</v>
      </c>
      <c r="I31" s="108" t="s">
        <v>41</v>
      </c>
      <c r="J31" s="108"/>
      <c r="K31" s="108"/>
      <c r="L31" s="108"/>
      <c r="M31" s="108"/>
      <c r="N31" s="108"/>
      <c r="O31" s="108"/>
      <c r="P31" s="108"/>
      <c r="Q31" s="75"/>
    </row>
    <row r="32" spans="1:17" x14ac:dyDescent="0.2">
      <c r="E32" s="100" t="s">
        <v>196</v>
      </c>
      <c r="F32" s="101">
        <f t="shared" ref="F32" si="13">ROUND(F52,0)</f>
        <v>40</v>
      </c>
      <c r="G32" s="102"/>
      <c r="H32" s="109" t="s">
        <v>17</v>
      </c>
      <c r="I32" s="109"/>
      <c r="J32" s="109"/>
      <c r="K32" s="109"/>
      <c r="L32" s="109"/>
      <c r="M32" s="109"/>
      <c r="N32" s="109"/>
      <c r="O32" s="109"/>
      <c r="P32" s="109"/>
      <c r="Q32" s="75"/>
    </row>
    <row r="33" spans="3:17" x14ac:dyDescent="0.2">
      <c r="F33" s="77"/>
      <c r="H33" s="76"/>
      <c r="Q33" s="75"/>
    </row>
    <row r="34" spans="3:17" x14ac:dyDescent="0.2">
      <c r="F34" s="77"/>
      <c r="H34" s="76"/>
      <c r="Q34" s="75"/>
    </row>
    <row r="35" spans="3:17" x14ac:dyDescent="0.2">
      <c r="C35" s="116">
        <f>+MAX($C$15:$C34)+1</f>
        <v>2</v>
      </c>
      <c r="E35" s="41" t="s">
        <v>371</v>
      </c>
      <c r="F35" s="44"/>
      <c r="G35" s="44"/>
      <c r="H35" s="44"/>
      <c r="I35" s="44"/>
      <c r="J35" s="44"/>
      <c r="K35" s="44"/>
      <c r="L35" s="44"/>
      <c r="M35" s="44"/>
      <c r="N35" s="44"/>
      <c r="O35" s="44"/>
      <c r="P35" s="44"/>
      <c r="Q35" s="75"/>
    </row>
    <row r="36" spans="3:17" x14ac:dyDescent="0.2">
      <c r="H36" s="76"/>
      <c r="Q36" s="75"/>
    </row>
    <row r="37" spans="3:17" x14ac:dyDescent="0.2">
      <c r="E37" s="8" t="s">
        <v>368</v>
      </c>
      <c r="F37" s="9" t="s">
        <v>1</v>
      </c>
      <c r="G37" s="8"/>
      <c r="H37" s="145" t="s">
        <v>369</v>
      </c>
      <c r="I37" s="145"/>
      <c r="J37" s="145"/>
      <c r="K37" s="145"/>
      <c r="L37" s="145"/>
      <c r="M37" s="145"/>
      <c r="N37" s="145"/>
      <c r="O37" s="145"/>
      <c r="P37" s="146"/>
      <c r="Q37" s="75"/>
    </row>
    <row r="38" spans="3:17" x14ac:dyDescent="0.2">
      <c r="E38" s="80" t="s">
        <v>340</v>
      </c>
      <c r="F38" s="84">
        <f>SUM($H38:$P38)</f>
        <v>262.36092186582539</v>
      </c>
      <c r="G38" s="82"/>
      <c r="H38" s="117" cm="1">
        <f t="array" ref="H38:P52">SUMIF(APU!$E$21:$E$109,$H$18:$P$32,APU!$AK$21:$AK$109)*1000/$F$55</f>
        <v>237.90797243107852</v>
      </c>
      <c r="I38" s="117">
        <v>24.45294943474687</v>
      </c>
      <c r="J38" s="117">
        <v>0</v>
      </c>
      <c r="K38" s="117">
        <v>0</v>
      </c>
      <c r="L38" s="117">
        <v>0</v>
      </c>
      <c r="M38" s="117">
        <v>0</v>
      </c>
      <c r="N38" s="117">
        <v>0</v>
      </c>
      <c r="O38" s="117">
        <v>0</v>
      </c>
      <c r="P38" s="117">
        <v>0</v>
      </c>
      <c r="Q38" s="75"/>
    </row>
    <row r="39" spans="3:17" x14ac:dyDescent="0.2">
      <c r="C39" s="113"/>
      <c r="E39" s="79" t="s">
        <v>338</v>
      </c>
      <c r="F39" s="85">
        <f t="shared" ref="F39:F52" si="14">SUM($H39:$P39)</f>
        <v>205.48646107497626</v>
      </c>
      <c r="G39" s="83"/>
      <c r="H39" s="118">
        <v>55.405040228049479</v>
      </c>
      <c r="I39" s="118">
        <v>25.75208490575606</v>
      </c>
      <c r="J39" s="118">
        <v>53.221466619274018</v>
      </c>
      <c r="K39" s="118">
        <v>64.439518310303853</v>
      </c>
      <c r="L39" s="118">
        <v>5.0297410683337613</v>
      </c>
      <c r="M39" s="118">
        <v>0</v>
      </c>
      <c r="N39" s="118">
        <v>1.6386099432590919</v>
      </c>
      <c r="O39" s="118">
        <v>0</v>
      </c>
      <c r="P39" s="118">
        <v>0</v>
      </c>
      <c r="Q39" s="75"/>
    </row>
    <row r="40" spans="3:17" x14ac:dyDescent="0.2">
      <c r="E40" s="79" t="s">
        <v>193</v>
      </c>
      <c r="F40" s="85">
        <f t="shared" si="14"/>
        <v>39.394136753597664</v>
      </c>
      <c r="G40" s="83"/>
      <c r="H40" s="118">
        <v>39.394136753597664</v>
      </c>
      <c r="I40" s="118">
        <v>0</v>
      </c>
      <c r="J40" s="118">
        <v>0</v>
      </c>
      <c r="K40" s="118">
        <v>0</v>
      </c>
      <c r="L40" s="118">
        <v>0</v>
      </c>
      <c r="M40" s="118">
        <v>0</v>
      </c>
      <c r="N40" s="118">
        <v>0</v>
      </c>
      <c r="O40" s="118">
        <v>0</v>
      </c>
      <c r="P40" s="118">
        <v>0</v>
      </c>
      <c r="Q40" s="75"/>
    </row>
    <row r="41" spans="3:17" x14ac:dyDescent="0.2">
      <c r="E41" s="79" t="s">
        <v>152</v>
      </c>
      <c r="F41" s="85">
        <f t="shared" si="14"/>
        <v>26.845629126817599</v>
      </c>
      <c r="G41" s="83"/>
      <c r="H41" s="118">
        <v>26.845629126817599</v>
      </c>
      <c r="I41" s="118">
        <v>0</v>
      </c>
      <c r="J41" s="118">
        <v>0</v>
      </c>
      <c r="K41" s="118">
        <v>0</v>
      </c>
      <c r="L41" s="118">
        <v>0</v>
      </c>
      <c r="M41" s="118">
        <v>0</v>
      </c>
      <c r="N41" s="118">
        <v>0</v>
      </c>
      <c r="O41" s="118">
        <v>0</v>
      </c>
      <c r="P41" s="118">
        <v>0</v>
      </c>
      <c r="Q41" s="75"/>
    </row>
    <row r="42" spans="3:17" x14ac:dyDescent="0.2">
      <c r="E42" s="79" t="s">
        <v>342</v>
      </c>
      <c r="F42" s="85">
        <f t="shared" si="14"/>
        <v>36.741543079643399</v>
      </c>
      <c r="G42" s="83"/>
      <c r="H42" s="118">
        <v>10.723682883489911</v>
      </c>
      <c r="I42" s="118">
        <v>22.744347391741982</v>
      </c>
      <c r="J42" s="118">
        <v>0</v>
      </c>
      <c r="K42" s="118">
        <v>3.2735128044115038</v>
      </c>
      <c r="L42" s="118">
        <v>0</v>
      </c>
      <c r="M42" s="118">
        <v>0</v>
      </c>
      <c r="N42" s="118">
        <v>0</v>
      </c>
      <c r="O42" s="118">
        <v>0</v>
      </c>
      <c r="P42" s="118">
        <v>0</v>
      </c>
      <c r="Q42" s="75"/>
    </row>
    <row r="43" spans="3:17" x14ac:dyDescent="0.2">
      <c r="E43" s="79" t="s">
        <v>348</v>
      </c>
      <c r="F43" s="85">
        <f t="shared" si="14"/>
        <v>96.685878663039972</v>
      </c>
      <c r="G43" s="83"/>
      <c r="H43" s="118">
        <v>23.888486445157778</v>
      </c>
      <c r="I43" s="118">
        <v>40.66723212536521</v>
      </c>
      <c r="J43" s="118">
        <v>0.33160035494975804</v>
      </c>
      <c r="K43" s="118">
        <v>11.063082500000494</v>
      </c>
      <c r="L43" s="118">
        <v>3.2946337488452619</v>
      </c>
      <c r="M43" s="118">
        <v>12.36474763815996</v>
      </c>
      <c r="N43" s="118">
        <v>0</v>
      </c>
      <c r="O43" s="118">
        <v>0</v>
      </c>
      <c r="P43" s="118">
        <v>5.0760958505615283</v>
      </c>
      <c r="Q43" s="75"/>
    </row>
    <row r="44" spans="3:17" x14ac:dyDescent="0.2">
      <c r="E44" s="79" t="s">
        <v>341</v>
      </c>
      <c r="F44" s="85">
        <f t="shared" si="14"/>
        <v>68.799374432413771</v>
      </c>
      <c r="G44" s="83"/>
      <c r="H44" s="118">
        <v>4.1907288053142215</v>
      </c>
      <c r="I44" s="118">
        <v>28.308703222526116</v>
      </c>
      <c r="J44" s="118">
        <v>11.08332985104671</v>
      </c>
      <c r="K44" s="118">
        <v>2.8554475009562492E-2</v>
      </c>
      <c r="L44" s="118">
        <v>0.27817585331896361</v>
      </c>
      <c r="M44" s="118">
        <v>6.1252500755275152</v>
      </c>
      <c r="N44" s="118">
        <v>4.3598289244649884</v>
      </c>
      <c r="O44" s="118">
        <v>14.424803225205689</v>
      </c>
      <c r="P44" s="118">
        <v>0</v>
      </c>
      <c r="Q44" s="75"/>
    </row>
    <row r="45" spans="3:17" x14ac:dyDescent="0.2">
      <c r="E45" s="79" t="s">
        <v>347</v>
      </c>
      <c r="F45" s="85">
        <f t="shared" si="14"/>
        <v>51.265771857835325</v>
      </c>
      <c r="G45" s="83"/>
      <c r="H45" s="118">
        <v>31.743554642077363</v>
      </c>
      <c r="I45" s="118">
        <v>2.0808393658835098</v>
      </c>
      <c r="J45" s="118">
        <v>13.942994105154494</v>
      </c>
      <c r="K45" s="118">
        <v>2.1856147839577384</v>
      </c>
      <c r="L45" s="118">
        <v>1.0859911624604577</v>
      </c>
      <c r="M45" s="118">
        <v>0</v>
      </c>
      <c r="N45" s="118">
        <v>0.22677779830175118</v>
      </c>
      <c r="O45" s="118">
        <v>0</v>
      </c>
      <c r="P45" s="118">
        <v>0</v>
      </c>
      <c r="Q45" s="75"/>
    </row>
    <row r="46" spans="3:17" x14ac:dyDescent="0.2">
      <c r="C46" s="113"/>
      <c r="E46" s="79" t="s">
        <v>343</v>
      </c>
      <c r="F46" s="85">
        <f t="shared" si="14"/>
        <v>49.007859378833594</v>
      </c>
      <c r="G46" s="83"/>
      <c r="H46" s="118">
        <v>16.827920721425873</v>
      </c>
      <c r="I46" s="118">
        <v>31.309138942148277</v>
      </c>
      <c r="J46" s="118">
        <v>0.86475944870591426</v>
      </c>
      <c r="K46" s="118">
        <v>6.7114072817043994E-4</v>
      </c>
      <c r="L46" s="118">
        <v>5.3691258253635195E-3</v>
      </c>
      <c r="M46" s="118">
        <v>0</v>
      </c>
      <c r="N46" s="118">
        <v>0</v>
      </c>
      <c r="O46" s="118">
        <v>0</v>
      </c>
      <c r="P46" s="118">
        <v>0</v>
      </c>
      <c r="Q46" s="75"/>
    </row>
    <row r="47" spans="3:17" x14ac:dyDescent="0.2">
      <c r="E47" s="79" t="s">
        <v>349</v>
      </c>
      <c r="F47" s="85">
        <f t="shared" si="14"/>
        <v>34.511749255841018</v>
      </c>
      <c r="G47" s="83"/>
      <c r="H47" s="118">
        <v>18.27487798179077</v>
      </c>
      <c r="I47" s="118">
        <v>8.6566114883828487</v>
      </c>
      <c r="J47" s="118">
        <v>3.4869619547161217</v>
      </c>
      <c r="K47" s="118">
        <v>1.3024525052748828</v>
      </c>
      <c r="L47" s="118">
        <v>1.3678072669331738</v>
      </c>
      <c r="M47" s="118">
        <v>9.2663876966515707E-2</v>
      </c>
      <c r="N47" s="118">
        <v>1.3303741817767079</v>
      </c>
      <c r="O47" s="118">
        <v>0</v>
      </c>
      <c r="P47" s="118">
        <v>0</v>
      </c>
      <c r="Q47" s="75"/>
    </row>
    <row r="48" spans="3:17" x14ac:dyDescent="0.2">
      <c r="E48" s="79" t="s">
        <v>345</v>
      </c>
      <c r="F48" s="85">
        <f t="shared" si="14"/>
        <v>24.301955728531063</v>
      </c>
      <c r="G48" s="83"/>
      <c r="H48" s="118">
        <v>10.183775910242627</v>
      </c>
      <c r="I48" s="118">
        <v>11.250789352731285</v>
      </c>
      <c r="J48" s="118">
        <v>2.4866027246231801</v>
      </c>
      <c r="K48" s="118">
        <v>0.34781192785841286</v>
      </c>
      <c r="L48" s="118">
        <v>0</v>
      </c>
      <c r="M48" s="118">
        <v>3.2975813075559267E-2</v>
      </c>
      <c r="N48" s="118">
        <v>0</v>
      </c>
      <c r="O48" s="118">
        <v>0</v>
      </c>
      <c r="P48" s="118">
        <v>0</v>
      </c>
      <c r="Q48" s="75"/>
    </row>
    <row r="49" spans="3:17" x14ac:dyDescent="0.2">
      <c r="E49" s="79" t="s">
        <v>22</v>
      </c>
      <c r="F49" s="85">
        <f t="shared" si="14"/>
        <v>34.850937743191132</v>
      </c>
      <c r="G49" s="83"/>
      <c r="H49" s="118">
        <v>32.236447041991838</v>
      </c>
      <c r="I49" s="118">
        <v>0</v>
      </c>
      <c r="J49" s="118">
        <v>0</v>
      </c>
      <c r="K49" s="118">
        <v>0</v>
      </c>
      <c r="L49" s="118">
        <v>2.6144907011992919</v>
      </c>
      <c r="M49" s="118">
        <v>0</v>
      </c>
      <c r="N49" s="118">
        <v>0</v>
      </c>
      <c r="O49" s="118">
        <v>0</v>
      </c>
      <c r="P49" s="118">
        <v>0</v>
      </c>
      <c r="Q49" s="75"/>
    </row>
    <row r="50" spans="3:17" x14ac:dyDescent="0.2">
      <c r="E50" s="79" t="s">
        <v>194</v>
      </c>
      <c r="F50" s="85">
        <f t="shared" si="14"/>
        <v>22.761153376236418</v>
      </c>
      <c r="G50" s="83"/>
      <c r="H50" s="118">
        <v>15.68329185166434</v>
      </c>
      <c r="I50" s="118">
        <v>4.709739111543688</v>
      </c>
      <c r="J50" s="118">
        <v>0</v>
      </c>
      <c r="K50" s="118">
        <v>2.3681224130283911</v>
      </c>
      <c r="L50" s="118">
        <v>0</v>
      </c>
      <c r="M50" s="118">
        <v>0</v>
      </c>
      <c r="N50" s="118">
        <v>0</v>
      </c>
      <c r="O50" s="118">
        <v>0</v>
      </c>
      <c r="P50" s="118">
        <v>0</v>
      </c>
      <c r="Q50" s="75"/>
    </row>
    <row r="51" spans="3:17" x14ac:dyDescent="0.2">
      <c r="E51" s="79" t="s">
        <v>195</v>
      </c>
      <c r="F51" s="85">
        <f t="shared" si="14"/>
        <v>7.2988302611100906</v>
      </c>
      <c r="G51" s="83"/>
      <c r="H51" s="118">
        <v>4.1963334324374335</v>
      </c>
      <c r="I51" s="118">
        <v>3.1024968286726566</v>
      </c>
      <c r="J51" s="118">
        <v>0</v>
      </c>
      <c r="K51" s="118">
        <v>0</v>
      </c>
      <c r="L51" s="118">
        <v>0</v>
      </c>
      <c r="M51" s="118">
        <v>0</v>
      </c>
      <c r="N51" s="118">
        <v>0</v>
      </c>
      <c r="O51" s="118">
        <v>0</v>
      </c>
      <c r="P51" s="118">
        <v>0</v>
      </c>
      <c r="Q51" s="75"/>
    </row>
    <row r="52" spans="3:17" x14ac:dyDescent="0.2">
      <c r="E52" s="91" t="s">
        <v>196</v>
      </c>
      <c r="F52" s="92">
        <f t="shared" si="14"/>
        <v>39.687797402107321</v>
      </c>
      <c r="G52" s="93"/>
      <c r="H52" s="119">
        <v>39.687797402107321</v>
      </c>
      <c r="I52" s="119">
        <v>0</v>
      </c>
      <c r="J52" s="119">
        <v>0</v>
      </c>
      <c r="K52" s="119">
        <v>0</v>
      </c>
      <c r="L52" s="119">
        <v>0</v>
      </c>
      <c r="M52" s="119">
        <v>0</v>
      </c>
      <c r="N52" s="119">
        <v>0</v>
      </c>
      <c r="O52" s="119">
        <v>0</v>
      </c>
      <c r="P52" s="119">
        <v>0</v>
      </c>
      <c r="Q52" s="75"/>
    </row>
    <row r="53" spans="3:17" x14ac:dyDescent="0.2">
      <c r="E53" s="86" t="s">
        <v>437</v>
      </c>
      <c r="F53" s="94">
        <f>SUM(F38:F52)</f>
        <v>1000</v>
      </c>
      <c r="G53" s="81"/>
      <c r="H53" s="81"/>
      <c r="I53" s="81"/>
      <c r="J53" s="81"/>
      <c r="K53" s="81"/>
      <c r="L53" s="81"/>
      <c r="M53" s="81"/>
      <c r="N53" s="81"/>
      <c r="O53" s="81"/>
      <c r="P53" s="81"/>
      <c r="Q53" s="75"/>
    </row>
    <row r="54" spans="3:17" x14ac:dyDescent="0.2">
      <c r="G54" s="76"/>
      <c r="H54" s="76"/>
      <c r="Q54" s="75"/>
    </row>
    <row r="55" spans="3:17" x14ac:dyDescent="0.2">
      <c r="E55" s="86" t="s">
        <v>370</v>
      </c>
      <c r="F55" s="94">
        <f>+APU!$AK$18</f>
        <v>1490000.4693889541</v>
      </c>
      <c r="G55" s="81"/>
      <c r="H55" s="81"/>
      <c r="I55" s="81"/>
      <c r="J55" s="81"/>
      <c r="K55" s="81"/>
      <c r="L55" s="81"/>
      <c r="M55" s="81"/>
      <c r="N55" s="81"/>
      <c r="O55" s="81"/>
      <c r="P55" s="81"/>
      <c r="Q55" s="75"/>
    </row>
    <row r="56" spans="3:17" x14ac:dyDescent="0.2">
      <c r="F56" s="76"/>
      <c r="G56" s="76"/>
      <c r="H56" s="76"/>
      <c r="Q56" s="75"/>
    </row>
    <row r="57" spans="3:17" x14ac:dyDescent="0.2">
      <c r="C57" s="116">
        <f>+MAX($C$1:$C56)+1</f>
        <v>3</v>
      </c>
      <c r="E57" s="41" t="s">
        <v>372</v>
      </c>
      <c r="F57" s="44"/>
      <c r="G57" s="44"/>
      <c r="H57" s="44"/>
      <c r="I57" s="44"/>
      <c r="J57" s="44"/>
      <c r="K57" s="44"/>
      <c r="L57" s="44"/>
      <c r="M57" s="44"/>
      <c r="N57" s="44"/>
      <c r="O57" s="44"/>
      <c r="P57" s="44"/>
      <c r="Q57" s="75"/>
    </row>
    <row r="58" spans="3:17" x14ac:dyDescent="0.2">
      <c r="C58" s="114"/>
      <c r="D58"/>
      <c r="E58"/>
      <c r="F58" s="76"/>
      <c r="G58" s="76"/>
      <c r="H58" s="76"/>
      <c r="Q58" s="75"/>
    </row>
    <row r="59" spans="3:17" x14ac:dyDescent="0.2">
      <c r="E59" s="8" t="s">
        <v>368</v>
      </c>
      <c r="F59" s="9" t="s">
        <v>1</v>
      </c>
      <c r="G59" s="8"/>
      <c r="H59" s="145" t="s">
        <v>369</v>
      </c>
      <c r="I59" s="145"/>
      <c r="J59" s="145"/>
      <c r="K59" s="145"/>
      <c r="L59" s="145"/>
      <c r="M59" s="145"/>
      <c r="N59" s="145"/>
      <c r="O59" s="145"/>
      <c r="P59" s="146"/>
      <c r="Q59" s="75"/>
    </row>
    <row r="60" spans="3:17" x14ac:dyDescent="0.2">
      <c r="E60" s="80" t="s">
        <v>340</v>
      </c>
      <c r="F60" s="89">
        <f t="shared" ref="F60:F74" si="15">SUM($H60:$P60)</f>
        <v>45.966084445656165</v>
      </c>
      <c r="G60" s="82"/>
      <c r="H60" s="117" cm="1">
        <f t="array" ref="H60:P74">SUMIF(APUC!$E$23:$E$111,$H$18:$P$32,APUC!$AK$23:$AK$111)*1000/F77</f>
        <v>45.966084445656165</v>
      </c>
      <c r="I60" s="117">
        <v>0</v>
      </c>
      <c r="J60" s="117">
        <v>0</v>
      </c>
      <c r="K60" s="117">
        <v>0</v>
      </c>
      <c r="L60" s="117">
        <v>0</v>
      </c>
      <c r="M60" s="117">
        <v>0</v>
      </c>
      <c r="N60" s="117">
        <v>0</v>
      </c>
      <c r="O60" s="117">
        <v>0</v>
      </c>
      <c r="P60" s="117">
        <v>0</v>
      </c>
      <c r="Q60" s="75"/>
    </row>
    <row r="61" spans="3:17" x14ac:dyDescent="0.2">
      <c r="C61" s="113"/>
      <c r="E61" s="79" t="s">
        <v>338</v>
      </c>
      <c r="F61" s="90">
        <f t="shared" si="15"/>
        <v>10.858202725019851</v>
      </c>
      <c r="G61" s="83"/>
      <c r="H61" s="118">
        <v>9.014046335507528</v>
      </c>
      <c r="I61" s="118">
        <v>0</v>
      </c>
      <c r="J61" s="118">
        <v>0</v>
      </c>
      <c r="K61" s="118">
        <v>0</v>
      </c>
      <c r="L61" s="118">
        <v>0.90576321667432957</v>
      </c>
      <c r="M61" s="118">
        <v>0</v>
      </c>
      <c r="N61" s="118">
        <v>0.93839317283799328</v>
      </c>
      <c r="O61" s="118">
        <v>0</v>
      </c>
      <c r="P61" s="118">
        <v>0</v>
      </c>
      <c r="Q61" s="75"/>
    </row>
    <row r="62" spans="3:17" x14ac:dyDescent="0.2">
      <c r="E62" s="79" t="s">
        <v>193</v>
      </c>
      <c r="F62" s="90">
        <f t="shared" si="15"/>
        <v>0</v>
      </c>
      <c r="G62" s="83"/>
      <c r="H62" s="118">
        <v>0</v>
      </c>
      <c r="I62" s="118">
        <v>0</v>
      </c>
      <c r="J62" s="118">
        <v>0</v>
      </c>
      <c r="K62" s="118">
        <v>0</v>
      </c>
      <c r="L62" s="118">
        <v>0</v>
      </c>
      <c r="M62" s="118">
        <v>0</v>
      </c>
      <c r="N62" s="118">
        <v>0</v>
      </c>
      <c r="O62" s="118">
        <v>0</v>
      </c>
      <c r="P62" s="118">
        <v>0</v>
      </c>
      <c r="Q62" s="75"/>
    </row>
    <row r="63" spans="3:17" x14ac:dyDescent="0.2">
      <c r="E63" s="79" t="s">
        <v>152</v>
      </c>
      <c r="F63" s="90">
        <f t="shared" si="15"/>
        <v>0</v>
      </c>
      <c r="G63" s="83"/>
      <c r="H63" s="118">
        <v>0</v>
      </c>
      <c r="I63" s="118">
        <v>0</v>
      </c>
      <c r="J63" s="118">
        <v>0</v>
      </c>
      <c r="K63" s="118">
        <v>0</v>
      </c>
      <c r="L63" s="118">
        <v>0</v>
      </c>
      <c r="M63" s="118">
        <v>0</v>
      </c>
      <c r="N63" s="118">
        <v>0</v>
      </c>
      <c r="O63" s="118">
        <v>0</v>
      </c>
      <c r="P63" s="118">
        <v>0</v>
      </c>
      <c r="Q63" s="75"/>
    </row>
    <row r="64" spans="3:17" x14ac:dyDescent="0.2">
      <c r="E64" s="79" t="s">
        <v>342</v>
      </c>
      <c r="F64" s="90">
        <f t="shared" si="15"/>
        <v>20.592541159791036</v>
      </c>
      <c r="G64" s="83"/>
      <c r="H64" s="118">
        <v>10.691075515253186</v>
      </c>
      <c r="I64" s="118">
        <v>9.9014656445378506</v>
      </c>
      <c r="J64" s="118">
        <v>0</v>
      </c>
      <c r="K64" s="118">
        <v>0</v>
      </c>
      <c r="L64" s="118">
        <v>0</v>
      </c>
      <c r="M64" s="118">
        <v>0</v>
      </c>
      <c r="N64" s="118">
        <v>0</v>
      </c>
      <c r="O64" s="118">
        <v>0</v>
      </c>
      <c r="P64" s="118">
        <v>0</v>
      </c>
      <c r="Q64" s="75"/>
    </row>
    <row r="65" spans="1:59" x14ac:dyDescent="0.2">
      <c r="E65" s="79" t="s">
        <v>348</v>
      </c>
      <c r="F65" s="90">
        <f t="shared" si="15"/>
        <v>69.295136676931719</v>
      </c>
      <c r="G65" s="83"/>
      <c r="H65" s="118">
        <v>16.24472981872702</v>
      </c>
      <c r="I65" s="118">
        <v>28.593663201644521</v>
      </c>
      <c r="J65" s="118">
        <v>0</v>
      </c>
      <c r="K65" s="118">
        <v>10.846436934766652</v>
      </c>
      <c r="L65" s="118">
        <v>0</v>
      </c>
      <c r="M65" s="118">
        <v>8.5342108712320037</v>
      </c>
      <c r="N65" s="118">
        <v>0</v>
      </c>
      <c r="O65" s="118">
        <v>0</v>
      </c>
      <c r="P65" s="118">
        <v>5.0760958505615283</v>
      </c>
      <c r="Q65" s="75"/>
    </row>
    <row r="66" spans="1:59" x14ac:dyDescent="0.2">
      <c r="E66" s="79" t="s">
        <v>341</v>
      </c>
      <c r="F66" s="90">
        <f t="shared" si="15"/>
        <v>58.524000544617849</v>
      </c>
      <c r="G66" s="83"/>
      <c r="H66" s="118">
        <v>4.1907288053142215</v>
      </c>
      <c r="I66" s="118">
        <v>25.284323762964902</v>
      </c>
      <c r="J66" s="118">
        <v>9.1430993297517897</v>
      </c>
      <c r="K66" s="118">
        <v>0</v>
      </c>
      <c r="L66" s="118">
        <v>0</v>
      </c>
      <c r="M66" s="118">
        <v>1.8538690589357993</v>
      </c>
      <c r="N66" s="118">
        <v>3.9935947546649229</v>
      </c>
      <c r="O66" s="118">
        <v>14.058384832986206</v>
      </c>
      <c r="P66" s="118">
        <v>0</v>
      </c>
      <c r="Q66" s="75"/>
    </row>
    <row r="67" spans="1:59" x14ac:dyDescent="0.2">
      <c r="E67" s="79" t="s">
        <v>347</v>
      </c>
      <c r="F67" s="90">
        <f t="shared" si="15"/>
        <v>9.4445193139912469</v>
      </c>
      <c r="G67" s="83"/>
      <c r="H67" s="118">
        <v>5.136126383328194</v>
      </c>
      <c r="I67" s="118">
        <v>0.36425486176026278</v>
      </c>
      <c r="J67" s="118">
        <v>3.9441380689027898</v>
      </c>
      <c r="K67" s="118">
        <v>0</v>
      </c>
      <c r="L67" s="118">
        <v>0</v>
      </c>
      <c r="M67" s="118">
        <v>0</v>
      </c>
      <c r="N67" s="118">
        <v>0</v>
      </c>
      <c r="O67" s="118">
        <v>0</v>
      </c>
      <c r="P67" s="118">
        <v>0</v>
      </c>
      <c r="Q67" s="75"/>
    </row>
    <row r="68" spans="1:59" x14ac:dyDescent="0.2">
      <c r="C68" s="113"/>
      <c r="E68" s="79" t="s">
        <v>343</v>
      </c>
      <c r="F68" s="90">
        <f t="shared" si="15"/>
        <v>15.533342497195042</v>
      </c>
      <c r="G68" s="83"/>
      <c r="H68" s="118">
        <v>14.291493660893114</v>
      </c>
      <c r="I68" s="118">
        <v>0.69892595431669613</v>
      </c>
      <c r="J68" s="118">
        <v>0.54292288198523231</v>
      </c>
      <c r="K68" s="118">
        <v>0</v>
      </c>
      <c r="L68" s="118">
        <v>0</v>
      </c>
      <c r="M68" s="118">
        <v>0</v>
      </c>
      <c r="N68" s="118">
        <v>0</v>
      </c>
      <c r="O68" s="118">
        <v>0</v>
      </c>
      <c r="P68" s="118">
        <v>0</v>
      </c>
      <c r="Q68" s="75"/>
    </row>
    <row r="69" spans="1:59" x14ac:dyDescent="0.2">
      <c r="E69" s="79" t="s">
        <v>349</v>
      </c>
      <c r="F69" s="90">
        <f t="shared" si="15"/>
        <v>18.154640635847127</v>
      </c>
      <c r="G69" s="83"/>
      <c r="H69" s="118">
        <v>16.794098174520684</v>
      </c>
      <c r="I69" s="118">
        <v>0</v>
      </c>
      <c r="J69" s="118">
        <v>0</v>
      </c>
      <c r="K69" s="118">
        <v>0</v>
      </c>
      <c r="L69" s="118">
        <v>0.30208057060853483</v>
      </c>
      <c r="M69" s="118">
        <v>0</v>
      </c>
      <c r="N69" s="118">
        <v>1.0584618907179062</v>
      </c>
      <c r="O69" s="118">
        <v>0</v>
      </c>
      <c r="P69" s="118">
        <v>0</v>
      </c>
      <c r="Q69" s="75"/>
    </row>
    <row r="70" spans="1:59" x14ac:dyDescent="0.2">
      <c r="E70" s="79" t="s">
        <v>345</v>
      </c>
      <c r="F70" s="90">
        <f t="shared" si="15"/>
        <v>6.4115639117333707</v>
      </c>
      <c r="G70" s="83"/>
      <c r="H70" s="118">
        <v>1.118006428335659</v>
      </c>
      <c r="I70" s="118">
        <v>2.8204029953919378</v>
      </c>
      <c r="J70" s="118">
        <v>2.4731544880057732</v>
      </c>
      <c r="K70" s="118">
        <v>0</v>
      </c>
      <c r="L70" s="118">
        <v>0</v>
      </c>
      <c r="M70" s="118">
        <v>0</v>
      </c>
      <c r="N70" s="118">
        <v>0</v>
      </c>
      <c r="O70" s="118">
        <v>0</v>
      </c>
      <c r="P70" s="118">
        <v>0</v>
      </c>
      <c r="Q70" s="75"/>
      <c r="BG70" s="2"/>
    </row>
    <row r="71" spans="1:59" x14ac:dyDescent="0.2">
      <c r="E71" s="79" t="s">
        <v>22</v>
      </c>
      <c r="F71" s="90">
        <f t="shared" si="15"/>
        <v>34.850937743191132</v>
      </c>
      <c r="G71" s="83"/>
      <c r="H71" s="118">
        <v>32.236447041991838</v>
      </c>
      <c r="I71" s="118">
        <v>0</v>
      </c>
      <c r="J71" s="118">
        <v>0</v>
      </c>
      <c r="K71" s="118">
        <v>0</v>
      </c>
      <c r="L71" s="118">
        <v>2.6144907011992919</v>
      </c>
      <c r="M71" s="118">
        <v>0</v>
      </c>
      <c r="N71" s="118">
        <v>0</v>
      </c>
      <c r="O71" s="118">
        <v>0</v>
      </c>
      <c r="P71" s="118">
        <v>0</v>
      </c>
      <c r="Q71" s="75"/>
    </row>
    <row r="72" spans="1:59" x14ac:dyDescent="0.2">
      <c r="E72" s="79" t="s">
        <v>194</v>
      </c>
      <c r="F72" s="90">
        <f t="shared" si="15"/>
        <v>16.866957067004471</v>
      </c>
      <c r="G72" s="83"/>
      <c r="H72" s="118">
        <v>14.109295500169489</v>
      </c>
      <c r="I72" s="118">
        <v>0.38990759864542285</v>
      </c>
      <c r="J72" s="118">
        <v>0</v>
      </c>
      <c r="K72" s="118">
        <v>2.3677539681895579</v>
      </c>
      <c r="L72" s="118">
        <v>0</v>
      </c>
      <c r="M72" s="118">
        <v>0</v>
      </c>
      <c r="N72" s="118">
        <v>0</v>
      </c>
      <c r="O72" s="118">
        <v>0</v>
      </c>
      <c r="P72" s="118">
        <v>0</v>
      </c>
      <c r="Q72" s="75"/>
    </row>
    <row r="73" spans="1:59" x14ac:dyDescent="0.2">
      <c r="E73" s="79" t="s">
        <v>195</v>
      </c>
      <c r="F73" s="90">
        <f t="shared" si="15"/>
        <v>7.2890664728810144</v>
      </c>
      <c r="G73" s="83"/>
      <c r="H73" s="118">
        <v>4.1865696442083573</v>
      </c>
      <c r="I73" s="118">
        <v>3.1024968286726566</v>
      </c>
      <c r="J73" s="118">
        <v>0</v>
      </c>
      <c r="K73" s="118">
        <v>0</v>
      </c>
      <c r="L73" s="118">
        <v>0</v>
      </c>
      <c r="M73" s="118">
        <v>0</v>
      </c>
      <c r="N73" s="118">
        <v>0</v>
      </c>
      <c r="O73" s="118">
        <v>0</v>
      </c>
      <c r="P73" s="118">
        <v>0</v>
      </c>
      <c r="Q73" s="75"/>
    </row>
    <row r="74" spans="1:59" x14ac:dyDescent="0.2">
      <c r="E74" s="79" t="s">
        <v>196</v>
      </c>
      <c r="F74" s="95">
        <f t="shared" si="15"/>
        <v>34.425526067810956</v>
      </c>
      <c r="G74" s="83"/>
      <c r="H74" s="118">
        <v>34.425526067810956</v>
      </c>
      <c r="I74" s="118">
        <v>0</v>
      </c>
      <c r="J74" s="118">
        <v>0</v>
      </c>
      <c r="K74" s="118">
        <v>0</v>
      </c>
      <c r="L74" s="118">
        <v>0</v>
      </c>
      <c r="M74" s="118">
        <v>0</v>
      </c>
      <c r="N74" s="118">
        <v>0</v>
      </c>
      <c r="O74" s="118">
        <v>0</v>
      </c>
      <c r="P74" s="118">
        <v>0</v>
      </c>
      <c r="Q74" s="75"/>
    </row>
    <row r="75" spans="1:59" x14ac:dyDescent="0.2">
      <c r="E75" s="86" t="s">
        <v>436</v>
      </c>
      <c r="F75" s="96">
        <f>SUM(F60:F74)</f>
        <v>348.21251926167093</v>
      </c>
      <c r="G75" s="81"/>
      <c r="H75" s="81"/>
      <c r="I75" s="81"/>
      <c r="J75" s="81"/>
      <c r="K75" s="81"/>
      <c r="L75" s="81"/>
      <c r="M75" s="81"/>
      <c r="N75" s="81"/>
      <c r="O75" s="81"/>
      <c r="P75" s="81"/>
      <c r="Q75" s="75"/>
    </row>
    <row r="76" spans="1:59" x14ac:dyDescent="0.2">
      <c r="G76" s="76"/>
      <c r="H76" s="76"/>
      <c r="Q76" s="75"/>
    </row>
    <row r="77" spans="1:59" x14ac:dyDescent="0.2">
      <c r="E77" s="86" t="s">
        <v>370</v>
      </c>
      <c r="F77" s="94">
        <f>+APU!$AK$18</f>
        <v>1490000.4693889541</v>
      </c>
      <c r="G77" s="81"/>
      <c r="H77" s="81"/>
      <c r="I77" s="81"/>
      <c r="J77" s="81"/>
      <c r="K77" s="81"/>
      <c r="L77" s="81"/>
      <c r="M77" s="81"/>
      <c r="N77" s="81"/>
      <c r="O77" s="81"/>
      <c r="P77" s="81"/>
      <c r="Q77" s="75"/>
    </row>
    <row r="78" spans="1:59" x14ac:dyDescent="0.2">
      <c r="F78" s="76"/>
      <c r="G78" s="76"/>
      <c r="H78" s="76"/>
      <c r="Q78" s="75"/>
    </row>
    <row r="79" spans="1:59" x14ac:dyDescent="0.2">
      <c r="C79" s="116">
        <f>+MAX($C$1:$C78)+1</f>
        <v>4</v>
      </c>
      <c r="E79" s="41" t="s">
        <v>373</v>
      </c>
      <c r="F79" s="44"/>
      <c r="G79" s="44"/>
      <c r="H79" s="44"/>
      <c r="I79" s="44"/>
      <c r="J79" s="44"/>
      <c r="K79" s="44"/>
      <c r="L79" s="44"/>
      <c r="M79" s="44"/>
      <c r="N79" s="44"/>
      <c r="O79" s="44"/>
      <c r="P79" s="44"/>
      <c r="Q79" s="75"/>
    </row>
    <row r="80" spans="1:59" x14ac:dyDescent="0.2">
      <c r="A80"/>
      <c r="B80"/>
      <c r="C80" s="114"/>
      <c r="D80"/>
      <c r="E80"/>
      <c r="F80" s="76"/>
      <c r="G80" s="76"/>
      <c r="H80" s="76"/>
      <c r="Q80" s="75"/>
    </row>
    <row r="81" spans="1:17" x14ac:dyDescent="0.2">
      <c r="A81"/>
      <c r="B81"/>
      <c r="C81" s="114"/>
      <c r="D81"/>
      <c r="E81" s="8" t="s">
        <v>368</v>
      </c>
      <c r="F81" s="9" t="s">
        <v>1</v>
      </c>
      <c r="G81" s="8"/>
      <c r="H81" s="145" t="s">
        <v>369</v>
      </c>
      <c r="I81" s="145"/>
      <c r="J81" s="145"/>
      <c r="K81" s="145"/>
      <c r="L81" s="145"/>
      <c r="M81" s="145"/>
      <c r="N81" s="145"/>
      <c r="O81" s="145"/>
      <c r="P81" s="146"/>
      <c r="Q81" s="75"/>
    </row>
    <row r="82" spans="1:17" x14ac:dyDescent="0.2">
      <c r="E82" s="80" t="s">
        <v>340</v>
      </c>
      <c r="F82" s="89">
        <f t="shared" ref="F82:F96" si="16">SUM($H82:$P82)</f>
        <v>5.0500891834653983</v>
      </c>
      <c r="G82" s="82"/>
      <c r="H82" s="117" cm="1">
        <f t="array" ref="H82:P96">SUMIF(APUL!$E$21:$E$109,$H$18:$P$32,APUL!$AK$21:$AK$109)*1000/$F$99</f>
        <v>5.0500891834653983</v>
      </c>
      <c r="I82" s="117">
        <v>0</v>
      </c>
      <c r="J82" s="117">
        <v>0</v>
      </c>
      <c r="K82" s="117">
        <v>0</v>
      </c>
      <c r="L82" s="117">
        <v>0</v>
      </c>
      <c r="M82" s="117">
        <v>0</v>
      </c>
      <c r="N82" s="117">
        <v>0</v>
      </c>
      <c r="O82" s="117">
        <v>0</v>
      </c>
      <c r="P82" s="117">
        <v>0</v>
      </c>
      <c r="Q82" s="75"/>
    </row>
    <row r="83" spans="1:17" x14ac:dyDescent="0.2">
      <c r="E83" s="79" t="s">
        <v>338</v>
      </c>
      <c r="F83" s="90">
        <f t="shared" si="16"/>
        <v>7.2336775208095547</v>
      </c>
      <c r="G83" s="83"/>
      <c r="H83" s="118">
        <v>5.7947162027470211</v>
      </c>
      <c r="I83" s="118">
        <v>0</v>
      </c>
      <c r="J83" s="118">
        <v>0</v>
      </c>
      <c r="K83" s="118">
        <v>0</v>
      </c>
      <c r="L83" s="118">
        <v>0.79399862768525398</v>
      </c>
      <c r="M83" s="118">
        <v>0</v>
      </c>
      <c r="N83" s="118">
        <v>0.64496269037727938</v>
      </c>
      <c r="O83" s="118">
        <v>0</v>
      </c>
      <c r="P83" s="118">
        <v>0</v>
      </c>
      <c r="Q83" s="75"/>
    </row>
    <row r="84" spans="1:17" x14ac:dyDescent="0.2">
      <c r="E84" s="79" t="s">
        <v>193</v>
      </c>
      <c r="F84" s="90">
        <f t="shared" si="16"/>
        <v>10.830988704756178</v>
      </c>
      <c r="G84" s="83"/>
      <c r="H84" s="118">
        <v>10.830988704756178</v>
      </c>
      <c r="I84" s="118">
        <v>0</v>
      </c>
      <c r="J84" s="118">
        <v>0</v>
      </c>
      <c r="K84" s="118">
        <v>0</v>
      </c>
      <c r="L84" s="118">
        <v>0</v>
      </c>
      <c r="M84" s="118">
        <v>0</v>
      </c>
      <c r="N84" s="118">
        <v>0</v>
      </c>
      <c r="O84" s="118">
        <v>0</v>
      </c>
      <c r="P84" s="118">
        <v>0</v>
      </c>
      <c r="Q84" s="75"/>
    </row>
    <row r="85" spans="1:17" x14ac:dyDescent="0.2">
      <c r="E85" s="79" t="s">
        <v>152</v>
      </c>
      <c r="F85" s="90">
        <f t="shared" si="16"/>
        <v>0</v>
      </c>
      <c r="G85" s="83"/>
      <c r="H85" s="118">
        <v>0</v>
      </c>
      <c r="I85" s="118">
        <v>0</v>
      </c>
      <c r="J85" s="118">
        <v>0</v>
      </c>
      <c r="K85" s="118">
        <v>0</v>
      </c>
      <c r="L85" s="118">
        <v>0</v>
      </c>
      <c r="M85" s="118">
        <v>0</v>
      </c>
      <c r="N85" s="118">
        <v>0</v>
      </c>
      <c r="O85" s="118">
        <v>0</v>
      </c>
      <c r="P85" s="118">
        <v>0</v>
      </c>
      <c r="Q85" s="75"/>
    </row>
    <row r="86" spans="1:17" x14ac:dyDescent="0.2">
      <c r="E86" s="79" t="s">
        <v>342</v>
      </c>
      <c r="F86" s="90">
        <f t="shared" si="16"/>
        <v>15.96913620470268</v>
      </c>
      <c r="G86" s="83"/>
      <c r="H86" s="118">
        <v>3.2607368236726206E-2</v>
      </c>
      <c r="I86" s="118">
        <v>12.842881747204128</v>
      </c>
      <c r="J86" s="118">
        <v>0</v>
      </c>
      <c r="K86" s="118">
        <v>3.0936470892618257</v>
      </c>
      <c r="L86" s="118">
        <v>0</v>
      </c>
      <c r="M86" s="118">
        <v>0</v>
      </c>
      <c r="N86" s="118">
        <v>0</v>
      </c>
      <c r="O86" s="118">
        <v>0</v>
      </c>
      <c r="P86" s="118">
        <v>0</v>
      </c>
      <c r="Q86" s="75"/>
    </row>
    <row r="87" spans="1:17" x14ac:dyDescent="0.2">
      <c r="E87" s="79" t="s">
        <v>348</v>
      </c>
      <c r="F87" s="90">
        <f t="shared" si="16"/>
        <v>27.39074198610826</v>
      </c>
      <c r="G87" s="83"/>
      <c r="H87" s="118">
        <v>7.6437566264307559</v>
      </c>
      <c r="I87" s="118">
        <v>12.073568923720689</v>
      </c>
      <c r="J87" s="118">
        <v>0.33160035494975804</v>
      </c>
      <c r="K87" s="118">
        <v>0.2166455652338419</v>
      </c>
      <c r="L87" s="118">
        <v>3.2946337488452619</v>
      </c>
      <c r="M87" s="118">
        <v>3.8305367669279544</v>
      </c>
      <c r="N87" s="118">
        <v>0</v>
      </c>
      <c r="O87" s="118">
        <v>0</v>
      </c>
      <c r="P87" s="118">
        <v>0</v>
      </c>
      <c r="Q87" s="75"/>
    </row>
    <row r="88" spans="1:17" x14ac:dyDescent="0.2">
      <c r="E88" s="79" t="s">
        <v>341</v>
      </c>
      <c r="F88" s="90">
        <f t="shared" si="16"/>
        <v>10.275373887795919</v>
      </c>
      <c r="G88" s="83"/>
      <c r="H88" s="118">
        <v>0</v>
      </c>
      <c r="I88" s="118">
        <v>3.0243794595612092</v>
      </c>
      <c r="J88" s="118">
        <v>1.9402305212949174</v>
      </c>
      <c r="K88" s="118">
        <v>2.8554475009562492E-2</v>
      </c>
      <c r="L88" s="118">
        <v>0.27817585331896361</v>
      </c>
      <c r="M88" s="118">
        <v>4.2713810165917163</v>
      </c>
      <c r="N88" s="118">
        <v>0.36623416980006607</v>
      </c>
      <c r="O88" s="118">
        <v>0.36641839221948264</v>
      </c>
      <c r="P88" s="118">
        <v>0</v>
      </c>
      <c r="Q88" s="75"/>
    </row>
    <row r="89" spans="1:17" x14ac:dyDescent="0.2">
      <c r="E89" s="79" t="s">
        <v>347</v>
      </c>
      <c r="F89" s="90">
        <f t="shared" si="16"/>
        <v>41.821252543844075</v>
      </c>
      <c r="G89" s="83"/>
      <c r="H89" s="118">
        <v>26.60742825874917</v>
      </c>
      <c r="I89" s="118">
        <v>1.7165845041232473</v>
      </c>
      <c r="J89" s="118">
        <v>9.9988560362517038</v>
      </c>
      <c r="K89" s="118">
        <v>2.1856147839577384</v>
      </c>
      <c r="L89" s="118">
        <v>1.0859911624604577</v>
      </c>
      <c r="M89" s="118">
        <v>0</v>
      </c>
      <c r="N89" s="118">
        <v>0.22677779830175118</v>
      </c>
      <c r="O89" s="118">
        <v>0</v>
      </c>
      <c r="P89" s="118">
        <v>0</v>
      </c>
      <c r="Q89" s="75"/>
    </row>
    <row r="90" spans="1:17" x14ac:dyDescent="0.2">
      <c r="E90" s="79" t="s">
        <v>343</v>
      </c>
      <c r="F90" s="90">
        <f t="shared" si="16"/>
        <v>32.479886322489968</v>
      </c>
      <c r="G90" s="83"/>
      <c r="H90" s="118">
        <v>1.5478367679377041</v>
      </c>
      <c r="I90" s="118">
        <v>30.610212987831581</v>
      </c>
      <c r="J90" s="118">
        <v>0.32183656672068178</v>
      </c>
      <c r="K90" s="118">
        <v>0</v>
      </c>
      <c r="L90" s="118">
        <v>0</v>
      </c>
      <c r="M90" s="118">
        <v>0</v>
      </c>
      <c r="N90" s="118">
        <v>0</v>
      </c>
      <c r="O90" s="118">
        <v>0</v>
      </c>
      <c r="P90" s="118">
        <v>0</v>
      </c>
      <c r="Q90" s="75"/>
    </row>
    <row r="91" spans="1:17" x14ac:dyDescent="0.2">
      <c r="E91" s="79" t="s">
        <v>349</v>
      </c>
      <c r="F91" s="90">
        <f t="shared" si="16"/>
        <v>16.357108619993895</v>
      </c>
      <c r="G91" s="83"/>
      <c r="H91" s="118">
        <v>1.4807798072700862</v>
      </c>
      <c r="I91" s="118">
        <v>8.6566114883828487</v>
      </c>
      <c r="J91" s="118">
        <v>3.4869619547161217</v>
      </c>
      <c r="K91" s="118">
        <v>1.3024525052748828</v>
      </c>
      <c r="L91" s="118">
        <v>1.065726696324639</v>
      </c>
      <c r="M91" s="118">
        <v>9.2663876966515707E-2</v>
      </c>
      <c r="N91" s="118">
        <v>0.27191229105880155</v>
      </c>
      <c r="O91" s="118">
        <v>0</v>
      </c>
      <c r="P91" s="118">
        <v>0</v>
      </c>
      <c r="Q91" s="75"/>
    </row>
    <row r="92" spans="1:17" x14ac:dyDescent="0.2">
      <c r="E92" s="79" t="s">
        <v>345</v>
      </c>
      <c r="F92" s="90">
        <f t="shared" si="16"/>
        <v>17.890391816797695</v>
      </c>
      <c r="G92" s="83"/>
      <c r="H92" s="118">
        <v>9.065769481906969</v>
      </c>
      <c r="I92" s="118">
        <v>8.4303863573393478</v>
      </c>
      <c r="J92" s="118">
        <v>1.3448236617406852E-2</v>
      </c>
      <c r="K92" s="118">
        <v>0.34781192785841286</v>
      </c>
      <c r="L92" s="118">
        <v>0</v>
      </c>
      <c r="M92" s="118">
        <v>3.2975813075559267E-2</v>
      </c>
      <c r="N92" s="118">
        <v>0</v>
      </c>
      <c r="O92" s="118">
        <v>0</v>
      </c>
      <c r="P92" s="118">
        <v>0</v>
      </c>
      <c r="Q92" s="75"/>
    </row>
    <row r="93" spans="1:17" x14ac:dyDescent="0.2">
      <c r="E93" s="79" t="s">
        <v>22</v>
      </c>
      <c r="F93" s="90">
        <f t="shared" si="16"/>
        <v>0</v>
      </c>
      <c r="G93" s="83"/>
      <c r="H93" s="118">
        <v>0</v>
      </c>
      <c r="I93" s="118">
        <v>0</v>
      </c>
      <c r="J93" s="118">
        <v>0</v>
      </c>
      <c r="K93" s="118">
        <v>0</v>
      </c>
      <c r="L93" s="118">
        <v>0</v>
      </c>
      <c r="M93" s="118">
        <v>0</v>
      </c>
      <c r="N93" s="118">
        <v>0</v>
      </c>
      <c r="O93" s="118">
        <v>0</v>
      </c>
      <c r="P93" s="118">
        <v>0</v>
      </c>
      <c r="Q93" s="75"/>
    </row>
    <row r="94" spans="1:17" x14ac:dyDescent="0.2">
      <c r="E94" s="79" t="s">
        <v>194</v>
      </c>
      <c r="F94" s="90">
        <f t="shared" si="16"/>
        <v>5.8941963092319485</v>
      </c>
      <c r="G94" s="83"/>
      <c r="H94" s="118">
        <v>1.5739963514948514</v>
      </c>
      <c r="I94" s="118">
        <v>4.3198315128982641</v>
      </c>
      <c r="J94" s="118">
        <v>0</v>
      </c>
      <c r="K94" s="118">
        <v>3.6844483883306448E-4</v>
      </c>
      <c r="L94" s="118">
        <v>0</v>
      </c>
      <c r="M94" s="118">
        <v>0</v>
      </c>
      <c r="N94" s="118">
        <v>0</v>
      </c>
      <c r="O94" s="118">
        <v>0</v>
      </c>
      <c r="P94" s="118">
        <v>0</v>
      </c>
      <c r="Q94" s="75"/>
    </row>
    <row r="95" spans="1:17" x14ac:dyDescent="0.2">
      <c r="E95" s="79" t="s">
        <v>195</v>
      </c>
      <c r="F95" s="90">
        <f t="shared" si="16"/>
        <v>9.7637882290762101E-3</v>
      </c>
      <c r="G95" s="83"/>
      <c r="H95" s="118">
        <v>9.7637882290762101E-3</v>
      </c>
      <c r="I95" s="118">
        <v>0</v>
      </c>
      <c r="J95" s="118">
        <v>0</v>
      </c>
      <c r="K95" s="118">
        <v>0</v>
      </c>
      <c r="L95" s="118">
        <v>0</v>
      </c>
      <c r="M95" s="118">
        <v>0</v>
      </c>
      <c r="N95" s="118">
        <v>0</v>
      </c>
      <c r="O95" s="118">
        <v>0</v>
      </c>
      <c r="P95" s="118">
        <v>0</v>
      </c>
      <c r="Q95" s="75"/>
    </row>
    <row r="96" spans="1:17" x14ac:dyDescent="0.2">
      <c r="E96" s="79" t="s">
        <v>196</v>
      </c>
      <c r="F96" s="90">
        <f t="shared" si="16"/>
        <v>3.328714896437321</v>
      </c>
      <c r="G96" s="83"/>
      <c r="H96" s="118">
        <v>3.328714896437321</v>
      </c>
      <c r="I96" s="118">
        <v>0</v>
      </c>
      <c r="J96" s="118">
        <v>0</v>
      </c>
      <c r="K96" s="118">
        <v>0</v>
      </c>
      <c r="L96" s="118">
        <v>0</v>
      </c>
      <c r="M96" s="118">
        <v>0</v>
      </c>
      <c r="N96" s="118">
        <v>0</v>
      </c>
      <c r="O96" s="118">
        <v>0</v>
      </c>
      <c r="P96" s="118">
        <v>0</v>
      </c>
      <c r="Q96" s="75"/>
    </row>
    <row r="97" spans="3:17" x14ac:dyDescent="0.2">
      <c r="E97" s="86" t="s">
        <v>438</v>
      </c>
      <c r="F97" s="94">
        <f>SUM(F82:F96)</f>
        <v>194.53132178466197</v>
      </c>
      <c r="G97" s="81"/>
      <c r="H97" s="81"/>
      <c r="I97" s="81"/>
      <c r="J97" s="81"/>
      <c r="K97" s="81"/>
      <c r="L97" s="81"/>
      <c r="M97" s="81"/>
      <c r="N97" s="81"/>
      <c r="O97" s="81"/>
      <c r="P97" s="81"/>
      <c r="Q97" s="75"/>
    </row>
    <row r="98" spans="3:17" x14ac:dyDescent="0.2">
      <c r="G98" s="76"/>
      <c r="H98" s="76"/>
      <c r="Q98" s="75"/>
    </row>
    <row r="99" spans="3:17" x14ac:dyDescent="0.2">
      <c r="E99" s="86" t="s">
        <v>370</v>
      </c>
      <c r="F99" s="94">
        <f>+APU!$AK$18</f>
        <v>1490000.4693889541</v>
      </c>
      <c r="G99" s="81"/>
      <c r="H99" s="81"/>
      <c r="I99" s="81"/>
      <c r="J99" s="81"/>
      <c r="K99" s="81"/>
      <c r="L99" s="81"/>
      <c r="M99" s="81"/>
      <c r="N99" s="81"/>
      <c r="O99" s="81"/>
      <c r="P99" s="81"/>
      <c r="Q99" s="75"/>
    </row>
    <row r="100" spans="3:17" x14ac:dyDescent="0.2">
      <c r="F100" s="76"/>
      <c r="G100" s="76"/>
      <c r="H100" s="76"/>
      <c r="Q100" s="75"/>
    </row>
    <row r="101" spans="3:17" x14ac:dyDescent="0.2">
      <c r="C101" s="116">
        <f>+MAX($C$1:$C100)+1</f>
        <v>5</v>
      </c>
      <c r="E101" s="41" t="s">
        <v>374</v>
      </c>
      <c r="F101" s="44"/>
      <c r="G101" s="44"/>
      <c r="H101" s="44"/>
      <c r="I101" s="44"/>
      <c r="J101" s="44"/>
      <c r="K101" s="44"/>
      <c r="L101" s="44"/>
      <c r="M101" s="44"/>
      <c r="N101" s="44"/>
      <c r="O101" s="44"/>
      <c r="P101" s="44"/>
      <c r="Q101" s="75"/>
    </row>
    <row r="102" spans="3:17" x14ac:dyDescent="0.2">
      <c r="C102" s="114"/>
      <c r="D102"/>
      <c r="E102"/>
      <c r="F102" s="76"/>
      <c r="G102" s="76"/>
      <c r="H102" s="76"/>
      <c r="Q102" s="75"/>
    </row>
    <row r="103" spans="3:17" x14ac:dyDescent="0.2">
      <c r="E103" s="8" t="s">
        <v>368</v>
      </c>
      <c r="F103" s="9" t="s">
        <v>1</v>
      </c>
      <c r="G103" s="8"/>
      <c r="H103" s="145" t="s">
        <v>369</v>
      </c>
      <c r="I103" s="145"/>
      <c r="J103" s="145"/>
      <c r="K103" s="145"/>
      <c r="L103" s="145"/>
      <c r="M103" s="145"/>
      <c r="N103" s="145"/>
      <c r="O103" s="145"/>
      <c r="P103" s="146"/>
      <c r="Q103" s="75"/>
    </row>
    <row r="104" spans="3:17" x14ac:dyDescent="0.2">
      <c r="E104" s="80" t="s">
        <v>340</v>
      </c>
      <c r="F104" s="89">
        <f t="shared" ref="F104:F118" si="17">SUM($H104:$P104)</f>
        <v>211.34474823670382</v>
      </c>
      <c r="G104" s="82"/>
      <c r="H104" s="117" cm="1">
        <f t="array" ref="H104:P118">SUMIF(ASS!$E$34:$E$122,$H$18:$P$32,ASS!$AK$34:$AK$122)*1000/F121</f>
        <v>186.89179880195695</v>
      </c>
      <c r="I104" s="117">
        <v>24.45294943474687</v>
      </c>
      <c r="J104" s="117">
        <v>0</v>
      </c>
      <c r="K104" s="117">
        <v>0</v>
      </c>
      <c r="L104" s="117">
        <v>0</v>
      </c>
      <c r="M104" s="117">
        <v>0</v>
      </c>
      <c r="N104" s="117">
        <v>0</v>
      </c>
      <c r="O104" s="117">
        <v>0</v>
      </c>
      <c r="P104" s="117">
        <v>0</v>
      </c>
      <c r="Q104" s="75"/>
    </row>
    <row r="105" spans="3:17" x14ac:dyDescent="0.2">
      <c r="E105" s="79" t="s">
        <v>338</v>
      </c>
      <c r="F105" s="90">
        <f t="shared" si="17"/>
        <v>187.39458082914689</v>
      </c>
      <c r="G105" s="83"/>
      <c r="H105" s="118">
        <v>40.596277689794931</v>
      </c>
      <c r="I105" s="118">
        <v>25.75208490575606</v>
      </c>
      <c r="J105" s="118">
        <v>53.221466619274018</v>
      </c>
      <c r="K105" s="118">
        <v>64.439518310303853</v>
      </c>
      <c r="L105" s="118">
        <v>3.3299792239741777</v>
      </c>
      <c r="M105" s="118">
        <v>0</v>
      </c>
      <c r="N105" s="118">
        <v>5.525408004381932E-2</v>
      </c>
      <c r="O105" s="118">
        <v>0</v>
      </c>
      <c r="P105" s="118">
        <v>0</v>
      </c>
      <c r="Q105" s="75"/>
    </row>
    <row r="106" spans="3:17" x14ac:dyDescent="0.2">
      <c r="E106" s="79" t="s">
        <v>193</v>
      </c>
      <c r="F106" s="90">
        <f t="shared" si="17"/>
        <v>28.563148048841484</v>
      </c>
      <c r="G106" s="83"/>
      <c r="H106" s="118">
        <v>28.563148048841484</v>
      </c>
      <c r="I106" s="118">
        <v>0</v>
      </c>
      <c r="J106" s="118">
        <v>0</v>
      </c>
      <c r="K106" s="118">
        <v>0</v>
      </c>
      <c r="L106" s="118">
        <v>0</v>
      </c>
      <c r="M106" s="118">
        <v>0</v>
      </c>
      <c r="N106" s="118">
        <v>0</v>
      </c>
      <c r="O106" s="118">
        <v>0</v>
      </c>
      <c r="P106" s="118">
        <v>0</v>
      </c>
      <c r="Q106" s="75"/>
    </row>
    <row r="107" spans="3:17" x14ac:dyDescent="0.2">
      <c r="E107" s="79" t="s">
        <v>152</v>
      </c>
      <c r="F107" s="90">
        <f t="shared" si="17"/>
        <v>26.845629126817599</v>
      </c>
      <c r="G107" s="83"/>
      <c r="H107" s="118">
        <v>26.845629126817599</v>
      </c>
      <c r="I107" s="118">
        <v>0</v>
      </c>
      <c r="J107" s="118">
        <v>0</v>
      </c>
      <c r="K107" s="118">
        <v>0</v>
      </c>
      <c r="L107" s="118">
        <v>0</v>
      </c>
      <c r="M107" s="118">
        <v>0</v>
      </c>
      <c r="N107" s="118">
        <v>0</v>
      </c>
      <c r="O107" s="118">
        <v>0</v>
      </c>
      <c r="P107" s="118">
        <v>0</v>
      </c>
      <c r="Q107" s="75"/>
    </row>
    <row r="108" spans="3:17" x14ac:dyDescent="0.2">
      <c r="E108" s="79" t="s">
        <v>342</v>
      </c>
      <c r="F108" s="90">
        <f t="shared" si="17"/>
        <v>0.17986571514967792</v>
      </c>
      <c r="G108" s="83"/>
      <c r="H108" s="118">
        <v>0</v>
      </c>
      <c r="I108" s="118">
        <v>0</v>
      </c>
      <c r="J108" s="118">
        <v>0</v>
      </c>
      <c r="K108" s="118">
        <v>0.17986571514967792</v>
      </c>
      <c r="L108" s="118">
        <v>0</v>
      </c>
      <c r="M108" s="118">
        <v>0</v>
      </c>
      <c r="N108" s="118">
        <v>0</v>
      </c>
      <c r="O108" s="118">
        <v>0</v>
      </c>
      <c r="P108" s="118">
        <v>0</v>
      </c>
      <c r="Q108" s="75"/>
    </row>
    <row r="109" spans="3:17" x14ac:dyDescent="0.2">
      <c r="E109" s="79" t="s">
        <v>348</v>
      </c>
      <c r="F109" s="90">
        <f t="shared" si="17"/>
        <v>0</v>
      </c>
      <c r="G109" s="83"/>
      <c r="H109" s="118">
        <v>0</v>
      </c>
      <c r="I109" s="118">
        <v>0</v>
      </c>
      <c r="J109" s="118">
        <v>0</v>
      </c>
      <c r="K109" s="118">
        <v>0</v>
      </c>
      <c r="L109" s="118">
        <v>0</v>
      </c>
      <c r="M109" s="118">
        <v>0</v>
      </c>
      <c r="N109" s="118">
        <v>0</v>
      </c>
      <c r="O109" s="118">
        <v>0</v>
      </c>
      <c r="P109" s="118">
        <v>0</v>
      </c>
      <c r="Q109" s="75"/>
    </row>
    <row r="110" spans="3:17" x14ac:dyDescent="0.2">
      <c r="E110" s="79" t="s">
        <v>341</v>
      </c>
      <c r="F110" s="90">
        <f t="shared" si="17"/>
        <v>0</v>
      </c>
      <c r="G110" s="83"/>
      <c r="H110" s="118">
        <v>0</v>
      </c>
      <c r="I110" s="118">
        <v>0</v>
      </c>
      <c r="J110" s="118">
        <v>0</v>
      </c>
      <c r="K110" s="118">
        <v>0</v>
      </c>
      <c r="L110" s="118">
        <v>0</v>
      </c>
      <c r="M110" s="118">
        <v>0</v>
      </c>
      <c r="N110" s="118">
        <v>0</v>
      </c>
      <c r="O110" s="118">
        <v>0</v>
      </c>
      <c r="P110" s="118">
        <v>0</v>
      </c>
      <c r="Q110" s="75"/>
    </row>
    <row r="111" spans="3:17" x14ac:dyDescent="0.2">
      <c r="E111" s="79" t="s">
        <v>347</v>
      </c>
      <c r="F111" s="90">
        <f t="shared" si="17"/>
        <v>0</v>
      </c>
      <c r="G111" s="83"/>
      <c r="H111" s="118">
        <v>0</v>
      </c>
      <c r="I111" s="118">
        <v>0</v>
      </c>
      <c r="J111" s="118">
        <v>0</v>
      </c>
      <c r="K111" s="118">
        <v>0</v>
      </c>
      <c r="L111" s="118">
        <v>0</v>
      </c>
      <c r="M111" s="118">
        <v>0</v>
      </c>
      <c r="N111" s="118">
        <v>0</v>
      </c>
      <c r="O111" s="118">
        <v>0</v>
      </c>
      <c r="P111" s="118">
        <v>0</v>
      </c>
      <c r="Q111" s="75"/>
    </row>
    <row r="112" spans="3:17" x14ac:dyDescent="0.2">
      <c r="E112" s="79" t="s">
        <v>343</v>
      </c>
      <c r="F112" s="90">
        <f t="shared" si="17"/>
        <v>0.994630559148592</v>
      </c>
      <c r="G112" s="83"/>
      <c r="H112" s="118">
        <v>0.98859029259505804</v>
      </c>
      <c r="I112" s="118">
        <v>0</v>
      </c>
      <c r="J112" s="118">
        <v>0</v>
      </c>
      <c r="K112" s="118">
        <v>6.7114072817043994E-4</v>
      </c>
      <c r="L112" s="118">
        <v>5.3691258253635195E-3</v>
      </c>
      <c r="M112" s="118">
        <v>0</v>
      </c>
      <c r="N112" s="118">
        <v>0</v>
      </c>
      <c r="O112" s="118">
        <v>0</v>
      </c>
      <c r="P112" s="118">
        <v>0</v>
      </c>
      <c r="Q112" s="75"/>
    </row>
    <row r="113" spans="3:17" x14ac:dyDescent="0.2">
      <c r="E113" s="79" t="s">
        <v>349</v>
      </c>
      <c r="F113" s="90">
        <f t="shared" si="17"/>
        <v>0</v>
      </c>
      <c r="G113" s="83"/>
      <c r="H113" s="118">
        <v>0</v>
      </c>
      <c r="I113" s="118">
        <v>0</v>
      </c>
      <c r="J113" s="118">
        <v>0</v>
      </c>
      <c r="K113" s="118">
        <v>0</v>
      </c>
      <c r="L113" s="118">
        <v>0</v>
      </c>
      <c r="M113" s="118">
        <v>0</v>
      </c>
      <c r="N113" s="118">
        <v>0</v>
      </c>
      <c r="O113" s="118">
        <v>0</v>
      </c>
      <c r="P113" s="118">
        <v>0</v>
      </c>
      <c r="Q113" s="75"/>
    </row>
    <row r="114" spans="3:17" x14ac:dyDescent="0.2">
      <c r="E114" s="79" t="s">
        <v>345</v>
      </c>
      <c r="F114" s="90">
        <f t="shared" si="17"/>
        <v>0</v>
      </c>
      <c r="G114" s="83"/>
      <c r="H114" s="118">
        <v>0</v>
      </c>
      <c r="I114" s="118">
        <v>0</v>
      </c>
      <c r="J114" s="118">
        <v>0</v>
      </c>
      <c r="K114" s="118">
        <v>0</v>
      </c>
      <c r="L114" s="118">
        <v>0</v>
      </c>
      <c r="M114" s="118">
        <v>0</v>
      </c>
      <c r="N114" s="118">
        <v>0</v>
      </c>
      <c r="O114" s="118">
        <v>0</v>
      </c>
      <c r="P114" s="118">
        <v>0</v>
      </c>
      <c r="Q114" s="75"/>
    </row>
    <row r="115" spans="3:17" x14ac:dyDescent="0.2">
      <c r="E115" s="79" t="s">
        <v>22</v>
      </c>
      <c r="F115" s="90">
        <f t="shared" si="17"/>
        <v>0</v>
      </c>
      <c r="G115" s="83"/>
      <c r="H115" s="118">
        <v>0</v>
      </c>
      <c r="I115" s="118">
        <v>0</v>
      </c>
      <c r="J115" s="118">
        <v>0</v>
      </c>
      <c r="K115" s="118">
        <v>0</v>
      </c>
      <c r="L115" s="118">
        <v>0</v>
      </c>
      <c r="M115" s="118">
        <v>0</v>
      </c>
      <c r="N115" s="118">
        <v>0</v>
      </c>
      <c r="O115" s="118">
        <v>0</v>
      </c>
      <c r="P115" s="118">
        <v>0</v>
      </c>
      <c r="Q115" s="75"/>
    </row>
    <row r="116" spans="3:17" x14ac:dyDescent="0.2">
      <c r="E116" s="79" t="s">
        <v>194</v>
      </c>
      <c r="F116" s="90">
        <f t="shared" si="17"/>
        <v>0</v>
      </c>
      <c r="G116" s="83"/>
      <c r="H116" s="118">
        <v>0</v>
      </c>
      <c r="I116" s="118">
        <v>0</v>
      </c>
      <c r="J116" s="118">
        <v>0</v>
      </c>
      <c r="K116" s="118">
        <v>0</v>
      </c>
      <c r="L116" s="118">
        <v>0</v>
      </c>
      <c r="M116" s="118">
        <v>0</v>
      </c>
      <c r="N116" s="118">
        <v>0</v>
      </c>
      <c r="O116" s="118">
        <v>0</v>
      </c>
      <c r="P116" s="118">
        <v>0</v>
      </c>
      <c r="Q116" s="75"/>
    </row>
    <row r="117" spans="3:17" x14ac:dyDescent="0.2">
      <c r="E117" s="79" t="s">
        <v>195</v>
      </c>
      <c r="F117" s="90">
        <f t="shared" si="17"/>
        <v>0</v>
      </c>
      <c r="G117" s="83"/>
      <c r="H117" s="118">
        <v>0</v>
      </c>
      <c r="I117" s="118">
        <v>0</v>
      </c>
      <c r="J117" s="118">
        <v>0</v>
      </c>
      <c r="K117" s="118">
        <v>0</v>
      </c>
      <c r="L117" s="118">
        <v>0</v>
      </c>
      <c r="M117" s="118">
        <v>0</v>
      </c>
      <c r="N117" s="118">
        <v>0</v>
      </c>
      <c r="O117" s="118">
        <v>0</v>
      </c>
      <c r="P117" s="118">
        <v>0</v>
      </c>
      <c r="Q117" s="75"/>
    </row>
    <row r="118" spans="3:17" x14ac:dyDescent="0.2">
      <c r="E118" s="79" t="s">
        <v>196</v>
      </c>
      <c r="F118" s="95">
        <f t="shared" si="17"/>
        <v>1.9335564378590375</v>
      </c>
      <c r="G118" s="83"/>
      <c r="H118" s="118">
        <v>1.9335564378590375</v>
      </c>
      <c r="I118" s="118">
        <v>0</v>
      </c>
      <c r="J118" s="118">
        <v>0</v>
      </c>
      <c r="K118" s="118">
        <v>0</v>
      </c>
      <c r="L118" s="118">
        <v>0</v>
      </c>
      <c r="M118" s="118">
        <v>0</v>
      </c>
      <c r="N118" s="118">
        <v>0</v>
      </c>
      <c r="O118" s="118">
        <v>0</v>
      </c>
      <c r="P118" s="118">
        <v>0</v>
      </c>
      <c r="Q118" s="75"/>
    </row>
    <row r="119" spans="3:17" x14ac:dyDescent="0.2">
      <c r="E119" s="86" t="s">
        <v>439</v>
      </c>
      <c r="F119" s="96">
        <f>SUM(F104:F118)</f>
        <v>457.25615895366707</v>
      </c>
      <c r="G119" s="81"/>
      <c r="H119" s="81"/>
      <c r="I119" s="81"/>
      <c r="J119" s="81"/>
      <c r="K119" s="81"/>
      <c r="L119" s="81"/>
      <c r="M119" s="81"/>
      <c r="N119" s="81"/>
      <c r="O119" s="81"/>
      <c r="P119" s="81"/>
      <c r="Q119" s="75"/>
    </row>
    <row r="120" spans="3:17" x14ac:dyDescent="0.2">
      <c r="F120" s="76"/>
      <c r="G120" s="76"/>
      <c r="H120" s="76"/>
      <c r="Q120" s="75"/>
    </row>
    <row r="121" spans="3:17" x14ac:dyDescent="0.2">
      <c r="E121" s="86" t="s">
        <v>370</v>
      </c>
      <c r="F121" s="94">
        <f>+APU!$AK$18</f>
        <v>1490000.4693889541</v>
      </c>
      <c r="G121" s="81"/>
      <c r="H121" s="81"/>
      <c r="I121" s="81"/>
      <c r="J121" s="81"/>
      <c r="K121" s="81"/>
      <c r="L121" s="81"/>
      <c r="M121" s="81"/>
      <c r="N121" s="81"/>
      <c r="O121" s="81"/>
      <c r="P121" s="81"/>
      <c r="Q121" s="75"/>
    </row>
    <row r="122" spans="3:17" x14ac:dyDescent="0.2">
      <c r="G122" s="76"/>
      <c r="H122" s="76"/>
      <c r="Q122" s="75"/>
    </row>
    <row r="123" spans="3:17" x14ac:dyDescent="0.2">
      <c r="C123" s="116">
        <f>+MAX($C$1:$C122)+1</f>
        <v>6</v>
      </c>
      <c r="E123" s="41" t="s">
        <v>375</v>
      </c>
      <c r="F123" s="44"/>
      <c r="G123" s="44"/>
      <c r="H123" s="44"/>
      <c r="I123" s="44"/>
      <c r="J123" s="44"/>
      <c r="K123" s="44"/>
      <c r="L123" s="44"/>
      <c r="M123" s="44"/>
      <c r="N123" s="44"/>
      <c r="O123" s="44"/>
      <c r="P123" s="44"/>
      <c r="Q123" s="75"/>
    </row>
    <row r="124" spans="3:17" x14ac:dyDescent="0.2">
      <c r="F124" s="76"/>
      <c r="G124" s="76"/>
      <c r="H124" s="76"/>
      <c r="Q124" s="75"/>
    </row>
    <row r="125" spans="3:17" x14ac:dyDescent="0.2">
      <c r="E125" s="8" t="s">
        <v>368</v>
      </c>
      <c r="F125" s="9" t="s">
        <v>1</v>
      </c>
      <c r="G125" s="8"/>
      <c r="H125" s="145" t="s">
        <v>369</v>
      </c>
      <c r="I125" s="145"/>
      <c r="J125" s="145"/>
      <c r="K125" s="145"/>
      <c r="L125" s="145"/>
      <c r="M125" s="145"/>
      <c r="N125" s="145"/>
      <c r="O125" s="145"/>
      <c r="P125" s="146"/>
      <c r="Q125" s="75"/>
    </row>
    <row r="126" spans="3:17" x14ac:dyDescent="0.2">
      <c r="E126" s="80" t="s">
        <v>340</v>
      </c>
      <c r="F126" s="89">
        <f t="shared" ref="F126:F140" si="18">SUM($H126:$P126)</f>
        <v>223.61516860209608</v>
      </c>
      <c r="G126" s="82"/>
      <c r="H126" s="117" cm="1">
        <f t="array" ref="H126:P140">SUMIF(APU!$E$18:$E$108,$H$18:$P$32,APU!$G$18:$G$108)*1000/F143</f>
        <v>193.46641738236588</v>
      </c>
      <c r="I126" s="117">
        <v>30.148751219730208</v>
      </c>
      <c r="J126" s="117">
        <v>0</v>
      </c>
      <c r="K126" s="117">
        <v>0</v>
      </c>
      <c r="L126" s="117">
        <v>0</v>
      </c>
      <c r="M126" s="117">
        <v>0</v>
      </c>
      <c r="N126" s="117">
        <v>0</v>
      </c>
      <c r="O126" s="117">
        <v>0</v>
      </c>
      <c r="P126" s="117">
        <v>0</v>
      </c>
      <c r="Q126" s="75"/>
    </row>
    <row r="127" spans="3:17" x14ac:dyDescent="0.2">
      <c r="E127" s="79" t="s">
        <v>338</v>
      </c>
      <c r="F127" s="90">
        <f t="shared" si="18"/>
        <v>179.94130397538939</v>
      </c>
      <c r="G127" s="83"/>
      <c r="H127" s="118">
        <v>50.318731331610195</v>
      </c>
      <c r="I127" s="118">
        <v>17.174844135239216</v>
      </c>
      <c r="J127" s="118">
        <v>46.980506662892644</v>
      </c>
      <c r="K127" s="118">
        <v>60.980402380615416</v>
      </c>
      <c r="L127" s="118">
        <v>1.5095604502014883</v>
      </c>
      <c r="M127" s="118">
        <v>1.9888120014003621</v>
      </c>
      <c r="N127" s="118">
        <v>0.98844701343006758</v>
      </c>
      <c r="O127" s="118">
        <v>0</v>
      </c>
      <c r="P127" s="118">
        <v>0</v>
      </c>
      <c r="Q127" s="75"/>
    </row>
    <row r="128" spans="3:17" x14ac:dyDescent="0.2">
      <c r="E128" s="79" t="s">
        <v>193</v>
      </c>
      <c r="F128" s="90">
        <f t="shared" si="18"/>
        <v>47.525753998108023</v>
      </c>
      <c r="G128" s="83"/>
      <c r="H128" s="118">
        <v>47.525753998108023</v>
      </c>
      <c r="I128" s="118">
        <v>0</v>
      </c>
      <c r="J128" s="118">
        <v>0</v>
      </c>
      <c r="K128" s="118">
        <v>0</v>
      </c>
      <c r="L128" s="118">
        <v>0</v>
      </c>
      <c r="M128" s="118">
        <v>0</v>
      </c>
      <c r="N128" s="118">
        <v>0</v>
      </c>
      <c r="O128" s="118">
        <v>0</v>
      </c>
      <c r="P128" s="118">
        <v>0</v>
      </c>
      <c r="Q128" s="75"/>
    </row>
    <row r="129" spans="5:17" x14ac:dyDescent="0.2">
      <c r="E129" s="79" t="s">
        <v>152</v>
      </c>
      <c r="F129" s="90">
        <f t="shared" si="18"/>
        <v>31.511571608405152</v>
      </c>
      <c r="G129" s="83"/>
      <c r="H129" s="118">
        <v>31.511571608405152</v>
      </c>
      <c r="I129" s="118">
        <v>0</v>
      </c>
      <c r="J129" s="118">
        <v>0</v>
      </c>
      <c r="K129" s="118">
        <v>0</v>
      </c>
      <c r="L129" s="118">
        <v>0</v>
      </c>
      <c r="M129" s="118">
        <v>0</v>
      </c>
      <c r="N129" s="118">
        <v>0</v>
      </c>
      <c r="O129" s="118">
        <v>0</v>
      </c>
      <c r="P129" s="118">
        <v>0</v>
      </c>
      <c r="Q129" s="75"/>
    </row>
    <row r="130" spans="5:17" x14ac:dyDescent="0.2">
      <c r="E130" s="79" t="s">
        <v>342</v>
      </c>
      <c r="F130" s="90">
        <f t="shared" si="18"/>
        <v>36.266545500592173</v>
      </c>
      <c r="G130" s="83"/>
      <c r="H130" s="118">
        <v>17.275104096058875</v>
      </c>
      <c r="I130" s="118">
        <v>15.816492987016856</v>
      </c>
      <c r="J130" s="118">
        <v>0</v>
      </c>
      <c r="K130" s="118">
        <v>3.1749484175164433</v>
      </c>
      <c r="L130" s="118">
        <v>0</v>
      </c>
      <c r="M130" s="118">
        <v>0</v>
      </c>
      <c r="N130" s="118">
        <v>0</v>
      </c>
      <c r="O130" s="118">
        <v>0</v>
      </c>
      <c r="P130" s="118">
        <v>0</v>
      </c>
      <c r="Q130" s="75"/>
    </row>
    <row r="131" spans="5:17" x14ac:dyDescent="0.2">
      <c r="E131" s="79" t="s">
        <v>348</v>
      </c>
      <c r="F131" s="90">
        <f t="shared" si="18"/>
        <v>116.7115328749879</v>
      </c>
      <c r="G131" s="83"/>
      <c r="H131" s="118">
        <v>27.160915002495326</v>
      </c>
      <c r="I131" s="118">
        <v>49.775122717894099</v>
      </c>
      <c r="J131" s="118">
        <v>0.55865505657313541</v>
      </c>
      <c r="K131" s="118">
        <v>11.040513664702683</v>
      </c>
      <c r="L131" s="118">
        <v>4.3445486439579595</v>
      </c>
      <c r="M131" s="118">
        <v>10.514782012796925</v>
      </c>
      <c r="N131" s="118">
        <v>4.4692404525850833E-3</v>
      </c>
      <c r="O131" s="118">
        <v>1.5755562342179947</v>
      </c>
      <c r="P131" s="118">
        <v>11.736970301897193</v>
      </c>
      <c r="Q131" s="75"/>
    </row>
    <row r="132" spans="5:17" x14ac:dyDescent="0.2">
      <c r="E132" s="79" t="s">
        <v>341</v>
      </c>
      <c r="F132" s="90">
        <f t="shared" si="18"/>
        <v>55.855375378954342</v>
      </c>
      <c r="G132" s="83"/>
      <c r="H132" s="118">
        <v>2.087731190084245</v>
      </c>
      <c r="I132" s="118">
        <v>19.930428823621426</v>
      </c>
      <c r="J132" s="118">
        <v>8.8164706408145932</v>
      </c>
      <c r="K132" s="118">
        <v>0.68438968797252908</v>
      </c>
      <c r="L132" s="118">
        <v>0.42979195685693217</v>
      </c>
      <c r="M132" s="118">
        <v>6.1222635213145535</v>
      </c>
      <c r="N132" s="118">
        <v>16.223789766929109</v>
      </c>
      <c r="O132" s="118">
        <v>1.5605097913609582</v>
      </c>
      <c r="P132" s="118">
        <v>0</v>
      </c>
      <c r="Q132" s="75"/>
    </row>
    <row r="133" spans="5:17" x14ac:dyDescent="0.2">
      <c r="E133" s="79" t="s">
        <v>347</v>
      </c>
      <c r="F133" s="90">
        <f t="shared" si="18"/>
        <v>63.90507333278709</v>
      </c>
      <c r="G133" s="83"/>
      <c r="H133" s="118">
        <v>48.114203991031722</v>
      </c>
      <c r="I133" s="118">
        <v>3.1345762787614246</v>
      </c>
      <c r="J133" s="118">
        <v>9.6327029221383818</v>
      </c>
      <c r="K133" s="118">
        <v>1.7581991940469717</v>
      </c>
      <c r="L133" s="118">
        <v>0.83261949631660104</v>
      </c>
      <c r="M133" s="118">
        <v>8.9384809051701666E-3</v>
      </c>
      <c r="N133" s="118">
        <v>0.42383296958681871</v>
      </c>
      <c r="O133" s="118">
        <v>0</v>
      </c>
      <c r="P133" s="118">
        <v>0</v>
      </c>
      <c r="Q133" s="75"/>
    </row>
    <row r="134" spans="5:17" x14ac:dyDescent="0.2">
      <c r="E134" s="79" t="s">
        <v>343</v>
      </c>
      <c r="F134" s="90">
        <f t="shared" si="18"/>
        <v>73.768538036960607</v>
      </c>
      <c r="G134" s="83"/>
      <c r="H134" s="118">
        <v>36.790638430998655</v>
      </c>
      <c r="I134" s="118">
        <v>35.910049087157638</v>
      </c>
      <c r="J134" s="118">
        <v>1.0648710251692726</v>
      </c>
      <c r="K134" s="118">
        <v>2.9794936350567222E-3</v>
      </c>
      <c r="L134" s="118">
        <v>0</v>
      </c>
      <c r="M134" s="118">
        <v>0</v>
      </c>
      <c r="N134" s="118">
        <v>0</v>
      </c>
      <c r="O134" s="118">
        <v>0</v>
      </c>
      <c r="P134" s="118">
        <v>0</v>
      </c>
      <c r="Q134" s="75"/>
    </row>
    <row r="135" spans="5:17" x14ac:dyDescent="0.2">
      <c r="E135" s="79" t="s">
        <v>349</v>
      </c>
      <c r="F135" s="90">
        <f t="shared" si="18"/>
        <v>16.14438626155485</v>
      </c>
      <c r="G135" s="83"/>
      <c r="H135" s="118">
        <v>5.3899039858176101</v>
      </c>
      <c r="I135" s="118">
        <v>4.4330396049191441</v>
      </c>
      <c r="J135" s="118">
        <v>2.6432577783405709</v>
      </c>
      <c r="K135" s="118">
        <v>0.54211886689857058</v>
      </c>
      <c r="L135" s="118">
        <v>0.76677268698184753</v>
      </c>
      <c r="M135" s="118">
        <v>8.2382999009318364E-2</v>
      </c>
      <c r="N135" s="118">
        <v>2.286910339587787</v>
      </c>
      <c r="O135" s="118">
        <v>0</v>
      </c>
      <c r="P135" s="118">
        <v>0</v>
      </c>
      <c r="Q135" s="75"/>
    </row>
    <row r="136" spans="5:17" x14ac:dyDescent="0.2">
      <c r="E136" s="79" t="s">
        <v>345</v>
      </c>
      <c r="F136" s="90">
        <f t="shared" si="18"/>
        <v>18.034428048953082</v>
      </c>
      <c r="G136" s="83"/>
      <c r="H136" s="118">
        <v>6.0804016357420059</v>
      </c>
      <c r="I136" s="118">
        <v>8.5499549351587696</v>
      </c>
      <c r="J136" s="118">
        <v>3.2513724292556478</v>
      </c>
      <c r="K136" s="118">
        <v>0.15269904879665702</v>
      </c>
      <c r="L136" s="118">
        <v>0</v>
      </c>
      <c r="M136" s="118">
        <v>0</v>
      </c>
      <c r="N136" s="118">
        <v>0</v>
      </c>
      <c r="O136" s="118">
        <v>0</v>
      </c>
      <c r="P136" s="118">
        <v>0</v>
      </c>
      <c r="Q136" s="75"/>
    </row>
    <row r="137" spans="5:17" x14ac:dyDescent="0.2">
      <c r="E137" s="79" t="s">
        <v>22</v>
      </c>
      <c r="F137" s="90">
        <f t="shared" si="18"/>
        <v>45.589232110002897</v>
      </c>
      <c r="G137" s="83"/>
      <c r="H137" s="118">
        <v>39.368049400004466</v>
      </c>
      <c r="I137" s="118">
        <v>0.42383296958681871</v>
      </c>
      <c r="J137" s="118">
        <v>1.1666207328064595</v>
      </c>
      <c r="K137" s="118">
        <v>2.7751003716918308</v>
      </c>
      <c r="L137" s="118">
        <v>1.8556286359133265</v>
      </c>
      <c r="M137" s="118">
        <v>0</v>
      </c>
      <c r="N137" s="118">
        <v>0</v>
      </c>
      <c r="O137" s="118">
        <v>0</v>
      </c>
      <c r="P137" s="118">
        <v>0</v>
      </c>
      <c r="Q137" s="75"/>
    </row>
    <row r="138" spans="5:17" x14ac:dyDescent="0.2">
      <c r="E138" s="79" t="s">
        <v>194</v>
      </c>
      <c r="F138" s="90">
        <f t="shared" si="18"/>
        <v>20.186516301554548</v>
      </c>
      <c r="G138" s="83"/>
      <c r="H138" s="118">
        <v>17.129853781349858</v>
      </c>
      <c r="I138" s="118">
        <v>2.4635943121466508</v>
      </c>
      <c r="J138" s="118">
        <v>2.9794936350567222E-3</v>
      </c>
      <c r="K138" s="118">
        <v>0.59008871442298383</v>
      </c>
      <c r="L138" s="118">
        <v>0</v>
      </c>
      <c r="M138" s="118">
        <v>0</v>
      </c>
      <c r="N138" s="118">
        <v>0</v>
      </c>
      <c r="O138" s="118">
        <v>0</v>
      </c>
      <c r="P138" s="118">
        <v>0</v>
      </c>
      <c r="Q138" s="75"/>
    </row>
    <row r="139" spans="5:17" x14ac:dyDescent="0.2">
      <c r="E139" s="79" t="s">
        <v>195</v>
      </c>
      <c r="F139" s="90">
        <f t="shared" si="18"/>
        <v>6.9414752962733983</v>
      </c>
      <c r="G139" s="83"/>
      <c r="H139" s="118">
        <v>4.3999672255700144</v>
      </c>
      <c r="I139" s="118">
        <v>2.5415080707033839</v>
      </c>
      <c r="J139" s="118">
        <v>0</v>
      </c>
      <c r="K139" s="118">
        <v>0</v>
      </c>
      <c r="L139" s="118">
        <v>0</v>
      </c>
      <c r="M139" s="118">
        <v>0</v>
      </c>
      <c r="N139" s="118">
        <v>0</v>
      </c>
      <c r="O139" s="118">
        <v>0</v>
      </c>
      <c r="P139" s="118">
        <v>0</v>
      </c>
      <c r="Q139" s="75"/>
    </row>
    <row r="140" spans="5:17" x14ac:dyDescent="0.2">
      <c r="E140" s="79" t="s">
        <v>196</v>
      </c>
      <c r="F140" s="95">
        <f t="shared" si="18"/>
        <v>64.004141496152727</v>
      </c>
      <c r="G140" s="83"/>
      <c r="H140" s="118">
        <v>64.004141496152727</v>
      </c>
      <c r="I140" s="118">
        <v>0</v>
      </c>
      <c r="J140" s="118">
        <v>0</v>
      </c>
      <c r="K140" s="118">
        <v>0</v>
      </c>
      <c r="L140" s="118">
        <v>0</v>
      </c>
      <c r="M140" s="118">
        <v>0</v>
      </c>
      <c r="N140" s="118">
        <v>0</v>
      </c>
      <c r="O140" s="118">
        <v>0</v>
      </c>
      <c r="P140" s="118">
        <v>0</v>
      </c>
      <c r="Q140" s="75"/>
    </row>
    <row r="141" spans="5:17" x14ac:dyDescent="0.2">
      <c r="E141" s="86" t="s">
        <v>437</v>
      </c>
      <c r="F141" s="96">
        <f>SUM(F126:F140)</f>
        <v>1000.0010428227722</v>
      </c>
      <c r="G141" s="81"/>
      <c r="H141" s="81"/>
      <c r="I141" s="81"/>
      <c r="J141" s="81"/>
      <c r="K141" s="81"/>
      <c r="L141" s="81"/>
      <c r="M141" s="81"/>
      <c r="N141" s="81"/>
      <c r="O141" s="81"/>
      <c r="P141" s="81"/>
      <c r="Q141" s="75"/>
    </row>
    <row r="142" spans="5:17" x14ac:dyDescent="0.2">
      <c r="G142" s="76"/>
      <c r="H142" s="76"/>
      <c r="Q142" s="75"/>
    </row>
    <row r="143" spans="5:17" x14ac:dyDescent="0.2">
      <c r="E143" s="86" t="s">
        <v>379</v>
      </c>
      <c r="F143" s="94">
        <f>+APU!G18</f>
        <v>671255</v>
      </c>
      <c r="G143" s="81"/>
      <c r="H143" s="81"/>
      <c r="I143" s="81"/>
      <c r="J143" s="81"/>
      <c r="K143" s="81"/>
      <c r="L143" s="81"/>
      <c r="M143" s="81"/>
      <c r="N143" s="81"/>
      <c r="O143" s="81"/>
      <c r="P143" s="81"/>
      <c r="Q143" s="75"/>
    </row>
    <row r="144" spans="5:17" x14ac:dyDescent="0.2">
      <c r="F144" s="76"/>
      <c r="H144" s="76"/>
      <c r="Q144" s="75"/>
    </row>
    <row r="145" spans="1:17" x14ac:dyDescent="0.2">
      <c r="C145" s="116">
        <f>+MAX($C$1:$C144)+1</f>
        <v>7</v>
      </c>
      <c r="E145" s="41" t="s">
        <v>376</v>
      </c>
      <c r="F145" s="44"/>
      <c r="G145" s="44"/>
      <c r="H145" s="44"/>
      <c r="I145" s="44"/>
      <c r="J145" s="44"/>
      <c r="K145" s="44"/>
      <c r="L145" s="44"/>
      <c r="M145" s="44"/>
      <c r="N145" s="44"/>
      <c r="O145" s="44"/>
      <c r="P145" s="44"/>
      <c r="Q145" s="75"/>
    </row>
    <row r="146" spans="1:17" x14ac:dyDescent="0.2">
      <c r="A146"/>
      <c r="B146"/>
      <c r="C146" s="114"/>
      <c r="D146"/>
      <c r="E146"/>
      <c r="F146"/>
      <c r="G146"/>
      <c r="H146"/>
      <c r="I146"/>
      <c r="J146"/>
      <c r="K146"/>
      <c r="L146"/>
      <c r="M146"/>
      <c r="N146"/>
      <c r="O146"/>
      <c r="P146"/>
      <c r="Q146"/>
    </row>
    <row r="147" spans="1:17" ht="112" x14ac:dyDescent="0.2">
      <c r="E147" s="8"/>
      <c r="F147" s="9">
        <v>1995</v>
      </c>
      <c r="G147" s="8">
        <v>2022</v>
      </c>
      <c r="H147" s="144" t="s">
        <v>350</v>
      </c>
      <c r="J147" s="144" t="s">
        <v>449</v>
      </c>
      <c r="K147" s="144" t="s">
        <v>448</v>
      </c>
      <c r="L147" s="144" t="s">
        <v>395</v>
      </c>
      <c r="N147" s="144" t="s">
        <v>462</v>
      </c>
      <c r="O147" s="144" t="s">
        <v>460</v>
      </c>
      <c r="P147" s="144" t="s">
        <v>461</v>
      </c>
      <c r="Q147" s="75"/>
    </row>
    <row r="148" spans="1:17" ht="16" x14ac:dyDescent="0.2">
      <c r="E148" s="80" t="s">
        <v>340</v>
      </c>
      <c r="F148" s="103">
        <v>223.61493541134899</v>
      </c>
      <c r="G148" s="104">
        <v>262.36092186582545</v>
      </c>
      <c r="H148" s="87">
        <f>G148-F148</f>
        <v>38.745986454476451</v>
      </c>
      <c r="J148" s="150">
        <v>67.813395999999997</v>
      </c>
      <c r="K148" s="153">
        <f>APU!$AK$18</f>
        <v>1490000.4693889541</v>
      </c>
      <c r="L148" s="151">
        <f>$K$148/(12*$J$148)</f>
        <v>1831.0055697905595</v>
      </c>
      <c r="N148" s="165">
        <v>4.9000000000000002E-2</v>
      </c>
      <c r="O148" s="153">
        <f>$N$148*APU!$AK$13</f>
        <v>125606.19575</v>
      </c>
      <c r="P148" s="151">
        <f>$O$148/(12*$J$148)</f>
        <v>154.35273259529234</v>
      </c>
      <c r="Q148" s="75"/>
    </row>
    <row r="149" spans="1:17" x14ac:dyDescent="0.2">
      <c r="E149" s="79" t="s">
        <v>338</v>
      </c>
      <c r="F149" s="105">
        <v>179.94111632869561</v>
      </c>
      <c r="G149" s="106">
        <v>205.48646107497623</v>
      </c>
      <c r="H149" s="88">
        <f t="shared" ref="H149:H162" si="19">G149-F149</f>
        <v>25.54534474628062</v>
      </c>
      <c r="Q149" s="75"/>
    </row>
    <row r="150" spans="1:17" x14ac:dyDescent="0.2">
      <c r="E150" s="79" t="s">
        <v>193</v>
      </c>
      <c r="F150" s="105">
        <v>47.525704437221172</v>
      </c>
      <c r="G150" s="106">
        <v>39.394136753597671</v>
      </c>
      <c r="H150" s="88">
        <f t="shared" si="19"/>
        <v>-8.1315676836235014</v>
      </c>
      <c r="Q150" s="75"/>
    </row>
    <row r="151" spans="1:17" x14ac:dyDescent="0.2">
      <c r="E151" s="79" t="s">
        <v>152</v>
      </c>
      <c r="F151" s="105">
        <v>31.511538747454956</v>
      </c>
      <c r="G151" s="106">
        <v>26.845629126817606</v>
      </c>
      <c r="H151" s="88">
        <f t="shared" si="19"/>
        <v>-4.6659096206373505</v>
      </c>
      <c r="Q151" s="75"/>
    </row>
    <row r="152" spans="1:17" x14ac:dyDescent="0.2">
      <c r="E152" s="79" t="s">
        <v>342</v>
      </c>
      <c r="F152" s="105">
        <v>36.266507681052097</v>
      </c>
      <c r="G152" s="106">
        <v>36.741543079643399</v>
      </c>
      <c r="H152" s="88">
        <f t="shared" si="19"/>
        <v>0.47503539859130228</v>
      </c>
      <c r="Q152" s="75"/>
    </row>
    <row r="153" spans="1:17" x14ac:dyDescent="0.2">
      <c r="E153" s="79" t="s">
        <v>348</v>
      </c>
      <c r="F153" s="105">
        <v>116.71141116567057</v>
      </c>
      <c r="G153" s="106">
        <v>96.68587866304</v>
      </c>
      <c r="H153" s="88">
        <f t="shared" si="19"/>
        <v>-20.025532502630568</v>
      </c>
      <c r="Q153" s="75"/>
    </row>
    <row r="154" spans="1:17" x14ac:dyDescent="0.2">
      <c r="E154" s="79" t="s">
        <v>341</v>
      </c>
      <c r="F154" s="105">
        <v>55.855317131757687</v>
      </c>
      <c r="G154" s="106">
        <v>68.799374432413785</v>
      </c>
      <c r="H154" s="88">
        <f t="shared" si="19"/>
        <v>12.944057300656098</v>
      </c>
      <c r="Q154" s="75"/>
    </row>
    <row r="155" spans="1:17" x14ac:dyDescent="0.2">
      <c r="E155" s="79" t="s">
        <v>347</v>
      </c>
      <c r="F155" s="105">
        <v>63.905006691190856</v>
      </c>
      <c r="G155" s="106">
        <v>51.265771857835318</v>
      </c>
      <c r="H155" s="88">
        <f t="shared" si="19"/>
        <v>-12.639234833355538</v>
      </c>
      <c r="Q155" s="75"/>
    </row>
    <row r="156" spans="1:17" x14ac:dyDescent="0.2">
      <c r="E156" s="79" t="s">
        <v>343</v>
      </c>
      <c r="F156" s="105">
        <v>73.768461109529511</v>
      </c>
      <c r="G156" s="106">
        <v>49.007859378833601</v>
      </c>
      <c r="H156" s="88">
        <f t="shared" si="19"/>
        <v>-24.76060173069591</v>
      </c>
      <c r="Q156" s="75"/>
    </row>
    <row r="157" spans="1:17" x14ac:dyDescent="0.2">
      <c r="E157" s="79" t="s">
        <v>349</v>
      </c>
      <c r="F157" s="105">
        <v>16.144369425838768</v>
      </c>
      <c r="G157" s="106">
        <v>34.511749255841032</v>
      </c>
      <c r="H157" s="88">
        <f t="shared" si="19"/>
        <v>18.367379830002264</v>
      </c>
      <c r="Q157" s="75"/>
    </row>
    <row r="158" spans="1:17" x14ac:dyDescent="0.2">
      <c r="E158" s="79" t="s">
        <v>345</v>
      </c>
      <c r="F158" s="105">
        <v>18.034409242260441</v>
      </c>
      <c r="G158" s="106">
        <v>24.30195572853107</v>
      </c>
      <c r="H158" s="88">
        <f t="shared" si="19"/>
        <v>6.2675464862706285</v>
      </c>
      <c r="Q158" s="75"/>
    </row>
    <row r="159" spans="1:17" x14ac:dyDescent="0.2">
      <c r="E159" s="79" t="s">
        <v>22</v>
      </c>
      <c r="F159" s="105">
        <v>45.589184568563063</v>
      </c>
      <c r="G159" s="106">
        <v>34.850937743191132</v>
      </c>
      <c r="H159" s="88">
        <f t="shared" si="19"/>
        <v>-10.738246825371931</v>
      </c>
      <c r="Q159" s="75"/>
    </row>
    <row r="160" spans="1:17" x14ac:dyDescent="0.2">
      <c r="E160" s="79" t="s">
        <v>194</v>
      </c>
      <c r="F160" s="105">
        <v>20.186495250617615</v>
      </c>
      <c r="G160" s="106">
        <v>22.761153376236422</v>
      </c>
      <c r="H160" s="88">
        <f t="shared" si="19"/>
        <v>2.5746581256188072</v>
      </c>
      <c r="Q160" s="75"/>
    </row>
    <row r="161" spans="3:17" x14ac:dyDescent="0.2">
      <c r="E161" s="79" t="s">
        <v>195</v>
      </c>
      <c r="F161" s="105">
        <v>6.9414680575524352</v>
      </c>
      <c r="G161" s="106">
        <v>7.2988302611100924</v>
      </c>
      <c r="H161" s="88">
        <f t="shared" si="19"/>
        <v>0.35736220355765713</v>
      </c>
      <c r="Q161" s="75"/>
    </row>
    <row r="162" spans="3:17" x14ac:dyDescent="0.2">
      <c r="E162" s="79" t="s">
        <v>196</v>
      </c>
      <c r="F162" s="105">
        <v>64.004074751246065</v>
      </c>
      <c r="G162" s="106">
        <v>39.687797402107321</v>
      </c>
      <c r="H162" s="88">
        <f t="shared" si="19"/>
        <v>-24.316277349138744</v>
      </c>
      <c r="Q162" s="75"/>
    </row>
    <row r="163" spans="3:17" customFormat="1" x14ac:dyDescent="0.2">
      <c r="C163" s="114"/>
    </row>
    <row r="164" spans="3:17" customFormat="1" x14ac:dyDescent="0.2">
      <c r="C164" s="114"/>
    </row>
    <row r="165" spans="3:17" customFormat="1" x14ac:dyDescent="0.2">
      <c r="C165" s="114"/>
    </row>
    <row r="166" spans="3:17" customFormat="1" x14ac:dyDescent="0.2">
      <c r="C166" s="114"/>
    </row>
    <row r="167" spans="3:17" customFormat="1" x14ac:dyDescent="0.2">
      <c r="C167" s="114"/>
    </row>
    <row r="168" spans="3:17" customFormat="1" x14ac:dyDescent="0.2">
      <c r="C168" s="114"/>
    </row>
    <row r="169" spans="3:17" customFormat="1" x14ac:dyDescent="0.2">
      <c r="C169" s="114"/>
    </row>
    <row r="170" spans="3:17" customFormat="1" x14ac:dyDescent="0.2">
      <c r="C170" s="114"/>
    </row>
    <row r="171" spans="3:17" customFormat="1" x14ac:dyDescent="0.2">
      <c r="C171" s="114"/>
    </row>
    <row r="172" spans="3:17" customFormat="1" x14ac:dyDescent="0.2">
      <c r="C172" s="114"/>
    </row>
    <row r="173" spans="3:17" customFormat="1" x14ac:dyDescent="0.2">
      <c r="C173" s="114"/>
    </row>
    <row r="174" spans="3:17" customFormat="1" x14ac:dyDescent="0.2">
      <c r="C174" s="114"/>
    </row>
    <row r="175" spans="3:17" customFormat="1" x14ac:dyDescent="0.2">
      <c r="C175" s="114"/>
    </row>
    <row r="176" spans="3:17" customFormat="1" x14ac:dyDescent="0.2">
      <c r="C176" s="114"/>
    </row>
    <row r="177" spans="3:3" customFormat="1" x14ac:dyDescent="0.2">
      <c r="C177" s="114"/>
    </row>
    <row r="178" spans="3:3" customFormat="1" x14ac:dyDescent="0.2">
      <c r="C178" s="114"/>
    </row>
    <row r="179" spans="3:3" customFormat="1" x14ac:dyDescent="0.2">
      <c r="C179" s="114"/>
    </row>
    <row r="180" spans="3:3" customFormat="1" x14ac:dyDescent="0.2">
      <c r="C180" s="114"/>
    </row>
    <row r="181" spans="3:3" customFormat="1" x14ac:dyDescent="0.2">
      <c r="C181" s="114"/>
    </row>
    <row r="182" spans="3:3" customFormat="1" x14ac:dyDescent="0.2">
      <c r="C182" s="114"/>
    </row>
    <row r="183" spans="3:3" customFormat="1" x14ac:dyDescent="0.2">
      <c r="C183" s="114"/>
    </row>
    <row r="184" spans="3:3" customFormat="1" x14ac:dyDescent="0.2">
      <c r="C184" s="114"/>
    </row>
    <row r="185" spans="3:3" customFormat="1" x14ac:dyDescent="0.2">
      <c r="C185" s="114"/>
    </row>
    <row r="186" spans="3:3" customFormat="1" x14ac:dyDescent="0.2">
      <c r="C186" s="114"/>
    </row>
    <row r="187" spans="3:3" customFormat="1" x14ac:dyDescent="0.2">
      <c r="C187" s="114"/>
    </row>
    <row r="188" spans="3:3" customFormat="1" x14ac:dyDescent="0.2">
      <c r="C188" s="114"/>
    </row>
    <row r="189" spans="3:3" customFormat="1" x14ac:dyDescent="0.2">
      <c r="C189" s="114"/>
    </row>
    <row r="190" spans="3:3" customFormat="1" x14ac:dyDescent="0.2">
      <c r="C190" s="114"/>
    </row>
    <row r="191" spans="3:3" customFormat="1" x14ac:dyDescent="0.2">
      <c r="C191" s="114"/>
    </row>
    <row r="192" spans="3:3" customFormat="1" x14ac:dyDescent="0.2">
      <c r="C192" s="114"/>
    </row>
    <row r="193" spans="3:3" customFormat="1" x14ac:dyDescent="0.2">
      <c r="C193" s="114"/>
    </row>
    <row r="194" spans="3:3" customFormat="1" x14ac:dyDescent="0.2">
      <c r="C194" s="114"/>
    </row>
    <row r="195" spans="3:3" customFormat="1" x14ac:dyDescent="0.2">
      <c r="C195" s="114"/>
    </row>
    <row r="196" spans="3:3" customFormat="1" x14ac:dyDescent="0.2">
      <c r="C196" s="114"/>
    </row>
    <row r="197" spans="3:3" customFormat="1" x14ac:dyDescent="0.2">
      <c r="C197" s="114"/>
    </row>
    <row r="198" spans="3:3" customFormat="1" x14ac:dyDescent="0.2">
      <c r="C198" s="114"/>
    </row>
    <row r="199" spans="3:3" customFormat="1" x14ac:dyDescent="0.2">
      <c r="C199" s="114"/>
    </row>
    <row r="200" spans="3:3" customFormat="1" x14ac:dyDescent="0.2">
      <c r="C200" s="114"/>
    </row>
    <row r="201" spans="3:3" customFormat="1" x14ac:dyDescent="0.2">
      <c r="C201" s="114"/>
    </row>
    <row r="202" spans="3:3" customFormat="1" x14ac:dyDescent="0.2">
      <c r="C202" s="114"/>
    </row>
    <row r="203" spans="3:3" customFormat="1" x14ac:dyDescent="0.2">
      <c r="C203" s="114"/>
    </row>
    <row r="204" spans="3:3" customFormat="1" x14ac:dyDescent="0.2">
      <c r="C204" s="114"/>
    </row>
    <row r="205" spans="3:3" customFormat="1" x14ac:dyDescent="0.2">
      <c r="C205" s="114"/>
    </row>
    <row r="206" spans="3:3" customFormat="1" x14ac:dyDescent="0.2">
      <c r="C206" s="114"/>
    </row>
    <row r="207" spans="3:3" customFormat="1" x14ac:dyDescent="0.2">
      <c r="C207" s="114"/>
    </row>
    <row r="208" spans="3:3" customFormat="1" x14ac:dyDescent="0.2">
      <c r="C208" s="114"/>
    </row>
    <row r="209" spans="3:3" customFormat="1" x14ac:dyDescent="0.2">
      <c r="C209" s="114"/>
    </row>
    <row r="210" spans="3:3" customFormat="1" x14ac:dyDescent="0.2">
      <c r="C210" s="114"/>
    </row>
    <row r="211" spans="3:3" customFormat="1" x14ac:dyDescent="0.2">
      <c r="C211" s="114"/>
    </row>
    <row r="212" spans="3:3" customFormat="1" x14ac:dyDescent="0.2">
      <c r="C212" s="114"/>
    </row>
    <row r="213" spans="3:3" customFormat="1" x14ac:dyDescent="0.2">
      <c r="C213" s="114"/>
    </row>
    <row r="214" spans="3:3" customFormat="1" x14ac:dyDescent="0.2">
      <c r="C214" s="114"/>
    </row>
    <row r="215" spans="3:3" customFormat="1" x14ac:dyDescent="0.2">
      <c r="C215" s="114"/>
    </row>
    <row r="216" spans="3:3" customFormat="1" x14ac:dyDescent="0.2">
      <c r="C216" s="114"/>
    </row>
    <row r="217" spans="3:3" customFormat="1" x14ac:dyDescent="0.2">
      <c r="C217" s="114"/>
    </row>
    <row r="218" spans="3:3" customFormat="1" x14ac:dyDescent="0.2">
      <c r="C218" s="114"/>
    </row>
    <row r="219" spans="3:3" customFormat="1" x14ac:dyDescent="0.2">
      <c r="C219" s="114"/>
    </row>
    <row r="220" spans="3:3" customFormat="1" x14ac:dyDescent="0.2">
      <c r="C220" s="114"/>
    </row>
    <row r="221" spans="3:3" customFormat="1" x14ac:dyDescent="0.2">
      <c r="C221" s="114"/>
    </row>
    <row r="222" spans="3:3" customFormat="1" x14ac:dyDescent="0.2">
      <c r="C222" s="114"/>
    </row>
    <row r="223" spans="3:3" customFormat="1" x14ac:dyDescent="0.2">
      <c r="C223" s="114"/>
    </row>
    <row r="224" spans="3:3" customFormat="1" x14ac:dyDescent="0.2">
      <c r="C224" s="114"/>
    </row>
    <row r="225" spans="3:3" customFormat="1" x14ac:dyDescent="0.2">
      <c r="C225" s="114"/>
    </row>
    <row r="226" spans="3:3" customFormat="1" x14ac:dyDescent="0.2">
      <c r="C226" s="114"/>
    </row>
    <row r="227" spans="3:3" customFormat="1" x14ac:dyDescent="0.2">
      <c r="C227" s="114"/>
    </row>
    <row r="228" spans="3:3" customFormat="1" x14ac:dyDescent="0.2">
      <c r="C228" s="114"/>
    </row>
    <row r="229" spans="3:3" customFormat="1" x14ac:dyDescent="0.2">
      <c r="C229" s="114"/>
    </row>
    <row r="230" spans="3:3" customFormat="1" x14ac:dyDescent="0.2">
      <c r="C230" s="114"/>
    </row>
    <row r="231" spans="3:3" customFormat="1" x14ac:dyDescent="0.2">
      <c r="C231" s="114"/>
    </row>
    <row r="232" spans="3:3" customFormat="1" x14ac:dyDescent="0.2">
      <c r="C232" s="114"/>
    </row>
    <row r="233" spans="3:3" customFormat="1" x14ac:dyDescent="0.2">
      <c r="C233" s="114"/>
    </row>
    <row r="234" spans="3:3" customFormat="1" x14ac:dyDescent="0.2">
      <c r="C234" s="114"/>
    </row>
    <row r="235" spans="3:3" customFormat="1" x14ac:dyDescent="0.2">
      <c r="C235" s="114"/>
    </row>
    <row r="236" spans="3:3" customFormat="1" x14ac:dyDescent="0.2">
      <c r="C236" s="114"/>
    </row>
    <row r="237" spans="3:3" customFormat="1" x14ac:dyDescent="0.2">
      <c r="C237" s="114"/>
    </row>
    <row r="238" spans="3:3" customFormat="1" x14ac:dyDescent="0.2">
      <c r="C238" s="114"/>
    </row>
    <row r="239" spans="3:3" customFormat="1" x14ac:dyDescent="0.2">
      <c r="C239" s="114"/>
    </row>
    <row r="240" spans="3:3" customFormat="1" x14ac:dyDescent="0.2">
      <c r="C240" s="114"/>
    </row>
    <row r="241" spans="3:3" customFormat="1" x14ac:dyDescent="0.2">
      <c r="C241" s="114"/>
    </row>
    <row r="242" spans="3:3" customFormat="1" x14ac:dyDescent="0.2">
      <c r="C242" s="114"/>
    </row>
    <row r="243" spans="3:3" customFormat="1" x14ac:dyDescent="0.2">
      <c r="C243" s="114"/>
    </row>
    <row r="244" spans="3:3" customFormat="1" x14ac:dyDescent="0.2">
      <c r="C244" s="114"/>
    </row>
    <row r="245" spans="3:3" customFormat="1" x14ac:dyDescent="0.2">
      <c r="C245" s="114"/>
    </row>
    <row r="246" spans="3:3" customFormat="1" x14ac:dyDescent="0.2">
      <c r="C246" s="114"/>
    </row>
    <row r="247" spans="3:3" customFormat="1" x14ac:dyDescent="0.2">
      <c r="C247" s="114"/>
    </row>
    <row r="248" spans="3:3" customFormat="1" x14ac:dyDescent="0.2">
      <c r="C248" s="114"/>
    </row>
    <row r="249" spans="3:3" customFormat="1" x14ac:dyDescent="0.2">
      <c r="C249" s="114"/>
    </row>
    <row r="250" spans="3:3" customFormat="1" x14ac:dyDescent="0.2">
      <c r="C250" s="114"/>
    </row>
    <row r="251" spans="3:3" customFormat="1" x14ac:dyDescent="0.2">
      <c r="C251" s="114"/>
    </row>
    <row r="252" spans="3:3" customFormat="1" x14ac:dyDescent="0.2">
      <c r="C252" s="114"/>
    </row>
    <row r="253" spans="3:3" customFormat="1" x14ac:dyDescent="0.2">
      <c r="C253" s="114"/>
    </row>
    <row r="254" spans="3:3" customFormat="1" x14ac:dyDescent="0.2">
      <c r="C254" s="114"/>
    </row>
    <row r="255" spans="3:3" customFormat="1" x14ac:dyDescent="0.2">
      <c r="C255" s="114"/>
    </row>
    <row r="256" spans="3:3" customFormat="1" x14ac:dyDescent="0.2">
      <c r="C256" s="114"/>
    </row>
    <row r="257" spans="3:3" customFormat="1" x14ac:dyDescent="0.2">
      <c r="C257" s="114"/>
    </row>
    <row r="258" spans="3:3" customFormat="1" x14ac:dyDescent="0.2">
      <c r="C258" s="114"/>
    </row>
    <row r="259" spans="3:3" customFormat="1" x14ac:dyDescent="0.2">
      <c r="C259" s="114"/>
    </row>
    <row r="260" spans="3:3" customFormat="1" x14ac:dyDescent="0.2">
      <c r="C260" s="114"/>
    </row>
    <row r="261" spans="3:3" customFormat="1" x14ac:dyDescent="0.2">
      <c r="C261" s="114"/>
    </row>
    <row r="262" spans="3:3" customFormat="1" x14ac:dyDescent="0.2">
      <c r="C262" s="114"/>
    </row>
    <row r="263" spans="3:3" customFormat="1" x14ac:dyDescent="0.2">
      <c r="C263" s="114"/>
    </row>
    <row r="264" spans="3:3" customFormat="1" x14ac:dyDescent="0.2">
      <c r="C264" s="114"/>
    </row>
    <row r="265" spans="3:3" customFormat="1" x14ac:dyDescent="0.2">
      <c r="C265" s="114"/>
    </row>
    <row r="266" spans="3:3" customFormat="1" x14ac:dyDescent="0.2">
      <c r="C266" s="114"/>
    </row>
    <row r="267" spans="3:3" customFormat="1" x14ac:dyDescent="0.2">
      <c r="C267" s="114"/>
    </row>
    <row r="268" spans="3:3" customFormat="1" x14ac:dyDescent="0.2">
      <c r="C268" s="114"/>
    </row>
    <row r="269" spans="3:3" customFormat="1" x14ac:dyDescent="0.2">
      <c r="C269" s="114"/>
    </row>
    <row r="270" spans="3:3" customFormat="1" x14ac:dyDescent="0.2">
      <c r="C270" s="114"/>
    </row>
    <row r="271" spans="3:3" customFormat="1" x14ac:dyDescent="0.2">
      <c r="C271" s="114"/>
    </row>
    <row r="272" spans="3:3" customFormat="1" x14ac:dyDescent="0.2">
      <c r="C272" s="114"/>
    </row>
    <row r="273" spans="3:3" customFormat="1" x14ac:dyDescent="0.2">
      <c r="C273" s="114"/>
    </row>
    <row r="274" spans="3:3" customFormat="1" x14ac:dyDescent="0.2">
      <c r="C274" s="114"/>
    </row>
    <row r="275" spans="3:3" customFormat="1" x14ac:dyDescent="0.2">
      <c r="C275" s="114"/>
    </row>
    <row r="276" spans="3:3" customFormat="1" x14ac:dyDescent="0.2">
      <c r="C276" s="114"/>
    </row>
    <row r="277" spans="3:3" customFormat="1" x14ac:dyDescent="0.2">
      <c r="C277" s="114"/>
    </row>
    <row r="278" spans="3:3" customFormat="1" x14ac:dyDescent="0.2">
      <c r="C278" s="114"/>
    </row>
    <row r="279" spans="3:3" customFormat="1" x14ac:dyDescent="0.2">
      <c r="C279" s="114"/>
    </row>
    <row r="280" spans="3:3" customFormat="1" x14ac:dyDescent="0.2">
      <c r="C280" s="114"/>
    </row>
    <row r="281" spans="3:3" customFormat="1" x14ac:dyDescent="0.2">
      <c r="C281" s="114"/>
    </row>
    <row r="282" spans="3:3" customFormat="1" x14ac:dyDescent="0.2">
      <c r="C282" s="114"/>
    </row>
    <row r="283" spans="3:3" customFormat="1" x14ac:dyDescent="0.2">
      <c r="C283" s="114"/>
    </row>
    <row r="284" spans="3:3" customFormat="1" x14ac:dyDescent="0.2">
      <c r="C284" s="114"/>
    </row>
    <row r="285" spans="3:3" customFormat="1" x14ac:dyDescent="0.2">
      <c r="C285" s="114"/>
    </row>
    <row r="286" spans="3:3" customFormat="1" x14ac:dyDescent="0.2">
      <c r="C286" s="114"/>
    </row>
    <row r="287" spans="3:3" customFormat="1" x14ac:dyDescent="0.2">
      <c r="C287" s="114"/>
    </row>
    <row r="288" spans="3:3" customFormat="1" x14ac:dyDescent="0.2">
      <c r="C288" s="114"/>
    </row>
    <row r="289" spans="3:3" customFormat="1" x14ac:dyDescent="0.2">
      <c r="C289" s="114"/>
    </row>
    <row r="290" spans="3:3" customFormat="1" x14ac:dyDescent="0.2">
      <c r="C290" s="114"/>
    </row>
    <row r="291" spans="3:3" customFormat="1" x14ac:dyDescent="0.2">
      <c r="C291" s="114"/>
    </row>
    <row r="292" spans="3:3" customFormat="1" x14ac:dyDescent="0.2">
      <c r="C292" s="114"/>
    </row>
    <row r="293" spans="3:3" customFormat="1" x14ac:dyDescent="0.2">
      <c r="C293" s="114"/>
    </row>
    <row r="294" spans="3:3" customFormat="1" x14ac:dyDescent="0.2">
      <c r="C294" s="114"/>
    </row>
    <row r="295" spans="3:3" customFormat="1" x14ac:dyDescent="0.2">
      <c r="C295" s="114"/>
    </row>
    <row r="296" spans="3:3" customFormat="1" x14ac:dyDescent="0.2">
      <c r="C296" s="114"/>
    </row>
    <row r="297" spans="3:3" customFormat="1" x14ac:dyDescent="0.2">
      <c r="C297" s="114"/>
    </row>
    <row r="298" spans="3:3" customFormat="1" x14ac:dyDescent="0.2">
      <c r="C298" s="114"/>
    </row>
    <row r="299" spans="3:3" customFormat="1" x14ac:dyDescent="0.2">
      <c r="C299" s="114"/>
    </row>
    <row r="300" spans="3:3" customFormat="1" x14ac:dyDescent="0.2">
      <c r="C300" s="114"/>
    </row>
    <row r="301" spans="3:3" customFormat="1" x14ac:dyDescent="0.2">
      <c r="C301" s="114"/>
    </row>
    <row r="302" spans="3:3" customFormat="1" x14ac:dyDescent="0.2">
      <c r="C302" s="114"/>
    </row>
    <row r="303" spans="3:3" customFormat="1" x14ac:dyDescent="0.2">
      <c r="C303" s="114"/>
    </row>
    <row r="304" spans="3:3" customFormat="1" x14ac:dyDescent="0.2">
      <c r="C304" s="114"/>
    </row>
    <row r="305" spans="3:3" customFormat="1" x14ac:dyDescent="0.2">
      <c r="C305" s="114"/>
    </row>
    <row r="306" spans="3:3" customFormat="1" x14ac:dyDescent="0.2">
      <c r="C306" s="114"/>
    </row>
    <row r="307" spans="3:3" customFormat="1" x14ac:dyDescent="0.2">
      <c r="C307" s="114"/>
    </row>
    <row r="308" spans="3:3" customFormat="1" x14ac:dyDescent="0.2">
      <c r="C308" s="114"/>
    </row>
    <row r="309" spans="3:3" customFormat="1" x14ac:dyDescent="0.2">
      <c r="C309" s="114"/>
    </row>
    <row r="310" spans="3:3" customFormat="1" x14ac:dyDescent="0.2">
      <c r="C310" s="114"/>
    </row>
    <row r="311" spans="3:3" customFormat="1" x14ac:dyDescent="0.2">
      <c r="C311" s="114"/>
    </row>
    <row r="312" spans="3:3" customFormat="1" x14ac:dyDescent="0.2">
      <c r="C312" s="114"/>
    </row>
    <row r="313" spans="3:3" customFormat="1" x14ac:dyDescent="0.2">
      <c r="C313" s="114"/>
    </row>
    <row r="314" spans="3:3" customFormat="1" x14ac:dyDescent="0.2">
      <c r="C314" s="114"/>
    </row>
    <row r="315" spans="3:3" customFormat="1" x14ac:dyDescent="0.2">
      <c r="C315" s="114"/>
    </row>
    <row r="316" spans="3:3" customFormat="1" x14ac:dyDescent="0.2">
      <c r="C316" s="114"/>
    </row>
    <row r="317" spans="3:3" customFormat="1" x14ac:dyDescent="0.2">
      <c r="C317" s="114"/>
    </row>
    <row r="318" spans="3:3" customFormat="1" x14ac:dyDescent="0.2">
      <c r="C318" s="114"/>
    </row>
    <row r="319" spans="3:3" customFormat="1" x14ac:dyDescent="0.2">
      <c r="C319" s="114"/>
    </row>
    <row r="320" spans="3:3" customFormat="1" x14ac:dyDescent="0.2">
      <c r="C320" s="114"/>
    </row>
    <row r="321" spans="3:3" customFormat="1" x14ac:dyDescent="0.2">
      <c r="C321" s="114"/>
    </row>
    <row r="322" spans="3:3" customFormat="1" x14ac:dyDescent="0.2">
      <c r="C322" s="114"/>
    </row>
    <row r="323" spans="3:3" customFormat="1" x14ac:dyDescent="0.2">
      <c r="C323" s="114"/>
    </row>
    <row r="324" spans="3:3" customFormat="1" x14ac:dyDescent="0.2">
      <c r="C324" s="114"/>
    </row>
    <row r="325" spans="3:3" customFormat="1" x14ac:dyDescent="0.2">
      <c r="C325" s="114"/>
    </row>
    <row r="326" spans="3:3" customFormat="1" x14ac:dyDescent="0.2">
      <c r="C326" s="114"/>
    </row>
    <row r="327" spans="3:3" customFormat="1" x14ac:dyDescent="0.2">
      <c r="C327" s="114"/>
    </row>
    <row r="328" spans="3:3" customFormat="1" x14ac:dyDescent="0.2">
      <c r="C328" s="114"/>
    </row>
    <row r="329" spans="3:3" customFormat="1" x14ac:dyDescent="0.2">
      <c r="C329" s="114"/>
    </row>
    <row r="330" spans="3:3" customFormat="1" x14ac:dyDescent="0.2">
      <c r="C330" s="114"/>
    </row>
    <row r="331" spans="3:3" customFormat="1" x14ac:dyDescent="0.2">
      <c r="C331" s="114"/>
    </row>
    <row r="332" spans="3:3" customFormat="1" x14ac:dyDescent="0.2">
      <c r="C332" s="114"/>
    </row>
    <row r="333" spans="3:3" customFormat="1" x14ac:dyDescent="0.2">
      <c r="C333" s="114"/>
    </row>
    <row r="334" spans="3:3" customFormat="1" x14ac:dyDescent="0.2">
      <c r="C334" s="114"/>
    </row>
    <row r="335" spans="3:3" customFormat="1" x14ac:dyDescent="0.2">
      <c r="C335" s="114"/>
    </row>
    <row r="336" spans="3:3" customFormat="1" x14ac:dyDescent="0.2">
      <c r="C336" s="114"/>
    </row>
    <row r="337" spans="3:25" customFormat="1" x14ac:dyDescent="0.2">
      <c r="C337" s="114"/>
    </row>
    <row r="338" spans="3:25" customFormat="1" x14ac:dyDescent="0.2">
      <c r="C338" s="114"/>
    </row>
    <row r="339" spans="3:25" s="2" customFormat="1" x14ac:dyDescent="0.2">
      <c r="C339" s="32"/>
      <c r="E339" s="78"/>
      <c r="F339" s="78"/>
      <c r="G339" s="78"/>
      <c r="H339" s="78"/>
      <c r="I339" s="78"/>
      <c r="J339" s="78"/>
      <c r="K339" s="78"/>
      <c r="L339" s="78"/>
      <c r="M339" s="78"/>
      <c r="R339"/>
      <c r="S339"/>
      <c r="T339"/>
      <c r="U339"/>
      <c r="V339"/>
      <c r="W339"/>
      <c r="X339"/>
      <c r="Y339"/>
    </row>
    <row r="340" spans="3:25" s="2" customFormat="1" x14ac:dyDescent="0.2">
      <c r="C340" s="32"/>
      <c r="E340" s="78"/>
      <c r="F340" s="78"/>
      <c r="G340" s="78"/>
      <c r="H340" s="78"/>
      <c r="I340" s="78"/>
      <c r="J340" s="78"/>
      <c r="K340" s="78"/>
      <c r="L340" s="78"/>
      <c r="M340" s="78"/>
      <c r="R340"/>
      <c r="S340"/>
      <c r="T340"/>
      <c r="U340"/>
      <c r="V340"/>
      <c r="W340"/>
      <c r="X340"/>
      <c r="Y340"/>
    </row>
    <row r="341" spans="3:25" s="2" customFormat="1" x14ac:dyDescent="0.2">
      <c r="C341" s="32"/>
      <c r="E341" s="78"/>
      <c r="F341" s="78"/>
      <c r="G341" s="78"/>
      <c r="H341" s="78"/>
      <c r="I341" s="78"/>
      <c r="J341" s="78"/>
      <c r="K341" s="78"/>
      <c r="L341" s="78"/>
      <c r="M341" s="78"/>
      <c r="R341"/>
      <c r="S341"/>
      <c r="T341"/>
      <c r="U341"/>
      <c r="V341"/>
      <c r="W341"/>
      <c r="X341"/>
      <c r="Y341"/>
    </row>
  </sheetData>
  <sortState xmlns:xlrd2="http://schemas.microsoft.com/office/spreadsheetml/2017/richdata2" ref="T148:W158">
    <sortCondition descending="1" ref="W148:W158"/>
  </sortState>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sheetPr>
  <dimension ref="A1:AQ108"/>
  <sheetViews>
    <sheetView showGridLines="0" view="pageBreakPreview" zoomScaleNormal="115" zoomScaleSheetLayoutView="100" workbookViewId="0">
      <pane xSplit="6" ySplit="17" topLeftCell="AD18" activePane="bottomRight" state="frozen"/>
      <selection activeCell="F45" sqref="F45"/>
      <selection pane="topRight" activeCell="F45" sqref="F45"/>
      <selection pane="bottomLeft" activeCell="F45" sqref="F45"/>
      <selection pane="bottomRight"/>
    </sheetView>
  </sheetViews>
  <sheetFormatPr baseColWidth="10" defaultColWidth="8.83203125" defaultRowHeight="11.25" customHeight="1" outlineLevelCol="1" x14ac:dyDescent="0.2"/>
  <cols>
    <col min="1" max="2" width="2.5" style="2" customWidth="1"/>
    <col min="3" max="3" width="3.33203125" style="32" customWidth="1"/>
    <col min="4" max="4" width="2.5" style="2" customWidth="1"/>
    <col min="5" max="5" width="15" style="2" customWidth="1"/>
    <col min="6" max="6" width="39.1640625" style="2" customWidth="1"/>
    <col min="7" max="10" width="10" style="2" hidden="1" customWidth="1" outlineLevel="1"/>
    <col min="11" max="29" width="10" style="12" hidden="1" customWidth="1" outlineLevel="1"/>
    <col min="30" max="30" width="10" style="12" customWidth="1" collapsed="1"/>
    <col min="31" max="32" width="10.5" style="12" customWidth="1"/>
    <col min="33" max="37" width="10.5" style="2" customWidth="1"/>
    <col min="38" max="38" width="2.6640625" customWidth="1"/>
    <col min="39" max="16384" width="8.83203125" style="2"/>
  </cols>
  <sheetData>
    <row r="1" spans="1:39" ht="15" x14ac:dyDescent="0.2">
      <c r="E1" s="4"/>
      <c r="G1" s="3"/>
    </row>
    <row r="2" spans="1:39" ht="25" x14ac:dyDescent="0.25">
      <c r="C2" s="132" t="s">
        <v>388</v>
      </c>
      <c r="E2" s="4"/>
      <c r="G2" s="3"/>
    </row>
    <row r="3" spans="1:39" ht="15" x14ac:dyDescent="0.2">
      <c r="E3" s="4"/>
      <c r="G3" s="3"/>
    </row>
    <row r="4" spans="1:39" ht="15" x14ac:dyDescent="0.2">
      <c r="E4" s="4"/>
      <c r="G4" s="3"/>
    </row>
    <row r="5" spans="1:39" s="75" customFormat="1" ht="15" x14ac:dyDescent="0.2">
      <c r="A5" s="2"/>
      <c r="B5" s="2"/>
      <c r="C5" s="116">
        <v>0</v>
      </c>
      <c r="E5" s="41" t="s">
        <v>392</v>
      </c>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row>
    <row r="6" spans="1:39" ht="15" x14ac:dyDescent="0.2">
      <c r="E6" s="142" t="s">
        <v>431</v>
      </c>
      <c r="K6" s="2"/>
      <c r="L6" s="2"/>
      <c r="M6" s="2"/>
      <c r="N6" s="2"/>
      <c r="O6" s="2"/>
      <c r="P6" s="2"/>
      <c r="Q6" s="2"/>
      <c r="R6" s="2"/>
      <c r="S6" s="2"/>
      <c r="T6" s="2"/>
      <c r="U6" s="2"/>
      <c r="V6" s="2"/>
      <c r="W6" s="2"/>
      <c r="X6" s="2"/>
      <c r="Y6" s="2"/>
      <c r="Z6" s="2"/>
      <c r="AA6" s="2"/>
      <c r="AB6" s="2"/>
      <c r="AC6" s="2"/>
      <c r="AD6" s="2"/>
      <c r="AE6" s="2"/>
      <c r="AF6" s="2"/>
    </row>
    <row r="7" spans="1:39" ht="15" x14ac:dyDescent="0.2">
      <c r="E7" s="142" t="s">
        <v>432</v>
      </c>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row>
    <row r="8" spans="1:39" ht="15" x14ac:dyDescent="0.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row>
    <row r="9" spans="1:39" ht="15" x14ac:dyDescent="0.2">
      <c r="G9" s="3"/>
    </row>
    <row r="10" spans="1:39" ht="15" x14ac:dyDescent="0.2">
      <c r="G10" s="3"/>
    </row>
    <row r="11" spans="1:39" ht="15" x14ac:dyDescent="0.2">
      <c r="E11" s="4"/>
      <c r="G11" s="39" t="s">
        <v>355</v>
      </c>
      <c r="H11" s="40"/>
      <c r="I11" s="40"/>
      <c r="J11" s="40"/>
      <c r="K11" s="40"/>
      <c r="L11" s="40"/>
      <c r="M11" s="40"/>
      <c r="N11" s="40"/>
      <c r="O11" s="40"/>
      <c r="P11" s="40"/>
      <c r="Q11" s="40"/>
      <c r="R11" s="40"/>
      <c r="S11" s="40"/>
      <c r="T11" s="40"/>
      <c r="U11" s="40"/>
      <c r="V11" s="40"/>
      <c r="W11" s="40"/>
      <c r="X11" s="40"/>
      <c r="Y11" s="40"/>
      <c r="Z11" s="40"/>
      <c r="AA11" s="40"/>
      <c r="AB11" s="40"/>
      <c r="AC11" s="40"/>
      <c r="AD11" s="39" t="s">
        <v>355</v>
      </c>
      <c r="AE11" s="40"/>
      <c r="AF11" s="40"/>
      <c r="AH11" s="40" t="s">
        <v>356</v>
      </c>
      <c r="AI11" s="40"/>
      <c r="AJ11" s="40"/>
      <c r="AK11" s="40"/>
    </row>
    <row r="12" spans="1:39" ht="15" x14ac:dyDescent="0.2">
      <c r="C12" s="164"/>
      <c r="D12" s="164" t="s">
        <v>187</v>
      </c>
      <c r="E12" s="164"/>
      <c r="F12" s="164" t="s">
        <v>187</v>
      </c>
      <c r="G12" s="8" t="s">
        <v>161</v>
      </c>
      <c r="H12" s="8" t="s">
        <v>162</v>
      </c>
      <c r="I12" s="8" t="s">
        <v>163</v>
      </c>
      <c r="J12" s="8" t="s">
        <v>164</v>
      </c>
      <c r="K12" s="9" t="s">
        <v>165</v>
      </c>
      <c r="L12" s="9" t="s">
        <v>166</v>
      </c>
      <c r="M12" s="9" t="s">
        <v>167</v>
      </c>
      <c r="N12" s="9" t="s">
        <v>168</v>
      </c>
      <c r="O12" s="9" t="s">
        <v>169</v>
      </c>
      <c r="P12" s="9" t="s">
        <v>170</v>
      </c>
      <c r="Q12" s="9" t="s">
        <v>171</v>
      </c>
      <c r="R12" s="9" t="s">
        <v>172</v>
      </c>
      <c r="S12" s="9" t="s">
        <v>173</v>
      </c>
      <c r="T12" s="9" t="s">
        <v>174</v>
      </c>
      <c r="U12" s="9" t="s">
        <v>175</v>
      </c>
      <c r="V12" s="9" t="s">
        <v>176</v>
      </c>
      <c r="W12" s="9" t="s">
        <v>177</v>
      </c>
      <c r="X12" s="9" t="s">
        <v>178</v>
      </c>
      <c r="Y12" s="9" t="s">
        <v>179</v>
      </c>
      <c r="Z12" s="9" t="s">
        <v>180</v>
      </c>
      <c r="AA12" s="9" t="s">
        <v>181</v>
      </c>
      <c r="AB12" s="9" t="s">
        <v>182</v>
      </c>
      <c r="AC12" s="9" t="s">
        <v>183</v>
      </c>
      <c r="AD12" s="9" t="s">
        <v>184</v>
      </c>
      <c r="AE12" s="9" t="s">
        <v>185</v>
      </c>
      <c r="AF12" s="9" t="s">
        <v>186</v>
      </c>
      <c r="AH12" s="9" t="s">
        <v>191</v>
      </c>
      <c r="AI12" s="9" t="s">
        <v>190</v>
      </c>
      <c r="AJ12" s="9">
        <v>2021</v>
      </c>
      <c r="AK12" s="9">
        <v>2022</v>
      </c>
      <c r="AM12" s="7"/>
    </row>
    <row r="13" spans="1:39" ht="15" x14ac:dyDescent="0.2">
      <c r="E13" s="4" t="s">
        <v>192</v>
      </c>
      <c r="F13" s="10"/>
      <c r="G13" s="7"/>
      <c r="H13" s="7"/>
      <c r="I13" s="7"/>
      <c r="J13" s="7"/>
      <c r="K13" s="10"/>
      <c r="L13" s="10"/>
      <c r="M13" s="10"/>
      <c r="N13" s="10"/>
      <c r="O13" s="10"/>
      <c r="P13" s="10"/>
      <c r="Q13" s="10"/>
      <c r="R13" s="10"/>
      <c r="S13" s="10"/>
      <c r="T13" s="10"/>
      <c r="U13" s="10"/>
      <c r="V13" s="10"/>
      <c r="W13" s="10"/>
      <c r="X13" s="10"/>
      <c r="Y13" s="10"/>
      <c r="Z13" s="10"/>
      <c r="AA13" s="10"/>
      <c r="AB13" s="10"/>
      <c r="AC13" s="10"/>
      <c r="AD13" s="10"/>
      <c r="AE13" s="10"/>
      <c r="AF13" s="10"/>
      <c r="AH13" s="14">
        <v>2437635</v>
      </c>
      <c r="AI13" s="14">
        <v>2310469</v>
      </c>
      <c r="AJ13" s="14">
        <v>2500870</v>
      </c>
      <c r="AK13" s="13">
        <f>AJ13*(1+AK14)</f>
        <v>2563391.75</v>
      </c>
      <c r="AM13" s="7"/>
    </row>
    <row r="14" spans="1:39" s="17" customFormat="1" ht="15" x14ac:dyDescent="0.2">
      <c r="C14" s="123"/>
      <c r="E14" s="49" t="s">
        <v>351</v>
      </c>
      <c r="F14" s="15"/>
      <c r="G14" s="16"/>
      <c r="H14" s="16"/>
      <c r="I14" s="16"/>
      <c r="J14" s="16"/>
      <c r="K14" s="15"/>
      <c r="L14" s="15"/>
      <c r="M14" s="15"/>
      <c r="N14" s="15"/>
      <c r="O14" s="15"/>
      <c r="P14" s="15"/>
      <c r="Q14" s="15"/>
      <c r="R14" s="15"/>
      <c r="S14" s="15"/>
      <c r="T14" s="15"/>
      <c r="U14" s="15"/>
      <c r="V14" s="15"/>
      <c r="W14" s="15"/>
      <c r="X14" s="15"/>
      <c r="Y14" s="15"/>
      <c r="Z14" s="15"/>
      <c r="AA14" s="15"/>
      <c r="AB14" s="15"/>
      <c r="AC14" s="15"/>
      <c r="AD14" s="15"/>
      <c r="AE14" s="15"/>
      <c r="AF14" s="15"/>
      <c r="AH14" s="18"/>
      <c r="AI14" s="18"/>
      <c r="AJ14" s="18"/>
      <c r="AK14" s="19">
        <v>2.5000000000000001E-2</v>
      </c>
      <c r="AL14"/>
      <c r="AM14" s="16"/>
    </row>
    <row r="15" spans="1:39" ht="15" x14ac:dyDescent="0.2">
      <c r="E15" s="4" t="s">
        <v>352</v>
      </c>
      <c r="F15" s="10"/>
      <c r="G15" s="7"/>
      <c r="H15" s="7"/>
      <c r="I15" s="7"/>
      <c r="J15" s="7"/>
      <c r="K15" s="10"/>
      <c r="L15" s="10"/>
      <c r="M15" s="10"/>
      <c r="N15" s="10"/>
      <c r="O15" s="10"/>
      <c r="P15" s="10"/>
      <c r="Q15" s="10"/>
      <c r="R15" s="10"/>
      <c r="S15" s="10"/>
      <c r="T15" s="10"/>
      <c r="U15" s="10"/>
      <c r="V15" s="10"/>
      <c r="W15" s="10"/>
      <c r="X15" s="10"/>
      <c r="Y15" s="10"/>
      <c r="Z15" s="10"/>
      <c r="AA15" s="10"/>
      <c r="AB15" s="10"/>
      <c r="AC15" s="10"/>
      <c r="AD15" s="10"/>
      <c r="AE15" s="10"/>
      <c r="AF15" s="10"/>
      <c r="AH15" s="20">
        <f>AH18/AH13</f>
        <v>0.54012331896407784</v>
      </c>
      <c r="AI15" s="20">
        <f>AI18/AI13</f>
        <v>0.61463620832610177</v>
      </c>
      <c r="AJ15" s="20">
        <f>AJ18/AJ13</f>
        <v>0.58996274379204627</v>
      </c>
      <c r="AK15" s="20">
        <f>AK18/AK13</f>
        <v>0.58126131887135635</v>
      </c>
      <c r="AM15" s="7"/>
    </row>
    <row r="16" spans="1:39" s="17" customFormat="1" ht="15" x14ac:dyDescent="0.2">
      <c r="C16" s="123"/>
      <c r="E16" s="49" t="s">
        <v>353</v>
      </c>
      <c r="F16" s="15"/>
      <c r="G16" s="16"/>
      <c r="H16" s="16"/>
      <c r="I16" s="16"/>
      <c r="J16" s="16"/>
      <c r="K16" s="15"/>
      <c r="L16" s="15"/>
      <c r="M16" s="15"/>
      <c r="N16" s="15"/>
      <c r="O16" s="15"/>
      <c r="P16" s="15"/>
      <c r="Q16" s="15"/>
      <c r="R16" s="15"/>
      <c r="S16" s="15"/>
      <c r="T16" s="15"/>
      <c r="U16" s="15"/>
      <c r="V16" s="15"/>
      <c r="W16" s="15"/>
      <c r="X16" s="15"/>
      <c r="Y16" s="15"/>
      <c r="Z16" s="15"/>
      <c r="AA16" s="15"/>
      <c r="AB16" s="15"/>
      <c r="AC16" s="15"/>
      <c r="AD16" s="15"/>
      <c r="AE16" s="15"/>
      <c r="AF16" s="15"/>
      <c r="AH16" s="18"/>
      <c r="AI16" s="21">
        <f>+AI18/AH18-1</f>
        <v>7.8590727319916232E-2</v>
      </c>
      <c r="AJ16" s="21">
        <f>+AJ18/AI18-1</f>
        <v>3.8956624915418292E-2</v>
      </c>
      <c r="AK16" s="21">
        <f>+AK18/AJ18-1</f>
        <v>9.8821630898593416E-3</v>
      </c>
      <c r="AL16"/>
      <c r="AM16" s="16"/>
    </row>
    <row r="17" spans="3:43" ht="15" x14ac:dyDescent="0.2">
      <c r="E17" s="10"/>
      <c r="F17" s="10"/>
      <c r="G17" s="7"/>
      <c r="H17" s="7"/>
      <c r="I17" s="7"/>
      <c r="J17" s="7"/>
      <c r="K17" s="10"/>
      <c r="L17" s="10"/>
      <c r="M17" s="10"/>
      <c r="N17" s="10"/>
      <c r="O17" s="10"/>
      <c r="P17" s="10"/>
      <c r="Q17" s="10"/>
      <c r="R17" s="10"/>
      <c r="S17" s="10"/>
      <c r="T17" s="10"/>
      <c r="U17" s="10"/>
      <c r="V17" s="10"/>
      <c r="W17" s="10"/>
      <c r="X17" s="10"/>
      <c r="Y17" s="10"/>
      <c r="Z17" s="10"/>
      <c r="AA17" s="10"/>
      <c r="AB17" s="10"/>
      <c r="AC17" s="10"/>
      <c r="AD17" s="10"/>
      <c r="AE17" s="10"/>
      <c r="AF17" s="10"/>
      <c r="AH17" s="11"/>
      <c r="AI17" s="11"/>
      <c r="AJ17" s="11"/>
      <c r="AK17" s="11"/>
      <c r="AM17" s="38" t="s">
        <v>354</v>
      </c>
      <c r="AN17" s="32"/>
    </row>
    <row r="18" spans="3:43" s="32" customFormat="1" ht="15" x14ac:dyDescent="0.2">
      <c r="E18" s="28" t="s">
        <v>1</v>
      </c>
      <c r="F18" s="28"/>
      <c r="G18" s="33">
        <v>671255</v>
      </c>
      <c r="H18" s="34">
        <v>694304.4</v>
      </c>
      <c r="I18" s="34">
        <v>699303.8</v>
      </c>
      <c r="J18" s="34">
        <v>710947.9</v>
      </c>
      <c r="K18" s="35">
        <v>737345</v>
      </c>
      <c r="L18" s="35">
        <v>763724</v>
      </c>
      <c r="M18" s="35">
        <v>795532</v>
      </c>
      <c r="N18" s="35">
        <v>838297</v>
      </c>
      <c r="O18" s="35">
        <v>868665</v>
      </c>
      <c r="P18" s="35">
        <v>902873</v>
      </c>
      <c r="Q18" s="35">
        <v>941123</v>
      </c>
      <c r="R18" s="35">
        <v>977224</v>
      </c>
      <c r="S18" s="35">
        <v>1020484</v>
      </c>
      <c r="T18" s="35">
        <v>1061865</v>
      </c>
      <c r="U18" s="35">
        <v>1106702</v>
      </c>
      <c r="V18" s="35">
        <v>1134957</v>
      </c>
      <c r="W18" s="35">
        <v>1158671</v>
      </c>
      <c r="X18" s="35">
        <v>1192859</v>
      </c>
      <c r="Y18" s="35">
        <v>1211622</v>
      </c>
      <c r="Z18" s="35">
        <v>1229959</v>
      </c>
      <c r="AA18" s="35">
        <v>1248656</v>
      </c>
      <c r="AB18" s="35">
        <v>1266435</v>
      </c>
      <c r="AC18" s="35">
        <v>1298023</v>
      </c>
      <c r="AD18" s="35">
        <v>1315051</v>
      </c>
      <c r="AE18" s="35">
        <v>1349280</v>
      </c>
      <c r="AF18" s="35">
        <v>1419593</v>
      </c>
      <c r="AG18" s="36"/>
      <c r="AH18" s="37">
        <f>SUM(AH21,AH31,AH38,AH46,AH57,AH65,AH73,AH81,AH89,AH99)</f>
        <v>1316623.5066229999</v>
      </c>
      <c r="AI18" s="37">
        <f>SUM(AI21,AI31,AI38,AI46,AI57,AI65,AI73,AI81,AI89,AI99)</f>
        <v>1420097.9056150001</v>
      </c>
      <c r="AJ18" s="37">
        <f>SUM(AJ21,AJ31,AJ38,AJ46,AJ57,AJ65,AJ73,AJ81,AJ89,AJ99)</f>
        <v>1475420.1270672148</v>
      </c>
      <c r="AK18" s="37">
        <f>SUM(AK21,AK31,AK38,AK46,AK57,AK65,AK73,AK81,AK89,AK99)</f>
        <v>1490000.4693889541</v>
      </c>
      <c r="AL18"/>
      <c r="AM18" s="22" t="b">
        <f>SUM(AK21,AK31,AK38,AK46,AK57,AK65,AK73,AK81,AK89,AK99)=AK18</f>
        <v>1</v>
      </c>
    </row>
    <row r="19" spans="3:43" ht="15" x14ac:dyDescent="0.2">
      <c r="K19" s="2"/>
      <c r="L19" s="2"/>
      <c r="M19" s="2"/>
      <c r="N19" s="2"/>
      <c r="O19" s="2"/>
      <c r="P19" s="2"/>
      <c r="Q19" s="2"/>
      <c r="R19" s="2"/>
      <c r="S19" s="2"/>
      <c r="T19" s="2"/>
      <c r="U19" s="2"/>
      <c r="V19" s="2"/>
      <c r="W19" s="2"/>
      <c r="X19" s="2"/>
      <c r="Y19" s="2"/>
      <c r="Z19" s="2"/>
      <c r="AA19" s="2"/>
      <c r="AB19" s="2"/>
      <c r="AC19" s="2"/>
      <c r="AD19" s="2"/>
      <c r="AE19" s="2"/>
      <c r="AF19" s="2"/>
    </row>
    <row r="20" spans="3:43" ht="15" x14ac:dyDescent="0.2">
      <c r="K20" s="2"/>
      <c r="L20" s="2"/>
      <c r="M20" s="2"/>
      <c r="N20" s="2"/>
      <c r="O20" s="2"/>
      <c r="P20" s="2"/>
      <c r="Q20" s="2"/>
      <c r="R20" s="2"/>
      <c r="S20" s="2"/>
      <c r="T20" s="2"/>
      <c r="U20" s="2"/>
      <c r="V20" s="2"/>
      <c r="W20" s="2"/>
      <c r="X20" s="2"/>
      <c r="Y20" s="2"/>
      <c r="Z20" s="2"/>
      <c r="AA20" s="2"/>
      <c r="AB20" s="2"/>
      <c r="AC20" s="2"/>
      <c r="AD20" s="2"/>
      <c r="AE20" s="2"/>
      <c r="AF20" s="2"/>
    </row>
    <row r="21" spans="3:43" ht="15" x14ac:dyDescent="0.2">
      <c r="C21" s="116">
        <f>+MAX($C$1:$C20)+1</f>
        <v>1</v>
      </c>
      <c r="E21" s="41" t="s">
        <v>3</v>
      </c>
      <c r="F21" s="41" t="s">
        <v>4</v>
      </c>
      <c r="G21" s="42">
        <v>101759.4</v>
      </c>
      <c r="H21" s="42">
        <v>106141.2</v>
      </c>
      <c r="I21" s="42">
        <v>111716.9</v>
      </c>
      <c r="J21" s="42">
        <v>110069.9</v>
      </c>
      <c r="K21" s="43">
        <v>111677</v>
      </c>
      <c r="L21" s="43">
        <v>115308</v>
      </c>
      <c r="M21" s="43">
        <v>120232</v>
      </c>
      <c r="N21" s="43">
        <v>122151</v>
      </c>
      <c r="O21" s="43">
        <v>121810</v>
      </c>
      <c r="P21" s="43">
        <v>126124</v>
      </c>
      <c r="Q21" s="43">
        <v>130777</v>
      </c>
      <c r="R21" s="43">
        <v>127441</v>
      </c>
      <c r="S21" s="43">
        <v>139319</v>
      </c>
      <c r="T21" s="43">
        <v>143589</v>
      </c>
      <c r="U21" s="43">
        <v>141521</v>
      </c>
      <c r="V21" s="43">
        <v>138295</v>
      </c>
      <c r="W21" s="43">
        <v>142692</v>
      </c>
      <c r="X21" s="43">
        <v>145535</v>
      </c>
      <c r="Y21" s="43">
        <v>145409</v>
      </c>
      <c r="Z21" s="43">
        <v>141397</v>
      </c>
      <c r="AA21" s="43">
        <v>138078</v>
      </c>
      <c r="AB21" s="43">
        <v>137363</v>
      </c>
      <c r="AC21" s="43">
        <v>141564</v>
      </c>
      <c r="AD21" s="43">
        <v>137902</v>
      </c>
      <c r="AE21" s="43">
        <v>135719</v>
      </c>
      <c r="AF21" s="43">
        <v>132746</v>
      </c>
      <c r="AG21" s="44"/>
      <c r="AH21" s="45">
        <f>SUM(APUC!AH23,APUL!AH21,ASS!AH34)</f>
        <v>125344.746696</v>
      </c>
      <c r="AI21" s="45">
        <f>SUM(APUC!AI23,APUL!AI21,ASS!AI34)</f>
        <v>121950.820955</v>
      </c>
      <c r="AJ21" s="45">
        <f>SUM(APUC!AJ23,APUL!AJ21,ASS!AJ34)</f>
        <v>128843.97348980773</v>
      </c>
      <c r="AK21" s="45">
        <f>SUM(APUC!AK23,APUL!AK21,ASS!AK34)</f>
        <v>145964.14332336353</v>
      </c>
      <c r="AM21" s="5" t="b">
        <f>AH21=SUM(AH22:AH29)</f>
        <v>1</v>
      </c>
      <c r="AN21" s="5" t="b">
        <f t="shared" ref="AN21:AP21" si="0">AI21=SUM(AI22:AI29)</f>
        <v>1</v>
      </c>
      <c r="AO21" s="5" t="b">
        <f t="shared" si="0"/>
        <v>1</v>
      </c>
      <c r="AP21" s="5" t="b">
        <f t="shared" si="0"/>
        <v>1</v>
      </c>
      <c r="AQ21" s="5"/>
    </row>
    <row r="22" spans="3:43" ht="15" x14ac:dyDescent="0.2">
      <c r="E22" s="23" t="s">
        <v>5</v>
      </c>
      <c r="F22" s="23" t="s">
        <v>6</v>
      </c>
      <c r="G22" s="24">
        <v>24695.9</v>
      </c>
      <c r="H22" s="24">
        <v>24695.599999999999</v>
      </c>
      <c r="I22" s="24">
        <v>25179.4</v>
      </c>
      <c r="J22" s="24">
        <v>25405.9</v>
      </c>
      <c r="K22" s="25">
        <v>25465</v>
      </c>
      <c r="L22" s="25">
        <v>26343</v>
      </c>
      <c r="M22" s="25">
        <v>29252</v>
      </c>
      <c r="N22" s="25">
        <v>30026</v>
      </c>
      <c r="O22" s="25">
        <v>31730</v>
      </c>
      <c r="P22" s="25">
        <v>31634</v>
      </c>
      <c r="Q22" s="25">
        <v>34015</v>
      </c>
      <c r="R22" s="25">
        <v>31111</v>
      </c>
      <c r="S22" s="25">
        <v>36190</v>
      </c>
      <c r="T22" s="25">
        <v>34431</v>
      </c>
      <c r="U22" s="25">
        <v>38180</v>
      </c>
      <c r="V22" s="25">
        <v>35173</v>
      </c>
      <c r="W22" s="25">
        <v>35622</v>
      </c>
      <c r="X22" s="25">
        <v>35253</v>
      </c>
      <c r="Y22" s="25">
        <v>40185</v>
      </c>
      <c r="Z22" s="25">
        <v>37705</v>
      </c>
      <c r="AA22" s="25">
        <v>38294</v>
      </c>
      <c r="AB22" s="25">
        <v>39035</v>
      </c>
      <c r="AC22" s="25">
        <v>43627</v>
      </c>
      <c r="AD22" s="25">
        <v>39215</v>
      </c>
      <c r="AE22" s="25">
        <v>40307</v>
      </c>
      <c r="AF22" s="25">
        <v>42806</v>
      </c>
      <c r="AH22" s="26">
        <f>SUM(APUC!AH24,APUL!AH22,ASS!AH35)</f>
        <v>23957.997882</v>
      </c>
      <c r="AI22" s="26">
        <f>SUM(APUC!AI24,APUL!AI22,ASS!AI35)</f>
        <v>24711.016562000001</v>
      </c>
      <c r="AJ22" s="26">
        <f>SUM(APUC!AJ24,APUL!AJ22,ASS!AJ35)</f>
        <v>24548.039476246991</v>
      </c>
      <c r="AK22" s="26">
        <f>SUM(APUC!AK24,APUL!AK22,ASS!AK35)</f>
        <v>25073.60977376466</v>
      </c>
    </row>
    <row r="23" spans="3:43" ht="15" x14ac:dyDescent="0.2">
      <c r="E23" s="23" t="s">
        <v>7</v>
      </c>
      <c r="F23" s="23" t="s">
        <v>8</v>
      </c>
      <c r="G23" s="24">
        <v>1401.4</v>
      </c>
      <c r="H23" s="27">
        <v>1477</v>
      </c>
      <c r="I23" s="24">
        <v>1502.9</v>
      </c>
      <c r="J23" s="24">
        <v>1646.5</v>
      </c>
      <c r="K23" s="25">
        <v>1724</v>
      </c>
      <c r="L23" s="25">
        <v>1794</v>
      </c>
      <c r="M23" s="25">
        <v>2011</v>
      </c>
      <c r="N23" s="25">
        <v>2322</v>
      </c>
      <c r="O23" s="25">
        <v>2511</v>
      </c>
      <c r="P23" s="25">
        <v>2620</v>
      </c>
      <c r="Q23" s="25">
        <v>2900</v>
      </c>
      <c r="R23" s="25">
        <v>2511</v>
      </c>
      <c r="S23" s="25">
        <v>2520</v>
      </c>
      <c r="T23" s="25">
        <v>2600</v>
      </c>
      <c r="U23" s="25">
        <v>2796</v>
      </c>
      <c r="V23" s="25">
        <v>3969</v>
      </c>
      <c r="W23" s="25">
        <v>3287</v>
      </c>
      <c r="X23" s="25">
        <v>4644</v>
      </c>
      <c r="Y23" s="25">
        <v>3961</v>
      </c>
      <c r="Z23" s="25">
        <v>4398</v>
      </c>
      <c r="AA23" s="25">
        <v>3637</v>
      </c>
      <c r="AB23" s="25">
        <v>3234</v>
      </c>
      <c r="AC23" s="25">
        <v>3610</v>
      </c>
      <c r="AD23" s="25">
        <v>4014</v>
      </c>
      <c r="AE23" s="25">
        <v>4407</v>
      </c>
      <c r="AF23" s="25">
        <v>4791</v>
      </c>
      <c r="AH23" s="26">
        <f>SUM(APUC!AH25,APUL!AH23,ASS!AH36)</f>
        <v>3631.6306050000003</v>
      </c>
      <c r="AI23" s="26">
        <f>SUM(APUC!AI25,APUL!AI23,ASS!AI36)</f>
        <v>4108.2569670000003</v>
      </c>
      <c r="AJ23" s="26">
        <f>SUM(APUC!AJ25,APUL!AJ23,ASS!AJ36)</f>
        <v>6296.5428269999993</v>
      </c>
      <c r="AK23" s="26">
        <f>SUM(APUC!AK25,APUL!AK23,ASS!AK36)</f>
        <v>6244.187887000001</v>
      </c>
    </row>
    <row r="24" spans="3:43" ht="15" x14ac:dyDescent="0.2">
      <c r="E24" s="23" t="s">
        <v>9</v>
      </c>
      <c r="F24" s="23" t="s">
        <v>10</v>
      </c>
      <c r="G24" s="24">
        <v>24104.799999999999</v>
      </c>
      <c r="H24" s="24">
        <v>25353.3</v>
      </c>
      <c r="I24" s="24">
        <v>30352.6</v>
      </c>
      <c r="J24" s="24">
        <v>27999.4</v>
      </c>
      <c r="K24" s="25">
        <v>31717</v>
      </c>
      <c r="L24" s="25">
        <v>33588</v>
      </c>
      <c r="M24" s="25">
        <v>31887</v>
      </c>
      <c r="N24" s="25">
        <v>31201</v>
      </c>
      <c r="O24" s="25">
        <v>29238</v>
      </c>
      <c r="P24" s="25">
        <v>32530</v>
      </c>
      <c r="Q24" s="25">
        <v>33631</v>
      </c>
      <c r="R24" s="25">
        <v>34618</v>
      </c>
      <c r="S24" s="25">
        <v>36865</v>
      </c>
      <c r="T24" s="25">
        <v>37327</v>
      </c>
      <c r="U24" s="25">
        <v>40013</v>
      </c>
      <c r="V24" s="25">
        <v>36881</v>
      </c>
      <c r="W24" s="25">
        <v>36740</v>
      </c>
      <c r="X24" s="25">
        <v>39683</v>
      </c>
      <c r="Y24" s="25">
        <v>39607</v>
      </c>
      <c r="Z24" s="25">
        <v>39592</v>
      </c>
      <c r="AA24" s="25">
        <v>39898</v>
      </c>
      <c r="AB24" s="25">
        <v>40793</v>
      </c>
      <c r="AC24" s="25">
        <v>41485</v>
      </c>
      <c r="AD24" s="25">
        <v>42146</v>
      </c>
      <c r="AE24" s="25">
        <v>43294</v>
      </c>
      <c r="AF24" s="25">
        <v>43370</v>
      </c>
      <c r="AH24" s="26">
        <f>SUM(APUC!AH26,APUL!AH24,ASS!AH37)</f>
        <v>42148.888299999999</v>
      </c>
      <c r="AI24" s="26">
        <f>SUM(APUC!AI26,APUL!AI24,ASS!AI37)</f>
        <v>42806</v>
      </c>
      <c r="AJ24" s="26">
        <f>SUM(APUC!AJ26,APUL!AJ24,ASS!AJ37)</f>
        <v>45424.732468320268</v>
      </c>
      <c r="AK24" s="26">
        <f>SUM(APUC!AK26,APUL!AK24,ASS!AK37)</f>
        <v>46650.631719964913</v>
      </c>
    </row>
    <row r="25" spans="3:43" ht="15" x14ac:dyDescent="0.2">
      <c r="E25" s="23" t="s">
        <v>11</v>
      </c>
      <c r="F25" s="23" t="s">
        <v>12</v>
      </c>
      <c r="G25" s="24">
        <v>7878.5</v>
      </c>
      <c r="H25" s="24">
        <v>8068.9</v>
      </c>
      <c r="I25" s="24">
        <v>7935.8</v>
      </c>
      <c r="J25" s="24">
        <v>8090.4</v>
      </c>
      <c r="K25" s="25">
        <v>8306</v>
      </c>
      <c r="L25" s="25">
        <v>8250</v>
      </c>
      <c r="M25" s="25">
        <v>8601</v>
      </c>
      <c r="N25" s="25">
        <v>8970</v>
      </c>
      <c r="O25" s="25">
        <v>9754</v>
      </c>
      <c r="P25" s="25">
        <v>9883</v>
      </c>
      <c r="Q25" s="25">
        <v>10223</v>
      </c>
      <c r="R25" s="25">
        <v>8787</v>
      </c>
      <c r="S25" s="25">
        <v>9059</v>
      </c>
      <c r="T25" s="25">
        <v>9054</v>
      </c>
      <c r="U25" s="25">
        <v>8129</v>
      </c>
      <c r="V25" s="25">
        <v>7609</v>
      </c>
      <c r="W25" s="25">
        <v>7147</v>
      </c>
      <c r="X25" s="25">
        <v>6887</v>
      </c>
      <c r="Y25" s="25">
        <v>6940</v>
      </c>
      <c r="Z25" s="25">
        <v>6709</v>
      </c>
      <c r="AA25" s="25">
        <v>6801</v>
      </c>
      <c r="AB25" s="25">
        <v>6739</v>
      </c>
      <c r="AC25" s="25">
        <v>6906</v>
      </c>
      <c r="AD25" s="25">
        <v>6942</v>
      </c>
      <c r="AE25" s="25">
        <v>7250</v>
      </c>
      <c r="AF25" s="25">
        <v>7000</v>
      </c>
      <c r="AH25" s="26">
        <f>SUM(APUC!AH27,APUL!AH25,ASS!AH38)</f>
        <v>6851.9075809999995</v>
      </c>
      <c r="AI25" s="26">
        <f>SUM(APUC!AI27,APUL!AI25,ASS!AI38)</f>
        <v>6903.2956219999996</v>
      </c>
      <c r="AJ25" s="26">
        <f>SUM(APUC!AJ27,APUL!AJ25,ASS!AJ38)</f>
        <v>7163.1393969999999</v>
      </c>
      <c r="AK25" s="26">
        <f>SUM(APUC!AK27,APUL!AK25,ASS!AK38)</f>
        <v>7563.3851999999997</v>
      </c>
    </row>
    <row r="26" spans="3:43" ht="15" x14ac:dyDescent="0.2">
      <c r="E26" s="23" t="s">
        <v>13</v>
      </c>
      <c r="F26" s="23" t="s">
        <v>14</v>
      </c>
      <c r="G26" s="27">
        <v>2</v>
      </c>
      <c r="H26" s="27">
        <v>2</v>
      </c>
      <c r="I26" s="27">
        <v>2</v>
      </c>
      <c r="J26" s="27">
        <v>2</v>
      </c>
      <c r="K26" s="25">
        <v>3</v>
      </c>
      <c r="L26" s="25">
        <v>3</v>
      </c>
      <c r="M26" s="25">
        <v>3</v>
      </c>
      <c r="N26" s="25">
        <v>3</v>
      </c>
      <c r="O26" s="25">
        <v>3</v>
      </c>
      <c r="P26" s="25">
        <v>3</v>
      </c>
      <c r="Q26" s="25">
        <v>4</v>
      </c>
      <c r="R26" s="25">
        <v>4</v>
      </c>
      <c r="S26" s="25">
        <v>5</v>
      </c>
      <c r="T26" s="25">
        <v>3</v>
      </c>
      <c r="U26" s="25">
        <v>3</v>
      </c>
      <c r="V26" s="25">
        <v>0</v>
      </c>
      <c r="W26" s="25">
        <v>0</v>
      </c>
      <c r="X26" s="25">
        <v>0</v>
      </c>
      <c r="Y26" s="25">
        <v>0</v>
      </c>
      <c r="Z26" s="25">
        <v>0</v>
      </c>
      <c r="AA26" s="25">
        <v>0</v>
      </c>
      <c r="AB26" s="25">
        <v>1</v>
      </c>
      <c r="AC26" s="25">
        <v>1</v>
      </c>
      <c r="AD26" s="25">
        <v>1</v>
      </c>
      <c r="AE26" s="25">
        <v>1</v>
      </c>
      <c r="AF26" s="25">
        <v>1</v>
      </c>
      <c r="AH26" s="26">
        <f>SUM(APUC!AH28,APUL!AH26,ASS!AH39)</f>
        <v>1</v>
      </c>
      <c r="AI26" s="26">
        <f>SUM(APUC!AI28,APUL!AI26,ASS!AI39)</f>
        <v>1</v>
      </c>
      <c r="AJ26" s="26">
        <f>SUM(APUC!AJ28,APUL!AJ26,ASS!AJ39)</f>
        <v>1</v>
      </c>
      <c r="AK26" s="26">
        <f>SUM(APUC!AK28,APUL!AK26,ASS!AK39)</f>
        <v>1</v>
      </c>
    </row>
    <row r="27" spans="3:43" ht="15" x14ac:dyDescent="0.2">
      <c r="E27" s="23" t="s">
        <v>15</v>
      </c>
      <c r="F27" s="23" t="s">
        <v>16</v>
      </c>
      <c r="G27" s="24">
        <v>714.8</v>
      </c>
      <c r="H27" s="24">
        <v>742.5</v>
      </c>
      <c r="I27" s="27">
        <v>745</v>
      </c>
      <c r="J27" s="24">
        <v>683.6</v>
      </c>
      <c r="K27" s="25">
        <v>720</v>
      </c>
      <c r="L27" s="25">
        <v>916</v>
      </c>
      <c r="M27" s="25">
        <v>957</v>
      </c>
      <c r="N27" s="25">
        <v>1021</v>
      </c>
      <c r="O27" s="25">
        <v>1054</v>
      </c>
      <c r="P27" s="25">
        <v>1027</v>
      </c>
      <c r="Q27" s="25">
        <v>1123</v>
      </c>
      <c r="R27" s="25">
        <v>1111</v>
      </c>
      <c r="S27" s="25">
        <v>1263</v>
      </c>
      <c r="T27" s="25">
        <v>1453</v>
      </c>
      <c r="U27" s="25">
        <v>1633</v>
      </c>
      <c r="V27" s="25">
        <v>1636</v>
      </c>
      <c r="W27" s="25">
        <v>1817</v>
      </c>
      <c r="X27" s="25">
        <v>1900</v>
      </c>
      <c r="Y27" s="25">
        <v>2816</v>
      </c>
      <c r="Z27" s="25">
        <v>2895</v>
      </c>
      <c r="AA27" s="25">
        <v>2166</v>
      </c>
      <c r="AB27" s="25">
        <v>2643</v>
      </c>
      <c r="AC27" s="25">
        <v>2455</v>
      </c>
      <c r="AD27" s="25">
        <v>1867</v>
      </c>
      <c r="AE27" s="25">
        <v>2123</v>
      </c>
      <c r="AF27" s="25">
        <v>2087</v>
      </c>
      <c r="AH27" s="26">
        <f>SUM(APUC!AH29,APUL!AH27,ASS!AH40)</f>
        <v>506.46232800000001</v>
      </c>
      <c r="AI27" s="26">
        <f>SUM(APUC!AI29,APUL!AI27,ASS!AI40)</f>
        <v>569.08180400000003</v>
      </c>
      <c r="AJ27" s="26">
        <f>SUM(APUC!AJ29,APUL!AJ27,ASS!AJ40)</f>
        <v>1181.1261779555457</v>
      </c>
      <c r="AK27" s="26">
        <f>SUM(APUC!AK29,APUL!AK27,ASS!AK40)</f>
        <v>1288.4919844803453</v>
      </c>
    </row>
    <row r="28" spans="3:43" ht="15" x14ac:dyDescent="0.2">
      <c r="E28" s="23" t="s">
        <v>17</v>
      </c>
      <c r="F28" s="23" t="s">
        <v>18</v>
      </c>
      <c r="G28" s="24">
        <v>42963.1</v>
      </c>
      <c r="H28" s="24">
        <v>45799.8</v>
      </c>
      <c r="I28" s="24">
        <v>45997.2</v>
      </c>
      <c r="J28" s="27">
        <v>46243</v>
      </c>
      <c r="K28" s="25">
        <v>43744</v>
      </c>
      <c r="L28" s="25">
        <v>44415</v>
      </c>
      <c r="M28" s="25">
        <v>47521</v>
      </c>
      <c r="N28" s="25">
        <v>48607</v>
      </c>
      <c r="O28" s="25">
        <v>47520</v>
      </c>
      <c r="P28" s="25">
        <v>48426</v>
      </c>
      <c r="Q28" s="25">
        <v>48882</v>
      </c>
      <c r="R28" s="25">
        <v>49297</v>
      </c>
      <c r="S28" s="25">
        <v>53418</v>
      </c>
      <c r="T28" s="25">
        <v>58718</v>
      </c>
      <c r="U28" s="25">
        <v>50766</v>
      </c>
      <c r="V28" s="25">
        <v>53026</v>
      </c>
      <c r="W28" s="25">
        <v>58079</v>
      </c>
      <c r="X28" s="25">
        <v>57168</v>
      </c>
      <c r="Y28" s="25">
        <v>51901</v>
      </c>
      <c r="Z28" s="25">
        <v>50099</v>
      </c>
      <c r="AA28" s="25">
        <v>47282</v>
      </c>
      <c r="AB28" s="25">
        <v>44917</v>
      </c>
      <c r="AC28" s="25">
        <v>43479</v>
      </c>
      <c r="AD28" s="25">
        <v>43718</v>
      </c>
      <c r="AE28" s="25">
        <v>38336</v>
      </c>
      <c r="AF28" s="25">
        <v>32691</v>
      </c>
      <c r="AH28" s="26">
        <f>SUM(APUC!AH30,APUL!AH28,ASS!AH41)</f>
        <v>48237.86</v>
      </c>
      <c r="AI28" s="26">
        <f>SUM(APUC!AI30,APUL!AI28,ASS!AI41)</f>
        <v>42844.17</v>
      </c>
      <c r="AJ28" s="26">
        <f>SUM(APUC!AJ30,APUL!AJ28,ASS!AJ41)</f>
        <v>44221.39314328492</v>
      </c>
      <c r="AK28" s="26">
        <f>SUM(APUC!AK30,APUL!AK28,ASS!AK41)</f>
        <v>59134.836758153615</v>
      </c>
    </row>
    <row r="29" spans="3:43" ht="15" x14ac:dyDescent="0.2">
      <c r="E29" s="23" t="s">
        <v>19</v>
      </c>
      <c r="F29" s="23" t="s">
        <v>20</v>
      </c>
      <c r="G29" s="27">
        <v>0</v>
      </c>
      <c r="H29" s="27">
        <v>0</v>
      </c>
      <c r="I29" s="27">
        <v>0</v>
      </c>
      <c r="J29" s="27">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H29" s="26">
        <f>SUM(APUC!AH31,APUL!AH29,ASS!AH42)</f>
        <v>9</v>
      </c>
      <c r="AI29" s="26">
        <f>SUM(APUC!AI31,APUL!AI29,ASS!AI42)</f>
        <v>8</v>
      </c>
      <c r="AJ29" s="26">
        <f>SUM(APUC!AJ31,APUL!AJ29,ASS!AJ42)</f>
        <v>8</v>
      </c>
      <c r="AK29" s="26">
        <f>SUM(APUC!AK31,APUL!AK29,ASS!AK42)</f>
        <v>8</v>
      </c>
    </row>
    <row r="30" spans="3:43" ht="15" x14ac:dyDescent="0.2">
      <c r="E30" s="4"/>
      <c r="F30" s="4"/>
      <c r="G30" s="27"/>
      <c r="H30" s="27"/>
      <c r="I30" s="27"/>
      <c r="J30" s="27"/>
      <c r="K30" s="25"/>
      <c r="L30" s="25"/>
      <c r="M30" s="25"/>
      <c r="N30" s="25"/>
      <c r="O30" s="25"/>
      <c r="P30" s="25"/>
      <c r="Q30" s="25"/>
      <c r="R30" s="25"/>
      <c r="S30" s="25"/>
      <c r="T30" s="25"/>
      <c r="U30" s="25"/>
      <c r="V30" s="25"/>
      <c r="W30" s="25"/>
      <c r="X30" s="25"/>
      <c r="Y30" s="25"/>
      <c r="Z30" s="25"/>
      <c r="AA30" s="25"/>
      <c r="AB30" s="25"/>
      <c r="AC30" s="25"/>
      <c r="AD30" s="25"/>
      <c r="AE30" s="25"/>
      <c r="AF30" s="25"/>
      <c r="AH30" s="26"/>
      <c r="AI30" s="26"/>
      <c r="AJ30" s="26"/>
      <c r="AK30" s="26"/>
    </row>
    <row r="31" spans="3:43" ht="15" x14ac:dyDescent="0.2">
      <c r="C31" s="116">
        <f>+MAX($C$1:$C30)+1</f>
        <v>2</v>
      </c>
      <c r="E31" s="41" t="s">
        <v>21</v>
      </c>
      <c r="F31" s="41" t="s">
        <v>22</v>
      </c>
      <c r="G31" s="46">
        <v>30602</v>
      </c>
      <c r="H31" s="42">
        <v>32465.5</v>
      </c>
      <c r="I31" s="42">
        <v>31132.3</v>
      </c>
      <c r="J31" s="42">
        <v>28923.5</v>
      </c>
      <c r="K31" s="43">
        <v>28822</v>
      </c>
      <c r="L31" s="43">
        <v>28713</v>
      </c>
      <c r="M31" s="43">
        <v>30937</v>
      </c>
      <c r="N31" s="43">
        <v>32347</v>
      </c>
      <c r="O31" s="43">
        <v>30255</v>
      </c>
      <c r="P31" s="43">
        <v>31483</v>
      </c>
      <c r="Q31" s="43">
        <v>31834</v>
      </c>
      <c r="R31" s="43">
        <v>33121</v>
      </c>
      <c r="S31" s="43">
        <v>33654</v>
      </c>
      <c r="T31" s="43">
        <v>34324</v>
      </c>
      <c r="U31" s="43">
        <v>36546</v>
      </c>
      <c r="V31" s="43">
        <v>37225</v>
      </c>
      <c r="W31" s="43">
        <v>36727</v>
      </c>
      <c r="X31" s="43">
        <v>37525</v>
      </c>
      <c r="Y31" s="43">
        <v>37523</v>
      </c>
      <c r="Z31" s="43">
        <v>36191</v>
      </c>
      <c r="AA31" s="43">
        <v>38499</v>
      </c>
      <c r="AB31" s="43">
        <v>42727</v>
      </c>
      <c r="AC31" s="43">
        <v>40765</v>
      </c>
      <c r="AD31" s="43">
        <v>41574</v>
      </c>
      <c r="AE31" s="43">
        <v>42414</v>
      </c>
      <c r="AF31" s="43">
        <v>44216</v>
      </c>
      <c r="AG31" s="44"/>
      <c r="AH31" s="45">
        <f>SUM(APUC!AH33,APUL!AH31,ASS!AH44)</f>
        <v>47286.988969999999</v>
      </c>
      <c r="AI31" s="45">
        <f>SUM(APUC!AI33,APUL!AI31,ASS!AI44)</f>
        <v>48979.898562999995</v>
      </c>
      <c r="AJ31" s="45">
        <f>SUM(APUC!AJ33,APUL!AJ31,ASS!AJ44)</f>
        <v>49785.144267000003</v>
      </c>
      <c r="AK31" s="45">
        <f>SUM(APUC!AK33,APUL!AK31,ASS!AK44)</f>
        <v>51927.913595999999</v>
      </c>
      <c r="AM31" s="5" t="b">
        <f>AH31=SUM(AH32:AH37)</f>
        <v>1</v>
      </c>
      <c r="AN31" s="5" t="b">
        <f t="shared" ref="AN31:AP31" si="1">AI31=SUM(AI32:AI37)</f>
        <v>1</v>
      </c>
      <c r="AO31" s="5" t="b">
        <f t="shared" si="1"/>
        <v>1</v>
      </c>
      <c r="AP31" s="5" t="b">
        <f t="shared" si="1"/>
        <v>1</v>
      </c>
      <c r="AQ31" s="5"/>
    </row>
    <row r="32" spans="3:43" ht="15" x14ac:dyDescent="0.2">
      <c r="E32" s="3" t="s">
        <v>23</v>
      </c>
      <c r="F32" s="3" t="s">
        <v>24</v>
      </c>
      <c r="G32" s="27">
        <v>26426</v>
      </c>
      <c r="H32" s="24">
        <v>28063.8</v>
      </c>
      <c r="I32" s="24">
        <v>26989.8</v>
      </c>
      <c r="J32" s="24">
        <v>24837.599999999999</v>
      </c>
      <c r="K32" s="25">
        <v>24785</v>
      </c>
      <c r="L32" s="25">
        <v>24667</v>
      </c>
      <c r="M32" s="25">
        <v>26561</v>
      </c>
      <c r="N32" s="25">
        <v>27718</v>
      </c>
      <c r="O32" s="25">
        <v>25964</v>
      </c>
      <c r="P32" s="25">
        <v>27072</v>
      </c>
      <c r="Q32" s="25">
        <v>27348</v>
      </c>
      <c r="R32" s="25">
        <v>28211</v>
      </c>
      <c r="S32" s="25">
        <v>28583</v>
      </c>
      <c r="T32" s="25">
        <v>29065</v>
      </c>
      <c r="U32" s="25">
        <v>30974</v>
      </c>
      <c r="V32" s="25">
        <v>31349</v>
      </c>
      <c r="W32" s="25">
        <v>30874</v>
      </c>
      <c r="X32" s="25">
        <v>32020</v>
      </c>
      <c r="Y32" s="25">
        <v>32455</v>
      </c>
      <c r="Z32" s="25">
        <v>31350</v>
      </c>
      <c r="AA32" s="25">
        <v>33463</v>
      </c>
      <c r="AB32" s="25">
        <v>36414</v>
      </c>
      <c r="AC32" s="25">
        <v>34564</v>
      </c>
      <c r="AD32" s="25">
        <v>34983</v>
      </c>
      <c r="AE32" s="25">
        <v>35741</v>
      </c>
      <c r="AF32" s="25">
        <v>38569</v>
      </c>
      <c r="AH32" s="26">
        <f>SUM(APUC!AH34,APUL!AH32,ASS!AH45)</f>
        <v>43406.896897999999</v>
      </c>
      <c r="AI32" s="26">
        <f>SUM(APUC!AI34,APUL!AI32,ASS!AI45)</f>
        <v>45134.172284</v>
      </c>
      <c r="AJ32" s="26">
        <f>SUM(APUC!AJ34,APUL!AJ32,ASS!AJ45)</f>
        <v>46010.551758000001</v>
      </c>
      <c r="AK32" s="26">
        <f>SUM(APUC!AK34,APUL!AK32,ASS!AK45)</f>
        <v>48032.321223999999</v>
      </c>
    </row>
    <row r="33" spans="3:42" ht="15" x14ac:dyDescent="0.2">
      <c r="E33" s="3" t="s">
        <v>25</v>
      </c>
      <c r="F33" s="3" t="s">
        <v>26</v>
      </c>
      <c r="G33" s="24">
        <v>284.5</v>
      </c>
      <c r="H33" s="24">
        <v>288.89999999999998</v>
      </c>
      <c r="I33" s="27">
        <v>243</v>
      </c>
      <c r="J33" s="24">
        <v>289.2</v>
      </c>
      <c r="K33" s="25">
        <v>286</v>
      </c>
      <c r="L33" s="25">
        <v>272</v>
      </c>
      <c r="M33" s="25">
        <v>310</v>
      </c>
      <c r="N33" s="25">
        <v>322</v>
      </c>
      <c r="O33" s="25">
        <v>288</v>
      </c>
      <c r="P33" s="25">
        <v>295</v>
      </c>
      <c r="Q33" s="25">
        <v>305</v>
      </c>
      <c r="R33" s="25">
        <v>309</v>
      </c>
      <c r="S33" s="25">
        <v>311</v>
      </c>
      <c r="T33" s="25">
        <v>318</v>
      </c>
      <c r="U33" s="25">
        <v>330</v>
      </c>
      <c r="V33" s="25">
        <v>391</v>
      </c>
      <c r="W33" s="25">
        <v>312</v>
      </c>
      <c r="X33" s="25">
        <v>196</v>
      </c>
      <c r="Y33" s="25">
        <v>222</v>
      </c>
      <c r="Z33" s="25">
        <v>148</v>
      </c>
      <c r="AA33" s="25">
        <v>154</v>
      </c>
      <c r="AB33" s="25">
        <v>190</v>
      </c>
      <c r="AC33" s="25">
        <v>206</v>
      </c>
      <c r="AD33" s="25">
        <v>199</v>
      </c>
      <c r="AE33" s="25">
        <v>197</v>
      </c>
      <c r="AF33" s="25">
        <v>200</v>
      </c>
      <c r="AH33" s="26">
        <f>SUM(APUC!AH35,APUL!AH33,ASS!AH46)</f>
        <v>0</v>
      </c>
      <c r="AI33" s="26">
        <f>SUM(APUC!AI35,APUL!AI33,ASS!AI46)</f>
        <v>0</v>
      </c>
      <c r="AJ33" s="26">
        <f>SUM(APUC!AJ35,APUL!AJ33,ASS!AJ46)</f>
        <v>0</v>
      </c>
      <c r="AK33" s="26">
        <f>SUM(APUC!AK35,APUL!AK33,ASS!AK46)</f>
        <v>0</v>
      </c>
    </row>
    <row r="34" spans="3:42" ht="15" x14ac:dyDescent="0.2">
      <c r="E34" s="3" t="s">
        <v>27</v>
      </c>
      <c r="F34" s="3" t="s">
        <v>28</v>
      </c>
      <c r="G34" s="24">
        <v>783.1</v>
      </c>
      <c r="H34" s="24">
        <v>850.6</v>
      </c>
      <c r="I34" s="27">
        <v>865</v>
      </c>
      <c r="J34" s="24">
        <v>844.6</v>
      </c>
      <c r="K34" s="25">
        <v>840</v>
      </c>
      <c r="L34" s="25">
        <v>896</v>
      </c>
      <c r="M34" s="25">
        <v>929</v>
      </c>
      <c r="N34" s="25">
        <v>964</v>
      </c>
      <c r="O34" s="25">
        <v>960</v>
      </c>
      <c r="P34" s="25">
        <v>986</v>
      </c>
      <c r="Q34" s="25">
        <v>1040</v>
      </c>
      <c r="R34" s="25">
        <v>1378</v>
      </c>
      <c r="S34" s="25">
        <v>1520</v>
      </c>
      <c r="T34" s="25">
        <v>1582</v>
      </c>
      <c r="U34" s="25">
        <v>1832</v>
      </c>
      <c r="V34" s="25">
        <v>1777</v>
      </c>
      <c r="W34" s="25">
        <v>1884</v>
      </c>
      <c r="X34" s="25">
        <v>1667</v>
      </c>
      <c r="Y34" s="25">
        <v>2295</v>
      </c>
      <c r="Z34" s="25">
        <v>2010</v>
      </c>
      <c r="AA34" s="25">
        <v>1973</v>
      </c>
      <c r="AB34" s="25">
        <v>2189</v>
      </c>
      <c r="AC34" s="25">
        <v>1955</v>
      </c>
      <c r="AD34" s="25">
        <v>1972</v>
      </c>
      <c r="AE34" s="25">
        <v>1869</v>
      </c>
      <c r="AF34" s="25">
        <v>1898</v>
      </c>
      <c r="AH34" s="26">
        <f>SUM(APUC!AH36,APUL!AH34,ASS!AH47)</f>
        <v>0</v>
      </c>
      <c r="AI34" s="26">
        <f>SUM(APUC!AI36,APUL!AI34,ASS!AI47)</f>
        <v>0</v>
      </c>
      <c r="AJ34" s="26">
        <f>SUM(APUC!AJ36,APUL!AJ34,ASS!AJ47)</f>
        <v>0</v>
      </c>
      <c r="AK34" s="26">
        <f>SUM(APUC!AK36,APUL!AK34,ASS!AK47)</f>
        <v>0</v>
      </c>
    </row>
    <row r="35" spans="3:42" ht="15" x14ac:dyDescent="0.2">
      <c r="E35" s="3" t="s">
        <v>29</v>
      </c>
      <c r="F35" s="3" t="s">
        <v>30</v>
      </c>
      <c r="G35" s="24">
        <v>1862.8</v>
      </c>
      <c r="H35" s="24">
        <v>2003.3</v>
      </c>
      <c r="I35" s="24">
        <v>1935.4</v>
      </c>
      <c r="J35" s="24">
        <v>1770.7</v>
      </c>
      <c r="K35" s="25">
        <v>1765</v>
      </c>
      <c r="L35" s="25">
        <v>1761</v>
      </c>
      <c r="M35" s="25">
        <v>1878</v>
      </c>
      <c r="N35" s="25">
        <v>1960</v>
      </c>
      <c r="O35" s="25">
        <v>1851</v>
      </c>
      <c r="P35" s="25">
        <v>1934</v>
      </c>
      <c r="Q35" s="25">
        <v>1937</v>
      </c>
      <c r="R35" s="25">
        <v>2020</v>
      </c>
      <c r="S35" s="25">
        <v>2070</v>
      </c>
      <c r="T35" s="25">
        <v>2180</v>
      </c>
      <c r="U35" s="25">
        <v>2191</v>
      </c>
      <c r="V35" s="25">
        <v>2109</v>
      </c>
      <c r="W35" s="25">
        <v>1949</v>
      </c>
      <c r="X35" s="25">
        <v>1906</v>
      </c>
      <c r="Y35" s="25">
        <v>1267</v>
      </c>
      <c r="Z35" s="25">
        <v>1266</v>
      </c>
      <c r="AA35" s="25">
        <v>1301</v>
      </c>
      <c r="AB35" s="25">
        <v>1262</v>
      </c>
      <c r="AC35" s="25">
        <v>1283</v>
      </c>
      <c r="AD35" s="25">
        <v>1348</v>
      </c>
      <c r="AE35" s="25">
        <v>1404</v>
      </c>
      <c r="AF35" s="25">
        <v>1426</v>
      </c>
      <c r="AH35" s="26">
        <f>SUM(APUC!AH37,APUL!AH35,ASS!AH48)</f>
        <v>121.52768</v>
      </c>
      <c r="AI35" s="26">
        <f>SUM(APUC!AI37,APUL!AI35,ASS!AI48)</f>
        <v>118.51188</v>
      </c>
      <c r="AJ35" s="26">
        <f>SUM(APUC!AJ37,APUL!AJ35,ASS!AJ48)</f>
        <v>0</v>
      </c>
      <c r="AK35" s="26">
        <f>SUM(APUC!AK37,APUL!AK35,ASS!AK48)</f>
        <v>0</v>
      </c>
    </row>
    <row r="36" spans="3:42" ht="15" x14ac:dyDescent="0.2">
      <c r="E36" s="3" t="s">
        <v>31</v>
      </c>
      <c r="F36" s="3" t="s">
        <v>32</v>
      </c>
      <c r="G36" s="24">
        <v>1245.5999999999999</v>
      </c>
      <c r="H36" s="24">
        <v>1256.8</v>
      </c>
      <c r="I36" s="24">
        <v>1099.0999999999999</v>
      </c>
      <c r="J36" s="24">
        <v>1180.5</v>
      </c>
      <c r="K36" s="25">
        <v>1144</v>
      </c>
      <c r="L36" s="25">
        <v>1118</v>
      </c>
      <c r="M36" s="25">
        <v>1258</v>
      </c>
      <c r="N36" s="25">
        <v>1385</v>
      </c>
      <c r="O36" s="25">
        <v>1192</v>
      </c>
      <c r="P36" s="25">
        <v>1197</v>
      </c>
      <c r="Q36" s="25">
        <v>1204</v>
      </c>
      <c r="R36" s="25">
        <v>1204</v>
      </c>
      <c r="S36" s="25">
        <v>1169</v>
      </c>
      <c r="T36" s="25">
        <v>1177</v>
      </c>
      <c r="U36" s="25">
        <v>1218</v>
      </c>
      <c r="V36" s="25">
        <v>1599</v>
      </c>
      <c r="W36" s="25">
        <v>1709</v>
      </c>
      <c r="X36" s="25">
        <v>1736</v>
      </c>
      <c r="Y36" s="25">
        <v>1285</v>
      </c>
      <c r="Z36" s="25">
        <v>1416</v>
      </c>
      <c r="AA36" s="25">
        <v>1607</v>
      </c>
      <c r="AB36" s="25">
        <v>2672</v>
      </c>
      <c r="AC36" s="25">
        <v>2757</v>
      </c>
      <c r="AD36" s="25">
        <v>3071</v>
      </c>
      <c r="AE36" s="25">
        <v>3204</v>
      </c>
      <c r="AF36" s="25">
        <v>2122</v>
      </c>
      <c r="AH36" s="26">
        <f>SUM(APUC!AH38,APUL!AH36,ASS!AH49)</f>
        <v>3758.5643920000002</v>
      </c>
      <c r="AI36" s="26">
        <f>SUM(APUC!AI38,APUL!AI36,ASS!AI49)</f>
        <v>3727.214399</v>
      </c>
      <c r="AJ36" s="26">
        <f>SUM(APUC!AJ38,APUL!AJ36,ASS!AJ49)</f>
        <v>3774.5925089999996</v>
      </c>
      <c r="AK36" s="26">
        <f>SUM(APUC!AK38,APUL!AK36,ASS!AK49)</f>
        <v>3895.5923720000005</v>
      </c>
    </row>
    <row r="37" spans="3:42" ht="15" x14ac:dyDescent="0.2">
      <c r="E37" s="4"/>
      <c r="F37" s="4"/>
      <c r="G37" s="24"/>
      <c r="H37" s="24"/>
      <c r="I37" s="24"/>
      <c r="J37" s="24"/>
      <c r="K37" s="25"/>
      <c r="L37" s="25"/>
      <c r="M37" s="25"/>
      <c r="N37" s="25"/>
      <c r="O37" s="25"/>
      <c r="P37" s="25"/>
      <c r="Q37" s="25"/>
      <c r="R37" s="25"/>
      <c r="S37" s="25"/>
      <c r="T37" s="25"/>
      <c r="U37" s="25"/>
      <c r="V37" s="25"/>
      <c r="W37" s="25"/>
      <c r="X37" s="25"/>
      <c r="Y37" s="25"/>
      <c r="Z37" s="25"/>
      <c r="AA37" s="25"/>
      <c r="AB37" s="25"/>
      <c r="AC37" s="25"/>
      <c r="AD37" s="25"/>
      <c r="AE37" s="25"/>
      <c r="AF37" s="25"/>
      <c r="AH37" s="26"/>
      <c r="AI37" s="26"/>
      <c r="AJ37" s="26"/>
      <c r="AK37" s="26"/>
    </row>
    <row r="38" spans="3:42" ht="15" x14ac:dyDescent="0.2">
      <c r="C38" s="116">
        <f>+MAX($C$1:$C37)+1</f>
        <v>3</v>
      </c>
      <c r="E38" s="41" t="s">
        <v>33</v>
      </c>
      <c r="F38" s="41" t="s">
        <v>34</v>
      </c>
      <c r="G38" s="42">
        <v>18208.8</v>
      </c>
      <c r="H38" s="42">
        <v>18588.7</v>
      </c>
      <c r="I38" s="42">
        <v>18319.900000000001</v>
      </c>
      <c r="J38" s="42">
        <v>18946.099999999999</v>
      </c>
      <c r="K38" s="43">
        <v>19734</v>
      </c>
      <c r="L38" s="43">
        <v>20062</v>
      </c>
      <c r="M38" s="43">
        <v>22249</v>
      </c>
      <c r="N38" s="43">
        <v>24250</v>
      </c>
      <c r="O38" s="43">
        <v>25428</v>
      </c>
      <c r="P38" s="43">
        <v>26043</v>
      </c>
      <c r="Q38" s="43">
        <v>26618</v>
      </c>
      <c r="R38" s="43">
        <v>27286</v>
      </c>
      <c r="S38" s="43">
        <v>28333</v>
      </c>
      <c r="T38" s="43">
        <v>30654</v>
      </c>
      <c r="U38" s="43">
        <v>32186</v>
      </c>
      <c r="V38" s="43">
        <v>33578</v>
      </c>
      <c r="W38" s="43">
        <v>33697</v>
      </c>
      <c r="X38" s="43">
        <v>33949</v>
      </c>
      <c r="Y38" s="43">
        <v>34546</v>
      </c>
      <c r="Z38" s="43">
        <v>35099</v>
      </c>
      <c r="AA38" s="43">
        <v>35669</v>
      </c>
      <c r="AB38" s="43">
        <v>36399</v>
      </c>
      <c r="AC38" s="43">
        <v>37529</v>
      </c>
      <c r="AD38" s="43">
        <v>38360</v>
      </c>
      <c r="AE38" s="43">
        <v>39910</v>
      </c>
      <c r="AF38" s="43">
        <v>40849</v>
      </c>
      <c r="AG38" s="44"/>
      <c r="AH38" s="45">
        <f>SUM(APUC!AH40,APUL!AH38,ASS!AH51)</f>
        <v>40785.487706</v>
      </c>
      <c r="AI38" s="45">
        <f>SUM(APUC!AI40,APUL!AI38,ASS!AI51)</f>
        <v>41269.607025999998</v>
      </c>
      <c r="AJ38" s="45">
        <f>SUM(APUC!AJ40,APUL!AJ38,ASS!AJ51)</f>
        <v>42784.048740123253</v>
      </c>
      <c r="AK38" s="45">
        <f>SUM(APUC!AK40,APUL!AK38,ASS!AK51)</f>
        <v>44789.389729470582</v>
      </c>
      <c r="AM38" s="5" t="b">
        <f>AH38=SUM(AH39:AH44)</f>
        <v>1</v>
      </c>
      <c r="AN38" s="5" t="b">
        <f t="shared" ref="AN38:AP38" si="2">AI38=SUM(AI39:AI44)</f>
        <v>1</v>
      </c>
      <c r="AO38" s="5" t="b">
        <f t="shared" si="2"/>
        <v>1</v>
      </c>
      <c r="AP38" s="5" t="b">
        <f t="shared" si="2"/>
        <v>1</v>
      </c>
    </row>
    <row r="39" spans="3:42" ht="15" x14ac:dyDescent="0.2">
      <c r="E39" s="23" t="s">
        <v>35</v>
      </c>
      <c r="F39" s="23" t="s">
        <v>36</v>
      </c>
      <c r="G39" s="24">
        <v>11498.5</v>
      </c>
      <c r="H39" s="27">
        <v>11728</v>
      </c>
      <c r="I39" s="24">
        <v>11542.7</v>
      </c>
      <c r="J39" s="24">
        <v>11947.8</v>
      </c>
      <c r="K39" s="25">
        <v>12435</v>
      </c>
      <c r="L39" s="25">
        <v>12582</v>
      </c>
      <c r="M39" s="25">
        <v>13539</v>
      </c>
      <c r="N39" s="25">
        <v>14625</v>
      </c>
      <c r="O39" s="25">
        <v>15271</v>
      </c>
      <c r="P39" s="25">
        <v>15519</v>
      </c>
      <c r="Q39" s="25">
        <v>15731</v>
      </c>
      <c r="R39" s="25">
        <v>15998</v>
      </c>
      <c r="S39" s="25">
        <v>16561</v>
      </c>
      <c r="T39" s="25">
        <v>17992</v>
      </c>
      <c r="U39" s="25">
        <v>18860</v>
      </c>
      <c r="V39" s="25">
        <v>19407</v>
      </c>
      <c r="W39" s="25">
        <v>19529</v>
      </c>
      <c r="X39" s="25">
        <v>19432</v>
      </c>
      <c r="Y39" s="25">
        <v>19793</v>
      </c>
      <c r="Z39" s="25">
        <v>20048</v>
      </c>
      <c r="AA39" s="25">
        <v>20321</v>
      </c>
      <c r="AB39" s="25">
        <v>20819</v>
      </c>
      <c r="AC39" s="25">
        <v>21520</v>
      </c>
      <c r="AD39" s="25">
        <v>22001</v>
      </c>
      <c r="AE39" s="25">
        <v>22897</v>
      </c>
      <c r="AF39" s="25">
        <v>23021</v>
      </c>
      <c r="AH39" s="26">
        <f>SUM(APUC!AH41,APUL!AH39,ASS!AH52)</f>
        <v>22083.335217000003</v>
      </c>
      <c r="AI39" s="26">
        <f>SUM(APUC!AI41,APUL!AI39,ASS!AI52)</f>
        <v>22246.226975999998</v>
      </c>
      <c r="AJ39" s="26">
        <f>SUM(APUC!AJ41,APUL!AJ39,ASS!AJ52)</f>
        <v>22421.833418428265</v>
      </c>
      <c r="AK39" s="26">
        <f>SUM(APUC!AK41,APUL!AK39,ASS!AK52)</f>
        <v>23368.112220543826</v>
      </c>
    </row>
    <row r="40" spans="3:42" ht="15" x14ac:dyDescent="0.2">
      <c r="E40" s="23" t="s">
        <v>37</v>
      </c>
      <c r="F40" s="23" t="s">
        <v>38</v>
      </c>
      <c r="G40" s="24">
        <v>1653.7</v>
      </c>
      <c r="H40" s="24">
        <v>1717.4</v>
      </c>
      <c r="I40" s="24">
        <v>1702.2</v>
      </c>
      <c r="J40" s="24">
        <v>1831.3</v>
      </c>
      <c r="K40" s="25">
        <v>1952</v>
      </c>
      <c r="L40" s="25">
        <v>2183</v>
      </c>
      <c r="M40" s="25">
        <v>3003</v>
      </c>
      <c r="N40" s="25">
        <v>3440</v>
      </c>
      <c r="O40" s="25">
        <v>3772</v>
      </c>
      <c r="P40" s="25">
        <v>3893</v>
      </c>
      <c r="Q40" s="25">
        <v>4273</v>
      </c>
      <c r="R40" s="25">
        <v>4585</v>
      </c>
      <c r="S40" s="25">
        <v>4877</v>
      </c>
      <c r="T40" s="25">
        <v>5246</v>
      </c>
      <c r="U40" s="25">
        <v>5445</v>
      </c>
      <c r="V40" s="25">
        <v>5599</v>
      </c>
      <c r="W40" s="25">
        <v>5727</v>
      </c>
      <c r="X40" s="25">
        <v>5853</v>
      </c>
      <c r="Y40" s="25">
        <v>5858</v>
      </c>
      <c r="Z40" s="25">
        <v>5991</v>
      </c>
      <c r="AA40" s="25">
        <v>6024</v>
      </c>
      <c r="AB40" s="25">
        <v>6033</v>
      </c>
      <c r="AC40" s="25">
        <v>6145</v>
      </c>
      <c r="AD40" s="25">
        <v>6247</v>
      </c>
      <c r="AE40" s="25">
        <v>6492</v>
      </c>
      <c r="AF40" s="25">
        <v>6650</v>
      </c>
      <c r="AH40" s="26">
        <f>SUM(APUC!AH42,APUL!AH40,ASS!AH53)</f>
        <v>6496.3118130000003</v>
      </c>
      <c r="AI40" s="26">
        <f>SUM(APUC!AI42,APUL!AI40,ASS!AI53)</f>
        <v>6677.3615529999997</v>
      </c>
      <c r="AJ40" s="26">
        <f>SUM(APUC!AJ42,APUL!AJ40,ASS!AJ53)</f>
        <v>6787.7412411388614</v>
      </c>
      <c r="AK40" s="26">
        <f>SUM(APUC!AK42,APUL!AK40,ASS!AK53)</f>
        <v>7017.5134868996101</v>
      </c>
    </row>
    <row r="41" spans="3:42" ht="15" x14ac:dyDescent="0.2">
      <c r="E41" s="23" t="s">
        <v>39</v>
      </c>
      <c r="F41" s="23" t="s">
        <v>40</v>
      </c>
      <c r="G41" s="24">
        <v>2953.5</v>
      </c>
      <c r="H41" s="24">
        <v>3001.5</v>
      </c>
      <c r="I41" s="27">
        <v>2970</v>
      </c>
      <c r="J41" s="27">
        <v>2981</v>
      </c>
      <c r="K41" s="25">
        <v>3069</v>
      </c>
      <c r="L41" s="25">
        <v>3062</v>
      </c>
      <c r="M41" s="25">
        <v>3278</v>
      </c>
      <c r="N41" s="25">
        <v>3578</v>
      </c>
      <c r="O41" s="25">
        <v>3703</v>
      </c>
      <c r="P41" s="25">
        <v>3884</v>
      </c>
      <c r="Q41" s="25">
        <v>3854</v>
      </c>
      <c r="R41" s="25">
        <v>3917</v>
      </c>
      <c r="S41" s="25">
        <v>4022</v>
      </c>
      <c r="T41" s="25">
        <v>4324</v>
      </c>
      <c r="U41" s="25">
        <v>4581</v>
      </c>
      <c r="V41" s="25">
        <v>4757</v>
      </c>
      <c r="W41" s="25">
        <v>4699</v>
      </c>
      <c r="X41" s="25">
        <v>4806</v>
      </c>
      <c r="Y41" s="25">
        <v>4839</v>
      </c>
      <c r="Z41" s="25">
        <v>4977</v>
      </c>
      <c r="AA41" s="25">
        <v>5008</v>
      </c>
      <c r="AB41" s="25">
        <v>5173</v>
      </c>
      <c r="AC41" s="25">
        <v>5262</v>
      </c>
      <c r="AD41" s="25">
        <v>5536</v>
      </c>
      <c r="AE41" s="25">
        <v>5685</v>
      </c>
      <c r="AF41" s="25">
        <v>5681</v>
      </c>
      <c r="AH41" s="26">
        <f>SUM(APUC!AH43,APUL!AH41,ASS!AH54)</f>
        <v>5243.9505629999994</v>
      </c>
      <c r="AI41" s="26">
        <f>SUM(APUC!AI43,APUL!AI41,ASS!AI54)</f>
        <v>5300.541886</v>
      </c>
      <c r="AJ41" s="26">
        <f>SUM(APUC!AJ43,APUL!AJ41,ASS!AJ54)</f>
        <v>5804.7445144268131</v>
      </c>
      <c r="AK41" s="26">
        <f>SUM(APUC!AK43,APUL!AK41,ASS!AK54)</f>
        <v>6252.5387840443373</v>
      </c>
    </row>
    <row r="42" spans="3:42" ht="15" x14ac:dyDescent="0.2">
      <c r="E42" s="23" t="s">
        <v>41</v>
      </c>
      <c r="F42" s="23" t="s">
        <v>42</v>
      </c>
      <c r="G42" s="27">
        <v>1706</v>
      </c>
      <c r="H42" s="24">
        <v>1723.5</v>
      </c>
      <c r="I42" s="24">
        <v>1698.3</v>
      </c>
      <c r="J42" s="24">
        <v>1755.8</v>
      </c>
      <c r="K42" s="25">
        <v>1834</v>
      </c>
      <c r="L42" s="25">
        <v>1783</v>
      </c>
      <c r="M42" s="25">
        <v>1938</v>
      </c>
      <c r="N42" s="25">
        <v>2075</v>
      </c>
      <c r="O42" s="25">
        <v>2138</v>
      </c>
      <c r="P42" s="25">
        <v>2194</v>
      </c>
      <c r="Q42" s="25">
        <v>2196</v>
      </c>
      <c r="R42" s="25">
        <v>2207</v>
      </c>
      <c r="S42" s="25">
        <v>2279</v>
      </c>
      <c r="T42" s="25">
        <v>2447</v>
      </c>
      <c r="U42" s="25">
        <v>2596</v>
      </c>
      <c r="V42" s="25">
        <v>3066</v>
      </c>
      <c r="W42" s="25">
        <v>2985</v>
      </c>
      <c r="X42" s="25">
        <v>3118</v>
      </c>
      <c r="Y42" s="25">
        <v>3269</v>
      </c>
      <c r="Z42" s="25">
        <v>3317</v>
      </c>
      <c r="AA42" s="25">
        <v>3463</v>
      </c>
      <c r="AB42" s="25">
        <v>3448</v>
      </c>
      <c r="AC42" s="25">
        <v>3605</v>
      </c>
      <c r="AD42" s="25">
        <v>3578</v>
      </c>
      <c r="AE42" s="25">
        <v>3804</v>
      </c>
      <c r="AF42" s="25">
        <v>3974</v>
      </c>
      <c r="AH42" s="26">
        <f>SUM(APUC!AH44,APUL!AH42,ASS!AH55)</f>
        <v>3693.9050969999998</v>
      </c>
      <c r="AI42" s="26">
        <f>SUM(APUC!AI44,APUL!AI42,ASS!AI55)</f>
        <v>3863.43561</v>
      </c>
      <c r="AJ42" s="26">
        <f>SUM(APUC!AJ44,APUL!AJ42,ASS!AJ55)</f>
        <v>4267.6063700000004</v>
      </c>
      <c r="AK42" s="26">
        <f>SUM(APUC!AK44,APUL!AK42,ASS!AK55)</f>
        <v>4622.7217309999996</v>
      </c>
    </row>
    <row r="43" spans="3:42" ht="15" x14ac:dyDescent="0.2">
      <c r="E43" s="23" t="s">
        <v>43</v>
      </c>
      <c r="F43" s="23" t="s">
        <v>44</v>
      </c>
      <c r="G43" s="27">
        <v>2</v>
      </c>
      <c r="H43" s="24">
        <v>8.1</v>
      </c>
      <c r="I43" s="24">
        <v>7.9</v>
      </c>
      <c r="J43" s="24">
        <v>7.9</v>
      </c>
      <c r="K43" s="25">
        <v>8</v>
      </c>
      <c r="L43" s="25">
        <v>9</v>
      </c>
      <c r="M43" s="25">
        <v>9</v>
      </c>
      <c r="N43" s="25">
        <v>11</v>
      </c>
      <c r="O43" s="25">
        <v>10</v>
      </c>
      <c r="P43" s="25">
        <v>9</v>
      </c>
      <c r="Q43" s="25">
        <v>9</v>
      </c>
      <c r="R43" s="25">
        <v>9</v>
      </c>
      <c r="S43" s="25">
        <v>9</v>
      </c>
      <c r="T43" s="25">
        <v>10</v>
      </c>
      <c r="U43" s="25">
        <v>12</v>
      </c>
      <c r="V43" s="25">
        <v>19</v>
      </c>
      <c r="W43" s="25">
        <v>21</v>
      </c>
      <c r="X43" s="25">
        <v>21</v>
      </c>
      <c r="Y43" s="25">
        <v>20</v>
      </c>
      <c r="Z43" s="25">
        <v>20</v>
      </c>
      <c r="AA43" s="25">
        <v>19</v>
      </c>
      <c r="AB43" s="25">
        <v>14</v>
      </c>
      <c r="AC43" s="25">
        <v>14</v>
      </c>
      <c r="AD43" s="25">
        <v>15</v>
      </c>
      <c r="AE43" s="25">
        <v>17</v>
      </c>
      <c r="AF43" s="25">
        <v>15</v>
      </c>
      <c r="AH43" s="26">
        <f>SUM(APUC!AH45,APUL!AH43,ASS!AH56)</f>
        <v>0</v>
      </c>
      <c r="AI43" s="26">
        <f>SUM(APUC!AI45,APUL!AI43,ASS!AI56)</f>
        <v>0</v>
      </c>
      <c r="AJ43" s="26">
        <f>SUM(APUC!AJ45,APUL!AJ43,ASS!AJ56)</f>
        <v>0</v>
      </c>
      <c r="AK43" s="26">
        <f>SUM(APUC!AK45,APUL!AK43,ASS!AK56)</f>
        <v>0</v>
      </c>
    </row>
    <row r="44" spans="3:42" ht="15" x14ac:dyDescent="0.2">
      <c r="E44" s="23" t="s">
        <v>45</v>
      </c>
      <c r="F44" s="23" t="s">
        <v>46</v>
      </c>
      <c r="G44" s="24">
        <v>396.1</v>
      </c>
      <c r="H44" s="24">
        <v>413.2</v>
      </c>
      <c r="I44" s="24">
        <v>402.7</v>
      </c>
      <c r="J44" s="24">
        <v>422.3</v>
      </c>
      <c r="K44" s="25">
        <v>437</v>
      </c>
      <c r="L44" s="25">
        <v>444</v>
      </c>
      <c r="M44" s="25">
        <v>484</v>
      </c>
      <c r="N44" s="25">
        <v>520</v>
      </c>
      <c r="O44" s="25">
        <v>534</v>
      </c>
      <c r="P44" s="25">
        <v>545</v>
      </c>
      <c r="Q44" s="25">
        <v>555</v>
      </c>
      <c r="R44" s="25">
        <v>569</v>
      </c>
      <c r="S44" s="25">
        <v>588</v>
      </c>
      <c r="T44" s="25">
        <v>638</v>
      </c>
      <c r="U44" s="25">
        <v>692</v>
      </c>
      <c r="V44" s="25">
        <v>730</v>
      </c>
      <c r="W44" s="25">
        <v>737</v>
      </c>
      <c r="X44" s="25">
        <v>719</v>
      </c>
      <c r="Y44" s="25">
        <v>766</v>
      </c>
      <c r="Z44" s="25">
        <v>745</v>
      </c>
      <c r="AA44" s="25">
        <v>833</v>
      </c>
      <c r="AB44" s="25">
        <v>912</v>
      </c>
      <c r="AC44" s="25">
        <v>984</v>
      </c>
      <c r="AD44" s="25">
        <v>983</v>
      </c>
      <c r="AE44" s="25">
        <v>1016</v>
      </c>
      <c r="AF44" s="25">
        <v>1507</v>
      </c>
      <c r="AH44" s="26">
        <f>SUM(APUC!AH46,APUL!AH44,ASS!AH57)</f>
        <v>3267.9850160000001</v>
      </c>
      <c r="AI44" s="26">
        <f>SUM(APUC!AI46,APUL!AI44,ASS!AI57)</f>
        <v>3182.0410010000001</v>
      </c>
      <c r="AJ44" s="26">
        <f>SUM(APUC!AJ46,APUL!AJ44,ASS!AJ57)</f>
        <v>3502.1231961293138</v>
      </c>
      <c r="AK44" s="26">
        <f>SUM(APUC!AK46,APUL!AK44,ASS!AK57)</f>
        <v>3528.5035069828054</v>
      </c>
    </row>
    <row r="45" spans="3:42" ht="15" x14ac:dyDescent="0.2">
      <c r="E45" s="4"/>
      <c r="F45" s="4"/>
      <c r="G45" s="24"/>
      <c r="H45" s="24"/>
      <c r="I45" s="24"/>
      <c r="J45" s="24"/>
      <c r="K45" s="25"/>
      <c r="L45" s="25"/>
      <c r="M45" s="25"/>
      <c r="N45" s="25"/>
      <c r="O45" s="25"/>
      <c r="P45" s="25"/>
      <c r="Q45" s="25"/>
      <c r="R45" s="25"/>
      <c r="S45" s="25"/>
      <c r="T45" s="25"/>
      <c r="U45" s="25"/>
      <c r="V45" s="25"/>
      <c r="W45" s="25"/>
      <c r="X45" s="25"/>
      <c r="Y45" s="25"/>
      <c r="Z45" s="25"/>
      <c r="AA45" s="25"/>
      <c r="AB45" s="25"/>
      <c r="AC45" s="25"/>
      <c r="AD45" s="25"/>
      <c r="AE45" s="25"/>
      <c r="AF45" s="25"/>
      <c r="AH45" s="26"/>
      <c r="AI45" s="26"/>
      <c r="AJ45" s="26"/>
      <c r="AK45" s="26"/>
    </row>
    <row r="46" spans="3:42" ht="15" x14ac:dyDescent="0.2">
      <c r="C46" s="116">
        <f>+MAX($C$1:$C45)+1</f>
        <v>4</v>
      </c>
      <c r="E46" s="41" t="s">
        <v>47</v>
      </c>
      <c r="F46" s="41" t="s">
        <v>48</v>
      </c>
      <c r="G46" s="42">
        <v>72005.899999999994</v>
      </c>
      <c r="H46" s="42">
        <v>71721.899999999994</v>
      </c>
      <c r="I46" s="42">
        <v>66312.899999999994</v>
      </c>
      <c r="J46" s="42">
        <v>66442.2</v>
      </c>
      <c r="K46" s="43">
        <v>67627</v>
      </c>
      <c r="L46" s="43">
        <v>70595</v>
      </c>
      <c r="M46" s="43">
        <v>67895</v>
      </c>
      <c r="N46" s="43">
        <v>73245</v>
      </c>
      <c r="O46" s="43">
        <v>73680</v>
      </c>
      <c r="P46" s="43">
        <v>77297</v>
      </c>
      <c r="Q46" s="43">
        <v>83717</v>
      </c>
      <c r="R46" s="43">
        <v>85162</v>
      </c>
      <c r="S46" s="43">
        <v>83866</v>
      </c>
      <c r="T46" s="43">
        <v>91519</v>
      </c>
      <c r="U46" s="43">
        <v>96077</v>
      </c>
      <c r="V46" s="43">
        <v>102786</v>
      </c>
      <c r="W46" s="43">
        <v>100680</v>
      </c>
      <c r="X46" s="43">
        <v>107888</v>
      </c>
      <c r="Y46" s="43">
        <v>107019</v>
      </c>
      <c r="Z46" s="43">
        <v>115486</v>
      </c>
      <c r="AA46" s="43">
        <v>125596</v>
      </c>
      <c r="AB46" s="43">
        <v>124722</v>
      </c>
      <c r="AC46" s="43">
        <v>135133</v>
      </c>
      <c r="AD46" s="43">
        <v>136489</v>
      </c>
      <c r="AE46" s="43">
        <v>143725</v>
      </c>
      <c r="AF46" s="43">
        <v>156641</v>
      </c>
      <c r="AG46" s="44"/>
      <c r="AH46" s="45">
        <f>SUM(APUC!AH48,APUL!AH46,ASS!AH59)</f>
        <v>112961.60567799999</v>
      </c>
      <c r="AI46" s="45">
        <f>SUM(APUC!AI48,APUL!AI46,ASS!AI59)</f>
        <v>159341.35636500001</v>
      </c>
      <c r="AJ46" s="45">
        <f>SUM(APUC!AJ48,APUL!AJ46,ASS!AJ59)</f>
        <v>186918.8112515338</v>
      </c>
      <c r="AK46" s="45">
        <f>SUM(APUC!AK48,APUL!AK46,ASS!AK59)</f>
        <v>170794.4003986262</v>
      </c>
      <c r="AM46" s="5" t="b">
        <f>AH46=SUM(AH47:AH55)</f>
        <v>1</v>
      </c>
      <c r="AN46" s="5" t="b">
        <f t="shared" ref="AN46:AP46" si="3">AI46=SUM(AI47:AI55)</f>
        <v>1</v>
      </c>
      <c r="AO46" s="5" t="b">
        <f t="shared" si="3"/>
        <v>1</v>
      </c>
      <c r="AP46" s="5" t="b">
        <f t="shared" si="3"/>
        <v>1</v>
      </c>
    </row>
    <row r="47" spans="3:42" ht="15" x14ac:dyDescent="0.2">
      <c r="E47" s="23" t="s">
        <v>49</v>
      </c>
      <c r="F47" s="23" t="s">
        <v>50</v>
      </c>
      <c r="G47" s="24">
        <v>13378.4</v>
      </c>
      <c r="H47" s="24">
        <v>13584.9</v>
      </c>
      <c r="I47" s="27">
        <v>12743</v>
      </c>
      <c r="J47" s="24">
        <v>12798.4</v>
      </c>
      <c r="K47" s="25">
        <v>13684</v>
      </c>
      <c r="L47" s="25">
        <v>13060</v>
      </c>
      <c r="M47" s="25">
        <v>13204</v>
      </c>
      <c r="N47" s="25">
        <v>14041</v>
      </c>
      <c r="O47" s="25">
        <v>12841</v>
      </c>
      <c r="P47" s="25">
        <v>13282</v>
      </c>
      <c r="Q47" s="25">
        <v>14123</v>
      </c>
      <c r="R47" s="25">
        <v>15110</v>
      </c>
      <c r="S47" s="25">
        <v>13317</v>
      </c>
      <c r="T47" s="25">
        <v>16409</v>
      </c>
      <c r="U47" s="25">
        <v>19138</v>
      </c>
      <c r="V47" s="25">
        <v>22257</v>
      </c>
      <c r="W47" s="25">
        <v>18483</v>
      </c>
      <c r="X47" s="25">
        <v>21936</v>
      </c>
      <c r="Y47" s="25">
        <v>21823</v>
      </c>
      <c r="Z47" s="25">
        <v>32794</v>
      </c>
      <c r="AA47" s="25">
        <v>41650</v>
      </c>
      <c r="AB47" s="25">
        <v>38586</v>
      </c>
      <c r="AC47" s="25">
        <v>39790</v>
      </c>
      <c r="AD47" s="25">
        <v>42276</v>
      </c>
      <c r="AE47" s="25">
        <v>45950</v>
      </c>
      <c r="AF47" s="25">
        <v>53070</v>
      </c>
      <c r="AH47" s="26">
        <f>SUM(APUC!AH49,APUL!AH47,ASS!AH60)</f>
        <v>23065.808507000002</v>
      </c>
      <c r="AI47" s="26">
        <f>SUM(APUC!AI49,APUL!AI47,ASS!AI60)</f>
        <v>51778.308131000005</v>
      </c>
      <c r="AJ47" s="26">
        <f>SUM(APUC!AJ49,APUL!AJ47,ASS!AJ60)</f>
        <v>72905.349599471796</v>
      </c>
      <c r="AK47" s="26">
        <f>SUM(APUC!AK49,APUL!AK47,ASS!AK60)</f>
        <v>42179.981089356508</v>
      </c>
    </row>
    <row r="48" spans="3:42" ht="15" x14ac:dyDescent="0.2">
      <c r="E48" s="23" t="s">
        <v>51</v>
      </c>
      <c r="F48" s="23" t="s">
        <v>52</v>
      </c>
      <c r="G48" s="24">
        <v>5918.1</v>
      </c>
      <c r="H48" s="24">
        <v>6324.2</v>
      </c>
      <c r="I48" s="24">
        <v>6094.7</v>
      </c>
      <c r="J48" s="24">
        <v>6009.7</v>
      </c>
      <c r="K48" s="25">
        <v>6052</v>
      </c>
      <c r="L48" s="25">
        <v>6211</v>
      </c>
      <c r="M48" s="25">
        <v>5443</v>
      </c>
      <c r="N48" s="25">
        <v>5951</v>
      </c>
      <c r="O48" s="25">
        <v>5945</v>
      </c>
      <c r="P48" s="25">
        <v>7019</v>
      </c>
      <c r="Q48" s="25">
        <v>7372</v>
      </c>
      <c r="R48" s="25">
        <v>7618</v>
      </c>
      <c r="S48" s="25">
        <v>7538</v>
      </c>
      <c r="T48" s="25">
        <v>7683</v>
      </c>
      <c r="U48" s="25">
        <v>8166</v>
      </c>
      <c r="V48" s="25">
        <v>8443</v>
      </c>
      <c r="W48" s="25">
        <v>7942</v>
      </c>
      <c r="X48" s="25">
        <v>4482</v>
      </c>
      <c r="Y48" s="25">
        <v>4162</v>
      </c>
      <c r="Z48" s="25">
        <v>4610</v>
      </c>
      <c r="AA48" s="25">
        <v>5622</v>
      </c>
      <c r="AB48" s="25">
        <v>4928</v>
      </c>
      <c r="AC48" s="25">
        <v>5421</v>
      </c>
      <c r="AD48" s="25">
        <v>5439</v>
      </c>
      <c r="AE48" s="25">
        <v>5196</v>
      </c>
      <c r="AF48" s="25">
        <v>5198</v>
      </c>
      <c r="AH48" s="26">
        <f>SUM(APUC!AH50,APUL!AH48,ASS!AH61)</f>
        <v>13805.610828000001</v>
      </c>
      <c r="AI48" s="26">
        <f>SUM(APUC!AI50,APUL!AI48,ASS!AI61)</f>
        <v>13763.740300000001</v>
      </c>
      <c r="AJ48" s="26">
        <f>SUM(APUC!AJ50,APUL!AJ48,ASS!AJ61)</f>
        <v>15914.302782966117</v>
      </c>
      <c r="AK48" s="26">
        <f>SUM(APUC!AK50,APUL!AK48,ASS!AK61)</f>
        <v>16514.166680452203</v>
      </c>
    </row>
    <row r="49" spans="3:39" ht="15" x14ac:dyDescent="0.2">
      <c r="E49" s="23" t="s">
        <v>53</v>
      </c>
      <c r="F49" s="23" t="s">
        <v>54</v>
      </c>
      <c r="G49" s="27">
        <v>3618</v>
      </c>
      <c r="H49" s="24">
        <v>3295.4</v>
      </c>
      <c r="I49" s="24">
        <v>3065.2</v>
      </c>
      <c r="J49" s="24">
        <v>3185.7</v>
      </c>
      <c r="K49" s="25">
        <v>3322</v>
      </c>
      <c r="L49" s="25">
        <v>3497</v>
      </c>
      <c r="M49" s="25">
        <v>3685</v>
      </c>
      <c r="N49" s="25">
        <v>4231</v>
      </c>
      <c r="O49" s="25">
        <v>4418</v>
      </c>
      <c r="P49" s="25">
        <v>3999</v>
      </c>
      <c r="Q49" s="25">
        <v>4229</v>
      </c>
      <c r="R49" s="25">
        <v>4423</v>
      </c>
      <c r="S49" s="25">
        <v>4659</v>
      </c>
      <c r="T49" s="25">
        <v>4370</v>
      </c>
      <c r="U49" s="25">
        <v>4705</v>
      </c>
      <c r="V49" s="25">
        <v>4936</v>
      </c>
      <c r="W49" s="25">
        <v>6452</v>
      </c>
      <c r="X49" s="25">
        <v>8249</v>
      </c>
      <c r="Y49" s="25">
        <v>9210</v>
      </c>
      <c r="Z49" s="25">
        <v>8888</v>
      </c>
      <c r="AA49" s="25">
        <v>9295</v>
      </c>
      <c r="AB49" s="25">
        <v>9716</v>
      </c>
      <c r="AC49" s="25">
        <v>10099</v>
      </c>
      <c r="AD49" s="25">
        <v>10072</v>
      </c>
      <c r="AE49" s="25">
        <v>11117</v>
      </c>
      <c r="AF49" s="25">
        <v>13180</v>
      </c>
      <c r="AH49" s="26">
        <f>SUM(APUC!AH51,APUL!AH49,ASS!AH62)</f>
        <v>14997.719958</v>
      </c>
      <c r="AI49" s="26">
        <f>SUM(APUC!AI51,APUL!AI49,ASS!AI62)</f>
        <v>16405.404635999999</v>
      </c>
      <c r="AJ49" s="26">
        <f>SUM(APUC!AJ51,APUL!AJ49,ASS!AJ62)</f>
        <v>22108.841332711891</v>
      </c>
      <c r="AK49" s="26">
        <f>SUM(APUC!AK51,APUL!AK49,ASS!AK62)</f>
        <v>27229.576770894109</v>
      </c>
    </row>
    <row r="50" spans="3:39" ht="15" x14ac:dyDescent="0.2">
      <c r="E50" s="23" t="s">
        <v>55</v>
      </c>
      <c r="F50" s="23" t="s">
        <v>56</v>
      </c>
      <c r="G50" s="24">
        <v>459.4</v>
      </c>
      <c r="H50" s="24">
        <v>486.9</v>
      </c>
      <c r="I50" s="24">
        <v>440.4</v>
      </c>
      <c r="J50" s="24">
        <v>447.1</v>
      </c>
      <c r="K50" s="25">
        <v>457</v>
      </c>
      <c r="L50" s="25">
        <v>431</v>
      </c>
      <c r="M50" s="25">
        <v>447</v>
      </c>
      <c r="N50" s="25">
        <v>446</v>
      </c>
      <c r="O50" s="25">
        <v>452</v>
      </c>
      <c r="P50" s="25">
        <v>469</v>
      </c>
      <c r="Q50" s="25">
        <v>490</v>
      </c>
      <c r="R50" s="25">
        <v>509</v>
      </c>
      <c r="S50" s="25">
        <v>512</v>
      </c>
      <c r="T50" s="25">
        <v>503</v>
      </c>
      <c r="U50" s="25">
        <v>578</v>
      </c>
      <c r="V50" s="25">
        <v>628</v>
      </c>
      <c r="W50" s="25">
        <v>455</v>
      </c>
      <c r="X50" s="25">
        <v>642</v>
      </c>
      <c r="Y50" s="25">
        <v>485</v>
      </c>
      <c r="Z50" s="25">
        <v>393</v>
      </c>
      <c r="AA50" s="25">
        <v>263</v>
      </c>
      <c r="AB50" s="25">
        <v>553</v>
      </c>
      <c r="AC50" s="25">
        <v>837</v>
      </c>
      <c r="AD50" s="25">
        <v>687</v>
      </c>
      <c r="AE50" s="25">
        <v>381</v>
      </c>
      <c r="AF50" s="25">
        <v>609</v>
      </c>
      <c r="AH50" s="26">
        <f>SUM(APUC!AH52,APUL!AH50,ASS!AH63)</f>
        <v>38</v>
      </c>
      <c r="AI50" s="26">
        <f>SUM(APUC!AI52,APUL!AI50,ASS!AI63)</f>
        <v>42</v>
      </c>
      <c r="AJ50" s="26">
        <f>SUM(APUC!AJ52,APUL!AJ50,ASS!AJ63)</f>
        <v>41.427635021814297</v>
      </c>
      <c r="AK50" s="26">
        <f>SUM(APUC!AK52,APUL!AK50,ASS!AK63)</f>
        <v>42.546181167403276</v>
      </c>
    </row>
    <row r="51" spans="3:39" ht="15" x14ac:dyDescent="0.2">
      <c r="E51" s="23" t="s">
        <v>57</v>
      </c>
      <c r="F51" s="23" t="s">
        <v>58</v>
      </c>
      <c r="G51" s="24">
        <v>32296.9</v>
      </c>
      <c r="H51" s="24">
        <v>30392.400000000001</v>
      </c>
      <c r="I51" s="24">
        <v>27766.5</v>
      </c>
      <c r="J51" s="24">
        <v>27779.8</v>
      </c>
      <c r="K51" s="25">
        <v>27413</v>
      </c>
      <c r="L51" s="25">
        <v>30077</v>
      </c>
      <c r="M51" s="25">
        <v>27025</v>
      </c>
      <c r="N51" s="25">
        <v>28986</v>
      </c>
      <c r="O51" s="25">
        <v>30886</v>
      </c>
      <c r="P51" s="25">
        <v>32353</v>
      </c>
      <c r="Q51" s="25">
        <v>36012</v>
      </c>
      <c r="R51" s="25">
        <v>35637</v>
      </c>
      <c r="S51" s="25">
        <v>36139</v>
      </c>
      <c r="T51" s="25">
        <v>37797</v>
      </c>
      <c r="U51" s="25">
        <v>37576</v>
      </c>
      <c r="V51" s="25">
        <v>38907</v>
      </c>
      <c r="W51" s="25">
        <v>40000</v>
      </c>
      <c r="X51" s="25">
        <v>40158</v>
      </c>
      <c r="Y51" s="25">
        <v>43665</v>
      </c>
      <c r="Z51" s="25">
        <v>42434</v>
      </c>
      <c r="AA51" s="25">
        <v>42234</v>
      </c>
      <c r="AB51" s="25">
        <v>43946</v>
      </c>
      <c r="AC51" s="25">
        <v>45474</v>
      </c>
      <c r="AD51" s="25">
        <v>46969</v>
      </c>
      <c r="AE51" s="25">
        <v>49048</v>
      </c>
      <c r="AF51" s="25">
        <v>50310</v>
      </c>
      <c r="AH51" s="26">
        <f>SUM(APUC!AH53,APUL!AH51,ASS!AH64)</f>
        <v>46083.801828999996</v>
      </c>
      <c r="AI51" s="26">
        <f>SUM(APUC!AI53,APUL!AI51,ASS!AI64)</f>
        <v>49318.054117000007</v>
      </c>
      <c r="AJ51" s="26">
        <f>SUM(APUC!AJ53,APUL!AJ51,ASS!AJ64)</f>
        <v>45886.495130455871</v>
      </c>
      <c r="AK51" s="26">
        <f>SUM(APUC!AK53,APUL!AK51,ASS!AK64)</f>
        <v>47297.911316769183</v>
      </c>
    </row>
    <row r="52" spans="3:39" ht="15" x14ac:dyDescent="0.2">
      <c r="E52" s="23" t="s">
        <v>59</v>
      </c>
      <c r="F52" s="23" t="s">
        <v>60</v>
      </c>
      <c r="G52" s="24">
        <v>288.5</v>
      </c>
      <c r="H52" s="27">
        <v>298</v>
      </c>
      <c r="I52" s="27">
        <v>251</v>
      </c>
      <c r="J52" s="24">
        <v>253.4</v>
      </c>
      <c r="K52" s="25">
        <v>272</v>
      </c>
      <c r="L52" s="25">
        <v>230</v>
      </c>
      <c r="M52" s="25">
        <v>236</v>
      </c>
      <c r="N52" s="25">
        <v>208</v>
      </c>
      <c r="O52" s="25">
        <v>202</v>
      </c>
      <c r="P52" s="25">
        <v>182</v>
      </c>
      <c r="Q52" s="25">
        <v>182</v>
      </c>
      <c r="R52" s="25">
        <v>174</v>
      </c>
      <c r="S52" s="25">
        <v>157</v>
      </c>
      <c r="T52" s="25">
        <v>138</v>
      </c>
      <c r="U52" s="25">
        <v>235</v>
      </c>
      <c r="V52" s="25">
        <v>1055</v>
      </c>
      <c r="W52" s="25">
        <v>1291</v>
      </c>
      <c r="X52" s="25">
        <v>4066</v>
      </c>
      <c r="Y52" s="25">
        <v>1301</v>
      </c>
      <c r="Z52" s="25">
        <v>176</v>
      </c>
      <c r="AA52" s="25">
        <v>262</v>
      </c>
      <c r="AB52" s="25">
        <v>311</v>
      </c>
      <c r="AC52" s="25">
        <v>401</v>
      </c>
      <c r="AD52" s="25">
        <v>472</v>
      </c>
      <c r="AE52" s="25">
        <v>545</v>
      </c>
      <c r="AF52" s="25">
        <v>641</v>
      </c>
      <c r="AH52" s="26">
        <f>SUM(APUC!AH54,APUL!AH52,ASS!AH65)</f>
        <v>412</v>
      </c>
      <c r="AI52" s="26">
        <f>SUM(APUC!AI54,APUL!AI52,ASS!AI65)</f>
        <v>508</v>
      </c>
      <c r="AJ52" s="26">
        <f>SUM(APUC!AJ54,APUL!AJ52,ASS!AJ65)</f>
        <v>403.58534763186827</v>
      </c>
      <c r="AK52" s="26">
        <f>SUM(APUC!AK54,APUL!AK52,ASS!AK65)</f>
        <v>414.48215201792868</v>
      </c>
    </row>
    <row r="53" spans="3:39" ht="15" x14ac:dyDescent="0.2">
      <c r="E53" s="23" t="s">
        <v>61</v>
      </c>
      <c r="F53" s="23" t="s">
        <v>62</v>
      </c>
      <c r="G53" s="24">
        <v>4109.6000000000004</v>
      </c>
      <c r="H53" s="24">
        <v>4637.1000000000004</v>
      </c>
      <c r="I53" s="24">
        <v>4176.2</v>
      </c>
      <c r="J53" s="24">
        <v>4138.6000000000004</v>
      </c>
      <c r="K53" s="25">
        <v>3979</v>
      </c>
      <c r="L53" s="25">
        <v>4499</v>
      </c>
      <c r="M53" s="25">
        <v>4042</v>
      </c>
      <c r="N53" s="25">
        <v>4353</v>
      </c>
      <c r="O53" s="25">
        <v>4514</v>
      </c>
      <c r="P53" s="25">
        <v>4744</v>
      </c>
      <c r="Q53" s="25">
        <v>5030</v>
      </c>
      <c r="R53" s="25">
        <v>5208</v>
      </c>
      <c r="S53" s="25">
        <v>5151</v>
      </c>
      <c r="T53" s="25">
        <v>6975</v>
      </c>
      <c r="U53" s="25">
        <v>7497</v>
      </c>
      <c r="V53" s="25">
        <v>7539</v>
      </c>
      <c r="W53" s="25">
        <v>6564</v>
      </c>
      <c r="X53" s="25">
        <v>6688</v>
      </c>
      <c r="Y53" s="25">
        <v>6691</v>
      </c>
      <c r="Z53" s="25">
        <v>6819</v>
      </c>
      <c r="AA53" s="25">
        <v>6335</v>
      </c>
      <c r="AB53" s="25">
        <v>6842</v>
      </c>
      <c r="AC53" s="25">
        <v>7235</v>
      </c>
      <c r="AD53" s="25">
        <v>10015</v>
      </c>
      <c r="AE53" s="25">
        <v>10745</v>
      </c>
      <c r="AF53" s="25">
        <v>11841</v>
      </c>
      <c r="AH53" s="26">
        <f>SUM(APUC!AH55,APUL!AH53,ASS!AH66)</f>
        <v>8403.5974800000004</v>
      </c>
      <c r="AI53" s="26">
        <f>SUM(APUC!AI55,APUL!AI53,ASS!AI66)</f>
        <v>9518.2864310000004</v>
      </c>
      <c r="AJ53" s="26">
        <f>SUM(APUC!AJ55,APUL!AJ53,ASS!AJ66)</f>
        <v>8829.2752681341044</v>
      </c>
      <c r="AK53" s="26">
        <f>SUM(APUC!AK55,APUL!AK53,ASS!AK66)</f>
        <v>9126.6254876607254</v>
      </c>
    </row>
    <row r="54" spans="3:39" ht="15" x14ac:dyDescent="0.2">
      <c r="E54" s="23" t="s">
        <v>63</v>
      </c>
      <c r="F54" s="23" t="s">
        <v>64</v>
      </c>
      <c r="G54" s="24">
        <v>10890.3</v>
      </c>
      <c r="H54" s="24">
        <v>11581.5</v>
      </c>
      <c r="I54" s="24">
        <v>10711.4</v>
      </c>
      <c r="J54" s="24">
        <v>10758.4</v>
      </c>
      <c r="K54" s="25">
        <v>11394</v>
      </c>
      <c r="L54" s="25">
        <v>11512</v>
      </c>
      <c r="M54" s="25">
        <v>12710</v>
      </c>
      <c r="N54" s="25">
        <v>13856</v>
      </c>
      <c r="O54" s="25">
        <v>13212</v>
      </c>
      <c r="P54" s="25">
        <v>13917</v>
      </c>
      <c r="Q54" s="25">
        <v>14856</v>
      </c>
      <c r="R54" s="25">
        <v>14971</v>
      </c>
      <c r="S54" s="25">
        <v>14850</v>
      </c>
      <c r="T54" s="25">
        <v>16104</v>
      </c>
      <c r="U54" s="25">
        <v>16655</v>
      </c>
      <c r="V54" s="25">
        <v>17350</v>
      </c>
      <c r="W54" s="25">
        <v>17804</v>
      </c>
      <c r="X54" s="25">
        <v>17614</v>
      </c>
      <c r="Y54" s="25">
        <v>17825</v>
      </c>
      <c r="Z54" s="25">
        <v>17522</v>
      </c>
      <c r="AA54" s="25">
        <v>17961</v>
      </c>
      <c r="AB54" s="25">
        <v>17976</v>
      </c>
      <c r="AC54" s="25">
        <v>18673</v>
      </c>
      <c r="AD54" s="25">
        <v>18699</v>
      </c>
      <c r="AE54" s="25">
        <v>18906</v>
      </c>
      <c r="AF54" s="25">
        <v>19746</v>
      </c>
      <c r="AH54" s="26">
        <f>SUM(APUC!AH56,APUL!AH54,ASS!AH67)</f>
        <v>4175.1368490000004</v>
      </c>
      <c r="AI54" s="26">
        <f>SUM(APUC!AI56,APUL!AI54,ASS!AI67)</f>
        <v>5278.4545189999999</v>
      </c>
      <c r="AJ54" s="26">
        <f>SUM(APUC!AJ56,APUL!AJ54,ASS!AJ67)</f>
        <v>6797.7240515378498</v>
      </c>
      <c r="AK54" s="26">
        <f>SUM(APUC!AK56,APUL!AK54,ASS!AK67)</f>
        <v>6496.1471439083725</v>
      </c>
    </row>
    <row r="55" spans="3:39" ht="15" x14ac:dyDescent="0.2">
      <c r="E55" s="23" t="s">
        <v>65</v>
      </c>
      <c r="F55" s="23" t="s">
        <v>66</v>
      </c>
      <c r="G55" s="24">
        <v>1047.5</v>
      </c>
      <c r="H55" s="24">
        <v>1122.4000000000001</v>
      </c>
      <c r="I55" s="24">
        <v>1067.4000000000001</v>
      </c>
      <c r="J55" s="24">
        <v>1071.2</v>
      </c>
      <c r="K55" s="25">
        <v>1054</v>
      </c>
      <c r="L55" s="25">
        <v>1078</v>
      </c>
      <c r="M55" s="25">
        <v>1104</v>
      </c>
      <c r="N55" s="25">
        <v>1173</v>
      </c>
      <c r="O55" s="25">
        <v>1210</v>
      </c>
      <c r="P55" s="25">
        <v>1332</v>
      </c>
      <c r="Q55" s="25">
        <v>1422</v>
      </c>
      <c r="R55" s="25">
        <v>1511</v>
      </c>
      <c r="S55" s="25">
        <v>1545</v>
      </c>
      <c r="T55" s="25">
        <v>1540</v>
      </c>
      <c r="U55" s="25">
        <v>1527</v>
      </c>
      <c r="V55" s="25">
        <v>1671</v>
      </c>
      <c r="W55" s="25">
        <v>1688</v>
      </c>
      <c r="X55" s="25">
        <v>4052</v>
      </c>
      <c r="Y55" s="25">
        <v>1857</v>
      </c>
      <c r="Z55" s="25">
        <v>1849</v>
      </c>
      <c r="AA55" s="25">
        <v>1975</v>
      </c>
      <c r="AB55" s="25">
        <v>1863</v>
      </c>
      <c r="AC55" s="25">
        <v>7201</v>
      </c>
      <c r="AD55" s="25">
        <v>1861</v>
      </c>
      <c r="AE55" s="25">
        <v>1839</v>
      </c>
      <c r="AF55" s="25">
        <v>2047</v>
      </c>
      <c r="AH55" s="26">
        <f>SUM(APUC!AH57,APUL!AH55,ASS!AH68)</f>
        <v>1979.9302270000001</v>
      </c>
      <c r="AI55" s="26">
        <f>SUM(APUC!AI57,APUL!AI55,ASS!AI68)</f>
        <v>12729.108231000002</v>
      </c>
      <c r="AJ55" s="26">
        <f>SUM(APUC!AJ57,APUL!AJ55,ASS!AJ68)</f>
        <v>14031.810103602505</v>
      </c>
      <c r="AK55" s="26">
        <f>SUM(APUC!AK57,APUL!AK55,ASS!AK68)</f>
        <v>21492.963576399776</v>
      </c>
    </row>
    <row r="56" spans="3:39" ht="15" x14ac:dyDescent="0.2">
      <c r="E56" s="4"/>
      <c r="F56" s="4"/>
      <c r="G56" s="24"/>
      <c r="H56" s="24"/>
      <c r="I56" s="24"/>
      <c r="J56" s="24"/>
      <c r="K56" s="25"/>
      <c r="L56" s="25"/>
      <c r="M56" s="25"/>
      <c r="N56" s="25"/>
      <c r="O56" s="25"/>
      <c r="P56" s="25"/>
      <c r="Q56" s="25"/>
      <c r="R56" s="25"/>
      <c r="S56" s="25"/>
      <c r="T56" s="25"/>
      <c r="U56" s="25"/>
      <c r="V56" s="25"/>
      <c r="W56" s="25"/>
      <c r="X56" s="25"/>
      <c r="Y56" s="25"/>
      <c r="Z56" s="25"/>
      <c r="AA56" s="25"/>
      <c r="AB56" s="25"/>
      <c r="AC56" s="25"/>
      <c r="AD56" s="25"/>
      <c r="AE56" s="25"/>
      <c r="AF56" s="25"/>
      <c r="AH56" s="26"/>
      <c r="AI56" s="26"/>
      <c r="AJ56" s="26"/>
      <c r="AK56" s="26"/>
    </row>
    <row r="57" spans="3:39" ht="15" x14ac:dyDescent="0.2">
      <c r="C57" s="116">
        <f>+MAX($C$1:$C56)+1</f>
        <v>5</v>
      </c>
      <c r="E57" s="41" t="s">
        <v>67</v>
      </c>
      <c r="F57" s="41" t="s">
        <v>68</v>
      </c>
      <c r="G57" s="46">
        <v>7219</v>
      </c>
      <c r="H57" s="42">
        <v>7595.1</v>
      </c>
      <c r="I57" s="42">
        <v>8235.4</v>
      </c>
      <c r="J57" s="42">
        <v>8387.5</v>
      </c>
      <c r="K57" s="43">
        <v>8932</v>
      </c>
      <c r="L57" s="43">
        <v>10292</v>
      </c>
      <c r="M57" s="43">
        <v>11475</v>
      </c>
      <c r="N57" s="43">
        <v>12037</v>
      </c>
      <c r="O57" s="43">
        <v>13178</v>
      </c>
      <c r="P57" s="43">
        <v>14270</v>
      </c>
      <c r="Q57" s="43">
        <v>15326</v>
      </c>
      <c r="R57" s="43">
        <v>16554</v>
      </c>
      <c r="S57" s="43">
        <v>16875</v>
      </c>
      <c r="T57" s="43">
        <v>17795</v>
      </c>
      <c r="U57" s="43">
        <v>19207</v>
      </c>
      <c r="V57" s="43">
        <v>19833</v>
      </c>
      <c r="W57" s="43">
        <v>20406</v>
      </c>
      <c r="X57" s="43">
        <v>21009</v>
      </c>
      <c r="Y57" s="43">
        <v>21651</v>
      </c>
      <c r="Z57" s="43">
        <v>21995</v>
      </c>
      <c r="AA57" s="43">
        <v>22083</v>
      </c>
      <c r="AB57" s="43">
        <v>21113</v>
      </c>
      <c r="AC57" s="43">
        <v>21477</v>
      </c>
      <c r="AD57" s="43">
        <v>22769</v>
      </c>
      <c r="AE57" s="43">
        <v>24266</v>
      </c>
      <c r="AF57" s="43">
        <v>24093</v>
      </c>
      <c r="AG57" s="44"/>
      <c r="AH57" s="45">
        <f>SUM(APUC!AH59,APUL!AH57,ASS!AH70)</f>
        <v>22559.206204999999</v>
      </c>
      <c r="AI57" s="45">
        <f>SUM(APUC!AI59,APUL!AI57,ASS!AI70)</f>
        <v>22299.604180999999</v>
      </c>
      <c r="AJ57" s="45">
        <f>SUM(APUC!AJ59,APUL!AJ57,ASS!AJ70)</f>
        <v>23446.249571171276</v>
      </c>
      <c r="AK57" s="45">
        <f>SUM(APUC!AK59,APUL!AK57,ASS!AK70)</f>
        <v>24192.945819742901</v>
      </c>
      <c r="AM57" s="5" t="b">
        <f>AK57=SUM(AK58:AK63)</f>
        <v>1</v>
      </c>
    </row>
    <row r="58" spans="3:39" ht="15" x14ac:dyDescent="0.2">
      <c r="E58" s="3" t="s">
        <v>69</v>
      </c>
      <c r="F58" s="3" t="s">
        <v>70</v>
      </c>
      <c r="G58" s="24">
        <v>2975.7</v>
      </c>
      <c r="H58" s="24">
        <v>3226.7</v>
      </c>
      <c r="I58" s="24">
        <v>3686.2</v>
      </c>
      <c r="J58" s="27">
        <v>3923</v>
      </c>
      <c r="K58" s="25">
        <v>4021</v>
      </c>
      <c r="L58" s="25">
        <v>4668</v>
      </c>
      <c r="M58" s="25">
        <v>4799</v>
      </c>
      <c r="N58" s="25">
        <v>5551</v>
      </c>
      <c r="O58" s="25">
        <v>6362</v>
      </c>
      <c r="P58" s="25">
        <v>6912</v>
      </c>
      <c r="Q58" s="25">
        <v>7322</v>
      </c>
      <c r="R58" s="25">
        <v>7770</v>
      </c>
      <c r="S58" s="25">
        <v>8014</v>
      </c>
      <c r="T58" s="25">
        <v>8408</v>
      </c>
      <c r="U58" s="25">
        <v>8978</v>
      </c>
      <c r="V58" s="25">
        <v>9550</v>
      </c>
      <c r="W58" s="25">
        <v>10263</v>
      </c>
      <c r="X58" s="25">
        <v>10604</v>
      </c>
      <c r="Y58" s="25">
        <v>10878</v>
      </c>
      <c r="Z58" s="25">
        <v>11290</v>
      </c>
      <c r="AA58" s="25">
        <v>11289</v>
      </c>
      <c r="AB58" s="25">
        <v>10925</v>
      </c>
      <c r="AC58" s="25">
        <v>11158</v>
      </c>
      <c r="AD58" s="25">
        <v>11668</v>
      </c>
      <c r="AE58" s="25">
        <v>12072</v>
      </c>
      <c r="AF58" s="25">
        <v>12111</v>
      </c>
      <c r="AH58" s="26">
        <f>SUM(APUC!AH60,APUL!AH58,ASS!AH71)</f>
        <v>12065</v>
      </c>
      <c r="AI58" s="26">
        <f>SUM(APUC!AI60,APUL!AI58,ASS!AI71)</f>
        <v>12109</v>
      </c>
      <c r="AJ58" s="26">
        <f>SUM(APUC!AJ60,APUL!AJ58,ASS!AJ71)</f>
        <v>12559.255288226153</v>
      </c>
      <c r="AK58" s="26">
        <f>SUM(APUC!AK60,APUL!AK58,ASS!AK71)</f>
        <v>12898.355181008257</v>
      </c>
    </row>
    <row r="59" spans="3:39" ht="15" x14ac:dyDescent="0.2">
      <c r="E59" s="3" t="s">
        <v>71</v>
      </c>
      <c r="F59" s="3" t="s">
        <v>72</v>
      </c>
      <c r="G59" s="24">
        <v>1774.3</v>
      </c>
      <c r="H59" s="24">
        <v>1721.5</v>
      </c>
      <c r="I59" s="27">
        <v>1859</v>
      </c>
      <c r="J59" s="24">
        <v>1958.5</v>
      </c>
      <c r="K59" s="25">
        <v>2227</v>
      </c>
      <c r="L59" s="25">
        <v>2592</v>
      </c>
      <c r="M59" s="25">
        <v>2807</v>
      </c>
      <c r="N59" s="25">
        <v>2875</v>
      </c>
      <c r="O59" s="25">
        <v>3082</v>
      </c>
      <c r="P59" s="25">
        <v>3439</v>
      </c>
      <c r="Q59" s="25">
        <v>3951</v>
      </c>
      <c r="R59" s="25">
        <v>4113</v>
      </c>
      <c r="S59" s="25">
        <v>4405</v>
      </c>
      <c r="T59" s="25">
        <v>4732</v>
      </c>
      <c r="U59" s="25">
        <v>5011</v>
      </c>
      <c r="V59" s="25">
        <v>4831</v>
      </c>
      <c r="W59" s="25">
        <v>4939</v>
      </c>
      <c r="X59" s="25">
        <v>4916</v>
      </c>
      <c r="Y59" s="25">
        <v>4780</v>
      </c>
      <c r="Z59" s="25">
        <v>4601</v>
      </c>
      <c r="AA59" s="25">
        <v>4470</v>
      </c>
      <c r="AB59" s="25">
        <v>4269</v>
      </c>
      <c r="AC59" s="25">
        <v>4430</v>
      </c>
      <c r="AD59" s="25">
        <v>4691</v>
      </c>
      <c r="AE59" s="25">
        <v>5030</v>
      </c>
      <c r="AF59" s="25">
        <v>4765</v>
      </c>
      <c r="AH59" s="26">
        <f>SUM(APUC!AH61,APUL!AH59,ASS!AH72)</f>
        <v>5031</v>
      </c>
      <c r="AI59" s="26">
        <f>SUM(APUC!AI61,APUL!AI59,ASS!AI72)</f>
        <v>4767</v>
      </c>
      <c r="AJ59" s="26">
        <f>SUM(APUC!AJ61,APUL!AJ59,ASS!AJ72)</f>
        <v>5058.9824238251676</v>
      </c>
      <c r="AK59" s="26">
        <f>SUM(APUC!AK61,APUL!AK59,ASS!AK72)</f>
        <v>5195.5749492684463</v>
      </c>
    </row>
    <row r="60" spans="3:39" ht="15" x14ac:dyDescent="0.2">
      <c r="E60" s="3" t="s">
        <v>73</v>
      </c>
      <c r="F60" s="3" t="s">
        <v>74</v>
      </c>
      <c r="G60" s="24">
        <v>363.9</v>
      </c>
      <c r="H60" s="24">
        <v>385.9</v>
      </c>
      <c r="I60" s="24">
        <v>359.1</v>
      </c>
      <c r="J60" s="24">
        <v>362.7</v>
      </c>
      <c r="K60" s="25">
        <v>357</v>
      </c>
      <c r="L60" s="25">
        <v>491</v>
      </c>
      <c r="M60" s="25">
        <v>720</v>
      </c>
      <c r="N60" s="25">
        <v>697</v>
      </c>
      <c r="O60" s="25">
        <v>663</v>
      </c>
      <c r="P60" s="25">
        <v>756</v>
      </c>
      <c r="Q60" s="25">
        <v>811</v>
      </c>
      <c r="R60" s="25">
        <v>1053</v>
      </c>
      <c r="S60" s="25">
        <v>1106</v>
      </c>
      <c r="T60" s="25">
        <v>1405</v>
      </c>
      <c r="U60" s="25">
        <v>1786</v>
      </c>
      <c r="V60" s="25">
        <v>1873</v>
      </c>
      <c r="W60" s="25">
        <v>1591</v>
      </c>
      <c r="X60" s="25">
        <v>1692</v>
      </c>
      <c r="Y60" s="25">
        <v>1849</v>
      </c>
      <c r="Z60" s="25">
        <v>1695</v>
      </c>
      <c r="AA60" s="25">
        <v>1742</v>
      </c>
      <c r="AB60" s="25">
        <v>1611</v>
      </c>
      <c r="AC60" s="25">
        <v>1580</v>
      </c>
      <c r="AD60" s="25">
        <v>1818</v>
      </c>
      <c r="AE60" s="25">
        <v>2466</v>
      </c>
      <c r="AF60" s="25">
        <v>2541</v>
      </c>
      <c r="AH60" s="26">
        <f>SUM(APUC!AH62,APUL!AH60,ASS!AH73)</f>
        <v>1791</v>
      </c>
      <c r="AI60" s="26">
        <f>SUM(APUC!AI62,APUL!AI60,ASS!AI73)</f>
        <v>1669</v>
      </c>
      <c r="AJ60" s="26">
        <f>SUM(APUC!AJ62,APUL!AJ60,ASS!AJ73)</f>
        <v>1889.6347071240455</v>
      </c>
      <c r="AK60" s="26">
        <f>SUM(APUC!AK62,APUL!AK60,ASS!AK73)</f>
        <v>1940.6548442163946</v>
      </c>
    </row>
    <row r="61" spans="3:39" ht="15" x14ac:dyDescent="0.2">
      <c r="E61" s="3" t="s">
        <v>75</v>
      </c>
      <c r="F61" s="3" t="s">
        <v>76</v>
      </c>
      <c r="G61" s="24">
        <v>514.70000000000005</v>
      </c>
      <c r="H61" s="24">
        <v>566.79999999999995</v>
      </c>
      <c r="I61" s="24">
        <v>605.1</v>
      </c>
      <c r="J61" s="24">
        <v>612.1</v>
      </c>
      <c r="K61" s="25">
        <v>662</v>
      </c>
      <c r="L61" s="25">
        <v>780</v>
      </c>
      <c r="M61" s="25">
        <v>898</v>
      </c>
      <c r="N61" s="25">
        <v>888</v>
      </c>
      <c r="O61" s="25">
        <v>867</v>
      </c>
      <c r="P61" s="25">
        <v>981</v>
      </c>
      <c r="Q61" s="25">
        <v>1020</v>
      </c>
      <c r="R61" s="25">
        <v>1064</v>
      </c>
      <c r="S61" s="25">
        <v>1118</v>
      </c>
      <c r="T61" s="25">
        <v>1165</v>
      </c>
      <c r="U61" s="25">
        <v>1361</v>
      </c>
      <c r="V61" s="25">
        <v>1510</v>
      </c>
      <c r="W61" s="25">
        <v>1648</v>
      </c>
      <c r="X61" s="25">
        <v>1791</v>
      </c>
      <c r="Y61" s="25">
        <v>1834</v>
      </c>
      <c r="Z61" s="25">
        <v>1829</v>
      </c>
      <c r="AA61" s="25">
        <v>1886</v>
      </c>
      <c r="AB61" s="25">
        <v>1712</v>
      </c>
      <c r="AC61" s="25">
        <v>1719</v>
      </c>
      <c r="AD61" s="25">
        <v>1873</v>
      </c>
      <c r="AE61" s="25">
        <v>1961</v>
      </c>
      <c r="AF61" s="25">
        <v>1982</v>
      </c>
      <c r="AH61" s="26">
        <f>SUM(APUC!AH63,APUL!AH61,ASS!AH74)</f>
        <v>1841.7202259999999</v>
      </c>
      <c r="AI61" s="26">
        <f>SUM(APUC!AI63,APUL!AI61,ASS!AI74)</f>
        <v>1862.4561189999999</v>
      </c>
      <c r="AJ61" s="26">
        <f>SUM(APUC!AJ63,APUL!AJ61,ASS!AJ74)</f>
        <v>1936.1184250399724</v>
      </c>
      <c r="AK61" s="26">
        <f>SUM(APUC!AK63,APUL!AK61,ASS!AK74)</f>
        <v>2038.0334697640515</v>
      </c>
    </row>
    <row r="62" spans="3:39" ht="15" x14ac:dyDescent="0.2">
      <c r="E62" s="3" t="s">
        <v>77</v>
      </c>
      <c r="F62" s="3" t="s">
        <v>78</v>
      </c>
      <c r="G62" s="24">
        <v>55.3</v>
      </c>
      <c r="H62" s="27">
        <v>103</v>
      </c>
      <c r="I62" s="24">
        <v>98.2</v>
      </c>
      <c r="J62" s="24">
        <v>95.4</v>
      </c>
      <c r="K62" s="25">
        <v>95</v>
      </c>
      <c r="L62" s="25">
        <v>198</v>
      </c>
      <c r="M62" s="25">
        <v>264</v>
      </c>
      <c r="N62" s="25">
        <v>237</v>
      </c>
      <c r="O62" s="25">
        <v>199</v>
      </c>
      <c r="P62" s="25">
        <v>225</v>
      </c>
      <c r="Q62" s="25">
        <v>380</v>
      </c>
      <c r="R62" s="25">
        <v>472</v>
      </c>
      <c r="S62" s="25">
        <v>473</v>
      </c>
      <c r="T62" s="25">
        <v>413</v>
      </c>
      <c r="U62" s="25">
        <v>312</v>
      </c>
      <c r="V62" s="25">
        <v>341</v>
      </c>
      <c r="W62" s="25">
        <v>373</v>
      </c>
      <c r="X62" s="25">
        <v>357</v>
      </c>
      <c r="Y62" s="25">
        <v>373</v>
      </c>
      <c r="Z62" s="25">
        <v>699</v>
      </c>
      <c r="AA62" s="25">
        <v>773</v>
      </c>
      <c r="AB62" s="25">
        <v>798</v>
      </c>
      <c r="AC62" s="25">
        <v>809</v>
      </c>
      <c r="AD62" s="25">
        <v>844</v>
      </c>
      <c r="AE62" s="25">
        <v>880</v>
      </c>
      <c r="AF62" s="25">
        <v>897</v>
      </c>
      <c r="AH62" s="26">
        <f>SUM(APUC!AH64,APUL!AH62,ASS!AH75)</f>
        <v>144</v>
      </c>
      <c r="AI62" s="26">
        <f>SUM(APUC!AI64,APUL!AI62,ASS!AI75)</f>
        <v>182</v>
      </c>
      <c r="AJ62" s="26">
        <f>SUM(APUC!AJ64,APUL!AJ62,ASS!AJ75)</f>
        <v>134.43935752240381</v>
      </c>
      <c r="AK62" s="26">
        <f>SUM(APUC!AK64,APUL!AK62,ASS!AK75)</f>
        <v>138.06922017550869</v>
      </c>
    </row>
    <row r="63" spans="3:39" ht="15" x14ac:dyDescent="0.2">
      <c r="E63" s="3" t="s">
        <v>79</v>
      </c>
      <c r="F63" s="3" t="s">
        <v>80</v>
      </c>
      <c r="G63" s="24">
        <v>1535.1</v>
      </c>
      <c r="H63" s="24">
        <v>1590.1</v>
      </c>
      <c r="I63" s="24">
        <v>1627.8</v>
      </c>
      <c r="J63" s="24">
        <v>1436.8</v>
      </c>
      <c r="K63" s="25">
        <v>1572</v>
      </c>
      <c r="L63" s="25">
        <v>1561</v>
      </c>
      <c r="M63" s="25">
        <v>1987</v>
      </c>
      <c r="N63" s="25">
        <v>1789</v>
      </c>
      <c r="O63" s="25">
        <v>2003</v>
      </c>
      <c r="P63" s="25">
        <v>1955</v>
      </c>
      <c r="Q63" s="25">
        <v>1842</v>
      </c>
      <c r="R63" s="25">
        <v>2080</v>
      </c>
      <c r="S63" s="25">
        <v>1760</v>
      </c>
      <c r="T63" s="25">
        <v>1672</v>
      </c>
      <c r="U63" s="25">
        <v>1759</v>
      </c>
      <c r="V63" s="25">
        <v>1728</v>
      </c>
      <c r="W63" s="25">
        <v>1590</v>
      </c>
      <c r="X63" s="25">
        <v>1648</v>
      </c>
      <c r="Y63" s="25">
        <v>1937</v>
      </c>
      <c r="Z63" s="25">
        <v>1881</v>
      </c>
      <c r="AA63" s="25">
        <v>1923</v>
      </c>
      <c r="AB63" s="25">
        <v>1797</v>
      </c>
      <c r="AC63" s="25">
        <v>1781</v>
      </c>
      <c r="AD63" s="25">
        <v>1873</v>
      </c>
      <c r="AE63" s="25">
        <v>1857</v>
      </c>
      <c r="AF63" s="25">
        <v>1797</v>
      </c>
      <c r="AH63" s="26">
        <f>SUM(APUC!AH65,APUL!AH63,ASS!AH76)</f>
        <v>1686.485979</v>
      </c>
      <c r="AI63" s="26">
        <f>SUM(APUC!AI65,APUL!AI63,ASS!AI76)</f>
        <v>1710.148062</v>
      </c>
      <c r="AJ63" s="26">
        <f>SUM(APUC!AJ65,APUL!AJ63,ASS!AJ76)</f>
        <v>1867.8193694335346</v>
      </c>
      <c r="AK63" s="26">
        <f>SUM(APUC!AK65,APUL!AK63,ASS!AK76)</f>
        <v>1982.2581553102402</v>
      </c>
    </row>
    <row r="64" spans="3:39" ht="15" x14ac:dyDescent="0.2">
      <c r="E64" s="4"/>
      <c r="F64" s="4"/>
      <c r="G64" s="24"/>
      <c r="H64" s="24"/>
      <c r="I64" s="24"/>
      <c r="J64" s="24"/>
      <c r="K64" s="25"/>
      <c r="L64" s="25"/>
      <c r="M64" s="25"/>
      <c r="N64" s="25"/>
      <c r="O64" s="25"/>
      <c r="P64" s="25"/>
      <c r="Q64" s="25"/>
      <c r="R64" s="25"/>
      <c r="S64" s="25"/>
      <c r="T64" s="25"/>
      <c r="U64" s="25"/>
      <c r="V64" s="25"/>
      <c r="W64" s="25"/>
      <c r="X64" s="25"/>
      <c r="Y64" s="25"/>
      <c r="Z64" s="25"/>
      <c r="AA64" s="25"/>
      <c r="AB64" s="25"/>
      <c r="AC64" s="25"/>
      <c r="AD64" s="25"/>
      <c r="AE64" s="25"/>
      <c r="AF64" s="25"/>
      <c r="AH64" s="26"/>
      <c r="AI64" s="26"/>
      <c r="AJ64" s="26"/>
      <c r="AK64" s="26"/>
    </row>
    <row r="65" spans="3:39" ht="15" x14ac:dyDescent="0.2">
      <c r="C65" s="116">
        <f>+MAX($C$1:$C64)+1</f>
        <v>6</v>
      </c>
      <c r="E65" s="41" t="s">
        <v>81</v>
      </c>
      <c r="F65" s="41" t="s">
        <v>82</v>
      </c>
      <c r="G65" s="42">
        <v>10599.8</v>
      </c>
      <c r="H65" s="42">
        <v>10730.9</v>
      </c>
      <c r="I65" s="42">
        <v>11989.1</v>
      </c>
      <c r="J65" s="42">
        <v>12013.4</v>
      </c>
      <c r="K65" s="43">
        <v>13258</v>
      </c>
      <c r="L65" s="43">
        <v>15307</v>
      </c>
      <c r="M65" s="43">
        <v>15736</v>
      </c>
      <c r="N65" s="43">
        <v>17900</v>
      </c>
      <c r="O65" s="43">
        <v>18443</v>
      </c>
      <c r="P65" s="43">
        <v>19248</v>
      </c>
      <c r="Q65" s="43">
        <v>18839</v>
      </c>
      <c r="R65" s="43">
        <v>20961</v>
      </c>
      <c r="S65" s="43">
        <v>22379</v>
      </c>
      <c r="T65" s="43">
        <v>24226</v>
      </c>
      <c r="U65" s="43">
        <v>28402</v>
      </c>
      <c r="V65" s="43">
        <v>27996</v>
      </c>
      <c r="W65" s="43">
        <v>28794</v>
      </c>
      <c r="X65" s="43">
        <v>27646</v>
      </c>
      <c r="Y65" s="43">
        <v>26931</v>
      </c>
      <c r="Z65" s="43">
        <v>25820</v>
      </c>
      <c r="AA65" s="43">
        <v>24651</v>
      </c>
      <c r="AB65" s="43">
        <v>24242</v>
      </c>
      <c r="AC65" s="43">
        <v>23528</v>
      </c>
      <c r="AD65" s="43">
        <v>24441</v>
      </c>
      <c r="AE65" s="43">
        <v>25779</v>
      </c>
      <c r="AF65" s="43">
        <v>25792</v>
      </c>
      <c r="AG65" s="44"/>
      <c r="AH65" s="45">
        <f>SUM(APUC!AH67,APUL!AH65,ASS!AH78)</f>
        <v>27131.310238999999</v>
      </c>
      <c r="AI65" s="45">
        <f>SUM(APUC!AI67,APUL!AI65,ASS!AI78)</f>
        <v>26217.234495000001</v>
      </c>
      <c r="AJ65" s="45">
        <f>SUM(APUC!AJ67,APUL!AJ65,ASS!AJ78)</f>
        <v>27924.707076622657</v>
      </c>
      <c r="AK65" s="45">
        <f>SUM(APUC!AK67,APUL!AK65,ASS!AK78)</f>
        <v>29088.112814992466</v>
      </c>
      <c r="AM65" s="5" t="b">
        <f>AK65=SUM(AK66:AK71)</f>
        <v>1</v>
      </c>
    </row>
    <row r="66" spans="3:39" ht="15" x14ac:dyDescent="0.2">
      <c r="E66" s="23" t="s">
        <v>83</v>
      </c>
      <c r="F66" s="23" t="s">
        <v>84</v>
      </c>
      <c r="G66" s="24">
        <v>2104.1</v>
      </c>
      <c r="H66" s="24">
        <v>2015.5</v>
      </c>
      <c r="I66" s="27">
        <v>1738</v>
      </c>
      <c r="J66" s="24">
        <v>1700.2</v>
      </c>
      <c r="K66" s="25">
        <v>1871</v>
      </c>
      <c r="L66" s="25">
        <v>2192</v>
      </c>
      <c r="M66" s="25">
        <v>2443</v>
      </c>
      <c r="N66" s="25">
        <v>2869</v>
      </c>
      <c r="O66" s="25">
        <v>2750</v>
      </c>
      <c r="P66" s="25">
        <v>2781</v>
      </c>
      <c r="Q66" s="25">
        <v>2045</v>
      </c>
      <c r="R66" s="25">
        <v>3160</v>
      </c>
      <c r="S66" s="25">
        <v>4189</v>
      </c>
      <c r="T66" s="25">
        <v>5512</v>
      </c>
      <c r="U66" s="25">
        <v>8580</v>
      </c>
      <c r="V66" s="25">
        <v>9058</v>
      </c>
      <c r="W66" s="25">
        <v>9210</v>
      </c>
      <c r="X66" s="25">
        <v>8820</v>
      </c>
      <c r="Y66" s="25">
        <v>7729</v>
      </c>
      <c r="Z66" s="25">
        <v>7243</v>
      </c>
      <c r="AA66" s="25">
        <v>6935</v>
      </c>
      <c r="AB66" s="25">
        <v>6911</v>
      </c>
      <c r="AC66" s="25">
        <v>5817</v>
      </c>
      <c r="AD66" s="25">
        <v>6184</v>
      </c>
      <c r="AE66" s="25">
        <v>5354</v>
      </c>
      <c r="AF66" s="25">
        <v>6684</v>
      </c>
      <c r="AH66" s="26">
        <f>SUM(APUC!AH68,APUL!AH66,ASS!AH79)</f>
        <v>3038.6527040000001</v>
      </c>
      <c r="AI66" s="26">
        <f>SUM(APUC!AI68,APUL!AI66,ASS!AI79)</f>
        <v>2975.0743030000003</v>
      </c>
      <c r="AJ66" s="26">
        <f>SUM(APUC!AJ68,APUL!AJ66,ASS!AJ79)</f>
        <v>3005.7627684726813</v>
      </c>
      <c r="AK66" s="26">
        <f>SUM(APUC!AK68,APUL!AK66,ASS!AK79)</f>
        <v>3100.4516318894434</v>
      </c>
    </row>
    <row r="67" spans="3:39" ht="15" x14ac:dyDescent="0.2">
      <c r="E67" s="23" t="s">
        <v>85</v>
      </c>
      <c r="F67" s="23" t="s">
        <v>86</v>
      </c>
      <c r="G67" s="27">
        <v>6466</v>
      </c>
      <c r="H67" s="24">
        <v>6718.2</v>
      </c>
      <c r="I67" s="24">
        <v>8249.2999999999993</v>
      </c>
      <c r="J67" s="24">
        <v>8351.7000000000007</v>
      </c>
      <c r="K67" s="25">
        <v>9017</v>
      </c>
      <c r="L67" s="25">
        <v>10370</v>
      </c>
      <c r="M67" s="25">
        <v>10280</v>
      </c>
      <c r="N67" s="25">
        <v>11779</v>
      </c>
      <c r="O67" s="25">
        <v>12324</v>
      </c>
      <c r="P67" s="25">
        <v>12967</v>
      </c>
      <c r="Q67" s="25">
        <v>13151</v>
      </c>
      <c r="R67" s="25">
        <v>13758</v>
      </c>
      <c r="S67" s="25">
        <v>13951</v>
      </c>
      <c r="T67" s="25">
        <v>14318</v>
      </c>
      <c r="U67" s="25">
        <v>15407</v>
      </c>
      <c r="V67" s="25">
        <v>14575</v>
      </c>
      <c r="W67" s="25">
        <v>15121</v>
      </c>
      <c r="X67" s="25">
        <v>14668</v>
      </c>
      <c r="Y67" s="25">
        <v>14805</v>
      </c>
      <c r="Z67" s="25">
        <v>14213</v>
      </c>
      <c r="AA67" s="25">
        <v>13429</v>
      </c>
      <c r="AB67" s="25">
        <v>13024</v>
      </c>
      <c r="AC67" s="25">
        <v>13272</v>
      </c>
      <c r="AD67" s="25">
        <v>13610</v>
      </c>
      <c r="AE67" s="25">
        <v>15402</v>
      </c>
      <c r="AF67" s="25">
        <v>14241</v>
      </c>
      <c r="AH67" s="26">
        <f>SUM(APUC!AH69,APUL!AH67,ASS!AH80)</f>
        <v>19065.657534999998</v>
      </c>
      <c r="AI67" s="26">
        <f>SUM(APUC!AI69,APUL!AI67,ASS!AI80)</f>
        <v>18372.160191999999</v>
      </c>
      <c r="AJ67" s="26">
        <f>SUM(APUC!AJ69,APUL!AJ67,ASS!AJ80)</f>
        <v>19843.390830316082</v>
      </c>
      <c r="AK67" s="26">
        <f>SUM(APUC!AK69,APUL!AK67,ASS!AK80)</f>
        <v>20775.067761367616</v>
      </c>
    </row>
    <row r="68" spans="3:39" ht="15" x14ac:dyDescent="0.2">
      <c r="E68" s="23" t="s">
        <v>87</v>
      </c>
      <c r="F68" s="23" t="s">
        <v>88</v>
      </c>
      <c r="G68" s="24">
        <v>1180.2</v>
      </c>
      <c r="H68" s="24">
        <v>1143.5999999999999</v>
      </c>
      <c r="I68" s="24">
        <v>1172.5</v>
      </c>
      <c r="J68" s="24">
        <v>1154.5999999999999</v>
      </c>
      <c r="K68" s="25">
        <v>1427</v>
      </c>
      <c r="L68" s="25">
        <v>1709</v>
      </c>
      <c r="M68" s="25">
        <v>1943</v>
      </c>
      <c r="N68" s="25">
        <v>2090</v>
      </c>
      <c r="O68" s="25">
        <v>2160</v>
      </c>
      <c r="P68" s="25">
        <v>2325</v>
      </c>
      <c r="Q68" s="25">
        <v>2450</v>
      </c>
      <c r="R68" s="25">
        <v>2687</v>
      </c>
      <c r="S68" s="25">
        <v>2879</v>
      </c>
      <c r="T68" s="25">
        <v>3006</v>
      </c>
      <c r="U68" s="25">
        <v>3011</v>
      </c>
      <c r="V68" s="25">
        <v>2951</v>
      </c>
      <c r="W68" s="25">
        <v>2917</v>
      </c>
      <c r="X68" s="25">
        <v>2690</v>
      </c>
      <c r="Y68" s="25">
        <v>2854</v>
      </c>
      <c r="Z68" s="25">
        <v>2822</v>
      </c>
      <c r="AA68" s="25">
        <v>2820</v>
      </c>
      <c r="AB68" s="25">
        <v>2695</v>
      </c>
      <c r="AC68" s="25">
        <v>2798</v>
      </c>
      <c r="AD68" s="25">
        <v>2905</v>
      </c>
      <c r="AE68" s="25">
        <v>3135</v>
      </c>
      <c r="AF68" s="25">
        <v>3025</v>
      </c>
      <c r="AH68" s="26">
        <f>SUM(APUC!AH70,APUL!AH68,ASS!AH81)</f>
        <v>3135</v>
      </c>
      <c r="AI68" s="26">
        <f>SUM(APUC!AI70,APUL!AI68,ASS!AI81)</f>
        <v>3025</v>
      </c>
      <c r="AJ68" s="26">
        <f>SUM(APUC!AJ70,APUL!AJ68,ASS!AJ81)</f>
        <v>3170.9513670890628</v>
      </c>
      <c r="AK68" s="26">
        <f>SUM(APUC!AK70,APUL!AK68,ASS!AK81)</f>
        <v>3256.5670540004676</v>
      </c>
    </row>
    <row r="69" spans="3:39" ht="15" x14ac:dyDescent="0.2">
      <c r="E69" s="23" t="s">
        <v>89</v>
      </c>
      <c r="F69" s="23" t="s">
        <v>90</v>
      </c>
      <c r="G69" s="24">
        <v>558.9</v>
      </c>
      <c r="H69" s="24">
        <v>567.79999999999995</v>
      </c>
      <c r="I69" s="24">
        <v>600.1</v>
      </c>
      <c r="J69" s="24">
        <v>559.4</v>
      </c>
      <c r="K69" s="25">
        <v>699</v>
      </c>
      <c r="L69" s="25">
        <v>833</v>
      </c>
      <c r="M69" s="25">
        <v>905</v>
      </c>
      <c r="N69" s="25">
        <v>982</v>
      </c>
      <c r="O69" s="25">
        <v>1021</v>
      </c>
      <c r="P69" s="25">
        <v>1098</v>
      </c>
      <c r="Q69" s="25">
        <v>1111</v>
      </c>
      <c r="R69" s="25">
        <v>1221</v>
      </c>
      <c r="S69" s="25">
        <v>1272</v>
      </c>
      <c r="T69" s="25">
        <v>1309</v>
      </c>
      <c r="U69" s="25">
        <v>1319</v>
      </c>
      <c r="V69" s="25">
        <v>1349</v>
      </c>
      <c r="W69" s="25">
        <v>1444</v>
      </c>
      <c r="X69" s="25">
        <v>1385</v>
      </c>
      <c r="Y69" s="25">
        <v>1423</v>
      </c>
      <c r="Z69" s="25">
        <v>1428</v>
      </c>
      <c r="AA69" s="25">
        <v>1407</v>
      </c>
      <c r="AB69" s="25">
        <v>1353</v>
      </c>
      <c r="AC69" s="25">
        <v>1409</v>
      </c>
      <c r="AD69" s="25">
        <v>1487</v>
      </c>
      <c r="AE69" s="25">
        <v>1528</v>
      </c>
      <c r="AF69" s="25">
        <v>1471</v>
      </c>
      <c r="AH69" s="26">
        <f>SUM(APUC!AH71,APUL!AH69,ASS!AH82)</f>
        <v>1528</v>
      </c>
      <c r="AI69" s="26">
        <f>SUM(APUC!AI71,APUL!AI69,ASS!AI82)</f>
        <v>1471</v>
      </c>
      <c r="AJ69" s="26">
        <f>SUM(APUC!AJ71,APUL!AJ69,ASS!AJ82)</f>
        <v>1575.5865061522277</v>
      </c>
      <c r="AK69" s="26">
        <f>SUM(APUC!AK71,APUL!AK69,ASS!AK82)</f>
        <v>1618.1273418183378</v>
      </c>
    </row>
    <row r="70" spans="3:39" ht="15" x14ac:dyDescent="0.2">
      <c r="E70" s="23" t="s">
        <v>91</v>
      </c>
      <c r="F70" s="23" t="s">
        <v>92</v>
      </c>
      <c r="G70" s="27">
        <v>6</v>
      </c>
      <c r="H70" s="24">
        <v>6.1</v>
      </c>
      <c r="I70" s="27">
        <v>4</v>
      </c>
      <c r="J70" s="27">
        <v>3</v>
      </c>
      <c r="K70" s="25">
        <v>3</v>
      </c>
      <c r="L70" s="25">
        <v>2</v>
      </c>
      <c r="M70" s="25">
        <v>1</v>
      </c>
      <c r="N70" s="25">
        <v>5</v>
      </c>
      <c r="O70" s="25">
        <v>6</v>
      </c>
      <c r="P70" s="25">
        <v>7</v>
      </c>
      <c r="Q70" s="25">
        <v>5</v>
      </c>
      <c r="R70" s="25">
        <v>3</v>
      </c>
      <c r="S70" s="25">
        <v>1</v>
      </c>
      <c r="T70" s="25">
        <v>1</v>
      </c>
      <c r="U70" s="25">
        <v>31</v>
      </c>
      <c r="V70" s="25">
        <v>0</v>
      </c>
      <c r="W70" s="25">
        <v>2</v>
      </c>
      <c r="X70" s="25">
        <v>4</v>
      </c>
      <c r="Y70" s="25">
        <v>0</v>
      </c>
      <c r="Z70" s="25">
        <v>0</v>
      </c>
      <c r="AA70" s="25">
        <v>0</v>
      </c>
      <c r="AB70" s="25">
        <v>0</v>
      </c>
      <c r="AC70" s="25">
        <v>0</v>
      </c>
      <c r="AD70" s="25">
        <v>0</v>
      </c>
      <c r="AE70" s="25">
        <v>0</v>
      </c>
      <c r="AF70" s="25">
        <v>0</v>
      </c>
      <c r="AH70" s="26">
        <f>SUM(APUC!AH72,APUL!AH70,ASS!AH83)</f>
        <v>0</v>
      </c>
      <c r="AI70" s="26">
        <f>SUM(APUC!AI72,APUL!AI70,ASS!AI83)</f>
        <v>0</v>
      </c>
      <c r="AJ70" s="26">
        <f>SUM(APUC!AJ72,APUL!AJ70,ASS!AJ83)</f>
        <v>0</v>
      </c>
      <c r="AK70" s="26">
        <f>SUM(APUC!AK72,APUL!AK70,ASS!AK83)</f>
        <v>0</v>
      </c>
    </row>
    <row r="71" spans="3:39" ht="15" x14ac:dyDescent="0.2">
      <c r="E71" s="23" t="s">
        <v>93</v>
      </c>
      <c r="F71" s="23" t="s">
        <v>94</v>
      </c>
      <c r="G71" s="24">
        <v>284.5</v>
      </c>
      <c r="H71" s="24">
        <v>278.8</v>
      </c>
      <c r="I71" s="24">
        <v>225.2</v>
      </c>
      <c r="J71" s="24">
        <v>242.5</v>
      </c>
      <c r="K71" s="25">
        <v>241</v>
      </c>
      <c r="L71" s="25">
        <v>203</v>
      </c>
      <c r="M71" s="25">
        <v>164</v>
      </c>
      <c r="N71" s="25">
        <v>175</v>
      </c>
      <c r="O71" s="25">
        <v>183</v>
      </c>
      <c r="P71" s="25">
        <v>72</v>
      </c>
      <c r="Q71" s="25">
        <v>78</v>
      </c>
      <c r="R71" s="25">
        <v>130</v>
      </c>
      <c r="S71" s="25">
        <v>84</v>
      </c>
      <c r="T71" s="25">
        <v>79</v>
      </c>
      <c r="U71" s="25">
        <v>55</v>
      </c>
      <c r="V71" s="25">
        <v>62</v>
      </c>
      <c r="W71" s="25">
        <v>100</v>
      </c>
      <c r="X71" s="25">
        <v>79</v>
      </c>
      <c r="Y71" s="25">
        <v>120</v>
      </c>
      <c r="Z71" s="25">
        <v>113</v>
      </c>
      <c r="AA71" s="25">
        <v>60</v>
      </c>
      <c r="AB71" s="25">
        <v>259</v>
      </c>
      <c r="AC71" s="25">
        <v>232</v>
      </c>
      <c r="AD71" s="25">
        <v>256</v>
      </c>
      <c r="AE71" s="25">
        <v>361</v>
      </c>
      <c r="AF71" s="25">
        <v>371</v>
      </c>
      <c r="AH71" s="26">
        <f>SUM(APUC!AH73,APUL!AH71,ASS!AH84)</f>
        <v>364</v>
      </c>
      <c r="AI71" s="26">
        <f>SUM(APUC!AI73,APUL!AI71,ASS!AI84)</f>
        <v>374</v>
      </c>
      <c r="AJ71" s="26">
        <f>SUM(APUC!AJ73,APUL!AJ71,ASS!AJ84)</f>
        <v>329.01560459260253</v>
      </c>
      <c r="AK71" s="26">
        <f>SUM(APUC!AK73,APUL!AK71,ASS!AK84)</f>
        <v>337.8990259166028</v>
      </c>
    </row>
    <row r="72" spans="3:39" ht="15" x14ac:dyDescent="0.2">
      <c r="E72" s="4"/>
      <c r="F72" s="4"/>
      <c r="G72" s="24"/>
      <c r="H72" s="24"/>
      <c r="I72" s="24"/>
      <c r="J72" s="24"/>
      <c r="K72" s="25"/>
      <c r="L72" s="25"/>
      <c r="M72" s="25"/>
      <c r="N72" s="25"/>
      <c r="O72" s="25"/>
      <c r="P72" s="25"/>
      <c r="Q72" s="25"/>
      <c r="R72" s="25"/>
      <c r="S72" s="25"/>
      <c r="T72" s="25"/>
      <c r="U72" s="25"/>
      <c r="V72" s="25"/>
      <c r="W72" s="25"/>
      <c r="X72" s="25"/>
      <c r="Y72" s="25"/>
      <c r="Z72" s="25"/>
      <c r="AA72" s="25"/>
      <c r="AB72" s="25"/>
      <c r="AC72" s="25"/>
      <c r="AD72" s="25"/>
      <c r="AE72" s="25"/>
      <c r="AF72" s="25"/>
      <c r="AH72" s="26"/>
      <c r="AI72" s="26"/>
      <c r="AJ72" s="26"/>
      <c r="AK72" s="26"/>
    </row>
    <row r="73" spans="3:39" ht="15" x14ac:dyDescent="0.2">
      <c r="C73" s="116">
        <f>+MAX($C$1:$C72)+1</f>
        <v>7</v>
      </c>
      <c r="E73" s="41" t="s">
        <v>95</v>
      </c>
      <c r="F73" s="41" t="s">
        <v>96</v>
      </c>
      <c r="G73" s="42">
        <v>87009.8</v>
      </c>
      <c r="H73" s="42">
        <v>91516.800000000003</v>
      </c>
      <c r="I73" s="46">
        <v>90790</v>
      </c>
      <c r="J73" s="42">
        <v>93734.1</v>
      </c>
      <c r="K73" s="43">
        <v>96728</v>
      </c>
      <c r="L73" s="43">
        <v>103238</v>
      </c>
      <c r="M73" s="43">
        <v>107989</v>
      </c>
      <c r="N73" s="43">
        <v>115691</v>
      </c>
      <c r="O73" s="43">
        <v>122921</v>
      </c>
      <c r="P73" s="43">
        <v>129180</v>
      </c>
      <c r="Q73" s="43">
        <v>135537</v>
      </c>
      <c r="R73" s="43">
        <v>140181</v>
      </c>
      <c r="S73" s="43">
        <v>144882</v>
      </c>
      <c r="T73" s="43">
        <v>148414</v>
      </c>
      <c r="U73" s="43">
        <v>154054</v>
      </c>
      <c r="V73" s="43">
        <v>159197</v>
      </c>
      <c r="W73" s="43">
        <v>163277</v>
      </c>
      <c r="X73" s="43">
        <v>167197</v>
      </c>
      <c r="Y73" s="43">
        <v>170642</v>
      </c>
      <c r="Z73" s="43">
        <v>176045</v>
      </c>
      <c r="AA73" s="43">
        <v>177606</v>
      </c>
      <c r="AB73" s="43">
        <v>181527</v>
      </c>
      <c r="AC73" s="43">
        <v>186344</v>
      </c>
      <c r="AD73" s="43">
        <v>189698</v>
      </c>
      <c r="AE73" s="43">
        <v>194017</v>
      </c>
      <c r="AF73" s="43">
        <v>206973</v>
      </c>
      <c r="AG73" s="44"/>
      <c r="AH73" s="45">
        <f>SUM(APUC!AH75,APUL!AH73,ASS!AH86)</f>
        <v>191025.39054699999</v>
      </c>
      <c r="AI73" s="45">
        <f>SUM(APUC!AI75,APUL!AI73,ASS!AI86)</f>
        <v>204512.72229199999</v>
      </c>
      <c r="AJ73" s="45">
        <f>SUM(APUC!AJ75,APUL!AJ73,ASS!AJ86)</f>
        <v>224648.94224390003</v>
      </c>
      <c r="AK73" s="45">
        <f>SUM(APUC!AK75,APUL!AK73,ASS!AK86)</f>
        <v>223621.38750848206</v>
      </c>
      <c r="AM73" s="5" t="b">
        <f>AK73=SUM(AK74:AK79)</f>
        <v>1</v>
      </c>
    </row>
    <row r="74" spans="3:39" ht="15" x14ac:dyDescent="0.2">
      <c r="E74" s="23" t="s">
        <v>97</v>
      </c>
      <c r="F74" s="23" t="s">
        <v>98</v>
      </c>
      <c r="G74" s="24">
        <v>11528.7</v>
      </c>
      <c r="H74" s="24">
        <v>12530.2</v>
      </c>
      <c r="I74" s="24">
        <v>12593.2</v>
      </c>
      <c r="J74" s="24">
        <v>13744.3</v>
      </c>
      <c r="K74" s="25">
        <v>14902</v>
      </c>
      <c r="L74" s="25">
        <v>16572</v>
      </c>
      <c r="M74" s="25">
        <v>18205</v>
      </c>
      <c r="N74" s="25">
        <v>19312</v>
      </c>
      <c r="O74" s="25">
        <v>20563</v>
      </c>
      <c r="P74" s="25">
        <v>21745</v>
      </c>
      <c r="Q74" s="25">
        <v>22475</v>
      </c>
      <c r="R74" s="25">
        <v>22703</v>
      </c>
      <c r="S74" s="25">
        <v>24072</v>
      </c>
      <c r="T74" s="25">
        <v>24465</v>
      </c>
      <c r="U74" s="25">
        <v>29003</v>
      </c>
      <c r="V74" s="25">
        <v>29675</v>
      </c>
      <c r="W74" s="25">
        <v>29860</v>
      </c>
      <c r="X74" s="25">
        <v>29271</v>
      </c>
      <c r="Y74" s="25">
        <v>30079</v>
      </c>
      <c r="Z74" s="25">
        <v>31194</v>
      </c>
      <c r="AA74" s="25">
        <v>31383</v>
      </c>
      <c r="AB74" s="25">
        <v>32146</v>
      </c>
      <c r="AC74" s="25">
        <v>32917</v>
      </c>
      <c r="AD74" s="25">
        <v>33369</v>
      </c>
      <c r="AE74" s="25">
        <v>34010</v>
      </c>
      <c r="AF74" s="25">
        <v>34955</v>
      </c>
      <c r="AH74" s="26">
        <f>SUM(APUC!AH76,APUL!AH74,ASS!AH87)</f>
        <v>34010</v>
      </c>
      <c r="AI74" s="26">
        <f>SUM(APUC!AI76,APUL!AI74,ASS!AI87)</f>
        <v>34955</v>
      </c>
      <c r="AJ74" s="26">
        <f>SUM(APUC!AJ76,APUL!AJ74,ASS!AJ87)</f>
        <v>38549.663120567377</v>
      </c>
      <c r="AK74" s="26">
        <f>SUM(APUC!AK76,APUL!AK74,ASS!AK87)</f>
        <v>38370.618597320725</v>
      </c>
    </row>
    <row r="75" spans="3:39" ht="15" x14ac:dyDescent="0.2">
      <c r="E75" s="23" t="s">
        <v>99</v>
      </c>
      <c r="F75" s="23" t="s">
        <v>100</v>
      </c>
      <c r="G75" s="24">
        <v>31535.9</v>
      </c>
      <c r="H75" s="24">
        <v>32889.800000000003</v>
      </c>
      <c r="I75" s="24">
        <v>32579.599999999999</v>
      </c>
      <c r="J75" s="24">
        <v>33217.1</v>
      </c>
      <c r="K75" s="25">
        <v>33378</v>
      </c>
      <c r="L75" s="25">
        <v>35634</v>
      </c>
      <c r="M75" s="25">
        <v>36868</v>
      </c>
      <c r="N75" s="25">
        <v>39624</v>
      </c>
      <c r="O75" s="25">
        <v>42680</v>
      </c>
      <c r="P75" s="25">
        <v>45359</v>
      </c>
      <c r="Q75" s="25">
        <v>47083</v>
      </c>
      <c r="R75" s="25">
        <v>50164</v>
      </c>
      <c r="S75" s="25">
        <v>52420</v>
      </c>
      <c r="T75" s="25">
        <v>54177</v>
      </c>
      <c r="U75" s="25">
        <v>52237</v>
      </c>
      <c r="V75" s="25">
        <v>54253</v>
      </c>
      <c r="W75" s="25">
        <v>56067</v>
      </c>
      <c r="X75" s="25">
        <v>58317</v>
      </c>
      <c r="Y75" s="25">
        <v>59809</v>
      </c>
      <c r="Z75" s="25">
        <v>61441</v>
      </c>
      <c r="AA75" s="25">
        <v>63116</v>
      </c>
      <c r="AB75" s="25">
        <v>65110</v>
      </c>
      <c r="AC75" s="25">
        <v>66838</v>
      </c>
      <c r="AD75" s="25">
        <v>68721</v>
      </c>
      <c r="AE75" s="25">
        <v>70571</v>
      </c>
      <c r="AF75" s="25">
        <v>72241</v>
      </c>
      <c r="AH75" s="26">
        <f>SUM(APUC!AH77,APUL!AH75,ASS!AH88)</f>
        <v>70571</v>
      </c>
      <c r="AI75" s="26">
        <f>SUM(APUC!AI77,APUL!AI75,ASS!AI88)</f>
        <v>72241</v>
      </c>
      <c r="AJ75" s="26">
        <f>SUM(APUC!AJ77,APUL!AJ75,ASS!AJ88)</f>
        <v>79670.0390070922</v>
      </c>
      <c r="AK75" s="26">
        <f>SUM(APUC!AK77,APUL!AK75,ASS!AK88)</f>
        <v>79300.010244286837</v>
      </c>
    </row>
    <row r="76" spans="3:39" ht="15" x14ac:dyDescent="0.2">
      <c r="E76" s="23" t="s">
        <v>101</v>
      </c>
      <c r="F76" s="23" t="s">
        <v>102</v>
      </c>
      <c r="G76" s="24">
        <v>40933.4</v>
      </c>
      <c r="H76" s="27">
        <v>42861</v>
      </c>
      <c r="I76" s="24">
        <v>42399.199999999997</v>
      </c>
      <c r="J76" s="27">
        <v>43418</v>
      </c>
      <c r="K76" s="25">
        <v>44739</v>
      </c>
      <c r="L76" s="25">
        <v>46959</v>
      </c>
      <c r="M76" s="25">
        <v>48842</v>
      </c>
      <c r="N76" s="25">
        <v>51721</v>
      </c>
      <c r="O76" s="25">
        <v>54476</v>
      </c>
      <c r="P76" s="25">
        <v>56629</v>
      </c>
      <c r="Q76" s="25">
        <v>60045</v>
      </c>
      <c r="R76" s="25">
        <v>61588</v>
      </c>
      <c r="S76" s="25">
        <v>62540</v>
      </c>
      <c r="T76" s="25">
        <v>64019</v>
      </c>
      <c r="U76" s="25">
        <v>66542</v>
      </c>
      <c r="V76" s="25">
        <v>68237</v>
      </c>
      <c r="W76" s="25">
        <v>70633</v>
      </c>
      <c r="X76" s="25">
        <v>72999</v>
      </c>
      <c r="Y76" s="25">
        <v>73730</v>
      </c>
      <c r="Z76" s="25">
        <v>76393</v>
      </c>
      <c r="AA76" s="25">
        <v>76382</v>
      </c>
      <c r="AB76" s="25">
        <v>77539</v>
      </c>
      <c r="AC76" s="25">
        <v>78941</v>
      </c>
      <c r="AD76" s="25">
        <v>79989</v>
      </c>
      <c r="AE76" s="25">
        <v>81682</v>
      </c>
      <c r="AF76" s="25">
        <v>87445</v>
      </c>
      <c r="AH76" s="26">
        <f>SUM(APUC!AH78,APUL!AH76,ASS!AH89)</f>
        <v>81726</v>
      </c>
      <c r="AI76" s="26">
        <f>SUM(APUC!AI78,APUL!AI76,ASS!AI89)</f>
        <v>87468</v>
      </c>
      <c r="AJ76" s="26">
        <f>SUM(APUC!AJ78,APUL!AJ76,ASS!AJ89)</f>
        <v>96462.936170212779</v>
      </c>
      <c r="AK76" s="26">
        <f>SUM(APUC!AK78,APUL!AK76,ASS!AK89)</f>
        <v>96014.912529550842</v>
      </c>
    </row>
    <row r="77" spans="3:39" ht="15" x14ac:dyDescent="0.2">
      <c r="E77" s="23" t="s">
        <v>103</v>
      </c>
      <c r="F77" s="23" t="s">
        <v>104</v>
      </c>
      <c r="G77" s="24">
        <v>1013.3</v>
      </c>
      <c r="H77" s="24">
        <v>1176.9000000000001</v>
      </c>
      <c r="I77" s="24">
        <v>1151.7</v>
      </c>
      <c r="J77" s="24">
        <v>1224.2</v>
      </c>
      <c r="K77" s="25">
        <v>1345</v>
      </c>
      <c r="L77" s="25">
        <v>1566</v>
      </c>
      <c r="M77" s="25">
        <v>1429</v>
      </c>
      <c r="N77" s="25">
        <v>2164</v>
      </c>
      <c r="O77" s="25">
        <v>2145</v>
      </c>
      <c r="P77" s="25">
        <v>2268</v>
      </c>
      <c r="Q77" s="25">
        <v>2612</v>
      </c>
      <c r="R77" s="25">
        <v>2530</v>
      </c>
      <c r="S77" s="25">
        <v>2268</v>
      </c>
      <c r="T77" s="25">
        <v>2104</v>
      </c>
      <c r="U77" s="25">
        <v>2532</v>
      </c>
      <c r="V77" s="25">
        <v>2717</v>
      </c>
      <c r="W77" s="25">
        <v>2517</v>
      </c>
      <c r="X77" s="25">
        <v>2535</v>
      </c>
      <c r="Y77" s="25">
        <v>2612</v>
      </c>
      <c r="Z77" s="25">
        <v>2564</v>
      </c>
      <c r="AA77" s="25">
        <v>2510</v>
      </c>
      <c r="AB77" s="25">
        <v>2487</v>
      </c>
      <c r="AC77" s="25">
        <v>2624</v>
      </c>
      <c r="AD77" s="25">
        <v>2748</v>
      </c>
      <c r="AE77" s="25">
        <v>2858</v>
      </c>
      <c r="AF77" s="25">
        <v>6523</v>
      </c>
      <c r="AH77" s="26">
        <f>SUM(APUC!AH79,APUL!AH77,ASS!AH90)</f>
        <v>2461.825703</v>
      </c>
      <c r="AI77" s="26">
        <f>SUM(APUC!AI79,APUL!AI77,ASS!AI90)</f>
        <v>7360.0337870000003</v>
      </c>
      <c r="AJ77" s="26">
        <f>SUM(APUC!AJ79,APUL!AJ77,ASS!AJ90)</f>
        <v>7466.0248237065553</v>
      </c>
      <c r="AK77" s="26">
        <f>SUM(APUC!AK79,APUL!AK77,ASS!AK90)</f>
        <v>7494.3165527222036</v>
      </c>
    </row>
    <row r="78" spans="3:39" ht="15" x14ac:dyDescent="0.2">
      <c r="E78" s="23" t="s">
        <v>105</v>
      </c>
      <c r="F78" s="23" t="s">
        <v>106</v>
      </c>
      <c r="G78" s="27">
        <v>1335</v>
      </c>
      <c r="H78" s="24">
        <v>1370.9</v>
      </c>
      <c r="I78" s="24">
        <v>1370.9</v>
      </c>
      <c r="J78" s="27">
        <v>1413</v>
      </c>
      <c r="K78" s="25">
        <v>1607</v>
      </c>
      <c r="L78" s="25">
        <v>1696</v>
      </c>
      <c r="M78" s="25">
        <v>1788</v>
      </c>
      <c r="N78" s="25">
        <v>1949</v>
      </c>
      <c r="O78" s="25">
        <v>2068</v>
      </c>
      <c r="P78" s="25">
        <v>2157</v>
      </c>
      <c r="Q78" s="25">
        <v>2258</v>
      </c>
      <c r="R78" s="25">
        <v>2107</v>
      </c>
      <c r="S78" s="25">
        <v>2458</v>
      </c>
      <c r="T78" s="25">
        <v>2586</v>
      </c>
      <c r="U78" s="25">
        <v>2569</v>
      </c>
      <c r="V78" s="25">
        <v>2384</v>
      </c>
      <c r="W78" s="25">
        <v>2275</v>
      </c>
      <c r="X78" s="25">
        <v>2216</v>
      </c>
      <c r="Y78" s="25">
        <v>2325</v>
      </c>
      <c r="Z78" s="25">
        <v>2228</v>
      </c>
      <c r="AA78" s="25">
        <v>2164</v>
      </c>
      <c r="AB78" s="25">
        <v>2166</v>
      </c>
      <c r="AC78" s="25">
        <v>2196</v>
      </c>
      <c r="AD78" s="25">
        <v>2188</v>
      </c>
      <c r="AE78" s="25">
        <v>2202</v>
      </c>
      <c r="AF78" s="25">
        <v>2175</v>
      </c>
      <c r="AH78" s="26">
        <f>SUM(APUC!AH80,APUL!AH78,ASS!AH91)</f>
        <v>0</v>
      </c>
      <c r="AI78" s="26">
        <f>SUM(APUC!AI80,APUL!AI78,ASS!AI91)</f>
        <v>0</v>
      </c>
      <c r="AJ78" s="26">
        <f>SUM(APUC!AJ80,APUL!AJ78,ASS!AJ91)</f>
        <v>0</v>
      </c>
      <c r="AK78" s="26">
        <f>SUM(APUC!AK80,APUL!AK78,ASS!AK91)</f>
        <v>0</v>
      </c>
    </row>
    <row r="79" spans="3:39" ht="15" x14ac:dyDescent="0.2">
      <c r="E79" s="23" t="s">
        <v>107</v>
      </c>
      <c r="F79" s="23" t="s">
        <v>108</v>
      </c>
      <c r="G79" s="24">
        <v>663.5</v>
      </c>
      <c r="H79" s="27">
        <v>690</v>
      </c>
      <c r="I79" s="24">
        <v>693.4</v>
      </c>
      <c r="J79" s="24">
        <v>719.4</v>
      </c>
      <c r="K79" s="25">
        <v>758</v>
      </c>
      <c r="L79" s="25">
        <v>811</v>
      </c>
      <c r="M79" s="25">
        <v>857</v>
      </c>
      <c r="N79" s="25">
        <v>921</v>
      </c>
      <c r="O79" s="25">
        <v>988</v>
      </c>
      <c r="P79" s="25">
        <v>1024</v>
      </c>
      <c r="Q79" s="25">
        <v>1064</v>
      </c>
      <c r="R79" s="25">
        <v>1090</v>
      </c>
      <c r="S79" s="25">
        <v>1125</v>
      </c>
      <c r="T79" s="25">
        <v>1061</v>
      </c>
      <c r="U79" s="25">
        <v>1172</v>
      </c>
      <c r="V79" s="25">
        <v>1931</v>
      </c>
      <c r="W79" s="25">
        <v>1923</v>
      </c>
      <c r="X79" s="25">
        <v>1859</v>
      </c>
      <c r="Y79" s="25">
        <v>2087</v>
      </c>
      <c r="Z79" s="25">
        <v>2225</v>
      </c>
      <c r="AA79" s="25">
        <v>2051</v>
      </c>
      <c r="AB79" s="25">
        <v>2079</v>
      </c>
      <c r="AC79" s="25">
        <v>2827</v>
      </c>
      <c r="AD79" s="25">
        <v>2684</v>
      </c>
      <c r="AE79" s="25">
        <v>2695</v>
      </c>
      <c r="AF79" s="25">
        <v>3633</v>
      </c>
      <c r="AH79" s="26">
        <f>SUM(APUC!AH81,APUL!AH79,ASS!AH92)</f>
        <v>2256.564844</v>
      </c>
      <c r="AI79" s="26">
        <f>SUM(APUC!AI81,APUL!AI79,ASS!AI92)</f>
        <v>2488.6885050000001</v>
      </c>
      <c r="AJ79" s="26">
        <f>SUM(APUC!AJ81,APUL!AJ79,ASS!AJ92)</f>
        <v>2500.2791223211357</v>
      </c>
      <c r="AK79" s="26">
        <f>SUM(APUC!AK81,APUL!AK79,ASS!AK92)</f>
        <v>2441.5295846014546</v>
      </c>
    </row>
    <row r="80" spans="3:39" ht="15" x14ac:dyDescent="0.2">
      <c r="E80" s="4"/>
      <c r="F80" s="4"/>
      <c r="G80" s="24"/>
      <c r="H80" s="27"/>
      <c r="I80" s="24"/>
      <c r="J80" s="24"/>
      <c r="K80" s="25"/>
      <c r="L80" s="25"/>
      <c r="M80" s="25"/>
      <c r="N80" s="25"/>
      <c r="O80" s="25"/>
      <c r="P80" s="25"/>
      <c r="Q80" s="25"/>
      <c r="R80" s="25"/>
      <c r="S80" s="25"/>
      <c r="T80" s="25"/>
      <c r="U80" s="25"/>
      <c r="V80" s="25"/>
      <c r="W80" s="25"/>
      <c r="X80" s="25"/>
      <c r="Y80" s="25"/>
      <c r="Z80" s="25"/>
      <c r="AA80" s="25"/>
      <c r="AB80" s="25"/>
      <c r="AC80" s="25"/>
      <c r="AD80" s="25"/>
      <c r="AE80" s="25"/>
      <c r="AF80" s="25"/>
      <c r="AH80" s="26"/>
      <c r="AI80" s="26"/>
      <c r="AJ80" s="26"/>
      <c r="AK80" s="26"/>
    </row>
    <row r="81" spans="3:39" ht="15" x14ac:dyDescent="0.2">
      <c r="C81" s="116">
        <f>+MAX($C$1:$C80)+1</f>
        <v>8</v>
      </c>
      <c r="E81" s="41" t="s">
        <v>109</v>
      </c>
      <c r="F81" s="41" t="s">
        <v>110</v>
      </c>
      <c r="G81" s="42">
        <v>12106.7</v>
      </c>
      <c r="H81" s="42">
        <v>12181.6</v>
      </c>
      <c r="I81" s="42">
        <v>12717.2</v>
      </c>
      <c r="J81" s="42">
        <v>13750.3</v>
      </c>
      <c r="K81" s="43">
        <v>14738</v>
      </c>
      <c r="L81" s="43">
        <v>16045</v>
      </c>
      <c r="M81" s="43">
        <v>18276</v>
      </c>
      <c r="N81" s="43">
        <v>20285</v>
      </c>
      <c r="O81" s="43">
        <v>21947</v>
      </c>
      <c r="P81" s="43">
        <v>22696</v>
      </c>
      <c r="Q81" s="43">
        <v>24306</v>
      </c>
      <c r="R81" s="43">
        <v>26272</v>
      </c>
      <c r="S81" s="43">
        <v>27576</v>
      </c>
      <c r="T81" s="43">
        <v>28728</v>
      </c>
      <c r="U81" s="43">
        <v>29899</v>
      </c>
      <c r="V81" s="43">
        <v>31087</v>
      </c>
      <c r="W81" s="43">
        <v>31764</v>
      </c>
      <c r="X81" s="43">
        <v>32702</v>
      </c>
      <c r="Y81" s="43">
        <v>33824</v>
      </c>
      <c r="Z81" s="43">
        <v>33133</v>
      </c>
      <c r="AA81" s="43">
        <v>31552</v>
      </c>
      <c r="AB81" s="43">
        <v>31460</v>
      </c>
      <c r="AC81" s="43">
        <v>32440</v>
      </c>
      <c r="AD81" s="43">
        <v>33130</v>
      </c>
      <c r="AE81" s="43">
        <v>34859</v>
      </c>
      <c r="AF81" s="43">
        <v>33617</v>
      </c>
      <c r="AG81" s="44"/>
      <c r="AH81" s="45">
        <f>SUM(APUC!AH83,APUL!AH81,ASS!AH94)</f>
        <v>34174.966079999998</v>
      </c>
      <c r="AI81" s="45">
        <f>SUM(APUC!AI83,APUL!AI81,ASS!AI94)</f>
        <v>33530.860295999999</v>
      </c>
      <c r="AJ81" s="45">
        <f>SUM(APUC!AJ83,APUL!AJ81,ASS!AJ94)</f>
        <v>34859.99724302227</v>
      </c>
      <c r="AK81" s="45">
        <f>SUM(APUC!AK83,APUL!AK81,ASS!AK94)</f>
        <v>36209.925442580869</v>
      </c>
      <c r="AM81" s="5" t="b">
        <f>AK81=SUM(AK82:AK87)</f>
        <v>1</v>
      </c>
    </row>
    <row r="82" spans="3:39" ht="15" x14ac:dyDescent="0.2">
      <c r="E82" s="23" t="s">
        <v>111</v>
      </c>
      <c r="F82" s="23" t="s">
        <v>112</v>
      </c>
      <c r="G82" s="24">
        <v>4081.5</v>
      </c>
      <c r="H82" s="24">
        <v>4064.2</v>
      </c>
      <c r="I82" s="27">
        <v>4331</v>
      </c>
      <c r="J82" s="27">
        <v>4852</v>
      </c>
      <c r="K82" s="25">
        <v>5178</v>
      </c>
      <c r="L82" s="25">
        <v>5722</v>
      </c>
      <c r="M82" s="25">
        <v>6613</v>
      </c>
      <c r="N82" s="25">
        <v>7535</v>
      </c>
      <c r="O82" s="25">
        <v>8325</v>
      </c>
      <c r="P82" s="25">
        <v>8697</v>
      </c>
      <c r="Q82" s="25">
        <v>9380</v>
      </c>
      <c r="R82" s="25">
        <v>10018</v>
      </c>
      <c r="S82" s="25">
        <v>10578</v>
      </c>
      <c r="T82" s="25">
        <v>10798</v>
      </c>
      <c r="U82" s="25">
        <v>11264</v>
      </c>
      <c r="V82" s="25">
        <v>11722</v>
      </c>
      <c r="W82" s="25">
        <v>12033</v>
      </c>
      <c r="X82" s="25">
        <v>12331</v>
      </c>
      <c r="Y82" s="25">
        <v>12747</v>
      </c>
      <c r="Z82" s="25">
        <v>12418</v>
      </c>
      <c r="AA82" s="25">
        <v>12012</v>
      </c>
      <c r="AB82" s="25">
        <v>12119</v>
      </c>
      <c r="AC82" s="25">
        <v>12539</v>
      </c>
      <c r="AD82" s="25">
        <v>12747</v>
      </c>
      <c r="AE82" s="25">
        <v>13750</v>
      </c>
      <c r="AF82" s="25">
        <v>12908</v>
      </c>
      <c r="AH82" s="26">
        <f>SUM(APUC!AH84,APUL!AH82,ASS!AH95)</f>
        <v>14067.251389000001</v>
      </c>
      <c r="AI82" s="26">
        <f>SUM(APUC!AI84,APUL!AI82,ASS!AI95)</f>
        <v>13429.058852</v>
      </c>
      <c r="AJ82" s="26">
        <f>SUM(APUC!AJ84,APUL!AJ82,ASS!AJ95)</f>
        <v>14522.297601829054</v>
      </c>
      <c r="AK82" s="26">
        <f>SUM(APUC!AK84,APUL!AK82,ASS!AK95)</f>
        <v>15173.830886413438</v>
      </c>
    </row>
    <row r="83" spans="3:39" ht="15" x14ac:dyDescent="0.2">
      <c r="E83" s="23" t="s">
        <v>113</v>
      </c>
      <c r="F83" s="23" t="s">
        <v>114</v>
      </c>
      <c r="G83" s="24">
        <v>5739.2</v>
      </c>
      <c r="H83" s="24">
        <v>5746.3</v>
      </c>
      <c r="I83" s="24">
        <v>6004.5</v>
      </c>
      <c r="J83" s="24">
        <v>6452.8</v>
      </c>
      <c r="K83" s="25">
        <v>6976</v>
      </c>
      <c r="L83" s="25">
        <v>7671</v>
      </c>
      <c r="M83" s="25">
        <v>9005</v>
      </c>
      <c r="N83" s="25">
        <v>10071</v>
      </c>
      <c r="O83" s="25">
        <v>10855</v>
      </c>
      <c r="P83" s="25">
        <v>11198</v>
      </c>
      <c r="Q83" s="25">
        <v>11983</v>
      </c>
      <c r="R83" s="25">
        <v>13122</v>
      </c>
      <c r="S83" s="25">
        <v>13610</v>
      </c>
      <c r="T83" s="25">
        <v>14114</v>
      </c>
      <c r="U83" s="25">
        <v>14608</v>
      </c>
      <c r="V83" s="25">
        <v>15229</v>
      </c>
      <c r="W83" s="25">
        <v>15481</v>
      </c>
      <c r="X83" s="25">
        <v>16067</v>
      </c>
      <c r="Y83" s="25">
        <v>16689</v>
      </c>
      <c r="Z83" s="25">
        <v>16628</v>
      </c>
      <c r="AA83" s="25">
        <v>15579</v>
      </c>
      <c r="AB83" s="25">
        <v>15397</v>
      </c>
      <c r="AC83" s="25">
        <v>15894</v>
      </c>
      <c r="AD83" s="25">
        <v>16310</v>
      </c>
      <c r="AE83" s="25">
        <v>17070</v>
      </c>
      <c r="AF83" s="25">
        <v>16642</v>
      </c>
      <c r="AH83" s="26">
        <f>SUM(APUC!AH85,APUL!AH83,ASS!AH96)</f>
        <v>15666.091591</v>
      </c>
      <c r="AI83" s="26">
        <f>SUM(APUC!AI85,APUL!AI83,ASS!AI96)</f>
        <v>15768.775344</v>
      </c>
      <c r="AJ83" s="26">
        <f>SUM(APUC!AJ85,APUL!AJ83,ASS!AJ96)</f>
        <v>16046.71380282752</v>
      </c>
      <c r="AK83" s="26">
        <f>SUM(APUC!AK85,APUL!AK83,ASS!AK96)</f>
        <v>16763.681416565862</v>
      </c>
    </row>
    <row r="84" spans="3:39" ht="15" x14ac:dyDescent="0.2">
      <c r="E84" s="23" t="s">
        <v>115</v>
      </c>
      <c r="F84" s="23" t="s">
        <v>116</v>
      </c>
      <c r="G84" s="24">
        <v>2182.5</v>
      </c>
      <c r="H84" s="24">
        <v>2275.1</v>
      </c>
      <c r="I84" s="24">
        <v>2281.6</v>
      </c>
      <c r="J84" s="24">
        <v>2329.1</v>
      </c>
      <c r="K84" s="25">
        <v>2464</v>
      </c>
      <c r="L84" s="25">
        <v>2487</v>
      </c>
      <c r="M84" s="25">
        <v>2457</v>
      </c>
      <c r="N84" s="25">
        <v>2449</v>
      </c>
      <c r="O84" s="25">
        <v>2500</v>
      </c>
      <c r="P84" s="25">
        <v>2541</v>
      </c>
      <c r="Q84" s="25">
        <v>2656</v>
      </c>
      <c r="R84" s="25">
        <v>2823</v>
      </c>
      <c r="S84" s="25">
        <v>3057</v>
      </c>
      <c r="T84" s="25">
        <v>3487</v>
      </c>
      <c r="U84" s="25">
        <v>3648</v>
      </c>
      <c r="V84" s="25">
        <v>3732</v>
      </c>
      <c r="W84" s="25">
        <v>3787</v>
      </c>
      <c r="X84" s="25">
        <v>3811</v>
      </c>
      <c r="Y84" s="25">
        <v>3901</v>
      </c>
      <c r="Z84" s="25">
        <v>3618</v>
      </c>
      <c r="AA84" s="25">
        <v>3503</v>
      </c>
      <c r="AB84" s="25">
        <v>3501</v>
      </c>
      <c r="AC84" s="25">
        <v>3543</v>
      </c>
      <c r="AD84" s="25">
        <v>3536</v>
      </c>
      <c r="AE84" s="25">
        <v>3479</v>
      </c>
      <c r="AF84" s="25">
        <v>3551</v>
      </c>
      <c r="AH84" s="26">
        <f>SUM(APUC!AH86,APUL!AH84,ASS!AH97)</f>
        <v>3883.6230999999998</v>
      </c>
      <c r="AI84" s="26">
        <f>SUM(APUC!AI86,APUL!AI84,ASS!AI97)</f>
        <v>3819.0261</v>
      </c>
      <c r="AJ84" s="26">
        <f>SUM(APUC!AJ86,APUL!AJ84,ASS!AJ97)</f>
        <v>3738.5282797199516</v>
      </c>
      <c r="AK84" s="26">
        <f>SUM(APUC!AK86,APUL!AK84,ASS!AK97)</f>
        <v>3705.0392268723904</v>
      </c>
    </row>
    <row r="85" spans="3:39" ht="15" x14ac:dyDescent="0.2">
      <c r="E85" s="23" t="s">
        <v>117</v>
      </c>
      <c r="F85" s="23" t="s">
        <v>118</v>
      </c>
      <c r="G85" s="24">
        <v>102.5</v>
      </c>
      <c r="H85" s="27">
        <v>98</v>
      </c>
      <c r="I85" s="24">
        <v>101.2</v>
      </c>
      <c r="J85" s="24">
        <v>116.3</v>
      </c>
      <c r="K85" s="25">
        <v>122</v>
      </c>
      <c r="L85" s="25">
        <v>165</v>
      </c>
      <c r="M85" s="25">
        <v>199</v>
      </c>
      <c r="N85" s="25">
        <v>230</v>
      </c>
      <c r="O85" s="25">
        <v>269</v>
      </c>
      <c r="P85" s="25">
        <v>260</v>
      </c>
      <c r="Q85" s="25">
        <v>287</v>
      </c>
      <c r="R85" s="25">
        <v>309</v>
      </c>
      <c r="S85" s="25">
        <v>332</v>
      </c>
      <c r="T85" s="25">
        <v>327</v>
      </c>
      <c r="U85" s="25">
        <v>374</v>
      </c>
      <c r="V85" s="25">
        <v>401</v>
      </c>
      <c r="W85" s="25">
        <v>421</v>
      </c>
      <c r="X85" s="25">
        <v>442</v>
      </c>
      <c r="Y85" s="25">
        <v>484</v>
      </c>
      <c r="Z85" s="25">
        <v>465</v>
      </c>
      <c r="AA85" s="25">
        <v>433</v>
      </c>
      <c r="AB85" s="25">
        <v>436</v>
      </c>
      <c r="AC85" s="25">
        <v>457</v>
      </c>
      <c r="AD85" s="25">
        <v>476</v>
      </c>
      <c r="AE85" s="25">
        <v>500</v>
      </c>
      <c r="AF85" s="25">
        <v>465</v>
      </c>
      <c r="AH85" s="26">
        <f>SUM(APUC!AH87,APUL!AH85,ASS!AH98)</f>
        <v>498</v>
      </c>
      <c r="AI85" s="26">
        <f>SUM(APUC!AI87,APUL!AI85,ASS!AI98)</f>
        <v>463</v>
      </c>
      <c r="AJ85" s="26">
        <f>SUM(APUC!AJ87,APUL!AJ85,ASS!AJ98)</f>
        <v>504.61532207216379</v>
      </c>
      <c r="AK85" s="26">
        <f>SUM(APUC!AK87,APUL!AK85,ASS!AK98)</f>
        <v>518.23993576811222</v>
      </c>
    </row>
    <row r="86" spans="3:39" ht="15" x14ac:dyDescent="0.2">
      <c r="E86" s="23" t="s">
        <v>119</v>
      </c>
      <c r="F86" s="23" t="s">
        <v>120</v>
      </c>
      <c r="G86" s="27">
        <v>0</v>
      </c>
      <c r="H86" s="27">
        <v>0</v>
      </c>
      <c r="I86" s="27">
        <v>0</v>
      </c>
      <c r="J86" s="27">
        <v>0</v>
      </c>
      <c r="K86" s="25">
        <v>0</v>
      </c>
      <c r="L86" s="25">
        <v>0</v>
      </c>
      <c r="M86" s="25">
        <v>0</v>
      </c>
      <c r="N86" s="25">
        <v>0</v>
      </c>
      <c r="O86" s="25">
        <v>0</v>
      </c>
      <c r="P86" s="25">
        <v>0</v>
      </c>
      <c r="Q86" s="25">
        <v>0</v>
      </c>
      <c r="R86" s="25">
        <v>0</v>
      </c>
      <c r="S86" s="25">
        <v>0</v>
      </c>
      <c r="T86" s="25">
        <v>0</v>
      </c>
      <c r="U86" s="25">
        <v>0</v>
      </c>
      <c r="V86" s="25">
        <v>0</v>
      </c>
      <c r="W86" s="25">
        <v>0</v>
      </c>
      <c r="X86" s="25">
        <v>0</v>
      </c>
      <c r="Y86" s="25">
        <v>0</v>
      </c>
      <c r="Z86" s="25">
        <v>0</v>
      </c>
      <c r="AA86" s="25">
        <v>0</v>
      </c>
      <c r="AB86" s="25">
        <v>0</v>
      </c>
      <c r="AC86" s="25">
        <v>0</v>
      </c>
      <c r="AD86" s="25">
        <v>0</v>
      </c>
      <c r="AE86" s="25">
        <v>0</v>
      </c>
      <c r="AF86" s="25">
        <v>0</v>
      </c>
      <c r="AH86" s="26">
        <f>SUM(APUC!AH88,APUL!AH86,ASS!AH99)</f>
        <v>0</v>
      </c>
      <c r="AI86" s="26">
        <f>SUM(APUC!AI88,APUL!AI86,ASS!AI99)</f>
        <v>0</v>
      </c>
      <c r="AJ86" s="26">
        <f>SUM(APUC!AJ88,APUL!AJ86,ASS!AJ99)</f>
        <v>0</v>
      </c>
      <c r="AK86" s="26">
        <f>SUM(APUC!AK88,APUL!AK86,ASS!AK99)</f>
        <v>0</v>
      </c>
    </row>
    <row r="87" spans="3:39" ht="15" x14ac:dyDescent="0.2">
      <c r="E87" s="23" t="s">
        <v>121</v>
      </c>
      <c r="F87" s="23" t="s">
        <v>122</v>
      </c>
      <c r="G87" s="27">
        <v>0</v>
      </c>
      <c r="H87" s="27">
        <v>0</v>
      </c>
      <c r="I87" s="27">
        <v>0</v>
      </c>
      <c r="J87" s="27">
        <v>0</v>
      </c>
      <c r="K87" s="25">
        <v>0</v>
      </c>
      <c r="L87" s="25">
        <v>0</v>
      </c>
      <c r="M87" s="25">
        <v>0</v>
      </c>
      <c r="N87" s="25">
        <v>0</v>
      </c>
      <c r="O87" s="25">
        <v>0</v>
      </c>
      <c r="P87" s="25">
        <v>0</v>
      </c>
      <c r="Q87" s="25">
        <v>0</v>
      </c>
      <c r="R87" s="25">
        <v>0</v>
      </c>
      <c r="S87" s="25">
        <v>0</v>
      </c>
      <c r="T87" s="25">
        <v>0</v>
      </c>
      <c r="U87" s="25">
        <v>5</v>
      </c>
      <c r="V87" s="25">
        <v>3</v>
      </c>
      <c r="W87" s="25">
        <v>43</v>
      </c>
      <c r="X87" s="25">
        <v>52</v>
      </c>
      <c r="Y87" s="25">
        <v>3</v>
      </c>
      <c r="Z87" s="25">
        <v>3</v>
      </c>
      <c r="AA87" s="25">
        <v>25</v>
      </c>
      <c r="AB87" s="25">
        <v>7</v>
      </c>
      <c r="AC87" s="25">
        <v>7</v>
      </c>
      <c r="AD87" s="25">
        <v>61</v>
      </c>
      <c r="AE87" s="25">
        <v>60</v>
      </c>
      <c r="AF87" s="25">
        <v>51</v>
      </c>
      <c r="AH87" s="26">
        <f>SUM(APUC!AH89,APUL!AH87,ASS!AH100)</f>
        <v>60</v>
      </c>
      <c r="AI87" s="26">
        <f>SUM(APUC!AI89,APUL!AI87,ASS!AI100)</f>
        <v>51</v>
      </c>
      <c r="AJ87" s="26">
        <f>SUM(APUC!AJ89,APUL!AJ87,ASS!AJ100)</f>
        <v>47.842236573579086</v>
      </c>
      <c r="AK87" s="26">
        <f>SUM(APUC!AK89,APUL!AK87,ASS!AK100)</f>
        <v>49.13397696106572</v>
      </c>
    </row>
    <row r="88" spans="3:39" ht="15" x14ac:dyDescent="0.2">
      <c r="E88" s="4"/>
      <c r="F88" s="4"/>
      <c r="G88" s="27"/>
      <c r="H88" s="27"/>
      <c r="I88" s="27"/>
      <c r="J88" s="27"/>
      <c r="K88" s="25"/>
      <c r="L88" s="25"/>
      <c r="M88" s="25"/>
      <c r="N88" s="25"/>
      <c r="O88" s="25"/>
      <c r="P88" s="25"/>
      <c r="Q88" s="25"/>
      <c r="R88" s="25"/>
      <c r="S88" s="25"/>
      <c r="T88" s="25"/>
      <c r="U88" s="25"/>
      <c r="V88" s="25"/>
      <c r="W88" s="25"/>
      <c r="X88" s="25"/>
      <c r="Y88" s="25"/>
      <c r="Z88" s="25"/>
      <c r="AA88" s="25"/>
      <c r="AB88" s="25"/>
      <c r="AC88" s="25"/>
      <c r="AD88" s="25"/>
      <c r="AE88" s="25"/>
      <c r="AF88" s="25"/>
      <c r="AH88" s="26"/>
      <c r="AI88" s="26"/>
      <c r="AJ88" s="26"/>
      <c r="AK88" s="26"/>
    </row>
    <row r="89" spans="3:39" ht="15" x14ac:dyDescent="0.2">
      <c r="C89" s="116">
        <f>+MAX($C$1:$C88)+1</f>
        <v>9</v>
      </c>
      <c r="E89" s="41" t="s">
        <v>123</v>
      </c>
      <c r="F89" s="41" t="s">
        <v>124</v>
      </c>
      <c r="G89" s="42">
        <v>70463.8</v>
      </c>
      <c r="H89" s="42">
        <v>72493.7</v>
      </c>
      <c r="I89" s="42">
        <v>72944.3</v>
      </c>
      <c r="J89" s="42">
        <v>75341.399999999994</v>
      </c>
      <c r="K89" s="43">
        <v>79484</v>
      </c>
      <c r="L89" s="43">
        <v>82804</v>
      </c>
      <c r="M89" s="43">
        <v>86413</v>
      </c>
      <c r="N89" s="43">
        <v>91792</v>
      </c>
      <c r="O89" s="43">
        <v>93960</v>
      </c>
      <c r="P89" s="43">
        <v>94560</v>
      </c>
      <c r="Q89" s="43">
        <v>97429</v>
      </c>
      <c r="R89" s="43">
        <v>101192</v>
      </c>
      <c r="S89" s="43">
        <v>102980</v>
      </c>
      <c r="T89" s="43">
        <v>107335</v>
      </c>
      <c r="U89" s="43">
        <v>109780</v>
      </c>
      <c r="V89" s="43">
        <v>112590</v>
      </c>
      <c r="W89" s="43">
        <v>112801</v>
      </c>
      <c r="X89" s="43">
        <v>114641</v>
      </c>
      <c r="Y89" s="43">
        <v>116295</v>
      </c>
      <c r="Z89" s="43">
        <v>118005</v>
      </c>
      <c r="AA89" s="43">
        <v>119736</v>
      </c>
      <c r="AB89" s="43">
        <v>120823</v>
      </c>
      <c r="AC89" s="43">
        <v>123906</v>
      </c>
      <c r="AD89" s="43">
        <v>125777</v>
      </c>
      <c r="AE89" s="43">
        <v>127926</v>
      </c>
      <c r="AF89" s="43">
        <v>126748</v>
      </c>
      <c r="AG89" s="44"/>
      <c r="AH89" s="45">
        <f>SUM(APUC!AH91,APUL!AH89,ASS!AH102)</f>
        <v>128878.11301500001</v>
      </c>
      <c r="AI89" s="45">
        <f>SUM(APUC!AI91,APUL!AI89,ASS!AI102)</f>
        <v>127150.045703</v>
      </c>
      <c r="AJ89" s="45">
        <f>SUM(APUC!AJ91,APUL!AJ89,ASS!AJ102)</f>
        <v>132940.62523237689</v>
      </c>
      <c r="AK89" s="45">
        <f>SUM(APUC!AK91,APUL!AK89,ASS!AK102)</f>
        <v>136498.61939121305</v>
      </c>
      <c r="AM89" s="5" t="b">
        <f>AK89=SUM(AK90:AK97)</f>
        <v>1</v>
      </c>
    </row>
    <row r="90" spans="3:39" ht="15" x14ac:dyDescent="0.2">
      <c r="E90" s="23" t="s">
        <v>125</v>
      </c>
      <c r="F90" s="23" t="s">
        <v>126</v>
      </c>
      <c r="G90" s="24">
        <v>18231.900000000001</v>
      </c>
      <c r="H90" s="27">
        <v>18818</v>
      </c>
      <c r="I90" s="24">
        <v>18784.099999999999</v>
      </c>
      <c r="J90" s="24">
        <v>19328.7</v>
      </c>
      <c r="K90" s="25">
        <v>20647</v>
      </c>
      <c r="L90" s="25">
        <v>21252</v>
      </c>
      <c r="M90" s="25">
        <v>22088</v>
      </c>
      <c r="N90" s="25">
        <v>23252</v>
      </c>
      <c r="O90" s="25">
        <v>23802</v>
      </c>
      <c r="P90" s="25">
        <v>24012</v>
      </c>
      <c r="Q90" s="25">
        <v>24574</v>
      </c>
      <c r="R90" s="25">
        <v>25205</v>
      </c>
      <c r="S90" s="25">
        <v>25637</v>
      </c>
      <c r="T90" s="25">
        <v>26488</v>
      </c>
      <c r="U90" s="25">
        <v>26626</v>
      </c>
      <c r="V90" s="25">
        <v>27334</v>
      </c>
      <c r="W90" s="25">
        <v>28030</v>
      </c>
      <c r="X90" s="25">
        <v>25487</v>
      </c>
      <c r="Y90" s="25">
        <v>29323</v>
      </c>
      <c r="Z90" s="25">
        <v>30381</v>
      </c>
      <c r="AA90" s="25">
        <v>30491</v>
      </c>
      <c r="AB90" s="25">
        <v>30910</v>
      </c>
      <c r="AC90" s="25">
        <v>32451</v>
      </c>
      <c r="AD90" s="25">
        <v>33167</v>
      </c>
      <c r="AE90" s="25">
        <v>33985</v>
      </c>
      <c r="AF90" s="25">
        <v>33869</v>
      </c>
      <c r="AH90" s="26">
        <f>SUM(APUC!AH92,APUL!AH90,ASS!AH103)</f>
        <v>33341.359706000003</v>
      </c>
      <c r="AI90" s="26">
        <f>SUM(APUC!AI92,APUL!AI90,ASS!AI103)</f>
        <v>33283.341184999997</v>
      </c>
      <c r="AJ90" s="26">
        <f>SUM(APUC!AJ92,APUL!AJ90,ASS!AJ103)</f>
        <v>34745.761945742706</v>
      </c>
      <c r="AK90" s="26">
        <f>SUM(APUC!AK92,APUL!AK90,ASS!AK103)</f>
        <v>35593.856016276754</v>
      </c>
    </row>
    <row r="91" spans="3:39" ht="15" x14ac:dyDescent="0.2">
      <c r="E91" s="23" t="s">
        <v>127</v>
      </c>
      <c r="F91" s="23" t="s">
        <v>128</v>
      </c>
      <c r="G91" s="24">
        <v>33411.800000000003</v>
      </c>
      <c r="H91" s="24">
        <v>34472.9</v>
      </c>
      <c r="I91" s="24">
        <v>34417.800000000003</v>
      </c>
      <c r="J91" s="24">
        <v>35320.699999999997</v>
      </c>
      <c r="K91" s="25">
        <v>37643</v>
      </c>
      <c r="L91" s="25">
        <v>38805</v>
      </c>
      <c r="M91" s="25">
        <v>40222</v>
      </c>
      <c r="N91" s="25">
        <v>42550</v>
      </c>
      <c r="O91" s="25">
        <v>43503</v>
      </c>
      <c r="P91" s="25">
        <v>43960</v>
      </c>
      <c r="Q91" s="25">
        <v>45051</v>
      </c>
      <c r="R91" s="25">
        <v>46511</v>
      </c>
      <c r="S91" s="25">
        <v>47225</v>
      </c>
      <c r="T91" s="25">
        <v>48662</v>
      </c>
      <c r="U91" s="25">
        <v>48928</v>
      </c>
      <c r="V91" s="25">
        <v>49404</v>
      </c>
      <c r="W91" s="25">
        <v>49791</v>
      </c>
      <c r="X91" s="25">
        <v>53673</v>
      </c>
      <c r="Y91" s="25">
        <v>51316</v>
      </c>
      <c r="Z91" s="25">
        <v>51532</v>
      </c>
      <c r="AA91" s="25">
        <v>52845</v>
      </c>
      <c r="AB91" s="25">
        <v>53214</v>
      </c>
      <c r="AC91" s="25">
        <v>54152</v>
      </c>
      <c r="AD91" s="25">
        <v>54535</v>
      </c>
      <c r="AE91" s="25">
        <v>54726</v>
      </c>
      <c r="AF91" s="25">
        <v>54885</v>
      </c>
      <c r="AH91" s="26">
        <f>SUM(APUC!AH93,APUL!AH91,ASS!AH104)</f>
        <v>57121.773312999998</v>
      </c>
      <c r="AI91" s="26">
        <f>SUM(APUC!AI93,APUL!AI91,ASS!AI104)</f>
        <v>57475.776773999998</v>
      </c>
      <c r="AJ91" s="26">
        <f>SUM(APUC!AJ93,APUL!AJ91,ASS!AJ104)</f>
        <v>59371.873812481717</v>
      </c>
      <c r="AK91" s="26">
        <f>SUM(APUC!AK93,APUL!AK91,ASS!AK104)</f>
        <v>60594.194955543717</v>
      </c>
    </row>
    <row r="92" spans="3:39" ht="15" x14ac:dyDescent="0.2">
      <c r="E92" s="23" t="s">
        <v>129</v>
      </c>
      <c r="F92" s="23" t="s">
        <v>130</v>
      </c>
      <c r="G92" s="27">
        <v>375</v>
      </c>
      <c r="H92" s="24">
        <v>377.8</v>
      </c>
      <c r="I92" s="24">
        <v>402.7</v>
      </c>
      <c r="J92" s="24">
        <v>414.4</v>
      </c>
      <c r="K92" s="25">
        <v>437</v>
      </c>
      <c r="L92" s="25">
        <v>469</v>
      </c>
      <c r="M92" s="25">
        <v>480</v>
      </c>
      <c r="N92" s="25">
        <v>520</v>
      </c>
      <c r="O92" s="25">
        <v>549</v>
      </c>
      <c r="P92" s="25">
        <v>556</v>
      </c>
      <c r="Q92" s="25">
        <v>698</v>
      </c>
      <c r="R92" s="25">
        <v>846</v>
      </c>
      <c r="S92" s="25">
        <v>953</v>
      </c>
      <c r="T92" s="25">
        <v>1047</v>
      </c>
      <c r="U92" s="25">
        <v>1167</v>
      </c>
      <c r="V92" s="25">
        <v>1377</v>
      </c>
      <c r="W92" s="25">
        <v>1276</v>
      </c>
      <c r="X92" s="25">
        <v>1315</v>
      </c>
      <c r="Y92" s="25">
        <v>1371</v>
      </c>
      <c r="Z92" s="25">
        <v>1283</v>
      </c>
      <c r="AA92" s="25">
        <v>1142</v>
      </c>
      <c r="AB92" s="25">
        <v>1035</v>
      </c>
      <c r="AC92" s="25">
        <v>1016</v>
      </c>
      <c r="AD92" s="25">
        <v>1050</v>
      </c>
      <c r="AE92" s="25">
        <v>1072</v>
      </c>
      <c r="AF92" s="25">
        <v>752</v>
      </c>
      <c r="AH92" s="26">
        <f>SUM(APUC!AH94,APUL!AH92,ASS!AH105)</f>
        <v>494</v>
      </c>
      <c r="AI92" s="26">
        <f>SUM(APUC!AI94,APUL!AI92,ASS!AI105)</f>
        <v>316</v>
      </c>
      <c r="AJ92" s="26">
        <f>SUM(APUC!AJ94,APUL!AJ92,ASS!AJ105)</f>
        <v>481.09511638235955</v>
      </c>
      <c r="AK92" s="26">
        <f>SUM(APUC!AK94,APUL!AK92,ASS!AK105)</f>
        <v>494.08468452468327</v>
      </c>
    </row>
    <row r="93" spans="3:39" ht="15" x14ac:dyDescent="0.2">
      <c r="E93" s="23" t="s">
        <v>131</v>
      </c>
      <c r="F93" s="23" t="s">
        <v>132</v>
      </c>
      <c r="G93" s="27">
        <v>7411</v>
      </c>
      <c r="H93" s="24">
        <v>7355.7</v>
      </c>
      <c r="I93" s="24">
        <v>7643.2</v>
      </c>
      <c r="J93" s="24">
        <v>7914.5</v>
      </c>
      <c r="K93" s="25">
        <v>7808</v>
      </c>
      <c r="L93" s="25">
        <v>8340</v>
      </c>
      <c r="M93" s="25">
        <v>8595</v>
      </c>
      <c r="N93" s="25">
        <v>9555</v>
      </c>
      <c r="O93" s="25">
        <v>9895</v>
      </c>
      <c r="P93" s="25">
        <v>9636</v>
      </c>
      <c r="Q93" s="25">
        <v>9965</v>
      </c>
      <c r="R93" s="25">
        <v>10351</v>
      </c>
      <c r="S93" s="25">
        <v>10068</v>
      </c>
      <c r="T93" s="25">
        <v>10992</v>
      </c>
      <c r="U93" s="25">
        <v>11869</v>
      </c>
      <c r="V93" s="25">
        <v>13920</v>
      </c>
      <c r="W93" s="25">
        <v>14272</v>
      </c>
      <c r="X93" s="25">
        <v>14066</v>
      </c>
      <c r="Y93" s="25">
        <v>13701</v>
      </c>
      <c r="Z93" s="25">
        <v>13837</v>
      </c>
      <c r="AA93" s="25">
        <v>14034</v>
      </c>
      <c r="AB93" s="25">
        <v>13940</v>
      </c>
      <c r="AC93" s="25">
        <v>14320</v>
      </c>
      <c r="AD93" s="25">
        <v>14954</v>
      </c>
      <c r="AE93" s="25">
        <v>15546</v>
      </c>
      <c r="AF93" s="25">
        <v>15625</v>
      </c>
      <c r="AH93" s="26">
        <f>SUM(APUC!AH95,APUL!AH93,ASS!AH106)</f>
        <v>15638.655429000002</v>
      </c>
      <c r="AI93" s="26">
        <f>SUM(APUC!AI95,APUL!AI93,ASS!AI106)</f>
        <v>15829.841159</v>
      </c>
      <c r="AJ93" s="26">
        <f>SUM(APUC!AJ95,APUL!AJ93,ASS!AJ106)</f>
        <v>16173.984784036473</v>
      </c>
      <c r="AK93" s="26">
        <f>SUM(APUC!AK95,APUL!AK93,ASS!AK106)</f>
        <v>16483.99811788946</v>
      </c>
    </row>
    <row r="94" spans="3:39" ht="15" x14ac:dyDescent="0.2">
      <c r="E94" s="23" t="s">
        <v>133</v>
      </c>
      <c r="F94" s="23" t="s">
        <v>134</v>
      </c>
      <c r="G94" s="24">
        <v>2916.3</v>
      </c>
      <c r="H94" s="24">
        <v>3034.8</v>
      </c>
      <c r="I94" s="27">
        <v>3215</v>
      </c>
      <c r="J94" s="24">
        <v>3381.4</v>
      </c>
      <c r="K94" s="25">
        <v>3405</v>
      </c>
      <c r="L94" s="25">
        <v>3841</v>
      </c>
      <c r="M94" s="25">
        <v>4590</v>
      </c>
      <c r="N94" s="25">
        <v>4454</v>
      </c>
      <c r="O94" s="25">
        <v>4595</v>
      </c>
      <c r="P94" s="25">
        <v>4647</v>
      </c>
      <c r="Q94" s="25">
        <v>5155</v>
      </c>
      <c r="R94" s="25">
        <v>5648</v>
      </c>
      <c r="S94" s="25">
        <v>6199</v>
      </c>
      <c r="T94" s="25">
        <v>6492</v>
      </c>
      <c r="U94" s="25">
        <v>6470</v>
      </c>
      <c r="V94" s="25">
        <v>6282</v>
      </c>
      <c r="W94" s="25">
        <v>5256</v>
      </c>
      <c r="X94" s="25">
        <v>5372</v>
      </c>
      <c r="Y94" s="25">
        <v>5514</v>
      </c>
      <c r="Z94" s="25">
        <v>5536</v>
      </c>
      <c r="AA94" s="25">
        <v>5639</v>
      </c>
      <c r="AB94" s="25">
        <v>5537</v>
      </c>
      <c r="AC94" s="25">
        <v>5516</v>
      </c>
      <c r="AD94" s="25">
        <v>5375</v>
      </c>
      <c r="AE94" s="25">
        <v>5510</v>
      </c>
      <c r="AF94" s="25">
        <v>4918</v>
      </c>
      <c r="AH94" s="26">
        <f>SUM(APUC!AH96,APUL!AH94,ASS!AH107)</f>
        <v>6280.7118280000004</v>
      </c>
      <c r="AI94" s="26">
        <f>SUM(APUC!AI96,APUL!AI94,ASS!AI107)</f>
        <v>4202</v>
      </c>
      <c r="AJ94" s="26">
        <f>SUM(APUC!AJ96,APUL!AJ94,ASS!AJ107)</f>
        <v>4779.9472563233994</v>
      </c>
      <c r="AK94" s="26">
        <f>SUM(APUC!AK96,APUL!AK94,ASS!AK107)</f>
        <v>4909.00583224413</v>
      </c>
    </row>
    <row r="95" spans="3:39" ht="15" x14ac:dyDescent="0.2">
      <c r="E95" s="23" t="s">
        <v>135</v>
      </c>
      <c r="F95" s="23" t="s">
        <v>136</v>
      </c>
      <c r="G95" s="24">
        <v>7058.1</v>
      </c>
      <c r="H95" s="24">
        <v>7319.3</v>
      </c>
      <c r="I95" s="24">
        <v>7372.4</v>
      </c>
      <c r="J95" s="24">
        <v>7828.1</v>
      </c>
      <c r="K95" s="25">
        <v>8337</v>
      </c>
      <c r="L95" s="25">
        <v>8918</v>
      </c>
      <c r="M95" s="25">
        <v>9239</v>
      </c>
      <c r="N95" s="25">
        <v>10130</v>
      </c>
      <c r="O95" s="25">
        <v>10257</v>
      </c>
      <c r="P95" s="25">
        <v>10438</v>
      </c>
      <c r="Q95" s="25">
        <v>10644</v>
      </c>
      <c r="R95" s="25">
        <v>11250</v>
      </c>
      <c r="S95" s="25">
        <v>11567</v>
      </c>
      <c r="T95" s="25">
        <v>12325</v>
      </c>
      <c r="U95" s="25">
        <v>13419</v>
      </c>
      <c r="V95" s="25">
        <v>13315</v>
      </c>
      <c r="W95" s="25">
        <v>13427</v>
      </c>
      <c r="X95" s="25">
        <v>14048</v>
      </c>
      <c r="Y95" s="25">
        <v>14405</v>
      </c>
      <c r="Z95" s="25">
        <v>14775</v>
      </c>
      <c r="AA95" s="25">
        <v>14997</v>
      </c>
      <c r="AB95" s="25">
        <v>15581</v>
      </c>
      <c r="AC95" s="25">
        <v>15850</v>
      </c>
      <c r="AD95" s="25">
        <v>16071</v>
      </c>
      <c r="AE95" s="25">
        <v>16468</v>
      </c>
      <c r="AF95" s="25">
        <v>16073</v>
      </c>
      <c r="AH95" s="26">
        <f>SUM(APUC!AH97,APUL!AH95,ASS!AH108)</f>
        <v>16001.612739</v>
      </c>
      <c r="AI95" s="26">
        <f>SUM(APUC!AI97,APUL!AI95,ASS!AI108)</f>
        <v>16043.086585000001</v>
      </c>
      <c r="AJ95" s="26">
        <f>SUM(APUC!AJ97,APUL!AJ95,ASS!AJ108)</f>
        <v>17387.962317410223</v>
      </c>
      <c r="AK95" s="26">
        <f>SUM(APUC!AK97,APUL!AK95,ASS!AK108)</f>
        <v>18423.4797847343</v>
      </c>
    </row>
    <row r="96" spans="3:39" ht="15" x14ac:dyDescent="0.2">
      <c r="E96" s="23" t="s">
        <v>137</v>
      </c>
      <c r="F96" s="23" t="s">
        <v>138</v>
      </c>
      <c r="G96" s="27">
        <v>3</v>
      </c>
      <c r="H96" s="27">
        <v>1</v>
      </c>
      <c r="I96" s="27">
        <v>2</v>
      </c>
      <c r="J96" s="27">
        <v>3</v>
      </c>
      <c r="K96" s="25">
        <v>1</v>
      </c>
      <c r="L96" s="25">
        <v>2</v>
      </c>
      <c r="M96" s="25">
        <v>2</v>
      </c>
      <c r="N96" s="25">
        <v>2</v>
      </c>
      <c r="O96" s="25">
        <v>2</v>
      </c>
      <c r="P96" s="25">
        <v>2</v>
      </c>
      <c r="Q96" s="25">
        <v>3</v>
      </c>
      <c r="R96" s="25">
        <v>3</v>
      </c>
      <c r="S96" s="25">
        <v>3</v>
      </c>
      <c r="T96" s="25">
        <v>4</v>
      </c>
      <c r="U96" s="25">
        <v>4</v>
      </c>
      <c r="V96" s="25">
        <v>30</v>
      </c>
      <c r="W96" s="25">
        <v>28</v>
      </c>
      <c r="X96" s="25">
        <v>27</v>
      </c>
      <c r="Y96" s="25">
        <v>27</v>
      </c>
      <c r="Z96" s="25">
        <v>32</v>
      </c>
      <c r="AA96" s="25">
        <v>38</v>
      </c>
      <c r="AB96" s="25">
        <v>30</v>
      </c>
      <c r="AC96" s="25">
        <v>13</v>
      </c>
      <c r="AD96" s="25">
        <v>11</v>
      </c>
      <c r="AE96" s="25">
        <v>9</v>
      </c>
      <c r="AF96" s="25">
        <v>9</v>
      </c>
      <c r="AH96" s="26">
        <f>SUM(APUC!AH98,APUL!AH96,ASS!AH109)</f>
        <v>0</v>
      </c>
      <c r="AI96" s="26">
        <f>SUM(APUC!AI98,APUL!AI96,ASS!AI109)</f>
        <v>0</v>
      </c>
      <c r="AJ96" s="26">
        <f>SUM(APUC!AJ98,APUL!AJ96,ASS!AJ109)</f>
        <v>0</v>
      </c>
      <c r="AK96" s="26">
        <f>SUM(APUC!AK98,APUL!AK96,ASS!AK109)</f>
        <v>0</v>
      </c>
    </row>
    <row r="97" spans="3:39" ht="15" x14ac:dyDescent="0.2">
      <c r="E97" s="23" t="s">
        <v>139</v>
      </c>
      <c r="F97" s="23" t="s">
        <v>140</v>
      </c>
      <c r="G97" s="24">
        <v>1057.5999999999999</v>
      </c>
      <c r="H97" s="24">
        <v>1115.3</v>
      </c>
      <c r="I97" s="27">
        <v>1110</v>
      </c>
      <c r="J97" s="24">
        <v>1150.7</v>
      </c>
      <c r="K97" s="25">
        <v>1204</v>
      </c>
      <c r="L97" s="25">
        <v>1175</v>
      </c>
      <c r="M97" s="25">
        <v>1199</v>
      </c>
      <c r="N97" s="25">
        <v>1330</v>
      </c>
      <c r="O97" s="25">
        <v>1355</v>
      </c>
      <c r="P97" s="25">
        <v>1309</v>
      </c>
      <c r="Q97" s="25">
        <v>1340</v>
      </c>
      <c r="R97" s="25">
        <v>1378</v>
      </c>
      <c r="S97" s="25">
        <v>1327</v>
      </c>
      <c r="T97" s="25">
        <v>1326</v>
      </c>
      <c r="U97" s="25">
        <v>1297</v>
      </c>
      <c r="V97" s="25">
        <v>927</v>
      </c>
      <c r="W97" s="25">
        <v>721</v>
      </c>
      <c r="X97" s="25">
        <v>653</v>
      </c>
      <c r="Y97" s="25">
        <v>638</v>
      </c>
      <c r="Z97" s="25">
        <v>629</v>
      </c>
      <c r="AA97" s="25">
        <v>550</v>
      </c>
      <c r="AB97" s="25">
        <v>576</v>
      </c>
      <c r="AC97" s="25">
        <v>590</v>
      </c>
      <c r="AD97" s="25">
        <v>613</v>
      </c>
      <c r="AE97" s="25">
        <v>609</v>
      </c>
      <c r="AF97" s="25">
        <v>616</v>
      </c>
      <c r="AH97" s="26">
        <f>SUM(APUC!AH99,APUL!AH97,ASS!AH110)</f>
        <v>0</v>
      </c>
      <c r="AI97" s="26">
        <f>SUM(APUC!AI99,APUL!AI97,ASS!AI110)</f>
        <v>0</v>
      </c>
      <c r="AJ97" s="26">
        <f>SUM(APUC!AJ99,APUL!AJ97,ASS!AJ110)</f>
        <v>0</v>
      </c>
      <c r="AK97" s="26">
        <f>SUM(APUC!AK99,APUL!AK97,ASS!AK110)</f>
        <v>0</v>
      </c>
    </row>
    <row r="98" spans="3:39" ht="15" x14ac:dyDescent="0.2">
      <c r="E98" s="4"/>
      <c r="F98" s="4"/>
      <c r="G98" s="24"/>
      <c r="H98" s="24"/>
      <c r="I98" s="27"/>
      <c r="J98" s="24"/>
      <c r="K98" s="25"/>
      <c r="L98" s="25"/>
      <c r="M98" s="25"/>
      <c r="N98" s="25"/>
      <c r="O98" s="25"/>
      <c r="P98" s="25"/>
      <c r="Q98" s="25"/>
      <c r="R98" s="25"/>
      <c r="S98" s="25"/>
      <c r="T98" s="25"/>
      <c r="U98" s="25"/>
      <c r="V98" s="25"/>
      <c r="W98" s="25"/>
      <c r="X98" s="25"/>
      <c r="Y98" s="25"/>
      <c r="Z98" s="25"/>
      <c r="AA98" s="25"/>
      <c r="AB98" s="25"/>
      <c r="AC98" s="25"/>
      <c r="AD98" s="25"/>
      <c r="AE98" s="25"/>
      <c r="AF98" s="25"/>
      <c r="AH98" s="26"/>
      <c r="AI98" s="26"/>
      <c r="AJ98" s="26"/>
      <c r="AK98" s="26"/>
    </row>
    <row r="99" spans="3:39" ht="15" x14ac:dyDescent="0.2">
      <c r="C99" s="116">
        <f>+MAX($C$1:$C98)+1</f>
        <v>10</v>
      </c>
      <c r="E99" s="41" t="s">
        <v>141</v>
      </c>
      <c r="F99" s="41" t="s">
        <v>142</v>
      </c>
      <c r="G99" s="42">
        <v>261277.8</v>
      </c>
      <c r="H99" s="46">
        <v>270867</v>
      </c>
      <c r="I99" s="42">
        <v>275147.7</v>
      </c>
      <c r="J99" s="42">
        <v>283338.59999999998</v>
      </c>
      <c r="K99" s="43">
        <v>296346</v>
      </c>
      <c r="L99" s="43">
        <v>301358</v>
      </c>
      <c r="M99" s="43">
        <v>314329</v>
      </c>
      <c r="N99" s="43">
        <v>328600</v>
      </c>
      <c r="O99" s="43">
        <v>347044</v>
      </c>
      <c r="P99" s="43">
        <v>361971</v>
      </c>
      <c r="Q99" s="43">
        <v>376740</v>
      </c>
      <c r="R99" s="43">
        <v>399052</v>
      </c>
      <c r="S99" s="43">
        <v>420621</v>
      </c>
      <c r="T99" s="43">
        <v>435282</v>
      </c>
      <c r="U99" s="43">
        <v>459029</v>
      </c>
      <c r="V99" s="43">
        <v>472371</v>
      </c>
      <c r="W99" s="43">
        <v>487832</v>
      </c>
      <c r="X99" s="43">
        <v>504765</v>
      </c>
      <c r="Y99" s="43">
        <v>517782</v>
      </c>
      <c r="Z99" s="43">
        <v>526788</v>
      </c>
      <c r="AA99" s="43">
        <v>535188</v>
      </c>
      <c r="AB99" s="43">
        <v>546058</v>
      </c>
      <c r="AC99" s="43">
        <v>555337</v>
      </c>
      <c r="AD99" s="43">
        <v>564910</v>
      </c>
      <c r="AE99" s="43">
        <v>580665</v>
      </c>
      <c r="AF99" s="43">
        <v>627916</v>
      </c>
      <c r="AG99" s="44"/>
      <c r="AH99" s="45">
        <f>SUM(APUC!AH101,APUL!AH99,ASS!AH112)</f>
        <v>586475.69148699997</v>
      </c>
      <c r="AI99" s="45">
        <f>SUM(APUC!AI101,APUL!AI99,ASS!AI112)</f>
        <v>634845.75573899993</v>
      </c>
      <c r="AJ99" s="45">
        <f>SUM(APUC!AJ101,APUL!AJ99,ASS!AJ112)</f>
        <v>623267.62795165693</v>
      </c>
      <c r="AK99" s="45">
        <f>SUM(APUC!AK101,APUL!AK99,ASS!AK112)</f>
        <v>626913.63136448245</v>
      </c>
      <c r="AM99" s="5" t="b">
        <f>AK99=SUM(AK100:AK108)</f>
        <v>1</v>
      </c>
    </row>
    <row r="100" spans="3:39" ht="15" x14ac:dyDescent="0.2">
      <c r="E100" s="23" t="s">
        <v>143</v>
      </c>
      <c r="F100" s="23" t="s">
        <v>144</v>
      </c>
      <c r="G100" s="24">
        <v>33776.699999999997</v>
      </c>
      <c r="H100" s="24">
        <v>35182.1</v>
      </c>
      <c r="I100" s="24">
        <v>34709.4</v>
      </c>
      <c r="J100" s="24">
        <v>35924.800000000003</v>
      </c>
      <c r="K100" s="25">
        <v>37638</v>
      </c>
      <c r="L100" s="25">
        <v>33892</v>
      </c>
      <c r="M100" s="25">
        <v>34962</v>
      </c>
      <c r="N100" s="25">
        <v>36683</v>
      </c>
      <c r="O100" s="25">
        <v>38644</v>
      </c>
      <c r="P100" s="25">
        <v>42047</v>
      </c>
      <c r="Q100" s="25">
        <v>44334</v>
      </c>
      <c r="R100" s="25">
        <v>46441</v>
      </c>
      <c r="S100" s="25">
        <v>50488</v>
      </c>
      <c r="T100" s="25">
        <v>50330</v>
      </c>
      <c r="U100" s="25">
        <v>53557</v>
      </c>
      <c r="V100" s="25">
        <v>54318</v>
      </c>
      <c r="W100" s="25">
        <v>55766</v>
      </c>
      <c r="X100" s="25">
        <v>57867</v>
      </c>
      <c r="Y100" s="25">
        <v>59909</v>
      </c>
      <c r="Z100" s="25">
        <v>59067</v>
      </c>
      <c r="AA100" s="25">
        <v>61120</v>
      </c>
      <c r="AB100" s="25">
        <v>65121</v>
      </c>
      <c r="AC100" s="25">
        <v>66347</v>
      </c>
      <c r="AD100" s="25">
        <v>68555</v>
      </c>
      <c r="AE100" s="25">
        <v>70734</v>
      </c>
      <c r="AF100" s="25">
        <v>75670</v>
      </c>
      <c r="AH100" s="26">
        <f>SUM(APUC!AH102,APUL!AH100,ASS!AH113)</f>
        <v>69741.269084</v>
      </c>
      <c r="AI100" s="26">
        <f>SUM(APUC!AI102,APUL!AI100,ASS!AI113)</f>
        <v>77783.787322000004</v>
      </c>
      <c r="AJ100" s="26">
        <f>SUM(APUC!AJ102,APUL!AJ100,ASS!AJ113)</f>
        <v>81562.694073037055</v>
      </c>
      <c r="AK100" s="26">
        <f>SUM(APUC!AK102,APUL!AK100,ASS!AK113)</f>
        <v>82553.535946307617</v>
      </c>
    </row>
    <row r="101" spans="3:39" ht="15" x14ac:dyDescent="0.2">
      <c r="E101" s="23" t="s">
        <v>145</v>
      </c>
      <c r="F101" s="23" t="s">
        <v>146</v>
      </c>
      <c r="G101" s="24">
        <v>129865.3</v>
      </c>
      <c r="H101" s="24">
        <v>133349.29999999999</v>
      </c>
      <c r="I101" s="24">
        <v>136697.9</v>
      </c>
      <c r="J101" s="24">
        <v>141458.6</v>
      </c>
      <c r="K101" s="25">
        <v>147467</v>
      </c>
      <c r="L101" s="25">
        <v>152436</v>
      </c>
      <c r="M101" s="25">
        <v>159147</v>
      </c>
      <c r="N101" s="25">
        <v>165201</v>
      </c>
      <c r="O101" s="25">
        <v>174123</v>
      </c>
      <c r="P101" s="25">
        <v>188209</v>
      </c>
      <c r="Q101" s="25">
        <v>198496</v>
      </c>
      <c r="R101" s="25">
        <v>213415</v>
      </c>
      <c r="S101" s="25">
        <v>225865</v>
      </c>
      <c r="T101" s="25">
        <v>238661</v>
      </c>
      <c r="U101" s="25">
        <v>248925</v>
      </c>
      <c r="V101" s="25">
        <v>257682</v>
      </c>
      <c r="W101" s="25">
        <v>269082</v>
      </c>
      <c r="X101" s="25">
        <v>277646</v>
      </c>
      <c r="Y101" s="25">
        <v>285321</v>
      </c>
      <c r="Z101" s="25">
        <v>291652</v>
      </c>
      <c r="AA101" s="25">
        <v>296442</v>
      </c>
      <c r="AB101" s="25">
        <v>301192</v>
      </c>
      <c r="AC101" s="25">
        <v>306252</v>
      </c>
      <c r="AD101" s="25">
        <v>312956</v>
      </c>
      <c r="AE101" s="25">
        <v>319139</v>
      </c>
      <c r="AF101" s="25">
        <v>324813</v>
      </c>
      <c r="AH101" s="26">
        <f>SUM(APUC!AH103,APUL!AH101,ASS!AH114)</f>
        <v>333755.331251</v>
      </c>
      <c r="AI101" s="26">
        <f>SUM(APUC!AI103,APUL!AI101,ASS!AI114)</f>
        <v>339617.64805199997</v>
      </c>
      <c r="AJ101" s="26">
        <f>SUM(APUC!AJ103,APUL!AJ101,ASS!AJ114)</f>
        <v>345445.22411319165</v>
      </c>
      <c r="AK101" s="26">
        <f>SUM(APUC!AK103,APUL!AK101,ASS!AK114)</f>
        <v>354482.99059368134</v>
      </c>
    </row>
    <row r="102" spans="3:39" ht="15" x14ac:dyDescent="0.2">
      <c r="E102" s="23" t="s">
        <v>147</v>
      </c>
      <c r="F102" s="23" t="s">
        <v>148</v>
      </c>
      <c r="G102" s="24">
        <v>20237.5</v>
      </c>
      <c r="H102" s="24">
        <v>20910.2</v>
      </c>
      <c r="I102" s="24">
        <v>20640.099999999999</v>
      </c>
      <c r="J102" s="24">
        <v>21032.799999999999</v>
      </c>
      <c r="K102" s="25">
        <v>21501</v>
      </c>
      <c r="L102" s="25">
        <v>21834</v>
      </c>
      <c r="M102" s="25">
        <v>22450</v>
      </c>
      <c r="N102" s="25">
        <v>23339</v>
      </c>
      <c r="O102" s="25">
        <v>23984</v>
      </c>
      <c r="P102" s="25">
        <v>24868</v>
      </c>
      <c r="Q102" s="25">
        <v>26271</v>
      </c>
      <c r="R102" s="25">
        <v>27122</v>
      </c>
      <c r="S102" s="25">
        <v>27939</v>
      </c>
      <c r="T102" s="25">
        <v>28712</v>
      </c>
      <c r="U102" s="25">
        <v>29646</v>
      </c>
      <c r="V102" s="25">
        <v>31286</v>
      </c>
      <c r="W102" s="25">
        <v>31603</v>
      </c>
      <c r="X102" s="25">
        <v>33412</v>
      </c>
      <c r="Y102" s="25">
        <v>33685</v>
      </c>
      <c r="Z102" s="25">
        <v>34054</v>
      </c>
      <c r="AA102" s="25">
        <v>34253</v>
      </c>
      <c r="AB102" s="25">
        <v>34408</v>
      </c>
      <c r="AC102" s="25">
        <v>34705</v>
      </c>
      <c r="AD102" s="25">
        <v>34981</v>
      </c>
      <c r="AE102" s="25">
        <v>35464</v>
      </c>
      <c r="AF102" s="25">
        <v>35776</v>
      </c>
      <c r="AH102" s="26">
        <f>SUM(APUC!AH104,APUL!AH102,ASS!AH115)</f>
        <v>34609</v>
      </c>
      <c r="AI102" s="26">
        <f>SUM(APUC!AI104,APUL!AI102,ASS!AI115)</f>
        <v>34944</v>
      </c>
      <c r="AJ102" s="26">
        <f>SUM(APUC!AJ104,APUL!AJ102,ASS!AJ115)</f>
        <v>35554.561560341332</v>
      </c>
      <c r="AK102" s="26">
        <f>SUM(APUC!AK104,APUL!AK102,ASS!AK115)</f>
        <v>36434.906135717196</v>
      </c>
    </row>
    <row r="103" spans="3:39" ht="15" x14ac:dyDescent="0.2">
      <c r="E103" s="23" t="s">
        <v>149</v>
      </c>
      <c r="F103" s="23" t="s">
        <v>150</v>
      </c>
      <c r="G103" s="24">
        <v>31901.9</v>
      </c>
      <c r="H103" s="24">
        <v>32785.699999999997</v>
      </c>
      <c r="I103" s="24">
        <v>33087.5</v>
      </c>
      <c r="J103" s="24">
        <v>33287.699999999997</v>
      </c>
      <c r="K103" s="25">
        <v>34635</v>
      </c>
      <c r="L103" s="25">
        <v>36272</v>
      </c>
      <c r="M103" s="25">
        <v>36978</v>
      </c>
      <c r="N103" s="25">
        <v>37572</v>
      </c>
      <c r="O103" s="25">
        <v>39130</v>
      </c>
      <c r="P103" s="25">
        <v>40183</v>
      </c>
      <c r="Q103" s="25">
        <v>40959</v>
      </c>
      <c r="R103" s="25">
        <v>44039</v>
      </c>
      <c r="S103" s="25">
        <v>47130</v>
      </c>
      <c r="T103" s="25">
        <v>47876</v>
      </c>
      <c r="U103" s="25">
        <v>48488</v>
      </c>
      <c r="V103" s="25">
        <v>48794</v>
      </c>
      <c r="W103" s="25">
        <v>50018</v>
      </c>
      <c r="X103" s="25">
        <v>51839</v>
      </c>
      <c r="Y103" s="25">
        <v>52869</v>
      </c>
      <c r="Z103" s="25">
        <v>53850</v>
      </c>
      <c r="AA103" s="25">
        <v>53671</v>
      </c>
      <c r="AB103" s="25">
        <v>53069</v>
      </c>
      <c r="AC103" s="25">
        <v>53830</v>
      </c>
      <c r="AD103" s="25">
        <v>53947</v>
      </c>
      <c r="AE103" s="25">
        <v>54414</v>
      </c>
      <c r="AF103" s="25">
        <v>55457</v>
      </c>
      <c r="AH103" s="26">
        <f>SUM(APUC!AH105,APUL!AH103,ASS!AH116)</f>
        <v>56828</v>
      </c>
      <c r="AI103" s="26">
        <f>SUM(APUC!AI105,APUL!AI103,ASS!AI116)</f>
        <v>57999</v>
      </c>
      <c r="AJ103" s="26">
        <f>SUM(APUC!AJ105,APUL!AJ103,ASS!AJ116)</f>
        <v>58016.110876371145</v>
      </c>
      <c r="AK103" s="26">
        <f>SUM(APUC!AK105,APUL!AK103,ASS!AK116)</f>
        <v>58697.282254033169</v>
      </c>
    </row>
    <row r="104" spans="3:39" ht="15" x14ac:dyDescent="0.2">
      <c r="E104" s="23" t="s">
        <v>151</v>
      </c>
      <c r="F104" s="23" t="s">
        <v>152</v>
      </c>
      <c r="G104" s="24">
        <v>21152.3</v>
      </c>
      <c r="H104" s="24">
        <v>23130.7</v>
      </c>
      <c r="I104" s="24">
        <v>23218.3</v>
      </c>
      <c r="J104" s="24">
        <v>23594.5</v>
      </c>
      <c r="K104" s="25">
        <v>25056</v>
      </c>
      <c r="L104" s="25">
        <v>25773</v>
      </c>
      <c r="M104" s="25">
        <v>26757</v>
      </c>
      <c r="N104" s="25">
        <v>30111</v>
      </c>
      <c r="O104" s="25">
        <v>34148</v>
      </c>
      <c r="P104" s="25">
        <v>35103</v>
      </c>
      <c r="Q104" s="25">
        <v>34275</v>
      </c>
      <c r="R104" s="25">
        <v>32876</v>
      </c>
      <c r="S104" s="25">
        <v>31678</v>
      </c>
      <c r="T104" s="25">
        <v>30728</v>
      </c>
      <c r="U104" s="25">
        <v>35752</v>
      </c>
      <c r="V104" s="25">
        <v>37926</v>
      </c>
      <c r="W104" s="25">
        <v>38109</v>
      </c>
      <c r="X104" s="25">
        <v>39772</v>
      </c>
      <c r="Y104" s="25">
        <v>41370</v>
      </c>
      <c r="Z104" s="25">
        <v>42073</v>
      </c>
      <c r="AA104" s="25">
        <v>42766</v>
      </c>
      <c r="AB104" s="25">
        <v>43928</v>
      </c>
      <c r="AC104" s="25">
        <v>44064</v>
      </c>
      <c r="AD104" s="25">
        <v>44109</v>
      </c>
      <c r="AE104" s="25">
        <v>44932</v>
      </c>
      <c r="AF104" s="25">
        <v>75843</v>
      </c>
      <c r="AH104" s="26">
        <f>SUM(APUC!AH106,APUL!AH104,ASS!AH117)</f>
        <v>40971</v>
      </c>
      <c r="AI104" s="26">
        <f>SUM(APUC!AI106,APUL!AI104,ASS!AI117)</f>
        <v>72118.210999999996</v>
      </c>
      <c r="AJ104" s="26">
        <f>SUM(APUC!AJ106,APUL!AJ104,ASS!AJ117)</f>
        <v>52001.087</v>
      </c>
      <c r="AK104" s="26">
        <f>SUM(APUC!AK106,APUL!AK104,ASS!AK117)</f>
        <v>40000</v>
      </c>
    </row>
    <row r="105" spans="3:39" ht="15" x14ac:dyDescent="0.2">
      <c r="E105" s="23" t="s">
        <v>153</v>
      </c>
      <c r="F105" s="23" t="s">
        <v>154</v>
      </c>
      <c r="G105" s="27">
        <v>11596</v>
      </c>
      <c r="H105" s="24">
        <v>11907.9</v>
      </c>
      <c r="I105" s="24">
        <v>12858.1</v>
      </c>
      <c r="J105" s="24">
        <v>12892.8</v>
      </c>
      <c r="K105" s="25">
        <v>13485</v>
      </c>
      <c r="L105" s="25">
        <v>13884</v>
      </c>
      <c r="M105" s="25">
        <v>14218</v>
      </c>
      <c r="N105" s="25">
        <v>15004</v>
      </c>
      <c r="O105" s="25">
        <v>14960</v>
      </c>
      <c r="P105" s="25">
        <v>15579</v>
      </c>
      <c r="Q105" s="25">
        <v>15866</v>
      </c>
      <c r="R105" s="25">
        <v>16167</v>
      </c>
      <c r="S105" s="25">
        <v>16228</v>
      </c>
      <c r="T105" s="25">
        <v>17392</v>
      </c>
      <c r="U105" s="25">
        <v>19073</v>
      </c>
      <c r="V105" s="25">
        <v>18100</v>
      </c>
      <c r="W105" s="25">
        <v>18530</v>
      </c>
      <c r="X105" s="25">
        <v>19354</v>
      </c>
      <c r="Y105" s="25">
        <v>19713</v>
      </c>
      <c r="Z105" s="25">
        <v>20090</v>
      </c>
      <c r="AA105" s="25">
        <v>20349</v>
      </c>
      <c r="AB105" s="25">
        <v>21004</v>
      </c>
      <c r="AC105" s="25">
        <v>21521</v>
      </c>
      <c r="AD105" s="25">
        <v>20870</v>
      </c>
      <c r="AE105" s="25">
        <v>20902</v>
      </c>
      <c r="AF105" s="25">
        <v>21449</v>
      </c>
      <c r="AH105" s="26">
        <f>SUM(APUC!AH107,APUL!AH105,ASS!AH118)</f>
        <v>16234.310712999999</v>
      </c>
      <c r="AI105" s="26">
        <f>SUM(APUC!AI107,APUL!AI105,ASS!AI118)</f>
        <v>16366.431627</v>
      </c>
      <c r="AJ105" s="26">
        <f>SUM(APUC!AJ107,APUL!AJ105,ASS!AJ118)</f>
        <v>14723.711543444266</v>
      </c>
      <c r="AK105" s="26">
        <f>SUM(APUC!AK107,APUL!AK105,ASS!AK118)</f>
        <v>15978.29252997826</v>
      </c>
    </row>
    <row r="106" spans="3:39" ht="15" x14ac:dyDescent="0.2">
      <c r="E106" s="23" t="s">
        <v>155</v>
      </c>
      <c r="F106" s="23" t="s">
        <v>156</v>
      </c>
      <c r="G106" s="24">
        <v>10616.9</v>
      </c>
      <c r="H106" s="24">
        <v>11372.4</v>
      </c>
      <c r="I106" s="24">
        <v>11704.4</v>
      </c>
      <c r="J106" s="24">
        <v>12806.3</v>
      </c>
      <c r="K106" s="25">
        <v>14053</v>
      </c>
      <c r="L106" s="25">
        <v>14419</v>
      </c>
      <c r="M106" s="25">
        <v>16888</v>
      </c>
      <c r="N106" s="25">
        <v>17554</v>
      </c>
      <c r="O106" s="25">
        <v>18680</v>
      </c>
      <c r="P106" s="25">
        <v>12490</v>
      </c>
      <c r="Q106" s="25">
        <v>12882</v>
      </c>
      <c r="R106" s="25">
        <v>15051</v>
      </c>
      <c r="S106" s="25">
        <v>17122</v>
      </c>
      <c r="T106" s="25">
        <v>17278</v>
      </c>
      <c r="U106" s="25">
        <v>19104</v>
      </c>
      <c r="V106" s="25">
        <v>20056</v>
      </c>
      <c r="W106" s="25">
        <v>20316</v>
      </c>
      <c r="X106" s="25">
        <v>20455</v>
      </c>
      <c r="Y106" s="25">
        <v>20400</v>
      </c>
      <c r="Z106" s="25">
        <v>21619</v>
      </c>
      <c r="AA106" s="25">
        <v>22325</v>
      </c>
      <c r="AB106" s="25">
        <v>23159</v>
      </c>
      <c r="AC106" s="25">
        <v>24416</v>
      </c>
      <c r="AD106" s="25">
        <v>25325</v>
      </c>
      <c r="AE106" s="25">
        <v>30850</v>
      </c>
      <c r="AF106" s="25">
        <v>34647</v>
      </c>
      <c r="AH106" s="26">
        <f>SUM(APUC!AH108,APUL!AH106,ASS!AH119)</f>
        <v>29995.780438999998</v>
      </c>
      <c r="AI106" s="26">
        <f>SUM(APUC!AI108,APUL!AI106,ASS!AI119)</f>
        <v>31505.677737999998</v>
      </c>
      <c r="AJ106" s="26">
        <f>SUM(APUC!AJ108,APUL!AJ106,ASS!AJ119)</f>
        <v>31207.888624488784</v>
      </c>
      <c r="AK106" s="26">
        <f>SUM(APUC!AK108,APUL!AK106,ASS!AK119)</f>
        <v>33889.088289640982</v>
      </c>
    </row>
    <row r="107" spans="3:39" ht="15" x14ac:dyDescent="0.2">
      <c r="E107" s="23" t="s">
        <v>157</v>
      </c>
      <c r="F107" s="23" t="s">
        <v>158</v>
      </c>
      <c r="G107" s="27">
        <v>0</v>
      </c>
      <c r="H107" s="27">
        <v>0</v>
      </c>
      <c r="I107" s="27">
        <v>0</v>
      </c>
      <c r="J107" s="27">
        <v>0</v>
      </c>
      <c r="K107" s="25">
        <v>0</v>
      </c>
      <c r="L107" s="25">
        <v>0</v>
      </c>
      <c r="M107" s="25">
        <v>0</v>
      </c>
      <c r="N107" s="25">
        <v>0</v>
      </c>
      <c r="O107" s="25">
        <v>0</v>
      </c>
      <c r="P107" s="25">
        <v>0</v>
      </c>
      <c r="Q107" s="25">
        <v>0</v>
      </c>
      <c r="R107" s="25">
        <v>0</v>
      </c>
      <c r="S107" s="25">
        <v>0</v>
      </c>
      <c r="T107" s="25">
        <v>0</v>
      </c>
      <c r="U107" s="25">
        <v>0</v>
      </c>
      <c r="V107" s="25">
        <v>0</v>
      </c>
      <c r="W107" s="25">
        <v>0</v>
      </c>
      <c r="X107" s="25">
        <v>0</v>
      </c>
      <c r="Y107" s="25">
        <v>0</v>
      </c>
      <c r="Z107" s="25">
        <v>0</v>
      </c>
      <c r="AA107" s="25">
        <v>0</v>
      </c>
      <c r="AB107" s="25">
        <v>0</v>
      </c>
      <c r="AC107" s="25">
        <v>0</v>
      </c>
      <c r="AD107" s="25">
        <v>0</v>
      </c>
      <c r="AE107" s="25">
        <v>0</v>
      </c>
      <c r="AF107" s="25">
        <v>0</v>
      </c>
      <c r="AH107" s="26">
        <f>SUM(APUC!AH109,APUL!AH107,ASS!AH120)</f>
        <v>0</v>
      </c>
      <c r="AI107" s="26">
        <f>SUM(APUC!AI109,APUL!AI107,ASS!AI120)</f>
        <v>0</v>
      </c>
      <c r="AJ107" s="26">
        <f>SUM(APUC!AJ109,APUL!AJ107,ASS!AJ120)</f>
        <v>0</v>
      </c>
      <c r="AK107" s="26">
        <f>SUM(APUC!AK109,APUL!AK107,ASS!AK120)</f>
        <v>0</v>
      </c>
    </row>
    <row r="108" spans="3:39" ht="15" x14ac:dyDescent="0.2">
      <c r="E108" s="23" t="s">
        <v>159</v>
      </c>
      <c r="F108" s="23" t="s">
        <v>160</v>
      </c>
      <c r="G108" s="24">
        <v>2131.1999999999998</v>
      </c>
      <c r="H108" s="24">
        <v>2228.6</v>
      </c>
      <c r="I108" s="27">
        <v>2232</v>
      </c>
      <c r="J108" s="24">
        <v>2341.1</v>
      </c>
      <c r="K108" s="25">
        <v>2513</v>
      </c>
      <c r="L108" s="25">
        <v>2850</v>
      </c>
      <c r="M108" s="25">
        <v>2930</v>
      </c>
      <c r="N108" s="25">
        <v>3137</v>
      </c>
      <c r="O108" s="25">
        <v>3376</v>
      </c>
      <c r="P108" s="25">
        <v>3491</v>
      </c>
      <c r="Q108" s="25">
        <v>3658</v>
      </c>
      <c r="R108" s="25">
        <v>3942</v>
      </c>
      <c r="S108" s="25">
        <v>4169</v>
      </c>
      <c r="T108" s="25">
        <v>4304</v>
      </c>
      <c r="U108" s="25">
        <v>4484</v>
      </c>
      <c r="V108" s="25">
        <v>4207</v>
      </c>
      <c r="W108" s="25">
        <v>4408</v>
      </c>
      <c r="X108" s="25">
        <v>4419</v>
      </c>
      <c r="Y108" s="25">
        <v>4514</v>
      </c>
      <c r="Z108" s="25">
        <v>4382</v>
      </c>
      <c r="AA108" s="25">
        <v>4262</v>
      </c>
      <c r="AB108" s="25">
        <v>4176</v>
      </c>
      <c r="AC108" s="25">
        <v>4202</v>
      </c>
      <c r="AD108" s="25">
        <v>4167</v>
      </c>
      <c r="AE108" s="25">
        <v>4231</v>
      </c>
      <c r="AF108" s="25">
        <v>4263</v>
      </c>
      <c r="AH108" s="26">
        <f>SUM(APUC!AH110,APUL!AH108,ASS!AH121)</f>
        <v>4341</v>
      </c>
      <c r="AI108" s="26">
        <f>SUM(APUC!AI110,APUL!AI108,ASS!AI121)</f>
        <v>4511</v>
      </c>
      <c r="AJ108" s="26">
        <f>SUM(APUC!AJ110,APUL!AJ108,ASS!AJ121)</f>
        <v>4756.3501607827575</v>
      </c>
      <c r="AK108" s="26">
        <f>SUM(APUC!AK110,APUL!AK108,ASS!AK121)</f>
        <v>4877.5356151238921</v>
      </c>
    </row>
  </sheetData>
  <mergeCells count="2">
    <mergeCell ref="E12:F12"/>
    <mergeCell ref="C12:D12"/>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930E-039D-A247-88D0-3778D2676C3F}">
  <sheetPr codeName="Sheet4">
    <tabColor theme="4"/>
  </sheetPr>
  <dimension ref="A1:AN110"/>
  <sheetViews>
    <sheetView showGridLines="0" view="pageBreakPreview" zoomScaleNormal="100" zoomScaleSheetLayoutView="100" workbookViewId="0">
      <pane xSplit="6" ySplit="15" topLeftCell="AD16" activePane="bottomRight" state="frozen"/>
      <selection activeCell="F45" sqref="F45"/>
      <selection pane="topRight" activeCell="F45" sqref="F45"/>
      <selection pane="bottomLeft" activeCell="F45" sqref="F45"/>
      <selection pane="bottomRight"/>
    </sheetView>
  </sheetViews>
  <sheetFormatPr baseColWidth="10" defaultColWidth="8.83203125" defaultRowHeight="11.25" customHeight="1" outlineLevelCol="1" x14ac:dyDescent="0.2"/>
  <cols>
    <col min="1" max="2" width="2.5" style="2" customWidth="1"/>
    <col min="3" max="3" width="3.33203125" style="32" customWidth="1"/>
    <col min="4" max="4" width="2.5" style="2" customWidth="1"/>
    <col min="5" max="5" width="15" style="2" customWidth="1"/>
    <col min="6" max="6" width="35.33203125" style="2" customWidth="1"/>
    <col min="7" max="29" width="10" style="2" hidden="1" customWidth="1" outlineLevel="1"/>
    <col min="30" max="30" width="10" style="2" customWidth="1" collapsed="1"/>
    <col min="31" max="37" width="10.5" style="2" customWidth="1"/>
    <col min="38" max="38" width="2.6640625" style="72" customWidth="1"/>
    <col min="39" max="40" width="8.83203125" style="72"/>
    <col min="41" max="42" width="9" style="2" bestFit="1" customWidth="1"/>
    <col min="43" max="16384" width="8.83203125" style="2"/>
  </cols>
  <sheetData>
    <row r="1" spans="1:40" ht="14" x14ac:dyDescent="0.2">
      <c r="E1" s="72"/>
      <c r="G1" s="3"/>
    </row>
    <row r="2" spans="1:40" ht="25" x14ac:dyDescent="0.25">
      <c r="C2" s="132" t="s">
        <v>385</v>
      </c>
      <c r="E2" s="4"/>
      <c r="G2" s="3"/>
      <c r="K2" s="12"/>
      <c r="L2" s="12"/>
      <c r="M2" s="12"/>
      <c r="N2" s="12"/>
      <c r="O2" s="12"/>
      <c r="P2" s="12"/>
      <c r="Q2" s="12"/>
      <c r="R2" s="12"/>
      <c r="S2" s="12"/>
      <c r="T2" s="12"/>
      <c r="U2" s="12"/>
      <c r="V2" s="12"/>
      <c r="W2" s="12"/>
      <c r="X2" s="12"/>
      <c r="Y2" s="12"/>
      <c r="Z2" s="12"/>
      <c r="AA2" s="12"/>
      <c r="AB2" s="12"/>
      <c r="AC2" s="12"/>
      <c r="AD2" s="12"/>
      <c r="AE2" s="12"/>
      <c r="AF2" s="12"/>
      <c r="AL2" s="2"/>
      <c r="AM2" s="2"/>
      <c r="AN2" s="2"/>
    </row>
    <row r="3" spans="1:40" ht="14" x14ac:dyDescent="0.2">
      <c r="E3" s="4"/>
      <c r="G3" s="3"/>
    </row>
    <row r="4" spans="1:40" ht="14" x14ac:dyDescent="0.2">
      <c r="E4" s="4"/>
      <c r="G4" s="3"/>
    </row>
    <row r="5" spans="1:40" s="75" customFormat="1" ht="13" x14ac:dyDescent="0.15">
      <c r="A5" s="2"/>
      <c r="B5" s="2"/>
      <c r="C5" s="116">
        <v>0</v>
      </c>
      <c r="E5" s="41" t="s">
        <v>392</v>
      </c>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row>
    <row r="6" spans="1:40" ht="14" x14ac:dyDescent="0.2">
      <c r="E6" s="142" t="s">
        <v>425</v>
      </c>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142"/>
      <c r="AF6" s="142"/>
      <c r="AG6" s="142"/>
      <c r="AH6" s="142"/>
      <c r="AI6" s="142"/>
      <c r="AJ6" s="142"/>
      <c r="AK6" s="142"/>
    </row>
    <row r="7" spans="1:40" ht="14" x14ac:dyDescent="0.2">
      <c r="E7" s="142" t="s">
        <v>426</v>
      </c>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row>
    <row r="8" spans="1:40" ht="14" x14ac:dyDescent="0.2">
      <c r="E8" s="142" t="s">
        <v>427</v>
      </c>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row>
    <row r="9" spans="1:40" ht="14" x14ac:dyDescent="0.2">
      <c r="E9" s="2" t="s">
        <v>428</v>
      </c>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row>
    <row r="10" spans="1:40" ht="14" x14ac:dyDescent="0.2">
      <c r="E10" s="142" t="s">
        <v>429</v>
      </c>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row>
    <row r="11" spans="1:40" ht="14" x14ac:dyDescent="0.2">
      <c r="E11" s="4"/>
      <c r="G11" s="3"/>
    </row>
    <row r="12" spans="1:40" ht="14" x14ac:dyDescent="0.2">
      <c r="E12" s="4"/>
      <c r="G12" s="3"/>
    </row>
    <row r="13" spans="1:40" ht="14" x14ac:dyDescent="0.2"/>
    <row r="14" spans="1:40" ht="14" x14ac:dyDescent="0.2">
      <c r="E14" s="164"/>
      <c r="F14" s="164" t="s">
        <v>187</v>
      </c>
      <c r="G14" s="9" t="s">
        <v>161</v>
      </c>
      <c r="H14" s="9" t="s">
        <v>162</v>
      </c>
      <c r="I14" s="9" t="s">
        <v>163</v>
      </c>
      <c r="J14" s="9" t="s">
        <v>164</v>
      </c>
      <c r="K14" s="9" t="s">
        <v>165</v>
      </c>
      <c r="L14" s="9" t="s">
        <v>166</v>
      </c>
      <c r="M14" s="9" t="s">
        <v>167</v>
      </c>
      <c r="N14" s="9" t="s">
        <v>168</v>
      </c>
      <c r="O14" s="9" t="s">
        <v>169</v>
      </c>
      <c r="P14" s="9" t="s">
        <v>170</v>
      </c>
      <c r="Q14" s="9" t="s">
        <v>171</v>
      </c>
      <c r="R14" s="9" t="s">
        <v>172</v>
      </c>
      <c r="S14" s="9" t="s">
        <v>173</v>
      </c>
      <c r="T14" s="9" t="s">
        <v>174</v>
      </c>
      <c r="U14" s="9" t="s">
        <v>175</v>
      </c>
      <c r="V14" s="9" t="s">
        <v>176</v>
      </c>
      <c r="W14" s="9" t="s">
        <v>177</v>
      </c>
      <c r="X14" s="9" t="s">
        <v>178</v>
      </c>
      <c r="Y14" s="9" t="s">
        <v>179</v>
      </c>
      <c r="Z14" s="9" t="s">
        <v>180</v>
      </c>
      <c r="AA14" s="9" t="s">
        <v>181</v>
      </c>
      <c r="AB14" s="9" t="s">
        <v>182</v>
      </c>
      <c r="AC14" s="9" t="s">
        <v>183</v>
      </c>
      <c r="AD14" s="9" t="s">
        <v>184</v>
      </c>
      <c r="AE14" s="9" t="s">
        <v>185</v>
      </c>
      <c r="AF14" s="9" t="s">
        <v>186</v>
      </c>
      <c r="AH14" s="9" t="s">
        <v>191</v>
      </c>
      <c r="AI14" s="9" t="s">
        <v>190</v>
      </c>
      <c r="AJ14" s="9">
        <v>2021</v>
      </c>
      <c r="AK14" s="9">
        <v>2022</v>
      </c>
    </row>
    <row r="15" spans="1:40" ht="14" x14ac:dyDescent="0.2">
      <c r="E15" s="72"/>
      <c r="F15" s="72"/>
      <c r="G15" s="72"/>
      <c r="H15" s="72"/>
      <c r="I15" s="72"/>
      <c r="J15" s="72"/>
      <c r="K15" s="72"/>
      <c r="L15" s="72"/>
      <c r="M15" s="72"/>
      <c r="N15" s="72"/>
      <c r="O15" s="72"/>
      <c r="P15" s="72"/>
      <c r="Q15" s="72"/>
      <c r="R15" s="72"/>
      <c r="S15" s="72"/>
      <c r="T15" s="72"/>
      <c r="U15" s="72"/>
      <c r="V15" s="72"/>
      <c r="W15" s="72"/>
      <c r="X15" s="72"/>
      <c r="Y15" s="72"/>
      <c r="Z15" s="72"/>
      <c r="AA15" s="72"/>
      <c r="AB15" s="72"/>
      <c r="AC15" s="72"/>
      <c r="AD15" s="72"/>
      <c r="AE15" s="72"/>
      <c r="AF15" s="72"/>
      <c r="AH15" s="72"/>
      <c r="AI15" s="72"/>
      <c r="AJ15" s="72"/>
      <c r="AK15" s="72"/>
    </row>
    <row r="16" spans="1:40" s="72" customFormat="1" ht="14" x14ac:dyDescent="0.2">
      <c r="C16" s="147"/>
    </row>
    <row r="17" spans="1:37" s="72" customFormat="1" ht="14" x14ac:dyDescent="0.2">
      <c r="C17" s="147"/>
    </row>
    <row r="18" spans="1:37" s="72" customFormat="1" ht="14" x14ac:dyDescent="0.2">
      <c r="C18" s="147"/>
      <c r="E18" s="28" t="s">
        <v>362</v>
      </c>
      <c r="F18" s="28"/>
      <c r="G18" s="31" t="s">
        <v>0</v>
      </c>
      <c r="H18" s="31" t="s">
        <v>0</v>
      </c>
      <c r="I18" s="31" t="s">
        <v>0</v>
      </c>
      <c r="J18" s="31" t="s">
        <v>0</v>
      </c>
      <c r="K18" s="31" t="s">
        <v>0</v>
      </c>
      <c r="L18" s="31" t="s">
        <v>0</v>
      </c>
      <c r="M18" s="31" t="s">
        <v>0</v>
      </c>
      <c r="N18" s="31" t="s">
        <v>0</v>
      </c>
      <c r="O18" s="31" t="s">
        <v>0</v>
      </c>
      <c r="P18" s="31" t="s">
        <v>0</v>
      </c>
      <c r="Q18" s="31" t="s">
        <v>0</v>
      </c>
      <c r="R18" s="31" t="s">
        <v>0</v>
      </c>
      <c r="S18" s="31" t="s">
        <v>0</v>
      </c>
      <c r="T18" s="31" t="s">
        <v>0</v>
      </c>
      <c r="U18" s="31" t="s">
        <v>0</v>
      </c>
      <c r="V18" s="31" t="s">
        <v>0</v>
      </c>
      <c r="W18" s="31" t="s">
        <v>0</v>
      </c>
      <c r="X18" s="31" t="s">
        <v>0</v>
      </c>
      <c r="Y18" s="31" t="s">
        <v>0</v>
      </c>
      <c r="Z18" s="31" t="s">
        <v>0</v>
      </c>
      <c r="AA18" s="31" t="s">
        <v>0</v>
      </c>
      <c r="AB18" s="31" t="s">
        <v>0</v>
      </c>
      <c r="AC18" s="31">
        <f>SUM(AC24:AC31,AC34:AC38,AC41:AC46,AC49:AC57,AC60:AC65,AC68:AC73,AC76:AC81,AC84:AC89,AC92:AC99,AC102:AC110)</f>
        <v>537828</v>
      </c>
      <c r="AD18" s="31">
        <f t="shared" ref="AD18:AF18" si="0">SUM(AD24:AD31,AD34:AD38,AD41:AD46,AD49:AD57,AD60:AD65,AD68:AD73,AD76:AD81,AD84:AD89,AD92:AD99,AD102:AD110)</f>
        <v>534934</v>
      </c>
      <c r="AE18" s="31">
        <f t="shared" si="0"/>
        <v>546285</v>
      </c>
      <c r="AF18" s="31">
        <f t="shared" si="0"/>
        <v>586422</v>
      </c>
      <c r="AG18" s="31"/>
      <c r="AH18" s="70">
        <f>+Budget!I29*1000</f>
        <v>422798.50662299996</v>
      </c>
      <c r="AI18" s="70">
        <f>+Budget!J29*1000</f>
        <v>488652.90561499988</v>
      </c>
      <c r="AJ18" s="70">
        <f>+Budget!K29*1000</f>
        <v>508039.48261599988</v>
      </c>
      <c r="AK18" s="70">
        <f>+Budget!L29*1000</f>
        <v>518836.81714700005</v>
      </c>
    </row>
    <row r="19" spans="1:37" ht="14" x14ac:dyDescent="0.2"/>
    <row r="20" spans="1:37" ht="14" x14ac:dyDescent="0.2">
      <c r="E20" s="28" t="s">
        <v>1</v>
      </c>
      <c r="F20" s="28"/>
      <c r="G20" s="35">
        <v>319486.09999999998</v>
      </c>
      <c r="H20" s="35">
        <v>328875.7</v>
      </c>
      <c r="I20" s="35">
        <v>333621</v>
      </c>
      <c r="J20" s="35">
        <v>331805.40000000002</v>
      </c>
      <c r="K20" s="35">
        <v>347000</v>
      </c>
      <c r="L20" s="35">
        <v>351107</v>
      </c>
      <c r="M20" s="35">
        <v>368781</v>
      </c>
      <c r="N20" s="35">
        <v>388889</v>
      </c>
      <c r="O20" s="35">
        <v>391834</v>
      </c>
      <c r="P20" s="35">
        <v>410151</v>
      </c>
      <c r="Q20" s="35">
        <v>418704</v>
      </c>
      <c r="R20" s="35">
        <v>415901</v>
      </c>
      <c r="S20" s="35">
        <v>435293</v>
      </c>
      <c r="T20" s="35">
        <v>454395</v>
      </c>
      <c r="U20" s="35">
        <v>470278</v>
      </c>
      <c r="V20" s="35">
        <v>511132</v>
      </c>
      <c r="W20" s="35">
        <v>485377</v>
      </c>
      <c r="X20" s="35">
        <v>492638</v>
      </c>
      <c r="Y20" s="35">
        <v>492606</v>
      </c>
      <c r="Z20" s="35">
        <v>499000</v>
      </c>
      <c r="AA20" s="35">
        <v>507544</v>
      </c>
      <c r="AB20" s="35">
        <v>522259</v>
      </c>
      <c r="AC20" s="35">
        <v>537825</v>
      </c>
      <c r="AD20" s="35">
        <v>534935</v>
      </c>
      <c r="AE20" s="35">
        <v>546286</v>
      </c>
      <c r="AF20" s="35">
        <v>586421</v>
      </c>
      <c r="AG20" s="36"/>
      <c r="AH20" s="37">
        <f>SUM(AH23,AH33,AH40,AH48,AH59,AH67,AH75,AH83,AH91,AH101)</f>
        <v>422798.50662299996</v>
      </c>
      <c r="AI20" s="37">
        <f t="shared" ref="AI20:AK20" si="1">SUM(AI23,AI33,AI40,AI48,AI59,AI67,AI75,AI83,AI91,AI101)</f>
        <v>488652.905615</v>
      </c>
      <c r="AJ20" s="37">
        <f t="shared" si="1"/>
        <v>508039.48061600002</v>
      </c>
      <c r="AK20" s="37">
        <f t="shared" si="1"/>
        <v>518836.81714699999</v>
      </c>
    </row>
    <row r="21" spans="1:37" s="72" customFormat="1" ht="14" x14ac:dyDescent="0.2">
      <c r="C21" s="147"/>
    </row>
    <row r="22" spans="1:37" ht="14" x14ac:dyDescent="0.2">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row>
    <row r="23" spans="1:37" ht="14" x14ac:dyDescent="0.2">
      <c r="C23" s="116">
        <f>+MAX($C$1:$C22)+1</f>
        <v>1</v>
      </c>
      <c r="E23" s="41" t="s">
        <v>3</v>
      </c>
      <c r="F23" s="41" t="s">
        <v>4</v>
      </c>
      <c r="G23" s="42">
        <v>107936.9</v>
      </c>
      <c r="H23" s="42">
        <v>113953.5</v>
      </c>
      <c r="I23" s="42">
        <v>118837.3</v>
      </c>
      <c r="J23" s="42">
        <v>115665.2</v>
      </c>
      <c r="K23" s="43">
        <v>120055</v>
      </c>
      <c r="L23" s="43">
        <v>117924</v>
      </c>
      <c r="M23" s="43">
        <v>125497</v>
      </c>
      <c r="N23" s="43">
        <v>134141</v>
      </c>
      <c r="O23" s="43">
        <v>136379</v>
      </c>
      <c r="P23" s="43">
        <v>145224</v>
      </c>
      <c r="Q23" s="43">
        <v>148060</v>
      </c>
      <c r="R23" s="43">
        <v>130156</v>
      </c>
      <c r="S23" s="43">
        <v>139333</v>
      </c>
      <c r="T23" s="43">
        <v>146983</v>
      </c>
      <c r="U23" s="43">
        <v>146672</v>
      </c>
      <c r="V23" s="43">
        <v>175725</v>
      </c>
      <c r="W23" s="43">
        <v>153519</v>
      </c>
      <c r="X23" s="43">
        <v>152774</v>
      </c>
      <c r="Y23" s="43">
        <v>152629</v>
      </c>
      <c r="Z23" s="43">
        <v>149915</v>
      </c>
      <c r="AA23" s="43">
        <v>143233</v>
      </c>
      <c r="AB23" s="43">
        <v>138142</v>
      </c>
      <c r="AC23" s="43">
        <v>140772</v>
      </c>
      <c r="AD23" s="43">
        <v>132990</v>
      </c>
      <c r="AE23" s="43">
        <v>131181</v>
      </c>
      <c r="AF23" s="43">
        <v>130067</v>
      </c>
      <c r="AG23" s="44"/>
      <c r="AH23" s="45">
        <f>SUM(AH24:AH31)</f>
        <v>70742.746696000002</v>
      </c>
      <c r="AI23" s="45">
        <f>SUM(AI24:AI31)</f>
        <v>68674.820955000003</v>
      </c>
      <c r="AJ23" s="45">
        <f>SUM(AJ24:AJ31)</f>
        <v>72528.848247000002</v>
      </c>
      <c r="AK23" s="45">
        <f>SUM(AK24:AK31)</f>
        <v>88246.310699000009</v>
      </c>
    </row>
    <row r="24" spans="1:37" ht="14" x14ac:dyDescent="0.2">
      <c r="E24" s="23" t="s">
        <v>5</v>
      </c>
      <c r="F24" s="23" t="s">
        <v>6</v>
      </c>
      <c r="G24" s="24">
        <v>29409.7</v>
      </c>
      <c r="H24" s="24">
        <v>29626.7</v>
      </c>
      <c r="I24" s="24">
        <v>29964.799999999999</v>
      </c>
      <c r="J24" s="24">
        <v>29777.1</v>
      </c>
      <c r="K24" s="25">
        <v>30110</v>
      </c>
      <c r="L24" s="25">
        <v>30111</v>
      </c>
      <c r="M24" s="25">
        <v>32123</v>
      </c>
      <c r="N24" s="25">
        <v>32466</v>
      </c>
      <c r="O24" s="25">
        <v>34015</v>
      </c>
      <c r="P24" s="25">
        <v>35494</v>
      </c>
      <c r="Q24" s="25">
        <v>36301</v>
      </c>
      <c r="R24" s="25">
        <v>31322</v>
      </c>
      <c r="S24" s="25">
        <v>36987</v>
      </c>
      <c r="T24" s="25">
        <v>33212</v>
      </c>
      <c r="U24" s="25">
        <v>35912</v>
      </c>
      <c r="V24" s="25">
        <v>32634</v>
      </c>
      <c r="W24" s="25">
        <v>33754</v>
      </c>
      <c r="X24" s="25">
        <v>33278</v>
      </c>
      <c r="Y24" s="25">
        <v>38173</v>
      </c>
      <c r="Z24" s="25">
        <v>35680</v>
      </c>
      <c r="AA24" s="25">
        <v>36323</v>
      </c>
      <c r="AB24" s="25">
        <v>37256</v>
      </c>
      <c r="AC24" s="25">
        <v>41785</v>
      </c>
      <c r="AD24" s="25">
        <v>37261</v>
      </c>
      <c r="AE24" s="25">
        <v>38288</v>
      </c>
      <c r="AF24" s="25">
        <v>40502</v>
      </c>
      <c r="AH24" s="26">
        <f>(SUMIF(Budget!$G$34:$G$168,$E24,Budget!I$34:I$168))*1000</f>
        <v>19882.997882</v>
      </c>
      <c r="AI24" s="26">
        <f>(SUMIF(Budget!$G$34:$G$168,$E24,Budget!J$34:J$168))*1000</f>
        <v>20408.016562000001</v>
      </c>
      <c r="AJ24" s="26">
        <f>(SUMIF(Budget!$G$34:$G$168,$E24,Budget!K$34:K$168))*1000</f>
        <v>20829.394382999999</v>
      </c>
      <c r="AK24" s="26">
        <f>(SUMIF(Budget!$G$34:$G$168,$E24,Budget!L$34:L$168))*1000</f>
        <v>21294.332263</v>
      </c>
    </row>
    <row r="25" spans="1:37" ht="14" x14ac:dyDescent="0.2">
      <c r="A25" s="17"/>
      <c r="E25" s="23" t="s">
        <v>7</v>
      </c>
      <c r="F25" s="23" t="s">
        <v>8</v>
      </c>
      <c r="G25" s="24">
        <v>1401.4</v>
      </c>
      <c r="H25" s="27">
        <v>1477</v>
      </c>
      <c r="I25" s="24">
        <v>1502.9</v>
      </c>
      <c r="J25" s="24">
        <v>1646.5</v>
      </c>
      <c r="K25" s="25">
        <v>1724</v>
      </c>
      <c r="L25" s="25">
        <v>1794</v>
      </c>
      <c r="M25" s="25">
        <v>2011</v>
      </c>
      <c r="N25" s="25">
        <v>2322</v>
      </c>
      <c r="O25" s="25">
        <v>2511</v>
      </c>
      <c r="P25" s="25">
        <v>2620</v>
      </c>
      <c r="Q25" s="25">
        <v>2900</v>
      </c>
      <c r="R25" s="25">
        <v>2511</v>
      </c>
      <c r="S25" s="25">
        <v>2520</v>
      </c>
      <c r="T25" s="25">
        <v>2600</v>
      </c>
      <c r="U25" s="25">
        <v>2796</v>
      </c>
      <c r="V25" s="25">
        <v>3969</v>
      </c>
      <c r="W25" s="25">
        <v>3287</v>
      </c>
      <c r="X25" s="25">
        <v>4644</v>
      </c>
      <c r="Y25" s="25">
        <v>3961</v>
      </c>
      <c r="Z25" s="25">
        <v>4398</v>
      </c>
      <c r="AA25" s="25">
        <v>3637</v>
      </c>
      <c r="AB25" s="25">
        <v>3234</v>
      </c>
      <c r="AC25" s="25">
        <v>3610</v>
      </c>
      <c r="AD25" s="25">
        <v>4014</v>
      </c>
      <c r="AE25" s="25">
        <v>4407</v>
      </c>
      <c r="AF25" s="25">
        <v>4791</v>
      </c>
      <c r="AH25" s="26">
        <f>(SUMIF(Budget!$G$34:$G$168,$E25,Budget!I$34:I$168))*1000</f>
        <v>3631.6306050000003</v>
      </c>
      <c r="AI25" s="26">
        <f>(SUMIF(Budget!$G$34:$G$168,$E25,Budget!J$34:J$168))*1000</f>
        <v>4108.2569670000003</v>
      </c>
      <c r="AJ25" s="26">
        <f>(SUMIF(Budget!$G$34:$G$168,$E25,Budget!K$34:K$168))*1000</f>
        <v>6296.5428269999993</v>
      </c>
      <c r="AK25" s="26">
        <f>(SUMIF(Budget!$G$34:$G$168,$E25,Budget!L$34:L$168))*1000</f>
        <v>6244.187887000001</v>
      </c>
    </row>
    <row r="26" spans="1:37" ht="14" x14ac:dyDescent="0.2">
      <c r="E26" s="23" t="s">
        <v>9</v>
      </c>
      <c r="F26" s="23" t="s">
        <v>10</v>
      </c>
      <c r="G26" s="24">
        <v>1132</v>
      </c>
      <c r="H26" s="24">
        <v>1400.2</v>
      </c>
      <c r="I26" s="24">
        <v>6835.7</v>
      </c>
      <c r="J26" s="24">
        <v>3497.7</v>
      </c>
      <c r="K26" s="25">
        <v>4280</v>
      </c>
      <c r="L26" s="25">
        <v>3438</v>
      </c>
      <c r="M26" s="25">
        <v>1799</v>
      </c>
      <c r="N26" s="25">
        <v>1961</v>
      </c>
      <c r="O26" s="25">
        <v>1488</v>
      </c>
      <c r="P26" s="25">
        <v>2866</v>
      </c>
      <c r="Q26" s="25">
        <v>1658</v>
      </c>
      <c r="R26" s="25">
        <v>1377</v>
      </c>
      <c r="S26" s="25">
        <v>1522</v>
      </c>
      <c r="T26" s="25">
        <v>1481</v>
      </c>
      <c r="U26" s="25">
        <v>1877</v>
      </c>
      <c r="V26" s="25">
        <v>1304</v>
      </c>
      <c r="W26" s="25">
        <v>1526</v>
      </c>
      <c r="X26" s="25">
        <v>1243</v>
      </c>
      <c r="Y26" s="25">
        <v>1351</v>
      </c>
      <c r="Z26" s="25">
        <v>1189</v>
      </c>
      <c r="AA26" s="25">
        <v>1014</v>
      </c>
      <c r="AB26" s="25">
        <v>1204</v>
      </c>
      <c r="AC26" s="25">
        <v>1572</v>
      </c>
      <c r="AD26" s="25">
        <v>1795</v>
      </c>
      <c r="AE26" s="25">
        <v>1354</v>
      </c>
      <c r="AF26" s="25">
        <v>2029</v>
      </c>
      <c r="AH26" s="26">
        <f>(SUMIF(Budget!$G$34:$G$168,$E26,Budget!I$34:I$168))*1000</f>
        <v>64.888300000000001</v>
      </c>
      <c r="AI26" s="26">
        <f>(SUMIF(Budget!$G$34:$G$168,$E26,Budget!J$34:J$168))*1000</f>
        <v>1340</v>
      </c>
      <c r="AJ26" s="26">
        <f>(SUMIF(Budget!$G$34:$G$168,$E26,Budget!K$34:K$168))*1000</f>
        <v>1014.575</v>
      </c>
      <c r="AK26" s="26">
        <f>(SUMIF(Budget!$G$34:$G$168,$E26,Budget!L$34:L$168))*1000</f>
        <v>1041.3999999999999</v>
      </c>
    </row>
    <row r="27" spans="1:37" ht="14" x14ac:dyDescent="0.2">
      <c r="A27" s="17"/>
      <c r="E27" s="23" t="s">
        <v>11</v>
      </c>
      <c r="F27" s="23" t="s">
        <v>12</v>
      </c>
      <c r="G27" s="24">
        <v>8770.1</v>
      </c>
      <c r="H27" s="24">
        <v>9033.7000000000007</v>
      </c>
      <c r="I27" s="24">
        <v>8843.5</v>
      </c>
      <c r="J27" s="24">
        <v>8901.2000000000007</v>
      </c>
      <c r="K27" s="25">
        <v>9162</v>
      </c>
      <c r="L27" s="25">
        <v>8977</v>
      </c>
      <c r="M27" s="25">
        <v>9163</v>
      </c>
      <c r="N27" s="25">
        <v>9553</v>
      </c>
      <c r="O27" s="25">
        <v>10293</v>
      </c>
      <c r="P27" s="25">
        <v>10764</v>
      </c>
      <c r="Q27" s="25">
        <v>10878</v>
      </c>
      <c r="R27" s="25">
        <v>9002</v>
      </c>
      <c r="S27" s="25">
        <v>9168</v>
      </c>
      <c r="T27" s="25">
        <v>9127</v>
      </c>
      <c r="U27" s="25">
        <v>8133</v>
      </c>
      <c r="V27" s="25">
        <v>7611</v>
      </c>
      <c r="W27" s="25">
        <v>7149</v>
      </c>
      <c r="X27" s="25">
        <v>6887</v>
      </c>
      <c r="Y27" s="25">
        <v>6941</v>
      </c>
      <c r="Z27" s="25">
        <v>6710</v>
      </c>
      <c r="AA27" s="25">
        <v>6801</v>
      </c>
      <c r="AB27" s="25">
        <v>6739</v>
      </c>
      <c r="AC27" s="25">
        <v>6906</v>
      </c>
      <c r="AD27" s="25">
        <v>6942</v>
      </c>
      <c r="AE27" s="25">
        <v>7250</v>
      </c>
      <c r="AF27" s="25">
        <v>7001</v>
      </c>
      <c r="AH27" s="26">
        <f>(SUMIF(Budget!$G$34:$G$168,$E27,Budget!I$34:I$168))*1000</f>
        <v>6851.9075809999995</v>
      </c>
      <c r="AI27" s="26">
        <f>(SUMIF(Budget!$G$34:$G$168,$E27,Budget!J$34:J$168))*1000</f>
        <v>6903.2956219999996</v>
      </c>
      <c r="AJ27" s="26">
        <f>(SUMIF(Budget!$G$34:$G$168,$E27,Budget!K$34:K$168))*1000</f>
        <v>7163.1393969999999</v>
      </c>
      <c r="AK27" s="26">
        <f>(SUMIF(Budget!$G$34:$G$168,$E27,Budget!L$34:L$168))*1000</f>
        <v>7563.3851999999997</v>
      </c>
    </row>
    <row r="28" spans="1:37" ht="14" x14ac:dyDescent="0.2">
      <c r="E28" s="23" t="s">
        <v>13</v>
      </c>
      <c r="F28" s="23" t="s">
        <v>14</v>
      </c>
      <c r="G28" s="27">
        <v>2</v>
      </c>
      <c r="H28" s="27">
        <v>2</v>
      </c>
      <c r="I28" s="27">
        <v>2</v>
      </c>
      <c r="J28" s="27">
        <v>2</v>
      </c>
      <c r="K28" s="25">
        <v>3</v>
      </c>
      <c r="L28" s="25">
        <v>3</v>
      </c>
      <c r="M28" s="25">
        <v>3</v>
      </c>
      <c r="N28" s="25">
        <v>3</v>
      </c>
      <c r="O28" s="25">
        <v>3</v>
      </c>
      <c r="P28" s="25">
        <v>3</v>
      </c>
      <c r="Q28" s="25">
        <v>4</v>
      </c>
      <c r="R28" s="25">
        <v>4</v>
      </c>
      <c r="S28" s="25">
        <v>5</v>
      </c>
      <c r="T28" s="25">
        <v>3</v>
      </c>
      <c r="U28" s="25">
        <v>3</v>
      </c>
      <c r="V28" s="25">
        <v>0</v>
      </c>
      <c r="W28" s="25">
        <v>0</v>
      </c>
      <c r="X28" s="25">
        <v>0</v>
      </c>
      <c r="Y28" s="25">
        <v>0</v>
      </c>
      <c r="Z28" s="25">
        <v>0</v>
      </c>
      <c r="AA28" s="25">
        <v>0</v>
      </c>
      <c r="AB28" s="25">
        <v>0</v>
      </c>
      <c r="AC28" s="25">
        <v>0</v>
      </c>
      <c r="AD28" s="25">
        <v>0</v>
      </c>
      <c r="AE28" s="25">
        <v>0</v>
      </c>
      <c r="AF28" s="25">
        <v>0</v>
      </c>
      <c r="AH28" s="26">
        <f>(SUMIF(Budget!$G$34:$G$168,$E28,Budget!I$34:I$168))*1000</f>
        <v>0</v>
      </c>
      <c r="AI28" s="26">
        <f>(SUMIF(Budget!$G$34:$G$168,$E28,Budget!J$34:J$168))*1000</f>
        <v>0</v>
      </c>
      <c r="AJ28" s="26">
        <f>(SUMIF(Budget!$G$34:$G$168,$E28,Budget!K$34:K$168))*1000</f>
        <v>0</v>
      </c>
      <c r="AK28" s="26">
        <f>(SUMIF(Budget!$G$34:$G$168,$E28,Budget!L$34:L$168))*1000</f>
        <v>0</v>
      </c>
    </row>
    <row r="29" spans="1:37" ht="14" x14ac:dyDescent="0.2">
      <c r="A29" s="32"/>
      <c r="E29" s="23" t="s">
        <v>15</v>
      </c>
      <c r="F29" s="23" t="s">
        <v>16</v>
      </c>
      <c r="G29" s="24">
        <v>561</v>
      </c>
      <c r="H29" s="24">
        <v>592</v>
      </c>
      <c r="I29" s="27">
        <v>570.4</v>
      </c>
      <c r="J29" s="24">
        <v>452.1</v>
      </c>
      <c r="K29" s="25">
        <v>445</v>
      </c>
      <c r="L29" s="25">
        <v>661</v>
      </c>
      <c r="M29" s="25">
        <v>706</v>
      </c>
      <c r="N29" s="25">
        <v>773</v>
      </c>
      <c r="O29" s="25">
        <v>810</v>
      </c>
      <c r="P29" s="25">
        <v>777</v>
      </c>
      <c r="Q29" s="25">
        <v>831</v>
      </c>
      <c r="R29" s="25">
        <v>771</v>
      </c>
      <c r="S29" s="25">
        <v>880</v>
      </c>
      <c r="T29" s="25">
        <v>1048</v>
      </c>
      <c r="U29" s="25">
        <v>1141</v>
      </c>
      <c r="V29" s="25">
        <v>1091</v>
      </c>
      <c r="W29" s="25">
        <v>1212</v>
      </c>
      <c r="X29" s="25">
        <v>1360</v>
      </c>
      <c r="Y29" s="25">
        <v>1034</v>
      </c>
      <c r="Z29" s="25">
        <v>1244</v>
      </c>
      <c r="AA29" s="25">
        <v>1770</v>
      </c>
      <c r="AB29" s="25">
        <v>2249</v>
      </c>
      <c r="AC29" s="25">
        <v>2077</v>
      </c>
      <c r="AD29" s="25">
        <v>1435</v>
      </c>
      <c r="AE29" s="25">
        <v>1676</v>
      </c>
      <c r="AF29" s="25">
        <v>1631</v>
      </c>
      <c r="AH29" s="26">
        <f>(SUMIF(Budget!$G$34:$G$168,$E29,Budget!I$34:I$168))*1000</f>
        <v>55.462327999999999</v>
      </c>
      <c r="AI29" s="26">
        <f>(SUMIF(Budget!$G$34:$G$168,$E29,Budget!J$34:J$168))*1000</f>
        <v>113.08180399999999</v>
      </c>
      <c r="AJ29" s="26">
        <f>(SUMIF(Budget!$G$34:$G$168,$E29,Budget!K$34:K$168))*1000</f>
        <v>714.19664</v>
      </c>
      <c r="AK29" s="26">
        <f>(SUMIF(Budget!$G$34:$G$168,$E29,Budget!L$34:L$168))*1000</f>
        <v>808.95534899999996</v>
      </c>
    </row>
    <row r="30" spans="1:37" ht="14" x14ac:dyDescent="0.2">
      <c r="E30" s="23" t="s">
        <v>17</v>
      </c>
      <c r="F30" s="23" t="s">
        <v>18</v>
      </c>
      <c r="G30" s="24">
        <v>34201</v>
      </c>
      <c r="H30" s="24">
        <v>36272.1</v>
      </c>
      <c r="I30" s="24">
        <v>36824.300000000003</v>
      </c>
      <c r="J30" s="27">
        <v>37095.4</v>
      </c>
      <c r="K30" s="25">
        <v>36050</v>
      </c>
      <c r="L30" s="25">
        <v>36943</v>
      </c>
      <c r="M30" s="25">
        <v>38857</v>
      </c>
      <c r="N30" s="25">
        <v>40668</v>
      </c>
      <c r="O30" s="25">
        <v>40281</v>
      </c>
      <c r="P30" s="25">
        <v>40716</v>
      </c>
      <c r="Q30" s="25">
        <v>40821</v>
      </c>
      <c r="R30" s="25">
        <v>40524</v>
      </c>
      <c r="S30" s="25">
        <v>43073</v>
      </c>
      <c r="T30" s="25">
        <v>46250</v>
      </c>
      <c r="U30" s="25">
        <v>42006</v>
      </c>
      <c r="V30" s="25">
        <v>44790</v>
      </c>
      <c r="W30" s="25">
        <v>48388</v>
      </c>
      <c r="X30" s="25">
        <v>46504</v>
      </c>
      <c r="Y30" s="25">
        <v>41685</v>
      </c>
      <c r="Z30" s="25">
        <v>39948</v>
      </c>
      <c r="AA30" s="25">
        <v>37750</v>
      </c>
      <c r="AB30" s="25">
        <v>35675</v>
      </c>
      <c r="AC30" s="25">
        <v>34646</v>
      </c>
      <c r="AD30" s="25">
        <v>35150</v>
      </c>
      <c r="AE30" s="25">
        <v>30413</v>
      </c>
      <c r="AF30" s="25">
        <v>25705</v>
      </c>
      <c r="AH30" s="26">
        <f>(SUMIF(Budget!$G$34:$G$168,$E30,Budget!I$34:I$168))*1000</f>
        <v>40255.86</v>
      </c>
      <c r="AI30" s="26">
        <f>(SUMIF(Budget!$G$34:$G$168,$E30,Budget!J$34:J$168))*1000</f>
        <v>35802.17</v>
      </c>
      <c r="AJ30" s="26">
        <f>(SUMIF(Budget!$G$34:$G$168,$E30,Budget!K$34:K$168))*1000</f>
        <v>36511</v>
      </c>
      <c r="AK30" s="26">
        <f>(SUMIF(Budget!$G$34:$G$168,$E30,Budget!L$34:L$168))*1000</f>
        <v>51294.05</v>
      </c>
    </row>
    <row r="31" spans="1:37" ht="14" x14ac:dyDescent="0.2">
      <c r="E31" s="23" t="s">
        <v>19</v>
      </c>
      <c r="F31" s="23" t="s">
        <v>20</v>
      </c>
      <c r="G31" s="27">
        <v>32459.8</v>
      </c>
      <c r="H31" s="27">
        <v>35549.800000000003</v>
      </c>
      <c r="I31" s="27">
        <v>34293.800000000003</v>
      </c>
      <c r="J31" s="27">
        <v>34294.199999999997</v>
      </c>
      <c r="K31" s="25">
        <v>38283</v>
      </c>
      <c r="L31" s="25">
        <v>35996</v>
      </c>
      <c r="M31" s="25">
        <v>40835</v>
      </c>
      <c r="N31" s="25">
        <v>46395</v>
      </c>
      <c r="O31" s="25">
        <v>46978</v>
      </c>
      <c r="P31" s="25">
        <v>51985</v>
      </c>
      <c r="Q31" s="25">
        <v>54668</v>
      </c>
      <c r="R31" s="25">
        <v>44647</v>
      </c>
      <c r="S31" s="25">
        <v>45179</v>
      </c>
      <c r="T31" s="25">
        <v>53261</v>
      </c>
      <c r="U31" s="25">
        <v>54802</v>
      </c>
      <c r="V31" s="25">
        <v>84326</v>
      </c>
      <c r="W31" s="25">
        <v>58204</v>
      </c>
      <c r="X31" s="25">
        <v>58858</v>
      </c>
      <c r="Y31" s="25">
        <v>59483</v>
      </c>
      <c r="Z31" s="25">
        <v>60747</v>
      </c>
      <c r="AA31" s="25">
        <v>55937</v>
      </c>
      <c r="AB31" s="25">
        <v>51785</v>
      </c>
      <c r="AC31" s="25">
        <v>50175</v>
      </c>
      <c r="AD31" s="25">
        <v>46392</v>
      </c>
      <c r="AE31" s="25">
        <v>47793</v>
      </c>
      <c r="AF31" s="25">
        <v>48409</v>
      </c>
      <c r="AH31" s="26">
        <f>(SUMIF(Budget!$G$34:$G$168,$E31,Budget!I$34:I$168))*1000</f>
        <v>0</v>
      </c>
      <c r="AI31" s="26">
        <f>(SUMIF(Budget!$G$34:$G$168,$E31,Budget!J$34:J$168))*1000</f>
        <v>0</v>
      </c>
      <c r="AJ31" s="26">
        <f>(SUMIF(Budget!$G$34:$G$168,$E31,Budget!K$34:K$168))*1000</f>
        <v>0</v>
      </c>
      <c r="AK31" s="26">
        <f>(SUMIF(Budget!$G$34:$G$168,$E31,Budget!L$34:L$168))*1000</f>
        <v>0</v>
      </c>
    </row>
    <row r="32" spans="1:37" s="72" customFormat="1" ht="14" x14ac:dyDescent="0.2">
      <c r="C32" s="32"/>
      <c r="D32" s="2"/>
      <c r="E32" s="4"/>
      <c r="F32" s="4"/>
      <c r="G32" s="27"/>
      <c r="H32" s="27"/>
      <c r="I32" s="27"/>
      <c r="J32" s="27"/>
      <c r="K32" s="25"/>
      <c r="L32" s="25"/>
      <c r="M32" s="25"/>
      <c r="N32" s="25"/>
      <c r="O32" s="25"/>
      <c r="P32" s="25"/>
      <c r="Q32" s="25"/>
      <c r="R32" s="25"/>
      <c r="S32" s="25"/>
      <c r="T32" s="25"/>
      <c r="U32" s="25"/>
      <c r="V32" s="25"/>
      <c r="W32" s="25"/>
      <c r="X32" s="25"/>
      <c r="Y32" s="25"/>
      <c r="Z32" s="25"/>
      <c r="AA32" s="25"/>
      <c r="AB32" s="25"/>
      <c r="AC32" s="25"/>
      <c r="AD32" s="25"/>
      <c r="AE32" s="25"/>
      <c r="AF32" s="25"/>
      <c r="AG32" s="2"/>
      <c r="AH32" s="26"/>
      <c r="AI32" s="26"/>
      <c r="AJ32" s="26"/>
      <c r="AK32" s="26"/>
    </row>
    <row r="33" spans="3:37" ht="14" x14ac:dyDescent="0.2">
      <c r="C33" s="116">
        <f>+MAX($C$1:$C32)+1</f>
        <v>2</v>
      </c>
      <c r="E33" s="41" t="s">
        <v>21</v>
      </c>
      <c r="F33" s="41" t="s">
        <v>22</v>
      </c>
      <c r="G33" s="46">
        <v>30662.3</v>
      </c>
      <c r="H33" s="42">
        <v>32537.200000000001</v>
      </c>
      <c r="I33" s="42">
        <v>31206.7</v>
      </c>
      <c r="J33" s="42">
        <v>29071.599999999999</v>
      </c>
      <c r="K33" s="43">
        <v>28933</v>
      </c>
      <c r="L33" s="43">
        <v>28855</v>
      </c>
      <c r="M33" s="43">
        <v>31040</v>
      </c>
      <c r="N33" s="43">
        <v>32433</v>
      </c>
      <c r="O33" s="43">
        <v>30318</v>
      </c>
      <c r="P33" s="43">
        <v>31573</v>
      </c>
      <c r="Q33" s="43">
        <v>31921</v>
      </c>
      <c r="R33" s="43">
        <v>33334</v>
      </c>
      <c r="S33" s="43">
        <v>33809</v>
      </c>
      <c r="T33" s="43">
        <v>34420</v>
      </c>
      <c r="U33" s="43">
        <v>36557</v>
      </c>
      <c r="V33" s="43">
        <v>37268</v>
      </c>
      <c r="W33" s="43">
        <v>36782</v>
      </c>
      <c r="X33" s="43">
        <v>37540</v>
      </c>
      <c r="Y33" s="43">
        <v>37524</v>
      </c>
      <c r="Z33" s="43">
        <v>36191</v>
      </c>
      <c r="AA33" s="43">
        <v>38499</v>
      </c>
      <c r="AB33" s="43">
        <v>42727</v>
      </c>
      <c r="AC33" s="43">
        <v>40765</v>
      </c>
      <c r="AD33" s="43">
        <v>41576</v>
      </c>
      <c r="AE33" s="43">
        <v>42416</v>
      </c>
      <c r="AF33" s="43">
        <v>44219</v>
      </c>
      <c r="AG33" s="44"/>
      <c r="AH33" s="45">
        <f>+SUM(AH34:AH38)</f>
        <v>47286.988969999999</v>
      </c>
      <c r="AI33" s="45">
        <f t="shared" ref="AI33:AK33" si="2">+SUM(AI34:AI38)</f>
        <v>48979.898562999995</v>
      </c>
      <c r="AJ33" s="45">
        <f t="shared" si="2"/>
        <v>49785.144267000003</v>
      </c>
      <c r="AK33" s="45">
        <f t="shared" si="2"/>
        <v>51927.913595999999</v>
      </c>
    </row>
    <row r="34" spans="3:37" ht="14" x14ac:dyDescent="0.2">
      <c r="E34" s="3" t="s">
        <v>23</v>
      </c>
      <c r="F34" s="3" t="s">
        <v>24</v>
      </c>
      <c r="G34" s="27">
        <v>26464.2</v>
      </c>
      <c r="H34" s="24">
        <v>28107.3</v>
      </c>
      <c r="I34" s="24">
        <v>27032.5</v>
      </c>
      <c r="J34" s="24">
        <v>24927</v>
      </c>
      <c r="K34" s="25">
        <v>24849</v>
      </c>
      <c r="L34" s="25">
        <v>24747</v>
      </c>
      <c r="M34" s="25">
        <v>26614</v>
      </c>
      <c r="N34" s="25">
        <v>27760</v>
      </c>
      <c r="O34" s="25">
        <v>25992</v>
      </c>
      <c r="P34" s="25">
        <v>27109</v>
      </c>
      <c r="Q34" s="25">
        <v>27384</v>
      </c>
      <c r="R34" s="25">
        <v>28320</v>
      </c>
      <c r="S34" s="25">
        <v>28666</v>
      </c>
      <c r="T34" s="25">
        <v>29118</v>
      </c>
      <c r="U34" s="25">
        <v>30974</v>
      </c>
      <c r="V34" s="25">
        <v>31350</v>
      </c>
      <c r="W34" s="25">
        <v>30874</v>
      </c>
      <c r="X34" s="25">
        <v>32020</v>
      </c>
      <c r="Y34" s="25">
        <v>32455</v>
      </c>
      <c r="Z34" s="25">
        <v>31350</v>
      </c>
      <c r="AA34" s="25">
        <v>33463</v>
      </c>
      <c r="AB34" s="25">
        <v>36414</v>
      </c>
      <c r="AC34" s="25">
        <v>34564</v>
      </c>
      <c r="AD34" s="25">
        <v>34983</v>
      </c>
      <c r="AE34" s="25">
        <v>35741</v>
      </c>
      <c r="AF34" s="25">
        <v>38569</v>
      </c>
      <c r="AH34" s="26">
        <f>(SUMIF(Budget!$G$34:$G$168,$E34,Budget!I$34:I$168))*1000</f>
        <v>43406.896897999999</v>
      </c>
      <c r="AI34" s="26">
        <f>(SUMIF(Budget!$G$34:$G$168,$E34,Budget!J$34:J$168))*1000</f>
        <v>45134.172284</v>
      </c>
      <c r="AJ34" s="26">
        <f>(SUMIF(Budget!$G$34:$G$168,$E34,Budget!K$34:K$168))*1000</f>
        <v>46010.551758000001</v>
      </c>
      <c r="AK34" s="26">
        <f>(SUMIF(Budget!$G$34:$G$168,$E34,Budget!L$34:L$168))*1000</f>
        <v>48032.321223999999</v>
      </c>
    </row>
    <row r="35" spans="3:37" ht="14" x14ac:dyDescent="0.2">
      <c r="E35" s="3" t="s">
        <v>25</v>
      </c>
      <c r="F35" s="3" t="s">
        <v>26</v>
      </c>
      <c r="G35" s="24">
        <v>284.5</v>
      </c>
      <c r="H35" s="24">
        <v>289.89999999999998</v>
      </c>
      <c r="I35" s="27">
        <v>244</v>
      </c>
      <c r="J35" s="24">
        <v>289.2</v>
      </c>
      <c r="K35" s="25">
        <v>287</v>
      </c>
      <c r="L35" s="25">
        <v>273</v>
      </c>
      <c r="M35" s="25">
        <v>312</v>
      </c>
      <c r="N35" s="25">
        <v>324</v>
      </c>
      <c r="O35" s="25">
        <v>290</v>
      </c>
      <c r="P35" s="25">
        <v>297</v>
      </c>
      <c r="Q35" s="25">
        <v>308</v>
      </c>
      <c r="R35" s="25">
        <v>313</v>
      </c>
      <c r="S35" s="25">
        <v>316</v>
      </c>
      <c r="T35" s="25">
        <v>322</v>
      </c>
      <c r="U35" s="25">
        <v>335</v>
      </c>
      <c r="V35" s="25">
        <v>422</v>
      </c>
      <c r="W35" s="25">
        <v>315</v>
      </c>
      <c r="X35" s="25">
        <v>196</v>
      </c>
      <c r="Y35" s="25">
        <v>222</v>
      </c>
      <c r="Z35" s="25">
        <v>148</v>
      </c>
      <c r="AA35" s="25">
        <v>154</v>
      </c>
      <c r="AB35" s="25">
        <v>190</v>
      </c>
      <c r="AC35" s="25">
        <v>206</v>
      </c>
      <c r="AD35" s="25">
        <v>199</v>
      </c>
      <c r="AE35" s="25">
        <v>197</v>
      </c>
      <c r="AF35" s="25">
        <v>200</v>
      </c>
      <c r="AH35" s="26">
        <f>(SUMIF(Budget!$G$34:$G$168,$E35,Budget!I$34:I$168))*1000</f>
        <v>0</v>
      </c>
      <c r="AI35" s="26">
        <f>(SUMIF(Budget!$G$34:$G$168,$E35,Budget!J$34:J$168))*1000</f>
        <v>0</v>
      </c>
      <c r="AJ35" s="26">
        <f>(SUMIF(Budget!$G$34:$G$168,$E35,Budget!K$34:K$168))*1000</f>
        <v>0</v>
      </c>
      <c r="AK35" s="26">
        <f>(SUMIF(Budget!$G$34:$G$168,$E35,Budget!L$34:L$168))*1000</f>
        <v>0</v>
      </c>
    </row>
    <row r="36" spans="3:37" ht="14" x14ac:dyDescent="0.2">
      <c r="E36" s="3" t="s">
        <v>27</v>
      </c>
      <c r="F36" s="3" t="s">
        <v>28</v>
      </c>
      <c r="G36" s="24">
        <v>797.2</v>
      </c>
      <c r="H36" s="24">
        <v>871.8</v>
      </c>
      <c r="I36" s="27">
        <v>887.8</v>
      </c>
      <c r="J36" s="24">
        <v>886.3</v>
      </c>
      <c r="K36" s="25">
        <v>875</v>
      </c>
      <c r="L36" s="25">
        <v>944</v>
      </c>
      <c r="M36" s="25">
        <v>970</v>
      </c>
      <c r="N36" s="25">
        <v>999</v>
      </c>
      <c r="O36" s="25">
        <v>989</v>
      </c>
      <c r="P36" s="25">
        <v>1034</v>
      </c>
      <c r="Q36" s="25">
        <v>1085</v>
      </c>
      <c r="R36" s="25">
        <v>1462</v>
      </c>
      <c r="S36" s="25">
        <v>1578</v>
      </c>
      <c r="T36" s="25">
        <v>1618</v>
      </c>
      <c r="U36" s="25">
        <v>1832</v>
      </c>
      <c r="V36" s="25">
        <v>1777</v>
      </c>
      <c r="W36" s="25">
        <v>1884</v>
      </c>
      <c r="X36" s="25">
        <v>1667</v>
      </c>
      <c r="Y36" s="25">
        <v>2295</v>
      </c>
      <c r="Z36" s="25">
        <v>2010</v>
      </c>
      <c r="AA36" s="25">
        <v>1973</v>
      </c>
      <c r="AB36" s="25">
        <v>2189</v>
      </c>
      <c r="AC36" s="25">
        <v>1955</v>
      </c>
      <c r="AD36" s="25">
        <v>1972</v>
      </c>
      <c r="AE36" s="25">
        <v>1869</v>
      </c>
      <c r="AF36" s="25">
        <v>1898</v>
      </c>
      <c r="AH36" s="26">
        <f>(SUMIF(Budget!$G$34:$G$168,$E36,Budget!I$34:I$168))*1000</f>
        <v>0</v>
      </c>
      <c r="AI36" s="26">
        <f>(SUMIF(Budget!$G$34:$G$168,$E36,Budget!J$34:J$168))*1000</f>
        <v>0</v>
      </c>
      <c r="AJ36" s="26">
        <f>(SUMIF(Budget!$G$34:$G$168,$E36,Budget!K$34:K$168))*1000</f>
        <v>0</v>
      </c>
      <c r="AK36" s="26">
        <f>(SUMIF(Budget!$G$34:$G$168,$E36,Budget!L$34:L$168))*1000</f>
        <v>0</v>
      </c>
    </row>
    <row r="37" spans="3:37" ht="14" x14ac:dyDescent="0.2">
      <c r="E37" s="3" t="s">
        <v>29</v>
      </c>
      <c r="F37" s="3" t="s">
        <v>30</v>
      </c>
      <c r="G37" s="24">
        <v>1866.8</v>
      </c>
      <c r="H37" s="24">
        <v>2008.4</v>
      </c>
      <c r="I37" s="24">
        <v>1940.3</v>
      </c>
      <c r="J37" s="24">
        <v>1781.6</v>
      </c>
      <c r="K37" s="25">
        <v>1772</v>
      </c>
      <c r="L37" s="25">
        <v>1769</v>
      </c>
      <c r="M37" s="25">
        <v>1882</v>
      </c>
      <c r="N37" s="25">
        <v>1962</v>
      </c>
      <c r="O37" s="25">
        <v>1852</v>
      </c>
      <c r="P37" s="25">
        <v>1934</v>
      </c>
      <c r="Q37" s="25">
        <v>1937</v>
      </c>
      <c r="R37" s="25">
        <v>2029</v>
      </c>
      <c r="S37" s="25">
        <v>2074</v>
      </c>
      <c r="T37" s="25">
        <v>2182</v>
      </c>
      <c r="U37" s="25">
        <v>2191</v>
      </c>
      <c r="V37" s="25">
        <v>2109</v>
      </c>
      <c r="W37" s="25">
        <v>1949</v>
      </c>
      <c r="X37" s="25">
        <v>1906</v>
      </c>
      <c r="Y37" s="25">
        <v>1267</v>
      </c>
      <c r="Z37" s="25">
        <v>1266</v>
      </c>
      <c r="AA37" s="25">
        <v>1301</v>
      </c>
      <c r="AB37" s="25">
        <v>1262</v>
      </c>
      <c r="AC37" s="25">
        <v>1283</v>
      </c>
      <c r="AD37" s="25">
        <v>1348</v>
      </c>
      <c r="AE37" s="25">
        <v>1404</v>
      </c>
      <c r="AF37" s="25">
        <v>1426</v>
      </c>
      <c r="AH37" s="26">
        <f>(SUMIF(Budget!$G$34:$G$168,$E37,Budget!I$34:I$168))*1000</f>
        <v>121.52768</v>
      </c>
      <c r="AI37" s="26">
        <f>(SUMIF(Budget!$G$34:$G$168,$E37,Budget!J$34:J$168))*1000</f>
        <v>118.51188</v>
      </c>
      <c r="AJ37" s="26">
        <f>(SUMIF(Budget!$G$34:$G$168,$E37,Budget!K$34:K$168))*1000</f>
        <v>0</v>
      </c>
      <c r="AK37" s="26">
        <f>(SUMIF(Budget!$G$34:$G$168,$E37,Budget!L$34:L$168))*1000</f>
        <v>0</v>
      </c>
    </row>
    <row r="38" spans="3:37" ht="14" x14ac:dyDescent="0.2">
      <c r="E38" s="3" t="s">
        <v>31</v>
      </c>
      <c r="F38" s="3" t="s">
        <v>32</v>
      </c>
      <c r="G38" s="24">
        <v>1247.5999999999999</v>
      </c>
      <c r="H38" s="24">
        <v>1258.8</v>
      </c>
      <c r="I38" s="24">
        <v>1102.0999999999999</v>
      </c>
      <c r="J38" s="24">
        <v>1186.4000000000001</v>
      </c>
      <c r="K38" s="25">
        <v>1147</v>
      </c>
      <c r="L38" s="25">
        <v>1122</v>
      </c>
      <c r="M38" s="25">
        <v>1262</v>
      </c>
      <c r="N38" s="25">
        <v>1389</v>
      </c>
      <c r="O38" s="25">
        <v>1195</v>
      </c>
      <c r="P38" s="25">
        <v>1200</v>
      </c>
      <c r="Q38" s="25">
        <v>1207</v>
      </c>
      <c r="R38" s="25">
        <v>1211</v>
      </c>
      <c r="S38" s="25">
        <v>1174</v>
      </c>
      <c r="T38" s="25">
        <v>1181</v>
      </c>
      <c r="U38" s="25">
        <v>1225</v>
      </c>
      <c r="V38" s="25">
        <v>1611</v>
      </c>
      <c r="W38" s="25">
        <v>1761</v>
      </c>
      <c r="X38" s="25">
        <v>1751</v>
      </c>
      <c r="Y38" s="25">
        <v>1285</v>
      </c>
      <c r="Z38" s="25">
        <v>1417</v>
      </c>
      <c r="AA38" s="25">
        <v>1607</v>
      </c>
      <c r="AB38" s="25">
        <v>2673</v>
      </c>
      <c r="AC38" s="25">
        <v>2758</v>
      </c>
      <c r="AD38" s="25">
        <v>3074</v>
      </c>
      <c r="AE38" s="25">
        <v>3206</v>
      </c>
      <c r="AF38" s="25">
        <v>2124</v>
      </c>
      <c r="AH38" s="26">
        <f>(SUMIF(Budget!$G$34:$G$168,$E38,Budget!I$34:I$168))*1000</f>
        <v>3758.5643920000002</v>
      </c>
      <c r="AI38" s="26">
        <f>(SUMIF(Budget!$G$34:$G$168,$E38,Budget!J$34:J$168))*1000</f>
        <v>3727.214399</v>
      </c>
      <c r="AJ38" s="26">
        <f>(SUMIF(Budget!$G$34:$G$168,$E38,Budget!K$34:K$168))*1000</f>
        <v>3774.5925089999996</v>
      </c>
      <c r="AK38" s="26">
        <f>(SUMIF(Budget!$G$34:$G$168,$E38,Budget!L$34:L$168))*1000</f>
        <v>3895.5923720000005</v>
      </c>
    </row>
    <row r="39" spans="3:37" s="72" customFormat="1" ht="14" x14ac:dyDescent="0.2">
      <c r="C39" s="32"/>
      <c r="D39" s="2"/>
      <c r="E39" s="4"/>
      <c r="F39" s="4"/>
      <c r="G39" s="24"/>
      <c r="H39" s="24"/>
      <c r="I39" s="24"/>
      <c r="J39" s="24"/>
      <c r="K39" s="25"/>
      <c r="L39" s="25"/>
      <c r="M39" s="25"/>
      <c r="N39" s="25"/>
      <c r="O39" s="25"/>
      <c r="P39" s="25"/>
      <c r="Q39" s="25"/>
      <c r="R39" s="25"/>
      <c r="S39" s="25"/>
      <c r="T39" s="25"/>
      <c r="U39" s="25"/>
      <c r="V39" s="25"/>
      <c r="W39" s="25"/>
      <c r="X39" s="25"/>
      <c r="Y39" s="25"/>
      <c r="Z39" s="25"/>
      <c r="AA39" s="25"/>
      <c r="AB39" s="25"/>
      <c r="AC39" s="25"/>
      <c r="AD39" s="25"/>
      <c r="AE39" s="25"/>
      <c r="AF39" s="25"/>
      <c r="AG39" s="2"/>
      <c r="AH39" s="26"/>
      <c r="AI39" s="26"/>
      <c r="AJ39" s="26"/>
      <c r="AK39" s="26"/>
    </row>
    <row r="40" spans="3:37" ht="14" x14ac:dyDescent="0.2">
      <c r="C40" s="116">
        <f>+MAX($C$1:$C39)+1</f>
        <v>3</v>
      </c>
      <c r="E40" s="41" t="s">
        <v>33</v>
      </c>
      <c r="F40" s="41" t="s">
        <v>34</v>
      </c>
      <c r="G40" s="42">
        <v>16353</v>
      </c>
      <c r="H40" s="42">
        <v>16657</v>
      </c>
      <c r="I40" s="42">
        <v>16414.3</v>
      </c>
      <c r="J40" s="42">
        <v>16882.3</v>
      </c>
      <c r="K40" s="43">
        <v>17535</v>
      </c>
      <c r="L40" s="43">
        <v>17641</v>
      </c>
      <c r="M40" s="43">
        <v>18804</v>
      </c>
      <c r="N40" s="43">
        <v>20256</v>
      </c>
      <c r="O40" s="43">
        <v>21014</v>
      </c>
      <c r="P40" s="43">
        <v>21520</v>
      </c>
      <c r="Q40" s="43">
        <v>21615</v>
      </c>
      <c r="R40" s="43">
        <v>21875</v>
      </c>
      <c r="S40" s="43">
        <v>22558</v>
      </c>
      <c r="T40" s="43">
        <v>24443</v>
      </c>
      <c r="U40" s="43">
        <v>25725</v>
      </c>
      <c r="V40" s="43">
        <v>26818</v>
      </c>
      <c r="W40" s="43">
        <v>26894</v>
      </c>
      <c r="X40" s="43">
        <v>27005</v>
      </c>
      <c r="Y40" s="43">
        <v>27571</v>
      </c>
      <c r="Z40" s="43">
        <v>28052</v>
      </c>
      <c r="AA40" s="43">
        <v>28554</v>
      </c>
      <c r="AB40" s="43">
        <v>29149</v>
      </c>
      <c r="AC40" s="43">
        <v>30087</v>
      </c>
      <c r="AD40" s="43">
        <v>30797</v>
      </c>
      <c r="AE40" s="43">
        <v>31971</v>
      </c>
      <c r="AF40" s="43">
        <v>32677</v>
      </c>
      <c r="AG40" s="44"/>
      <c r="AH40" s="45">
        <f>SUM(AH41:AH46)</f>
        <v>32620.487706</v>
      </c>
      <c r="AI40" s="45">
        <f t="shared" ref="AI40:AK40" si="3">SUM(AI41:AI46)</f>
        <v>32904.607025999998</v>
      </c>
      <c r="AJ40" s="45">
        <f t="shared" si="3"/>
        <v>34218.417468</v>
      </c>
      <c r="AK40" s="45">
        <f t="shared" si="3"/>
        <v>35992.486412999999</v>
      </c>
    </row>
    <row r="41" spans="3:37" ht="14" x14ac:dyDescent="0.2">
      <c r="E41" s="23" t="s">
        <v>35</v>
      </c>
      <c r="F41" s="23" t="s">
        <v>36</v>
      </c>
      <c r="G41" s="24">
        <v>11133.6</v>
      </c>
      <c r="H41" s="27">
        <v>11343.1</v>
      </c>
      <c r="I41" s="24">
        <v>11172.7</v>
      </c>
      <c r="J41" s="24">
        <v>11551.3</v>
      </c>
      <c r="K41" s="25">
        <v>12012</v>
      </c>
      <c r="L41" s="25">
        <v>12139</v>
      </c>
      <c r="M41" s="25">
        <v>12876</v>
      </c>
      <c r="N41" s="25">
        <v>13828</v>
      </c>
      <c r="O41" s="25">
        <v>14387</v>
      </c>
      <c r="P41" s="25">
        <v>14609</v>
      </c>
      <c r="Q41" s="25">
        <v>14724</v>
      </c>
      <c r="R41" s="25">
        <v>14892</v>
      </c>
      <c r="S41" s="25">
        <v>15374</v>
      </c>
      <c r="T41" s="25">
        <v>16721</v>
      </c>
      <c r="U41" s="25">
        <v>17532</v>
      </c>
      <c r="V41" s="25">
        <v>17942</v>
      </c>
      <c r="W41" s="25">
        <v>17997</v>
      </c>
      <c r="X41" s="25">
        <v>17875</v>
      </c>
      <c r="Y41" s="25">
        <v>18181</v>
      </c>
      <c r="Z41" s="25">
        <v>18348</v>
      </c>
      <c r="AA41" s="25">
        <v>18575</v>
      </c>
      <c r="AB41" s="25">
        <v>18961</v>
      </c>
      <c r="AC41" s="25">
        <v>19521</v>
      </c>
      <c r="AD41" s="25">
        <v>19973</v>
      </c>
      <c r="AE41" s="25">
        <v>20738</v>
      </c>
      <c r="AF41" s="25">
        <v>20838</v>
      </c>
      <c r="AH41" s="26">
        <f>(SUMIF(Budget!$G$34:$G$168,$E41,Budget!I$34:I$168))*1000</f>
        <v>19880.335217000003</v>
      </c>
      <c r="AI41" s="26">
        <f>(SUMIF(Budget!$G$34:$G$168,$E41,Budget!J$34:J$168))*1000</f>
        <v>20016.226975999998</v>
      </c>
      <c r="AJ41" s="26">
        <f>(SUMIF(Budget!$G$34:$G$168,$E41,Budget!K$34:K$168))*1000</f>
        <v>20138.235266</v>
      </c>
      <c r="AK41" s="26">
        <f>(SUMIF(Budget!$G$34:$G$168,$E41,Budget!L$34:L$168))*1000</f>
        <v>21022.856917999998</v>
      </c>
    </row>
    <row r="42" spans="3:37" ht="15" customHeight="1" x14ac:dyDescent="0.2">
      <c r="E42" s="23" t="s">
        <v>37</v>
      </c>
      <c r="F42" s="23" t="s">
        <v>38</v>
      </c>
      <c r="G42" s="24">
        <v>151.80000000000001</v>
      </c>
      <c r="H42" s="24">
        <v>154.6</v>
      </c>
      <c r="I42" s="24">
        <v>151.80000000000001</v>
      </c>
      <c r="J42" s="24">
        <v>154</v>
      </c>
      <c r="K42" s="25">
        <v>163</v>
      </c>
      <c r="L42" s="25">
        <v>171</v>
      </c>
      <c r="M42" s="25">
        <v>190</v>
      </c>
      <c r="N42" s="25">
        <v>209</v>
      </c>
      <c r="O42" s="25">
        <v>209</v>
      </c>
      <c r="P42" s="25">
        <v>223</v>
      </c>
      <c r="Q42" s="25">
        <v>229</v>
      </c>
      <c r="R42" s="25">
        <v>239</v>
      </c>
      <c r="S42" s="25">
        <v>253</v>
      </c>
      <c r="T42" s="25">
        <v>274</v>
      </c>
      <c r="U42" s="25">
        <v>298</v>
      </c>
      <c r="V42" s="25">
        <v>291</v>
      </c>
      <c r="W42" s="25">
        <v>395</v>
      </c>
      <c r="X42" s="25">
        <v>423</v>
      </c>
      <c r="Y42" s="25">
        <v>351</v>
      </c>
      <c r="Z42" s="25">
        <v>515</v>
      </c>
      <c r="AA42" s="25">
        <v>515</v>
      </c>
      <c r="AB42" s="25">
        <v>570</v>
      </c>
      <c r="AC42" s="25">
        <v>599</v>
      </c>
      <c r="AD42" s="25">
        <v>631</v>
      </c>
      <c r="AE42" s="25">
        <v>665</v>
      </c>
      <c r="AF42" s="25">
        <v>669</v>
      </c>
      <c r="AH42" s="26">
        <f>(SUMIF(Budget!$G$34:$G$168,$E42,Budget!I$34:I$168))*1000</f>
        <v>548.31181300000003</v>
      </c>
      <c r="AI42" s="26">
        <f>(SUMIF(Budget!$G$34:$G$168,$E42,Budget!J$34:J$168))*1000</f>
        <v>555.36155299999996</v>
      </c>
      <c r="AJ42" s="26">
        <f>(SUMIF(Budget!$G$34:$G$168,$E42,Budget!K$34:K$168))*1000</f>
        <v>520.40825000000007</v>
      </c>
      <c r="AK42" s="26">
        <f>(SUMIF(Budget!$G$34:$G$168,$E42,Budget!L$34:L$168))*1000</f>
        <v>580.96250499999996</v>
      </c>
    </row>
    <row r="43" spans="3:37" ht="14" x14ac:dyDescent="0.2">
      <c r="E43" s="23" t="s">
        <v>39</v>
      </c>
      <c r="F43" s="23" t="s">
        <v>40</v>
      </c>
      <c r="G43" s="24">
        <v>2957.6</v>
      </c>
      <c r="H43" s="24">
        <v>3006.5</v>
      </c>
      <c r="I43" s="27">
        <v>2973</v>
      </c>
      <c r="J43" s="27">
        <v>2983</v>
      </c>
      <c r="K43" s="25">
        <v>3071</v>
      </c>
      <c r="L43" s="25">
        <v>3074</v>
      </c>
      <c r="M43" s="25">
        <v>3284</v>
      </c>
      <c r="N43" s="25">
        <v>3585</v>
      </c>
      <c r="O43" s="25">
        <v>3709</v>
      </c>
      <c r="P43" s="25">
        <v>3898</v>
      </c>
      <c r="Q43" s="25">
        <v>3863</v>
      </c>
      <c r="R43" s="25">
        <v>3923</v>
      </c>
      <c r="S43" s="25">
        <v>4022</v>
      </c>
      <c r="T43" s="25">
        <v>4321</v>
      </c>
      <c r="U43" s="25">
        <v>4566</v>
      </c>
      <c r="V43" s="25">
        <v>4738</v>
      </c>
      <c r="W43" s="25">
        <v>4729</v>
      </c>
      <c r="X43" s="25">
        <v>4849</v>
      </c>
      <c r="Y43" s="25">
        <v>4954</v>
      </c>
      <c r="Z43" s="25">
        <v>5104</v>
      </c>
      <c r="AA43" s="25">
        <v>5156</v>
      </c>
      <c r="AB43" s="25">
        <v>5244</v>
      </c>
      <c r="AC43" s="25">
        <v>5365</v>
      </c>
      <c r="AD43" s="25">
        <v>5617</v>
      </c>
      <c r="AE43" s="25">
        <v>5733</v>
      </c>
      <c r="AF43" s="25">
        <v>5674</v>
      </c>
      <c r="AH43" s="26">
        <f>(SUMIF(Budget!$G$34:$G$168,$E43,Budget!I$34:I$168))*1000</f>
        <v>5230.9505629999994</v>
      </c>
      <c r="AI43" s="26">
        <f>(SUMIF(Budget!$G$34:$G$168,$E43,Budget!J$34:J$168))*1000</f>
        <v>5287.541886</v>
      </c>
      <c r="AJ43" s="26">
        <f>(SUMIF(Budget!$G$34:$G$168,$E43,Budget!K$34:K$168))*1000</f>
        <v>5790.578935999999</v>
      </c>
      <c r="AK43" s="26">
        <f>(SUMIF(Budget!$G$34:$G$168,$E43,Budget!L$34:L$168))*1000</f>
        <v>6237.9907349999994</v>
      </c>
    </row>
    <row r="44" spans="3:37" ht="14" x14ac:dyDescent="0.2">
      <c r="E44" s="23" t="s">
        <v>41</v>
      </c>
      <c r="F44" s="23" t="s">
        <v>42</v>
      </c>
      <c r="G44" s="27">
        <v>1709</v>
      </c>
      <c r="H44" s="24">
        <v>1726.5</v>
      </c>
      <c r="I44" s="24">
        <v>1701.2</v>
      </c>
      <c r="J44" s="24">
        <v>1757.8</v>
      </c>
      <c r="K44" s="25">
        <v>1836</v>
      </c>
      <c r="L44" s="25">
        <v>1790</v>
      </c>
      <c r="M44" s="25">
        <v>1944</v>
      </c>
      <c r="N44" s="25">
        <v>2082</v>
      </c>
      <c r="O44" s="25">
        <v>2144</v>
      </c>
      <c r="P44" s="25">
        <v>2204</v>
      </c>
      <c r="Q44" s="25">
        <v>2204</v>
      </c>
      <c r="R44" s="25">
        <v>2215</v>
      </c>
      <c r="S44" s="25">
        <v>2286</v>
      </c>
      <c r="T44" s="25">
        <v>2452</v>
      </c>
      <c r="U44" s="25">
        <v>2599</v>
      </c>
      <c r="V44" s="25">
        <v>3069</v>
      </c>
      <c r="W44" s="25">
        <v>2988</v>
      </c>
      <c r="X44" s="25">
        <v>3118</v>
      </c>
      <c r="Y44" s="25">
        <v>3298</v>
      </c>
      <c r="Z44" s="25">
        <v>3318</v>
      </c>
      <c r="AA44" s="25">
        <v>3465</v>
      </c>
      <c r="AB44" s="25">
        <v>3449</v>
      </c>
      <c r="AC44" s="25">
        <v>3606</v>
      </c>
      <c r="AD44" s="25">
        <v>3578</v>
      </c>
      <c r="AE44" s="25">
        <v>3804</v>
      </c>
      <c r="AF44" s="25">
        <v>3974</v>
      </c>
      <c r="AH44" s="26">
        <f>(SUMIF(Budget!$G$34:$G$168,$E44,Budget!I$34:I$168))*1000</f>
        <v>3693.9050969999998</v>
      </c>
      <c r="AI44" s="26">
        <f>(SUMIF(Budget!$G$34:$G$168,$E44,Budget!J$34:J$168))*1000</f>
        <v>3863.43561</v>
      </c>
      <c r="AJ44" s="26">
        <f>(SUMIF(Budget!$G$34:$G$168,$E44,Budget!K$34:K$168))*1000</f>
        <v>4267.6063700000004</v>
      </c>
      <c r="AK44" s="26">
        <f>(SUMIF(Budget!$G$34:$G$168,$E44,Budget!L$34:L$168))*1000</f>
        <v>4622.7217309999996</v>
      </c>
    </row>
    <row r="45" spans="3:37" ht="15" customHeight="1" x14ac:dyDescent="0.2">
      <c r="E45" s="23" t="s">
        <v>43</v>
      </c>
      <c r="F45" s="23" t="s">
        <v>44</v>
      </c>
      <c r="G45" s="27">
        <v>2</v>
      </c>
      <c r="H45" s="24">
        <v>8.1</v>
      </c>
      <c r="I45" s="24">
        <v>7.9</v>
      </c>
      <c r="J45" s="24">
        <v>7.9</v>
      </c>
      <c r="K45" s="25">
        <v>8</v>
      </c>
      <c r="L45" s="25">
        <v>9</v>
      </c>
      <c r="M45" s="25">
        <v>9</v>
      </c>
      <c r="N45" s="25">
        <v>11</v>
      </c>
      <c r="O45" s="25">
        <v>10</v>
      </c>
      <c r="P45" s="25">
        <v>9</v>
      </c>
      <c r="Q45" s="25">
        <v>9</v>
      </c>
      <c r="R45" s="25">
        <v>9</v>
      </c>
      <c r="S45" s="25">
        <v>9</v>
      </c>
      <c r="T45" s="25">
        <v>10</v>
      </c>
      <c r="U45" s="25">
        <v>12</v>
      </c>
      <c r="V45" s="25">
        <v>19</v>
      </c>
      <c r="W45" s="25">
        <v>21</v>
      </c>
      <c r="X45" s="25">
        <v>21</v>
      </c>
      <c r="Y45" s="25">
        <v>20</v>
      </c>
      <c r="Z45" s="25">
        <v>20</v>
      </c>
      <c r="AA45" s="25">
        <v>19</v>
      </c>
      <c r="AB45" s="25">
        <v>14</v>
      </c>
      <c r="AC45" s="25">
        <v>14</v>
      </c>
      <c r="AD45" s="25">
        <v>15</v>
      </c>
      <c r="AE45" s="25">
        <v>17</v>
      </c>
      <c r="AF45" s="25">
        <v>15</v>
      </c>
      <c r="AH45" s="26">
        <f>(SUMIF(Budget!$G$34:$G$168,$E45,Budget!I$34:I$168))*1000</f>
        <v>0</v>
      </c>
      <c r="AI45" s="26">
        <f>(SUMIF(Budget!$G$34:$G$168,$E45,Budget!J$34:J$168))*1000</f>
        <v>0</v>
      </c>
      <c r="AJ45" s="26">
        <f>(SUMIF(Budget!$G$34:$G$168,$E45,Budget!K$34:K$168))*1000</f>
        <v>0</v>
      </c>
      <c r="AK45" s="26">
        <f>(SUMIF(Budget!$G$34:$G$168,$E45,Budget!L$34:L$168))*1000</f>
        <v>0</v>
      </c>
    </row>
    <row r="46" spans="3:37" ht="14" x14ac:dyDescent="0.2">
      <c r="E46" s="23" t="s">
        <v>45</v>
      </c>
      <c r="F46" s="23" t="s">
        <v>46</v>
      </c>
      <c r="G46" s="24">
        <v>401.1</v>
      </c>
      <c r="H46" s="24">
        <v>420.3</v>
      </c>
      <c r="I46" s="24">
        <v>410.7</v>
      </c>
      <c r="J46" s="24">
        <v>428.3</v>
      </c>
      <c r="K46" s="25">
        <v>445</v>
      </c>
      <c r="L46" s="25">
        <v>461</v>
      </c>
      <c r="M46" s="25">
        <v>503</v>
      </c>
      <c r="N46" s="25">
        <v>542</v>
      </c>
      <c r="O46" s="25">
        <v>555</v>
      </c>
      <c r="P46" s="25">
        <v>577</v>
      </c>
      <c r="Q46" s="25">
        <v>586</v>
      </c>
      <c r="R46" s="25">
        <v>599</v>
      </c>
      <c r="S46" s="25">
        <v>617</v>
      </c>
      <c r="T46" s="25">
        <v>666</v>
      </c>
      <c r="U46" s="25">
        <v>719</v>
      </c>
      <c r="V46" s="25">
        <v>758</v>
      </c>
      <c r="W46" s="25">
        <v>766</v>
      </c>
      <c r="X46" s="25">
        <v>719</v>
      </c>
      <c r="Y46" s="25">
        <v>766</v>
      </c>
      <c r="Z46" s="25">
        <v>745</v>
      </c>
      <c r="AA46" s="25">
        <v>822</v>
      </c>
      <c r="AB46" s="25">
        <v>910</v>
      </c>
      <c r="AC46" s="25">
        <v>983</v>
      </c>
      <c r="AD46" s="25">
        <v>983</v>
      </c>
      <c r="AE46" s="25">
        <v>1015</v>
      </c>
      <c r="AF46" s="25">
        <v>1507</v>
      </c>
      <c r="AH46" s="26">
        <f>(SUMIF(Budget!$G$34:$G$168,$E46,Budget!I$34:I$168))*1000</f>
        <v>3266.9850160000001</v>
      </c>
      <c r="AI46" s="26">
        <f>(SUMIF(Budget!$G$34:$G$168,$E46,Budget!J$34:J$168))*1000</f>
        <v>3182.0410010000001</v>
      </c>
      <c r="AJ46" s="26">
        <f>(SUMIF(Budget!$G$34:$G$168,$E46,Budget!K$34:K$168))*1000</f>
        <v>3501.5886460000002</v>
      </c>
      <c r="AK46" s="26">
        <f>(SUMIF(Budget!$G$34:$G$168,$E46,Budget!L$34:L$168))*1000</f>
        <v>3527.9545240000002</v>
      </c>
    </row>
    <row r="47" spans="3:37" s="72" customFormat="1" ht="14" x14ac:dyDescent="0.2">
      <c r="C47" s="32"/>
      <c r="D47" s="2"/>
      <c r="E47" s="4"/>
      <c r="F47" s="4"/>
      <c r="G47" s="24"/>
      <c r="H47" s="24"/>
      <c r="I47" s="24"/>
      <c r="J47" s="24"/>
      <c r="K47" s="25"/>
      <c r="L47" s="25"/>
      <c r="M47" s="25"/>
      <c r="N47" s="25"/>
      <c r="O47" s="25"/>
      <c r="P47" s="25"/>
      <c r="Q47" s="25"/>
      <c r="R47" s="25"/>
      <c r="S47" s="25"/>
      <c r="T47" s="25"/>
      <c r="U47" s="25"/>
      <c r="V47" s="25"/>
      <c r="W47" s="25"/>
      <c r="X47" s="25"/>
      <c r="Y47" s="25"/>
      <c r="Z47" s="25"/>
      <c r="AA47" s="25"/>
      <c r="AB47" s="25"/>
      <c r="AC47" s="25"/>
      <c r="AD47" s="25"/>
      <c r="AE47" s="25"/>
      <c r="AF47" s="25"/>
      <c r="AG47" s="2"/>
      <c r="AH47" s="26"/>
      <c r="AI47" s="26"/>
      <c r="AJ47" s="26"/>
      <c r="AK47" s="26"/>
    </row>
    <row r="48" spans="3:37" ht="14" x14ac:dyDescent="0.2">
      <c r="C48" s="116">
        <f>+MAX($C$1:$C47)+1</f>
        <v>4</v>
      </c>
      <c r="E48" s="41" t="s">
        <v>47</v>
      </c>
      <c r="F48" s="41" t="s">
        <v>48</v>
      </c>
      <c r="G48" s="42">
        <v>43911.1</v>
      </c>
      <c r="H48" s="42">
        <v>40096.9</v>
      </c>
      <c r="I48" s="42">
        <v>37669.5</v>
      </c>
      <c r="J48" s="42">
        <v>37992.6</v>
      </c>
      <c r="K48" s="43">
        <v>40721</v>
      </c>
      <c r="L48" s="43">
        <v>38884</v>
      </c>
      <c r="M48" s="43">
        <v>40236</v>
      </c>
      <c r="N48" s="43">
        <v>44118</v>
      </c>
      <c r="O48" s="43">
        <v>42449</v>
      </c>
      <c r="P48" s="43">
        <v>47022</v>
      </c>
      <c r="Q48" s="43">
        <v>51335</v>
      </c>
      <c r="R48" s="43">
        <v>50953</v>
      </c>
      <c r="S48" s="43">
        <v>50767</v>
      </c>
      <c r="T48" s="43">
        <v>55806</v>
      </c>
      <c r="U48" s="43">
        <v>59413</v>
      </c>
      <c r="V48" s="43">
        <v>65835</v>
      </c>
      <c r="W48" s="43">
        <v>62372</v>
      </c>
      <c r="X48" s="43">
        <v>66924</v>
      </c>
      <c r="Y48" s="43">
        <v>64331</v>
      </c>
      <c r="Z48" s="43">
        <v>72277</v>
      </c>
      <c r="AA48" s="43">
        <v>83442</v>
      </c>
      <c r="AB48" s="43">
        <v>84542</v>
      </c>
      <c r="AC48" s="43">
        <v>95404</v>
      </c>
      <c r="AD48" s="43">
        <v>94728</v>
      </c>
      <c r="AE48" s="43">
        <v>99499</v>
      </c>
      <c r="AF48" s="43">
        <v>107653</v>
      </c>
      <c r="AG48" s="44"/>
      <c r="AH48" s="45">
        <f>SUM(AH49:AH57)</f>
        <v>58747.605678</v>
      </c>
      <c r="AI48" s="45">
        <f t="shared" ref="AI48:AK48" si="4">SUM(AI49:AI57)</f>
        <v>100044.35636500001</v>
      </c>
      <c r="AJ48" s="45">
        <f t="shared" si="4"/>
        <v>130259.84813700001</v>
      </c>
      <c r="AK48" s="45">
        <f t="shared" si="4"/>
        <v>113632.64527999998</v>
      </c>
    </row>
    <row r="49" spans="3:37" ht="14" x14ac:dyDescent="0.2">
      <c r="E49" s="23" t="s">
        <v>49</v>
      </c>
      <c r="F49" s="23" t="s">
        <v>50</v>
      </c>
      <c r="G49" s="24">
        <v>12982.3</v>
      </c>
      <c r="H49" s="24">
        <v>13277.8</v>
      </c>
      <c r="I49" s="27">
        <v>12727.1</v>
      </c>
      <c r="J49" s="24">
        <v>12790.4</v>
      </c>
      <c r="K49" s="25">
        <v>13916</v>
      </c>
      <c r="L49" s="25">
        <v>13319</v>
      </c>
      <c r="M49" s="25">
        <v>14304</v>
      </c>
      <c r="N49" s="25">
        <v>15400</v>
      </c>
      <c r="O49" s="25">
        <v>14254</v>
      </c>
      <c r="P49" s="25">
        <v>16568</v>
      </c>
      <c r="Q49" s="25">
        <v>17305</v>
      </c>
      <c r="R49" s="25">
        <v>18066</v>
      </c>
      <c r="S49" s="25">
        <v>17530</v>
      </c>
      <c r="T49" s="25">
        <v>20335</v>
      </c>
      <c r="U49" s="25">
        <v>23063</v>
      </c>
      <c r="V49" s="25">
        <v>25939</v>
      </c>
      <c r="W49" s="25">
        <v>21486</v>
      </c>
      <c r="X49" s="25">
        <v>20590</v>
      </c>
      <c r="Y49" s="25">
        <v>20914</v>
      </c>
      <c r="Z49" s="25">
        <v>30831</v>
      </c>
      <c r="AA49" s="25">
        <v>40193</v>
      </c>
      <c r="AB49" s="25">
        <v>38537</v>
      </c>
      <c r="AC49" s="25">
        <v>41677</v>
      </c>
      <c r="AD49" s="25">
        <v>44259</v>
      </c>
      <c r="AE49" s="25">
        <v>48926</v>
      </c>
      <c r="AF49" s="25">
        <v>52985</v>
      </c>
      <c r="AH49" s="26">
        <f>(SUMIF(Budget!$G$34:$G$168,$E49,Budget!I$34:I$168))*1000</f>
        <v>18469.808507000002</v>
      </c>
      <c r="AI49" s="26">
        <f>(SUMIF(Budget!$G$34:$G$168,$E49,Budget!J$34:J$168))*1000</f>
        <v>44152.308131000005</v>
      </c>
      <c r="AJ49" s="26">
        <f>(SUMIF(Budget!$G$34:$G$168,$E49,Budget!K$34:K$168))*1000</f>
        <v>67517.494863000014</v>
      </c>
      <c r="AK49" s="26">
        <f>(SUMIF(Budget!$G$34:$G$168,$E49,Budget!L$34:L$168))*1000</f>
        <v>37673.654274999994</v>
      </c>
    </row>
    <row r="50" spans="3:37" ht="14" x14ac:dyDescent="0.2">
      <c r="E50" s="23" t="s">
        <v>51</v>
      </c>
      <c r="F50" s="23" t="s">
        <v>52</v>
      </c>
      <c r="G50" s="24">
        <v>2333.3000000000002</v>
      </c>
      <c r="H50" s="24">
        <v>2092.1999999999998</v>
      </c>
      <c r="I50" s="24">
        <v>1994.9</v>
      </c>
      <c r="J50" s="24">
        <v>1992.3</v>
      </c>
      <c r="K50" s="25">
        <v>2134</v>
      </c>
      <c r="L50" s="25">
        <v>1992</v>
      </c>
      <c r="M50" s="25">
        <v>2104</v>
      </c>
      <c r="N50" s="25">
        <v>2278</v>
      </c>
      <c r="O50" s="25">
        <v>1867</v>
      </c>
      <c r="P50" s="25">
        <v>3092</v>
      </c>
      <c r="Q50" s="25">
        <v>3098</v>
      </c>
      <c r="R50" s="25">
        <v>3021</v>
      </c>
      <c r="S50" s="25">
        <v>2846</v>
      </c>
      <c r="T50" s="25">
        <v>2674</v>
      </c>
      <c r="U50" s="25">
        <v>2809</v>
      </c>
      <c r="V50" s="25">
        <v>3255</v>
      </c>
      <c r="W50" s="25">
        <v>2653</v>
      </c>
      <c r="X50" s="25">
        <v>2892</v>
      </c>
      <c r="Y50" s="25">
        <v>2566</v>
      </c>
      <c r="Z50" s="25">
        <v>2887</v>
      </c>
      <c r="AA50" s="25">
        <v>3706</v>
      </c>
      <c r="AB50" s="25">
        <v>3232</v>
      </c>
      <c r="AC50" s="25">
        <v>4152</v>
      </c>
      <c r="AD50" s="25">
        <v>3509</v>
      </c>
      <c r="AE50" s="25">
        <v>3043</v>
      </c>
      <c r="AF50" s="25">
        <v>3032</v>
      </c>
      <c r="AH50" s="26">
        <f>(SUMIF(Budget!$G$34:$G$168,$E50,Budget!I$34:I$168))*1000</f>
        <v>11155.610828000001</v>
      </c>
      <c r="AI50" s="26">
        <f>(SUMIF(Budget!$G$34:$G$168,$E50,Budget!J$34:J$168))*1000</f>
        <v>11121.740300000001</v>
      </c>
      <c r="AJ50" s="26">
        <f>(SUMIF(Budget!$G$34:$G$168,$E50,Budget!K$34:K$168))*1000</f>
        <v>13099.361801999999</v>
      </c>
      <c r="AK50" s="26">
        <f>(SUMIF(Budget!$G$34:$G$168,$E50,Budget!L$34:L$168))*1000</f>
        <v>13623.222292999999</v>
      </c>
    </row>
    <row r="51" spans="3:37" ht="14" x14ac:dyDescent="0.2">
      <c r="E51" s="23" t="s">
        <v>53</v>
      </c>
      <c r="F51" s="23" t="s">
        <v>54</v>
      </c>
      <c r="G51" s="27">
        <v>2264.9</v>
      </c>
      <c r="H51" s="24">
        <v>1801.3</v>
      </c>
      <c r="I51" s="24">
        <v>1735</v>
      </c>
      <c r="J51" s="24">
        <v>1865.1</v>
      </c>
      <c r="K51" s="25">
        <v>2092</v>
      </c>
      <c r="L51" s="25">
        <v>1978</v>
      </c>
      <c r="M51" s="25">
        <v>2356</v>
      </c>
      <c r="N51" s="25">
        <v>2992</v>
      </c>
      <c r="O51" s="25">
        <v>3042</v>
      </c>
      <c r="P51" s="25">
        <v>2544</v>
      </c>
      <c r="Q51" s="25">
        <v>2650</v>
      </c>
      <c r="R51" s="25">
        <v>2768</v>
      </c>
      <c r="S51" s="25">
        <v>3042</v>
      </c>
      <c r="T51" s="25">
        <v>2750</v>
      </c>
      <c r="U51" s="25">
        <v>3164</v>
      </c>
      <c r="V51" s="25">
        <v>3380</v>
      </c>
      <c r="W51" s="25">
        <v>4803</v>
      </c>
      <c r="X51" s="25">
        <v>6463</v>
      </c>
      <c r="Y51" s="25">
        <v>7456</v>
      </c>
      <c r="Z51" s="25">
        <v>7166</v>
      </c>
      <c r="AA51" s="25">
        <v>7656</v>
      </c>
      <c r="AB51" s="25">
        <v>8129</v>
      </c>
      <c r="AC51" s="25">
        <v>8390</v>
      </c>
      <c r="AD51" s="25">
        <v>8261</v>
      </c>
      <c r="AE51" s="25">
        <v>9254</v>
      </c>
      <c r="AF51" s="25">
        <v>11354</v>
      </c>
      <c r="AH51" s="26">
        <f>(SUMIF(Budget!$G$34:$G$168,$E51,Budget!I$34:I$168))*1000</f>
        <v>12887.719958</v>
      </c>
      <c r="AI51" s="26">
        <f>(SUMIF(Budget!$G$34:$G$168,$E51,Budget!J$34:J$168))*1000</f>
        <v>14361.404635999999</v>
      </c>
      <c r="AJ51" s="26">
        <f>(SUMIF(Budget!$G$34:$G$168,$E51,Budget!K$34:K$168))*1000</f>
        <v>19960.484363</v>
      </c>
      <c r="AK51" s="26">
        <f>(SUMIF(Budget!$G$34:$G$168,$E51,Budget!L$34:L$168))*1000</f>
        <v>25023.214162999997</v>
      </c>
    </row>
    <row r="52" spans="3:37" ht="15" customHeight="1" x14ac:dyDescent="0.2">
      <c r="E52" s="23" t="s">
        <v>55</v>
      </c>
      <c r="F52" s="23" t="s">
        <v>56</v>
      </c>
      <c r="G52" s="24">
        <v>433.3</v>
      </c>
      <c r="H52" s="24">
        <v>453.6</v>
      </c>
      <c r="I52" s="24">
        <v>407.7</v>
      </c>
      <c r="J52" s="24">
        <v>417.3</v>
      </c>
      <c r="K52" s="25">
        <v>428</v>
      </c>
      <c r="L52" s="25">
        <v>397</v>
      </c>
      <c r="M52" s="25">
        <v>418</v>
      </c>
      <c r="N52" s="25">
        <v>415</v>
      </c>
      <c r="O52" s="25">
        <v>417</v>
      </c>
      <c r="P52" s="25">
        <v>443</v>
      </c>
      <c r="Q52" s="25">
        <v>458</v>
      </c>
      <c r="R52" s="25">
        <v>472</v>
      </c>
      <c r="S52" s="25">
        <v>477</v>
      </c>
      <c r="T52" s="25">
        <v>460</v>
      </c>
      <c r="U52" s="25">
        <v>529</v>
      </c>
      <c r="V52" s="25">
        <v>582</v>
      </c>
      <c r="W52" s="25">
        <v>416</v>
      </c>
      <c r="X52" s="25">
        <v>601</v>
      </c>
      <c r="Y52" s="25">
        <v>450</v>
      </c>
      <c r="Z52" s="25">
        <v>358</v>
      </c>
      <c r="AA52" s="25">
        <v>228</v>
      </c>
      <c r="AB52" s="25">
        <v>515</v>
      </c>
      <c r="AC52" s="25">
        <v>800</v>
      </c>
      <c r="AD52" s="25">
        <v>649</v>
      </c>
      <c r="AE52" s="25">
        <v>342</v>
      </c>
      <c r="AF52" s="25">
        <v>567</v>
      </c>
      <c r="AH52" s="26">
        <f>(SUMIF(Budget!$G$34:$G$168,$E52,Budget!I$34:I$168))*1000</f>
        <v>0</v>
      </c>
      <c r="AI52" s="26">
        <f>(SUMIF(Budget!$G$34:$G$168,$E52,Budget!J$34:J$168))*1000</f>
        <v>0</v>
      </c>
      <c r="AJ52" s="26">
        <f>(SUMIF(Budget!$G$34:$G$168,$E52,Budget!K$34:K$168))*1000</f>
        <v>0</v>
      </c>
      <c r="AK52" s="26">
        <f>(SUMIF(Budget!$G$34:$G$168,$E52,Budget!L$34:L$168))*1000</f>
        <v>0</v>
      </c>
    </row>
    <row r="53" spans="3:37" ht="14" x14ac:dyDescent="0.2">
      <c r="E53" s="23" t="s">
        <v>57</v>
      </c>
      <c r="F53" s="23" t="s">
        <v>58</v>
      </c>
      <c r="G53" s="24">
        <v>13288.9</v>
      </c>
      <c r="H53" s="24">
        <v>9151.9</v>
      </c>
      <c r="I53" s="24">
        <v>8522.1</v>
      </c>
      <c r="J53" s="24">
        <v>8639.9</v>
      </c>
      <c r="K53" s="25">
        <v>9189</v>
      </c>
      <c r="L53" s="25">
        <v>8180</v>
      </c>
      <c r="M53" s="25">
        <v>6842</v>
      </c>
      <c r="N53" s="25">
        <v>7651</v>
      </c>
      <c r="O53" s="25">
        <v>7913</v>
      </c>
      <c r="P53" s="25">
        <v>8142</v>
      </c>
      <c r="Q53" s="25">
        <v>10733</v>
      </c>
      <c r="R53" s="25">
        <v>9373</v>
      </c>
      <c r="S53" s="25">
        <v>9620</v>
      </c>
      <c r="T53" s="25">
        <v>9994</v>
      </c>
      <c r="U53" s="25">
        <v>9807</v>
      </c>
      <c r="V53" s="25">
        <v>10873</v>
      </c>
      <c r="W53" s="25">
        <v>10353</v>
      </c>
      <c r="X53" s="25">
        <v>8793</v>
      </c>
      <c r="Y53" s="25">
        <v>10737</v>
      </c>
      <c r="Z53" s="25">
        <v>10331</v>
      </c>
      <c r="AA53" s="25">
        <v>10325</v>
      </c>
      <c r="AB53" s="25">
        <v>12722</v>
      </c>
      <c r="AC53" s="25">
        <v>12906</v>
      </c>
      <c r="AD53" s="25">
        <v>12937</v>
      </c>
      <c r="AE53" s="25">
        <v>12573</v>
      </c>
      <c r="AF53" s="25">
        <v>12739</v>
      </c>
      <c r="AH53" s="26">
        <f>(SUMIF(Budget!$G$34:$G$168,$E53,Budget!I$34:I$168))*1000</f>
        <v>8551.8018289999982</v>
      </c>
      <c r="AI53" s="26">
        <f>(SUMIF(Budget!$G$34:$G$168,$E53,Budget!J$34:J$168))*1000</f>
        <v>10709.054117000003</v>
      </c>
      <c r="AJ53" s="26">
        <f>(SUMIF(Budget!$G$34:$G$168,$E53,Budget!K$34:K$168))*1000</f>
        <v>7283.6902670000009</v>
      </c>
      <c r="AK53" s="26">
        <f>(SUMIF(Budget!$G$34:$G$168,$E53,Budget!L$34:L$168))*1000</f>
        <v>7652.8307219999997</v>
      </c>
    </row>
    <row r="54" spans="3:37" ht="15" customHeight="1" x14ac:dyDescent="0.2">
      <c r="E54" s="23" t="s">
        <v>59</v>
      </c>
      <c r="F54" s="23" t="s">
        <v>60</v>
      </c>
      <c r="G54" s="24">
        <v>249.3</v>
      </c>
      <c r="H54" s="27">
        <v>249.5</v>
      </c>
      <c r="I54" s="27">
        <v>213.3</v>
      </c>
      <c r="J54" s="24">
        <v>217.6</v>
      </c>
      <c r="K54" s="25">
        <v>237</v>
      </c>
      <c r="L54" s="25">
        <v>192</v>
      </c>
      <c r="M54" s="25">
        <v>198</v>
      </c>
      <c r="N54" s="25">
        <v>169</v>
      </c>
      <c r="O54" s="25">
        <v>160</v>
      </c>
      <c r="P54" s="25">
        <v>142</v>
      </c>
      <c r="Q54" s="25">
        <v>140</v>
      </c>
      <c r="R54" s="25">
        <v>126</v>
      </c>
      <c r="S54" s="25">
        <v>109</v>
      </c>
      <c r="T54" s="25">
        <v>84</v>
      </c>
      <c r="U54" s="25">
        <v>178</v>
      </c>
      <c r="V54" s="25">
        <v>997</v>
      </c>
      <c r="W54" s="25">
        <v>1234</v>
      </c>
      <c r="X54" s="25">
        <v>4009</v>
      </c>
      <c r="Y54" s="25">
        <v>1235</v>
      </c>
      <c r="Z54" s="25">
        <v>128</v>
      </c>
      <c r="AA54" s="25">
        <v>167</v>
      </c>
      <c r="AB54" s="25">
        <v>132</v>
      </c>
      <c r="AC54" s="25">
        <v>129</v>
      </c>
      <c r="AD54" s="25">
        <v>158</v>
      </c>
      <c r="AE54" s="25">
        <v>133</v>
      </c>
      <c r="AF54" s="25">
        <v>133</v>
      </c>
      <c r="AH54" s="26">
        <f>(SUMIF(Budget!$G$34:$G$168,$E54,Budget!I$34:I$168))*1000</f>
        <v>0</v>
      </c>
      <c r="AI54" s="26">
        <f>(SUMIF(Budget!$G$34:$G$168,$E54,Budget!J$34:J$168))*1000</f>
        <v>0</v>
      </c>
      <c r="AJ54" s="26">
        <f>(SUMIF(Budget!$G$34:$G$168,$E54,Budget!K$34:K$168))*1000</f>
        <v>0</v>
      </c>
      <c r="AK54" s="26">
        <f>(SUMIF(Budget!$G$34:$G$168,$E54,Budget!L$34:L$168))*1000</f>
        <v>0</v>
      </c>
    </row>
    <row r="55" spans="3:37" ht="14" x14ac:dyDescent="0.2">
      <c r="E55" s="23" t="s">
        <v>61</v>
      </c>
      <c r="F55" s="23" t="s">
        <v>62</v>
      </c>
      <c r="G55" s="24">
        <v>99.5</v>
      </c>
      <c r="H55" s="24">
        <v>45.5</v>
      </c>
      <c r="I55" s="24">
        <v>41.7</v>
      </c>
      <c r="J55" s="24">
        <v>42.7</v>
      </c>
      <c r="K55" s="25">
        <v>51</v>
      </c>
      <c r="L55" s="25">
        <v>46</v>
      </c>
      <c r="M55" s="25">
        <v>53</v>
      </c>
      <c r="N55" s="25">
        <v>56</v>
      </c>
      <c r="O55" s="25">
        <v>47</v>
      </c>
      <c r="P55" s="25">
        <v>65</v>
      </c>
      <c r="Q55" s="25">
        <v>80</v>
      </c>
      <c r="R55" s="25">
        <v>67</v>
      </c>
      <c r="S55" s="25">
        <v>89</v>
      </c>
      <c r="T55" s="25">
        <v>1559</v>
      </c>
      <c r="U55" s="25">
        <v>1791</v>
      </c>
      <c r="V55" s="25">
        <v>1897</v>
      </c>
      <c r="W55" s="25">
        <v>2102</v>
      </c>
      <c r="X55" s="25">
        <v>2084</v>
      </c>
      <c r="Y55" s="25">
        <v>2119</v>
      </c>
      <c r="Z55" s="25">
        <v>2057</v>
      </c>
      <c r="AA55" s="25">
        <v>2041</v>
      </c>
      <c r="AB55" s="25">
        <v>2048</v>
      </c>
      <c r="AC55" s="25">
        <v>2095</v>
      </c>
      <c r="AD55" s="25">
        <v>4759</v>
      </c>
      <c r="AE55" s="25">
        <v>4882</v>
      </c>
      <c r="AF55" s="25">
        <v>5423</v>
      </c>
      <c r="AH55" s="26">
        <f>(SUMIF(Budget!$G$34:$G$168,$E55,Budget!I$34:I$168))*1000</f>
        <v>2507.5974800000004</v>
      </c>
      <c r="AI55" s="26">
        <f>(SUMIF(Budget!$G$34:$G$168,$E55,Budget!J$34:J$168))*1000</f>
        <v>2685.286431</v>
      </c>
      <c r="AJ55" s="26">
        <f>(SUMIF(Budget!$G$34:$G$168,$E55,Budget!K$34:K$168))*1000</f>
        <v>2632.2356189999996</v>
      </c>
      <c r="AK55" s="26">
        <f>(SUMIF(Budget!$G$34:$G$168,$E55,Budget!L$34:L$168))*1000</f>
        <v>2762.2657679999998</v>
      </c>
    </row>
    <row r="56" spans="3:37" ht="14" x14ac:dyDescent="0.2">
      <c r="E56" s="23" t="s">
        <v>63</v>
      </c>
      <c r="F56" s="23" t="s">
        <v>64</v>
      </c>
      <c r="G56" s="24">
        <v>11362.8</v>
      </c>
      <c r="H56" s="24">
        <v>12078.6</v>
      </c>
      <c r="I56" s="24">
        <v>11128</v>
      </c>
      <c r="J56" s="24">
        <v>11124</v>
      </c>
      <c r="K56" s="25">
        <v>11781</v>
      </c>
      <c r="L56" s="25">
        <v>11881</v>
      </c>
      <c r="M56" s="25">
        <v>13008</v>
      </c>
      <c r="N56" s="25">
        <v>14136</v>
      </c>
      <c r="O56" s="25">
        <v>13705</v>
      </c>
      <c r="P56" s="25">
        <v>14853</v>
      </c>
      <c r="Q56" s="25">
        <v>15630</v>
      </c>
      <c r="R56" s="25">
        <v>15747</v>
      </c>
      <c r="S56" s="25">
        <v>15677</v>
      </c>
      <c r="T56" s="25">
        <v>16620</v>
      </c>
      <c r="U56" s="25">
        <v>16768</v>
      </c>
      <c r="V56" s="25">
        <v>17489</v>
      </c>
      <c r="W56" s="25">
        <v>17912</v>
      </c>
      <c r="X56" s="25">
        <v>17737</v>
      </c>
      <c r="Y56" s="25">
        <v>17671</v>
      </c>
      <c r="Z56" s="25">
        <v>17352</v>
      </c>
      <c r="AA56" s="25">
        <v>17779</v>
      </c>
      <c r="AB56" s="25">
        <v>17956</v>
      </c>
      <c r="AC56" s="25">
        <v>18574</v>
      </c>
      <c r="AD56" s="25">
        <v>18809</v>
      </c>
      <c r="AE56" s="25">
        <v>18968</v>
      </c>
      <c r="AF56" s="25">
        <v>19871</v>
      </c>
      <c r="AH56" s="26">
        <f>(SUMIF(Budget!$G$34:$G$168,$E56,Budget!I$34:I$168))*1000</f>
        <v>3667.1368490000004</v>
      </c>
      <c r="AI56" s="26">
        <f>(SUMIF(Budget!$G$34:$G$168,$E56,Budget!J$34:J$168))*1000</f>
        <v>4791.4545189999999</v>
      </c>
      <c r="AJ56" s="26">
        <f>(SUMIF(Budget!$G$34:$G$168,$E56,Budget!K$34:K$168))*1000</f>
        <v>6266.3812229999994</v>
      </c>
      <c r="AK56" s="26">
        <f>(SUMIF(Budget!$G$34:$G$168,$E56,Budget!L$34:L$168))*1000</f>
        <v>5950.4580590000005</v>
      </c>
    </row>
    <row r="57" spans="3:37" ht="14" x14ac:dyDescent="0.2">
      <c r="E57" s="23" t="s">
        <v>65</v>
      </c>
      <c r="F57" s="23" t="s">
        <v>66</v>
      </c>
      <c r="G57" s="24">
        <v>897.7</v>
      </c>
      <c r="H57" s="24">
        <v>946.6</v>
      </c>
      <c r="I57" s="24">
        <v>899.7</v>
      </c>
      <c r="J57" s="24">
        <v>903.2</v>
      </c>
      <c r="K57" s="25">
        <v>893</v>
      </c>
      <c r="L57" s="25">
        <v>899</v>
      </c>
      <c r="M57" s="25">
        <v>953</v>
      </c>
      <c r="N57" s="25">
        <v>1021</v>
      </c>
      <c r="O57" s="25">
        <v>1044</v>
      </c>
      <c r="P57" s="25">
        <v>1171</v>
      </c>
      <c r="Q57" s="25">
        <v>1241</v>
      </c>
      <c r="R57" s="25">
        <v>1312</v>
      </c>
      <c r="S57" s="25">
        <v>1375</v>
      </c>
      <c r="T57" s="25">
        <v>1331</v>
      </c>
      <c r="U57" s="25">
        <v>1303</v>
      </c>
      <c r="V57" s="25">
        <v>1423</v>
      </c>
      <c r="W57" s="25">
        <v>1414</v>
      </c>
      <c r="X57" s="25">
        <v>3757</v>
      </c>
      <c r="Y57" s="25">
        <v>1184</v>
      </c>
      <c r="Z57" s="25">
        <v>1169</v>
      </c>
      <c r="AA57" s="25">
        <v>1347</v>
      </c>
      <c r="AB57" s="25">
        <v>1271</v>
      </c>
      <c r="AC57" s="25">
        <v>6681</v>
      </c>
      <c r="AD57" s="25">
        <v>1388</v>
      </c>
      <c r="AE57" s="25">
        <v>1378</v>
      </c>
      <c r="AF57" s="25">
        <v>1549</v>
      </c>
      <c r="AH57" s="26">
        <f>(SUMIF(Budget!$G$34:$G$168,$E57,Budget!I$34:I$168))*1000</f>
        <v>1507.9302270000001</v>
      </c>
      <c r="AI57" s="26">
        <f>(SUMIF(Budget!$G$34:$G$168,$E57,Budget!J$34:J$168))*1000</f>
        <v>12223.108231000002</v>
      </c>
      <c r="AJ57" s="26">
        <f>(SUMIF(Budget!$G$34:$G$168,$E57,Budget!K$34:K$168))*1000</f>
        <v>13500.199999999999</v>
      </c>
      <c r="AK57" s="26">
        <f>(SUMIF(Budget!$G$34:$G$168,$E57,Budget!L$34:L$168))*1000</f>
        <v>20947</v>
      </c>
    </row>
    <row r="58" spans="3:37" s="72" customFormat="1" ht="14" x14ac:dyDescent="0.2">
      <c r="C58" s="32"/>
      <c r="D58" s="2"/>
      <c r="E58" s="4"/>
      <c r="F58" s="4"/>
      <c r="G58" s="24"/>
      <c r="H58" s="24"/>
      <c r="I58" s="24"/>
      <c r="J58" s="24"/>
      <c r="K58" s="25"/>
      <c r="L58" s="25"/>
      <c r="M58" s="25"/>
      <c r="N58" s="25"/>
      <c r="O58" s="25"/>
      <c r="P58" s="25"/>
      <c r="Q58" s="25"/>
      <c r="R58" s="25"/>
      <c r="S58" s="25"/>
      <c r="T58" s="25"/>
      <c r="U58" s="25"/>
      <c r="V58" s="25"/>
      <c r="W58" s="25"/>
      <c r="X58" s="25"/>
      <c r="Y58" s="25"/>
      <c r="Z58" s="25"/>
      <c r="AA58" s="25"/>
      <c r="AB58" s="25"/>
      <c r="AC58" s="25"/>
      <c r="AD58" s="25"/>
      <c r="AE58" s="25"/>
      <c r="AF58" s="25"/>
      <c r="AG58" s="2"/>
      <c r="AH58" s="26"/>
      <c r="AI58" s="26"/>
      <c r="AJ58" s="26"/>
      <c r="AK58" s="26"/>
    </row>
    <row r="59" spans="3:37" ht="14" x14ac:dyDescent="0.2">
      <c r="C59" s="116">
        <f>+MAX($C$1:$C58)+1</f>
        <v>5</v>
      </c>
      <c r="E59" s="41" t="s">
        <v>67</v>
      </c>
      <c r="F59" s="41" t="s">
        <v>68</v>
      </c>
      <c r="G59" s="46">
        <v>1775.3</v>
      </c>
      <c r="H59" s="42">
        <v>1907.4</v>
      </c>
      <c r="I59" s="42">
        <v>1901.6</v>
      </c>
      <c r="J59" s="42">
        <v>1693.2</v>
      </c>
      <c r="K59" s="43">
        <v>1846</v>
      </c>
      <c r="L59" s="43">
        <v>1982</v>
      </c>
      <c r="M59" s="43">
        <v>2587</v>
      </c>
      <c r="N59" s="43">
        <v>2351</v>
      </c>
      <c r="O59" s="43">
        <v>2364</v>
      </c>
      <c r="P59" s="43">
        <v>2421</v>
      </c>
      <c r="Q59" s="43">
        <v>2479</v>
      </c>
      <c r="R59" s="43">
        <v>2865</v>
      </c>
      <c r="S59" s="43">
        <v>2626</v>
      </c>
      <c r="T59" s="43">
        <v>2695</v>
      </c>
      <c r="U59" s="43">
        <v>3043</v>
      </c>
      <c r="V59" s="43">
        <v>3105</v>
      </c>
      <c r="W59" s="43">
        <v>2615</v>
      </c>
      <c r="X59" s="43">
        <v>2627</v>
      </c>
      <c r="Y59" s="43">
        <v>3033</v>
      </c>
      <c r="Z59" s="43">
        <v>2981</v>
      </c>
      <c r="AA59" s="43">
        <v>3172</v>
      </c>
      <c r="AB59" s="43">
        <v>3106</v>
      </c>
      <c r="AC59" s="43">
        <v>3019</v>
      </c>
      <c r="AD59" s="43">
        <v>3398</v>
      </c>
      <c r="AE59" s="43">
        <v>3976</v>
      </c>
      <c r="AF59" s="43">
        <v>3943</v>
      </c>
      <c r="AG59" s="44"/>
      <c r="AH59" s="45">
        <f>SUM(AH60:AH65)</f>
        <v>1636.206205</v>
      </c>
      <c r="AI59" s="45">
        <f t="shared" ref="AI59:AK59" si="5">SUM(AI60:AI65)</f>
        <v>1674.6041809999999</v>
      </c>
      <c r="AJ59" s="45">
        <f t="shared" si="5"/>
        <v>1863.2535499999999</v>
      </c>
      <c r="AK59" s="45">
        <f t="shared" si="5"/>
        <v>2027.2089059999998</v>
      </c>
    </row>
    <row r="60" spans="3:37" ht="15" customHeight="1" x14ac:dyDescent="0.2">
      <c r="E60" s="3" t="s">
        <v>69</v>
      </c>
      <c r="F60" s="3" t="s">
        <v>70</v>
      </c>
      <c r="G60" s="24">
        <v>0</v>
      </c>
      <c r="H60" s="24">
        <v>0</v>
      </c>
      <c r="I60" s="24">
        <v>0</v>
      </c>
      <c r="J60" s="27">
        <v>0</v>
      </c>
      <c r="K60" s="25">
        <v>0</v>
      </c>
      <c r="L60" s="25">
        <v>0</v>
      </c>
      <c r="M60" s="25">
        <v>1</v>
      </c>
      <c r="N60" s="25">
        <v>1</v>
      </c>
      <c r="O60" s="25">
        <v>1</v>
      </c>
      <c r="P60" s="25">
        <v>2</v>
      </c>
      <c r="Q60" s="25">
        <v>3</v>
      </c>
      <c r="R60" s="25">
        <v>5</v>
      </c>
      <c r="S60" s="25">
        <v>5</v>
      </c>
      <c r="T60" s="25">
        <v>4</v>
      </c>
      <c r="U60" s="25">
        <v>4</v>
      </c>
      <c r="V60" s="25">
        <v>6</v>
      </c>
      <c r="W60" s="25">
        <v>3</v>
      </c>
      <c r="X60" s="25">
        <v>2</v>
      </c>
      <c r="Y60" s="25">
        <v>4</v>
      </c>
      <c r="Z60" s="25">
        <v>4</v>
      </c>
      <c r="AA60" s="25">
        <v>3</v>
      </c>
      <c r="AB60" s="25">
        <v>3</v>
      </c>
      <c r="AC60" s="25">
        <v>4</v>
      </c>
      <c r="AD60" s="25">
        <v>8</v>
      </c>
      <c r="AE60" s="25">
        <v>7</v>
      </c>
      <c r="AF60" s="25">
        <v>3</v>
      </c>
      <c r="AH60" s="26">
        <v>0</v>
      </c>
      <c r="AI60" s="26">
        <v>0</v>
      </c>
      <c r="AJ60" s="26">
        <v>0</v>
      </c>
      <c r="AK60" s="26">
        <v>0</v>
      </c>
    </row>
    <row r="61" spans="3:37" ht="15" customHeight="1" x14ac:dyDescent="0.2">
      <c r="E61" s="3" t="s">
        <v>71</v>
      </c>
      <c r="F61" s="3" t="s">
        <v>72</v>
      </c>
      <c r="G61" s="24">
        <v>0</v>
      </c>
      <c r="H61" s="24">
        <v>0</v>
      </c>
      <c r="I61" s="27">
        <v>0</v>
      </c>
      <c r="J61" s="24">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c r="AD61" s="25">
        <v>0</v>
      </c>
      <c r="AE61" s="25">
        <v>0</v>
      </c>
      <c r="AF61" s="25">
        <v>0</v>
      </c>
      <c r="AH61" s="26">
        <v>0</v>
      </c>
      <c r="AI61" s="26">
        <v>0</v>
      </c>
      <c r="AJ61" s="26">
        <v>0</v>
      </c>
      <c r="AK61" s="26">
        <v>0</v>
      </c>
    </row>
    <row r="62" spans="3:37" ht="14" x14ac:dyDescent="0.2">
      <c r="E62" s="3" t="s">
        <v>73</v>
      </c>
      <c r="F62" s="3" t="s">
        <v>74</v>
      </c>
      <c r="G62" s="24">
        <v>45.2</v>
      </c>
      <c r="H62" s="24">
        <v>47.5</v>
      </c>
      <c r="I62" s="24">
        <v>44.6</v>
      </c>
      <c r="J62" s="24">
        <v>40.700000000000003</v>
      </c>
      <c r="K62" s="25">
        <v>48</v>
      </c>
      <c r="L62" s="25">
        <v>60</v>
      </c>
      <c r="M62" s="25">
        <v>126</v>
      </c>
      <c r="N62" s="25">
        <v>122</v>
      </c>
      <c r="O62" s="25">
        <v>93</v>
      </c>
      <c r="P62" s="25">
        <v>113</v>
      </c>
      <c r="Q62" s="25">
        <v>135</v>
      </c>
      <c r="R62" s="25">
        <v>234</v>
      </c>
      <c r="S62" s="25">
        <v>306</v>
      </c>
      <c r="T62" s="25">
        <v>530</v>
      </c>
      <c r="U62" s="25">
        <v>815</v>
      </c>
      <c r="V62" s="25">
        <v>828</v>
      </c>
      <c r="W62" s="25">
        <v>499</v>
      </c>
      <c r="X62" s="25">
        <v>489</v>
      </c>
      <c r="Y62" s="25">
        <v>609</v>
      </c>
      <c r="Z62" s="25">
        <v>299</v>
      </c>
      <c r="AA62" s="25">
        <v>345</v>
      </c>
      <c r="AB62" s="25">
        <v>329</v>
      </c>
      <c r="AC62" s="25">
        <v>387</v>
      </c>
      <c r="AD62" s="25">
        <v>641</v>
      </c>
      <c r="AE62" s="25">
        <v>1240</v>
      </c>
      <c r="AF62" s="25">
        <v>1295</v>
      </c>
      <c r="AH62" s="26">
        <f>(SUMIF(Budget!$G$34:$G$168,$E62,Budget!I$34:I$168))*1000</f>
        <v>0</v>
      </c>
      <c r="AI62" s="26">
        <f>(SUMIF(Budget!$G$34:$G$168,$E62,Budget!J$34:J$168))*1000</f>
        <v>0</v>
      </c>
      <c r="AJ62" s="26">
        <f>(SUMIF(Budget!$G$34:$G$168,$E62,Budget!K$34:K$168))*1000</f>
        <v>0</v>
      </c>
      <c r="AK62" s="26">
        <f>(SUMIF(Budget!$G$34:$G$168,$E62,Budget!L$34:L$168))*1000</f>
        <v>0</v>
      </c>
    </row>
    <row r="63" spans="3:37" ht="14" x14ac:dyDescent="0.2">
      <c r="E63" s="3" t="s">
        <v>75</v>
      </c>
      <c r="F63" s="3" t="s">
        <v>76</v>
      </c>
      <c r="G63" s="24">
        <v>222.2</v>
      </c>
      <c r="H63" s="24">
        <v>256.60000000000002</v>
      </c>
      <c r="I63" s="24">
        <v>233.1</v>
      </c>
      <c r="J63" s="24">
        <v>223.6</v>
      </c>
      <c r="K63" s="25">
        <v>253</v>
      </c>
      <c r="L63" s="25">
        <v>296</v>
      </c>
      <c r="M63" s="25">
        <v>372</v>
      </c>
      <c r="N63" s="25">
        <v>356</v>
      </c>
      <c r="O63" s="25">
        <v>276</v>
      </c>
      <c r="P63" s="25">
        <v>313</v>
      </c>
      <c r="Q63" s="25">
        <v>303</v>
      </c>
      <c r="R63" s="25">
        <v>290</v>
      </c>
      <c r="S63" s="25">
        <v>316</v>
      </c>
      <c r="T63" s="25">
        <v>342</v>
      </c>
      <c r="U63" s="25">
        <v>451</v>
      </c>
      <c r="V63" s="25">
        <v>502</v>
      </c>
      <c r="W63" s="25">
        <v>462</v>
      </c>
      <c r="X63" s="25">
        <v>474</v>
      </c>
      <c r="Y63" s="25">
        <v>471</v>
      </c>
      <c r="Z63" s="25">
        <v>465</v>
      </c>
      <c r="AA63" s="25">
        <v>493</v>
      </c>
      <c r="AB63" s="25">
        <v>557</v>
      </c>
      <c r="AC63" s="25">
        <v>459</v>
      </c>
      <c r="AD63" s="25">
        <v>502</v>
      </c>
      <c r="AE63" s="25">
        <v>499</v>
      </c>
      <c r="AF63" s="25">
        <v>516</v>
      </c>
      <c r="AH63" s="26">
        <f>(SUMIF(Budget!$G$34:$G$168,$E63,Budget!I$34:I$168))*1000</f>
        <v>316.72022599999997</v>
      </c>
      <c r="AI63" s="26">
        <f>(SUMIF(Budget!$G$34:$G$168,$E63,Budget!J$34:J$168))*1000</f>
        <v>350.456119</v>
      </c>
      <c r="AJ63" s="26">
        <f>(SUMIF(Budget!$G$34:$G$168,$E63,Budget!K$34:K$168))*1000</f>
        <v>389.93217599999997</v>
      </c>
      <c r="AK63" s="26">
        <f>(SUMIF(Budget!$G$34:$G$168,$E63,Budget!L$34:L$168))*1000</f>
        <v>450.10019199999999</v>
      </c>
    </row>
    <row r="64" spans="3:37" ht="14" x14ac:dyDescent="0.2">
      <c r="E64" s="3" t="s">
        <v>77</v>
      </c>
      <c r="F64" s="3" t="s">
        <v>78</v>
      </c>
      <c r="G64" s="24">
        <v>62.3</v>
      </c>
      <c r="H64" s="27">
        <v>108.1</v>
      </c>
      <c r="I64" s="24">
        <v>100.2</v>
      </c>
      <c r="J64" s="24">
        <v>96.4</v>
      </c>
      <c r="K64" s="25">
        <v>96</v>
      </c>
      <c r="L64" s="25">
        <v>202</v>
      </c>
      <c r="M64" s="25">
        <v>268</v>
      </c>
      <c r="N64" s="25">
        <v>234</v>
      </c>
      <c r="O64" s="25">
        <v>196</v>
      </c>
      <c r="P64" s="25">
        <v>250</v>
      </c>
      <c r="Q64" s="25">
        <v>428</v>
      </c>
      <c r="R64" s="25">
        <v>515</v>
      </c>
      <c r="S64" s="25">
        <v>493</v>
      </c>
      <c r="T64" s="25">
        <v>421</v>
      </c>
      <c r="U64" s="25">
        <v>310</v>
      </c>
      <c r="V64" s="25">
        <v>342</v>
      </c>
      <c r="W64" s="25">
        <v>374</v>
      </c>
      <c r="X64" s="25">
        <v>357</v>
      </c>
      <c r="Y64" s="25">
        <v>372</v>
      </c>
      <c r="Z64" s="25">
        <v>694</v>
      </c>
      <c r="AA64" s="25">
        <v>760</v>
      </c>
      <c r="AB64" s="25">
        <v>747</v>
      </c>
      <c r="AC64" s="25">
        <v>740</v>
      </c>
      <c r="AD64" s="25">
        <v>737</v>
      </c>
      <c r="AE64" s="25">
        <v>735</v>
      </c>
      <c r="AF64" s="25">
        <v>715</v>
      </c>
      <c r="AH64" s="26">
        <f>(SUMIF(Budget!$G$34:$G$168,$E64,Budget!I$34:I$168))*1000</f>
        <v>0</v>
      </c>
      <c r="AI64" s="26">
        <f>(SUMIF(Budget!$G$34:$G$168,$E64,Budget!J$34:J$168))*1000</f>
        <v>0</v>
      </c>
      <c r="AJ64" s="26">
        <f>(SUMIF(Budget!$G$34:$G$168,$E64,Budget!K$34:K$168))*1000</f>
        <v>0</v>
      </c>
      <c r="AK64" s="26">
        <f>(SUMIF(Budget!$G$34:$G$168,$E64,Budget!L$34:L$168))*1000</f>
        <v>0</v>
      </c>
    </row>
    <row r="65" spans="3:37" ht="14" x14ac:dyDescent="0.2">
      <c r="E65" s="3" t="s">
        <v>79</v>
      </c>
      <c r="F65" s="3" t="s">
        <v>80</v>
      </c>
      <c r="G65" s="24">
        <v>1444.6</v>
      </c>
      <c r="H65" s="24">
        <v>1494.2</v>
      </c>
      <c r="I65" s="24">
        <v>1523.7</v>
      </c>
      <c r="J65" s="24">
        <v>1332.5</v>
      </c>
      <c r="K65" s="25">
        <v>1449</v>
      </c>
      <c r="L65" s="25">
        <v>1423</v>
      </c>
      <c r="M65" s="25">
        <v>1820</v>
      </c>
      <c r="N65" s="25">
        <v>1638</v>
      </c>
      <c r="O65" s="25">
        <v>1798</v>
      </c>
      <c r="P65" s="25">
        <v>1741</v>
      </c>
      <c r="Q65" s="25">
        <v>1610</v>
      </c>
      <c r="R65" s="25">
        <v>1820</v>
      </c>
      <c r="S65" s="25">
        <v>1506</v>
      </c>
      <c r="T65" s="25">
        <v>1399</v>
      </c>
      <c r="U65" s="25">
        <v>1463</v>
      </c>
      <c r="V65" s="25">
        <v>1427</v>
      </c>
      <c r="W65" s="25">
        <v>1276</v>
      </c>
      <c r="X65" s="25">
        <v>1304</v>
      </c>
      <c r="Y65" s="25">
        <v>1577</v>
      </c>
      <c r="Z65" s="25">
        <v>1520</v>
      </c>
      <c r="AA65" s="25">
        <v>1572</v>
      </c>
      <c r="AB65" s="25">
        <v>1470</v>
      </c>
      <c r="AC65" s="25">
        <v>1429</v>
      </c>
      <c r="AD65" s="25">
        <v>1510</v>
      </c>
      <c r="AE65" s="25">
        <v>1494</v>
      </c>
      <c r="AF65" s="25">
        <v>1415</v>
      </c>
      <c r="AH65" s="26">
        <f>(SUMIF(Budget!$G$34:$G$168,$E65,Budget!I$34:I$168))*1000</f>
        <v>1319.485979</v>
      </c>
      <c r="AI65" s="26">
        <f>(SUMIF(Budget!$G$34:$G$168,$E65,Budget!J$34:J$168))*1000</f>
        <v>1324.148062</v>
      </c>
      <c r="AJ65" s="26">
        <f>(SUMIF(Budget!$G$34:$G$168,$E65,Budget!K$34:K$168))*1000</f>
        <v>1473.3213739999999</v>
      </c>
      <c r="AK65" s="26">
        <f>(SUMIF(Budget!$G$34:$G$168,$E65,Budget!L$34:L$168))*1000</f>
        <v>1577.108714</v>
      </c>
    </row>
    <row r="66" spans="3:37" s="72" customFormat="1" ht="14" x14ac:dyDescent="0.2">
      <c r="C66" s="32"/>
      <c r="D66" s="2"/>
      <c r="E66" s="4"/>
      <c r="F66" s="4"/>
      <c r="G66" s="24"/>
      <c r="H66" s="24"/>
      <c r="I66" s="24"/>
      <c r="J66" s="24"/>
      <c r="K66" s="25"/>
      <c r="L66" s="25"/>
      <c r="M66" s="25"/>
      <c r="N66" s="25"/>
      <c r="O66" s="25"/>
      <c r="P66" s="25"/>
      <c r="Q66" s="25"/>
      <c r="R66" s="25"/>
      <c r="S66" s="25"/>
      <c r="T66" s="25"/>
      <c r="U66" s="25"/>
      <c r="V66" s="25"/>
      <c r="W66" s="25"/>
      <c r="X66" s="25"/>
      <c r="Y66" s="25"/>
      <c r="Z66" s="25"/>
      <c r="AA66" s="25"/>
      <c r="AB66" s="25"/>
      <c r="AC66" s="25"/>
      <c r="AD66" s="25"/>
      <c r="AE66" s="25"/>
      <c r="AF66" s="25"/>
      <c r="AG66" s="2"/>
      <c r="AH66" s="26"/>
      <c r="AI66" s="26"/>
      <c r="AJ66" s="26"/>
      <c r="AK66" s="26"/>
    </row>
    <row r="67" spans="3:37" ht="14" x14ac:dyDescent="0.2">
      <c r="C67" s="116">
        <f>+MAX($C$1:$C66)+1</f>
        <v>6</v>
      </c>
      <c r="E67" s="41" t="s">
        <v>81</v>
      </c>
      <c r="F67" s="41" t="s">
        <v>82</v>
      </c>
      <c r="G67" s="42">
        <v>3000.8</v>
      </c>
      <c r="H67" s="42">
        <v>2882.3</v>
      </c>
      <c r="I67" s="42">
        <v>4023.5</v>
      </c>
      <c r="J67" s="42">
        <v>4164.3999999999996</v>
      </c>
      <c r="K67" s="43">
        <v>4303</v>
      </c>
      <c r="L67" s="43">
        <v>5005</v>
      </c>
      <c r="M67" s="43">
        <v>4345</v>
      </c>
      <c r="N67" s="43">
        <v>4450</v>
      </c>
      <c r="O67" s="43">
        <v>4131</v>
      </c>
      <c r="P67" s="43">
        <v>4152</v>
      </c>
      <c r="Q67" s="43">
        <v>3542</v>
      </c>
      <c r="R67" s="43">
        <v>4664</v>
      </c>
      <c r="S67" s="43">
        <v>7660</v>
      </c>
      <c r="T67" s="43">
        <v>7186</v>
      </c>
      <c r="U67" s="43">
        <v>9972</v>
      </c>
      <c r="V67" s="43">
        <v>10140</v>
      </c>
      <c r="W67" s="43">
        <v>9515</v>
      </c>
      <c r="X67" s="43">
        <v>8679</v>
      </c>
      <c r="Y67" s="43">
        <v>7098</v>
      </c>
      <c r="Z67" s="43">
        <v>6624</v>
      </c>
      <c r="AA67" s="43">
        <v>6086</v>
      </c>
      <c r="AB67" s="43">
        <v>5813</v>
      </c>
      <c r="AC67" s="43">
        <v>4906</v>
      </c>
      <c r="AD67" s="43">
        <v>5123</v>
      </c>
      <c r="AE67" s="43">
        <v>4353</v>
      </c>
      <c r="AF67" s="43">
        <v>5445</v>
      </c>
      <c r="AG67" s="44"/>
      <c r="AH67" s="45">
        <f>SUM(AH68:AH73)</f>
        <v>4864.3102389999995</v>
      </c>
      <c r="AI67" s="45">
        <f t="shared" ref="AI67:AK67" si="6">SUM(AI68:AI73)</f>
        <v>5240.2344950000006</v>
      </c>
      <c r="AJ67" s="45">
        <f t="shared" si="6"/>
        <v>5852.0631370000001</v>
      </c>
      <c r="AK67" s="45">
        <f t="shared" si="6"/>
        <v>6419.5074890000005</v>
      </c>
    </row>
    <row r="68" spans="3:37" ht="14" x14ac:dyDescent="0.2">
      <c r="E68" s="23" t="s">
        <v>83</v>
      </c>
      <c r="F68" s="23" t="s">
        <v>84</v>
      </c>
      <c r="G68" s="24">
        <v>1160.0999999999999</v>
      </c>
      <c r="H68" s="24">
        <v>960.8</v>
      </c>
      <c r="I68" s="27">
        <v>981.1</v>
      </c>
      <c r="J68" s="24">
        <v>984.7</v>
      </c>
      <c r="K68" s="25">
        <v>1148</v>
      </c>
      <c r="L68" s="25">
        <v>1334</v>
      </c>
      <c r="M68" s="25">
        <v>1387</v>
      </c>
      <c r="N68" s="25">
        <v>1341</v>
      </c>
      <c r="O68" s="25">
        <v>1176</v>
      </c>
      <c r="P68" s="25">
        <v>1215</v>
      </c>
      <c r="Q68" s="25">
        <v>620</v>
      </c>
      <c r="R68" s="25">
        <v>1726</v>
      </c>
      <c r="S68" s="25">
        <v>4366</v>
      </c>
      <c r="T68" s="25">
        <v>4316</v>
      </c>
      <c r="U68" s="25">
        <v>6875</v>
      </c>
      <c r="V68" s="25">
        <v>7484</v>
      </c>
      <c r="W68" s="25">
        <v>7452</v>
      </c>
      <c r="X68" s="25">
        <v>7034</v>
      </c>
      <c r="Y68" s="25">
        <v>5827</v>
      </c>
      <c r="Z68" s="25">
        <v>5432</v>
      </c>
      <c r="AA68" s="25">
        <v>4815</v>
      </c>
      <c r="AB68" s="25">
        <v>4579</v>
      </c>
      <c r="AC68" s="25">
        <v>3696</v>
      </c>
      <c r="AD68" s="25">
        <v>3906</v>
      </c>
      <c r="AE68" s="25">
        <v>3117</v>
      </c>
      <c r="AF68" s="25">
        <v>4311</v>
      </c>
      <c r="AH68" s="26">
        <f>(SUMIF(Budget!$G$34:$G$168,$E68,Budget!I$34:I$168))*1000</f>
        <v>644.65270399999997</v>
      </c>
      <c r="AI68" s="26">
        <f>(SUMIF(Budget!$G$34:$G$168,$E68,Budget!J$34:J$168))*1000</f>
        <v>565.0743030000001</v>
      </c>
      <c r="AJ68" s="26">
        <f>(SUMIF(Budget!$G$34:$G$168,$E68,Budget!K$34:K$168))*1000</f>
        <v>515.2937159999999</v>
      </c>
      <c r="AK68" s="26">
        <f>(SUMIF(Budget!$G$34:$G$168,$E68,Budget!L$34:L$168))*1000</f>
        <v>542.73991500000011</v>
      </c>
    </row>
    <row r="69" spans="3:37" ht="14" x14ac:dyDescent="0.2">
      <c r="E69" s="23" t="s">
        <v>85</v>
      </c>
      <c r="F69" s="23" t="s">
        <v>86</v>
      </c>
      <c r="G69" s="27">
        <v>1841.7</v>
      </c>
      <c r="H69" s="24">
        <v>1921.5</v>
      </c>
      <c r="I69" s="24">
        <v>3042.4</v>
      </c>
      <c r="J69" s="24">
        <v>3178.7</v>
      </c>
      <c r="K69" s="25">
        <v>3154</v>
      </c>
      <c r="L69" s="25">
        <v>3671</v>
      </c>
      <c r="M69" s="25">
        <v>2958</v>
      </c>
      <c r="N69" s="25">
        <v>3109</v>
      </c>
      <c r="O69" s="25">
        <v>2955</v>
      </c>
      <c r="P69" s="25">
        <v>2937</v>
      </c>
      <c r="Q69" s="25">
        <v>2921</v>
      </c>
      <c r="R69" s="25">
        <v>2937</v>
      </c>
      <c r="S69" s="25">
        <v>3294</v>
      </c>
      <c r="T69" s="25">
        <v>2869</v>
      </c>
      <c r="U69" s="25">
        <v>3068</v>
      </c>
      <c r="V69" s="25">
        <v>2655</v>
      </c>
      <c r="W69" s="25">
        <v>2061</v>
      </c>
      <c r="X69" s="25">
        <v>1641</v>
      </c>
      <c r="Y69" s="25">
        <v>1234</v>
      </c>
      <c r="Z69" s="25">
        <v>1156</v>
      </c>
      <c r="AA69" s="25">
        <v>1272</v>
      </c>
      <c r="AB69" s="25">
        <v>1234</v>
      </c>
      <c r="AC69" s="25">
        <v>1210</v>
      </c>
      <c r="AD69" s="25">
        <v>1217</v>
      </c>
      <c r="AE69" s="25">
        <v>1235</v>
      </c>
      <c r="AF69" s="25">
        <v>1134</v>
      </c>
      <c r="AH69" s="26">
        <f>(SUMIF(Budget!$G$34:$G$168,$E69,Budget!I$34:I$168))*1000</f>
        <v>4219.6575349999994</v>
      </c>
      <c r="AI69" s="26">
        <f>(SUMIF(Budget!$G$34:$G$168,$E69,Budget!J$34:J$168))*1000</f>
        <v>4675.1601920000003</v>
      </c>
      <c r="AJ69" s="26">
        <f>(SUMIF(Budget!$G$34:$G$168,$E69,Budget!K$34:K$168))*1000</f>
        <v>5336.769421</v>
      </c>
      <c r="AK69" s="26">
        <f>(SUMIF(Budget!$G$34:$G$168,$E69,Budget!L$34:L$168))*1000</f>
        <v>5876.7675740000004</v>
      </c>
    </row>
    <row r="70" spans="3:37" ht="11.25" customHeight="1" x14ac:dyDescent="0.2">
      <c r="E70" s="23" t="s">
        <v>87</v>
      </c>
      <c r="F70" s="23" t="s">
        <v>88</v>
      </c>
      <c r="G70" s="24">
        <v>0</v>
      </c>
      <c r="H70" s="24">
        <v>0</v>
      </c>
      <c r="I70" s="24">
        <v>0</v>
      </c>
      <c r="J70" s="24">
        <v>0</v>
      </c>
      <c r="K70" s="25">
        <v>0</v>
      </c>
      <c r="L70" s="25">
        <v>0</v>
      </c>
      <c r="M70" s="25">
        <v>0</v>
      </c>
      <c r="N70" s="25">
        <v>0</v>
      </c>
      <c r="O70" s="25">
        <v>0</v>
      </c>
      <c r="P70" s="25">
        <v>0</v>
      </c>
      <c r="Q70" s="25">
        <v>0</v>
      </c>
      <c r="R70" s="25">
        <v>0</v>
      </c>
      <c r="S70" s="25">
        <v>0</v>
      </c>
      <c r="T70" s="25">
        <v>0</v>
      </c>
      <c r="U70" s="25">
        <v>0</v>
      </c>
      <c r="V70" s="25">
        <v>0</v>
      </c>
      <c r="W70" s="25">
        <v>0</v>
      </c>
      <c r="X70" s="25">
        <v>0</v>
      </c>
      <c r="Y70" s="25">
        <v>0</v>
      </c>
      <c r="Z70" s="25">
        <v>0</v>
      </c>
      <c r="AA70" s="25">
        <v>0</v>
      </c>
      <c r="AB70" s="25">
        <v>0</v>
      </c>
      <c r="AC70" s="25">
        <v>0</v>
      </c>
      <c r="AD70" s="25">
        <v>0</v>
      </c>
      <c r="AE70" s="25">
        <v>0</v>
      </c>
      <c r="AF70" s="25">
        <v>0</v>
      </c>
      <c r="AH70" s="26">
        <v>0</v>
      </c>
      <c r="AI70" s="26">
        <v>0</v>
      </c>
      <c r="AJ70" s="26">
        <v>0</v>
      </c>
      <c r="AK70" s="26">
        <v>0</v>
      </c>
    </row>
    <row r="71" spans="3:37" ht="11.25" customHeight="1" x14ac:dyDescent="0.2">
      <c r="E71" s="23" t="s">
        <v>89</v>
      </c>
      <c r="F71" s="23" t="s">
        <v>90</v>
      </c>
      <c r="G71" s="24">
        <v>0</v>
      </c>
      <c r="H71" s="24">
        <v>0</v>
      </c>
      <c r="I71" s="24">
        <v>0</v>
      </c>
      <c r="J71" s="24">
        <v>0</v>
      </c>
      <c r="K71" s="25">
        <v>0</v>
      </c>
      <c r="L71" s="25">
        <v>0</v>
      </c>
      <c r="M71" s="25">
        <v>0</v>
      </c>
      <c r="N71" s="25">
        <v>0</v>
      </c>
      <c r="O71" s="25">
        <v>0</v>
      </c>
      <c r="P71" s="25">
        <v>0</v>
      </c>
      <c r="Q71" s="25">
        <v>0</v>
      </c>
      <c r="R71" s="25">
        <v>0</v>
      </c>
      <c r="S71" s="25">
        <v>0</v>
      </c>
      <c r="T71" s="25">
        <v>0</v>
      </c>
      <c r="U71" s="25">
        <v>0</v>
      </c>
      <c r="V71" s="25">
        <v>0</v>
      </c>
      <c r="W71" s="25">
        <v>0</v>
      </c>
      <c r="X71" s="25">
        <v>0</v>
      </c>
      <c r="Y71" s="25">
        <v>0</v>
      </c>
      <c r="Z71" s="25">
        <v>0</v>
      </c>
      <c r="AA71" s="25">
        <v>0</v>
      </c>
      <c r="AB71" s="25">
        <v>0</v>
      </c>
      <c r="AC71" s="25">
        <v>0</v>
      </c>
      <c r="AD71" s="25">
        <v>0</v>
      </c>
      <c r="AE71" s="25">
        <v>0</v>
      </c>
      <c r="AF71" s="25">
        <v>0</v>
      </c>
      <c r="AH71" s="26">
        <v>0</v>
      </c>
      <c r="AI71" s="26">
        <v>0</v>
      </c>
      <c r="AJ71" s="26">
        <v>0</v>
      </c>
      <c r="AK71" s="26">
        <v>0</v>
      </c>
    </row>
    <row r="72" spans="3:37" ht="11.25" customHeight="1" x14ac:dyDescent="0.2">
      <c r="E72" s="23" t="s">
        <v>91</v>
      </c>
      <c r="F72" s="23" t="s">
        <v>92</v>
      </c>
      <c r="G72" s="27">
        <v>0</v>
      </c>
      <c r="H72" s="24">
        <v>0</v>
      </c>
      <c r="I72" s="27">
        <v>0</v>
      </c>
      <c r="J72" s="27">
        <v>0</v>
      </c>
      <c r="K72" s="25">
        <v>0</v>
      </c>
      <c r="L72" s="25">
        <v>0</v>
      </c>
      <c r="M72" s="25">
        <v>0</v>
      </c>
      <c r="N72" s="25">
        <v>0</v>
      </c>
      <c r="O72" s="25">
        <v>0</v>
      </c>
      <c r="P72" s="25">
        <v>0</v>
      </c>
      <c r="Q72" s="25">
        <v>0</v>
      </c>
      <c r="R72" s="25">
        <v>0</v>
      </c>
      <c r="S72" s="25">
        <v>0</v>
      </c>
      <c r="T72" s="25">
        <v>0</v>
      </c>
      <c r="U72" s="25">
        <v>29</v>
      </c>
      <c r="V72" s="25">
        <v>0</v>
      </c>
      <c r="W72" s="25">
        <v>3</v>
      </c>
      <c r="X72" s="25">
        <v>5</v>
      </c>
      <c r="Y72" s="25">
        <v>0</v>
      </c>
      <c r="Z72" s="25">
        <v>0</v>
      </c>
      <c r="AA72" s="25">
        <v>0</v>
      </c>
      <c r="AB72" s="25">
        <v>0</v>
      </c>
      <c r="AC72" s="25">
        <v>0</v>
      </c>
      <c r="AD72" s="25">
        <v>0</v>
      </c>
      <c r="AE72" s="25">
        <v>0</v>
      </c>
      <c r="AF72" s="25">
        <v>0</v>
      </c>
      <c r="AH72" s="26">
        <v>0</v>
      </c>
      <c r="AI72" s="26">
        <v>0</v>
      </c>
      <c r="AJ72" s="26">
        <v>0</v>
      </c>
      <c r="AK72" s="26">
        <v>0</v>
      </c>
    </row>
    <row r="73" spans="3:37" ht="11.25" customHeight="1" x14ac:dyDescent="0.2">
      <c r="E73" s="23" t="s">
        <v>93</v>
      </c>
      <c r="F73" s="23" t="s">
        <v>94</v>
      </c>
      <c r="G73" s="24">
        <v>0</v>
      </c>
      <c r="H73" s="24">
        <v>0</v>
      </c>
      <c r="I73" s="24">
        <v>0</v>
      </c>
      <c r="J73" s="24">
        <v>0</v>
      </c>
      <c r="K73" s="25">
        <v>0</v>
      </c>
      <c r="L73" s="25">
        <v>0</v>
      </c>
      <c r="M73" s="25">
        <v>0</v>
      </c>
      <c r="N73" s="25">
        <v>0</v>
      </c>
      <c r="O73" s="25">
        <v>0</v>
      </c>
      <c r="P73" s="25">
        <v>0</v>
      </c>
      <c r="Q73" s="25">
        <v>0</v>
      </c>
      <c r="R73" s="25">
        <v>0</v>
      </c>
      <c r="S73" s="25">
        <v>0</v>
      </c>
      <c r="T73" s="25">
        <v>0</v>
      </c>
      <c r="U73" s="25">
        <v>0</v>
      </c>
      <c r="V73" s="25">
        <v>0</v>
      </c>
      <c r="W73" s="25">
        <v>0</v>
      </c>
      <c r="X73" s="25">
        <v>0</v>
      </c>
      <c r="Y73" s="25">
        <v>37</v>
      </c>
      <c r="Z73" s="25">
        <v>37</v>
      </c>
      <c r="AA73" s="25">
        <v>0</v>
      </c>
      <c r="AB73" s="25">
        <v>0</v>
      </c>
      <c r="AC73" s="25">
        <v>0</v>
      </c>
      <c r="AD73" s="25">
        <v>0</v>
      </c>
      <c r="AE73" s="25">
        <v>0</v>
      </c>
      <c r="AF73" s="25">
        <v>0</v>
      </c>
      <c r="AH73" s="26">
        <v>0</v>
      </c>
      <c r="AI73" s="26">
        <v>0</v>
      </c>
      <c r="AJ73" s="26">
        <v>0</v>
      </c>
      <c r="AK73" s="26">
        <v>0</v>
      </c>
    </row>
    <row r="74" spans="3:37" s="72" customFormat="1" ht="11.25" customHeight="1" x14ac:dyDescent="0.2">
      <c r="C74" s="32"/>
      <c r="D74" s="2"/>
      <c r="E74" s="4"/>
      <c r="F74" s="4"/>
      <c r="G74" s="24"/>
      <c r="H74" s="24"/>
      <c r="I74" s="24"/>
      <c r="J74" s="24"/>
      <c r="K74" s="25"/>
      <c r="L74" s="25"/>
      <c r="M74" s="25"/>
      <c r="N74" s="25"/>
      <c r="O74" s="25"/>
      <c r="P74" s="25"/>
      <c r="Q74" s="25"/>
      <c r="R74" s="25"/>
      <c r="S74" s="25"/>
      <c r="T74" s="25"/>
      <c r="U74" s="25"/>
      <c r="V74" s="25"/>
      <c r="W74" s="25"/>
      <c r="X74" s="25"/>
      <c r="Y74" s="25"/>
      <c r="Z74" s="25"/>
      <c r="AA74" s="25"/>
      <c r="AB74" s="25"/>
      <c r="AC74" s="25"/>
      <c r="AD74" s="25"/>
      <c r="AE74" s="25"/>
      <c r="AF74" s="25"/>
      <c r="AG74" s="2"/>
      <c r="AH74" s="26"/>
      <c r="AI74" s="26"/>
      <c r="AJ74" s="26"/>
      <c r="AK74" s="26"/>
    </row>
    <row r="75" spans="3:37" ht="14" x14ac:dyDescent="0.2">
      <c r="C75" s="116">
        <f>+MAX($C$1:$C74)+1</f>
        <v>7</v>
      </c>
      <c r="E75" s="41" t="s">
        <v>95</v>
      </c>
      <c r="F75" s="41" t="s">
        <v>96</v>
      </c>
      <c r="G75" s="42">
        <v>2309.1999999999998</v>
      </c>
      <c r="H75" s="42">
        <v>2555.9</v>
      </c>
      <c r="I75" s="46">
        <v>2514.6999999999998</v>
      </c>
      <c r="J75" s="42">
        <v>2601.4</v>
      </c>
      <c r="K75" s="43">
        <v>2957</v>
      </c>
      <c r="L75" s="43">
        <v>3259</v>
      </c>
      <c r="M75" s="43">
        <v>3101</v>
      </c>
      <c r="N75" s="43">
        <v>3998</v>
      </c>
      <c r="O75" s="43">
        <v>4102</v>
      </c>
      <c r="P75" s="43">
        <v>4392</v>
      </c>
      <c r="Q75" s="43">
        <v>4771</v>
      </c>
      <c r="R75" s="43">
        <v>4441</v>
      </c>
      <c r="S75" s="43">
        <v>4345</v>
      </c>
      <c r="T75" s="43">
        <v>4307</v>
      </c>
      <c r="U75" s="43">
        <v>4812</v>
      </c>
      <c r="V75" s="43">
        <v>5946</v>
      </c>
      <c r="W75" s="43">
        <v>5003</v>
      </c>
      <c r="X75" s="43">
        <v>5052</v>
      </c>
      <c r="Y75" s="43">
        <v>5384</v>
      </c>
      <c r="Z75" s="43">
        <v>5366</v>
      </c>
      <c r="AA75" s="43">
        <v>5131</v>
      </c>
      <c r="AB75" s="43">
        <v>8069</v>
      </c>
      <c r="AC75" s="43">
        <v>8410</v>
      </c>
      <c r="AD75" s="43">
        <v>8475</v>
      </c>
      <c r="AE75" s="43">
        <v>8596</v>
      </c>
      <c r="AF75" s="43">
        <v>13161</v>
      </c>
      <c r="AG75" s="44"/>
      <c r="AH75" s="45">
        <f>+SUM(AH76:AH81)</f>
        <v>2801.390547</v>
      </c>
      <c r="AI75" s="45">
        <f t="shared" ref="AI75:AK75" si="7">+SUM(AI76:AI81)</f>
        <v>3048.7222919999999</v>
      </c>
      <c r="AJ75" s="45">
        <f t="shared" si="7"/>
        <v>2811.0829549999999</v>
      </c>
      <c r="AK75" s="45">
        <f t="shared" si="7"/>
        <v>2747.7938859999999</v>
      </c>
    </row>
    <row r="76" spans="3:37" ht="11.25" customHeight="1" x14ac:dyDescent="0.2">
      <c r="E76" s="23" t="s">
        <v>97</v>
      </c>
      <c r="F76" s="23" t="s">
        <v>98</v>
      </c>
      <c r="G76" s="24">
        <v>3</v>
      </c>
      <c r="H76" s="24">
        <v>4</v>
      </c>
      <c r="I76" s="24">
        <v>3</v>
      </c>
      <c r="J76" s="24">
        <v>1</v>
      </c>
      <c r="K76" s="25">
        <v>0</v>
      </c>
      <c r="L76" s="25">
        <v>3</v>
      </c>
      <c r="M76" s="25">
        <v>5</v>
      </c>
      <c r="N76" s="25">
        <v>7</v>
      </c>
      <c r="O76" s="25">
        <v>8</v>
      </c>
      <c r="P76" s="25">
        <v>6</v>
      </c>
      <c r="Q76" s="25">
        <v>6</v>
      </c>
      <c r="R76" s="25">
        <v>7</v>
      </c>
      <c r="S76" s="25">
        <v>0</v>
      </c>
      <c r="T76" s="25">
        <v>0</v>
      </c>
      <c r="U76" s="25">
        <v>0</v>
      </c>
      <c r="V76" s="25">
        <v>0</v>
      </c>
      <c r="W76" s="25">
        <v>0</v>
      </c>
      <c r="X76" s="25">
        <v>0</v>
      </c>
      <c r="Y76" s="25">
        <v>0</v>
      </c>
      <c r="Z76" s="25">
        <v>0</v>
      </c>
      <c r="AA76" s="25">
        <v>0</v>
      </c>
      <c r="AB76" s="25">
        <v>0</v>
      </c>
      <c r="AC76" s="25">
        <v>0</v>
      </c>
      <c r="AD76" s="25">
        <v>0</v>
      </c>
      <c r="AE76" s="25">
        <v>0</v>
      </c>
      <c r="AF76" s="25">
        <v>0</v>
      </c>
      <c r="AH76" s="26">
        <v>0</v>
      </c>
      <c r="AI76" s="26">
        <v>0</v>
      </c>
      <c r="AJ76" s="26">
        <v>0</v>
      </c>
      <c r="AK76" s="26">
        <v>0</v>
      </c>
    </row>
    <row r="77" spans="3:37" ht="11.25" customHeight="1" x14ac:dyDescent="0.2">
      <c r="E77" s="23" t="s">
        <v>99</v>
      </c>
      <c r="F77" s="23" t="s">
        <v>100</v>
      </c>
      <c r="G77" s="24">
        <v>0</v>
      </c>
      <c r="H77" s="24">
        <v>0</v>
      </c>
      <c r="I77" s="24">
        <v>0</v>
      </c>
      <c r="J77" s="24">
        <v>0</v>
      </c>
      <c r="K77" s="25">
        <v>0</v>
      </c>
      <c r="L77" s="25">
        <v>0</v>
      </c>
      <c r="M77" s="25">
        <v>0</v>
      </c>
      <c r="N77" s="25">
        <v>0</v>
      </c>
      <c r="O77" s="25">
        <v>0</v>
      </c>
      <c r="P77" s="25">
        <v>0</v>
      </c>
      <c r="Q77" s="25">
        <v>0</v>
      </c>
      <c r="R77" s="25">
        <v>0</v>
      </c>
      <c r="S77" s="25">
        <v>0</v>
      </c>
      <c r="T77" s="25">
        <v>0</v>
      </c>
      <c r="U77" s="25">
        <v>0</v>
      </c>
      <c r="V77" s="25">
        <v>0</v>
      </c>
      <c r="W77" s="25">
        <v>0</v>
      </c>
      <c r="X77" s="25">
        <v>0</v>
      </c>
      <c r="Y77" s="25">
        <v>0</v>
      </c>
      <c r="Z77" s="25">
        <v>0</v>
      </c>
      <c r="AA77" s="25">
        <v>0</v>
      </c>
      <c r="AB77" s="25">
        <v>0</v>
      </c>
      <c r="AC77" s="25">
        <v>0</v>
      </c>
      <c r="AD77" s="25">
        <v>0</v>
      </c>
      <c r="AE77" s="25">
        <v>0</v>
      </c>
      <c r="AF77" s="25">
        <v>0</v>
      </c>
      <c r="AH77" s="26">
        <v>0</v>
      </c>
      <c r="AI77" s="26">
        <v>0</v>
      </c>
      <c r="AJ77" s="26">
        <v>0</v>
      </c>
      <c r="AK77" s="26">
        <v>0</v>
      </c>
    </row>
    <row r="78" spans="3:37" ht="11.25" customHeight="1" x14ac:dyDescent="0.2">
      <c r="E78" s="23" t="s">
        <v>101</v>
      </c>
      <c r="F78" s="23" t="s">
        <v>102</v>
      </c>
      <c r="G78" s="24">
        <v>2</v>
      </c>
      <c r="H78" s="27">
        <v>2</v>
      </c>
      <c r="I78" s="24">
        <v>1</v>
      </c>
      <c r="J78" s="27">
        <v>1</v>
      </c>
      <c r="K78" s="25">
        <v>1</v>
      </c>
      <c r="L78" s="25">
        <v>1</v>
      </c>
      <c r="M78" s="25">
        <v>1</v>
      </c>
      <c r="N78" s="25">
        <v>1</v>
      </c>
      <c r="O78" s="25">
        <v>1</v>
      </c>
      <c r="P78" s="25">
        <v>1</v>
      </c>
      <c r="Q78" s="25">
        <v>1</v>
      </c>
      <c r="R78" s="25">
        <v>1</v>
      </c>
      <c r="S78" s="25">
        <v>1</v>
      </c>
      <c r="T78" s="25">
        <v>1</v>
      </c>
      <c r="U78" s="25">
        <v>0</v>
      </c>
      <c r="V78" s="25">
        <v>0</v>
      </c>
      <c r="W78" s="25">
        <v>0</v>
      </c>
      <c r="X78" s="25">
        <v>0</v>
      </c>
      <c r="Y78" s="25">
        <v>0</v>
      </c>
      <c r="Z78" s="25">
        <v>0</v>
      </c>
      <c r="AA78" s="25">
        <v>0</v>
      </c>
      <c r="AB78" s="25">
        <v>0</v>
      </c>
      <c r="AC78" s="25">
        <v>0</v>
      </c>
      <c r="AD78" s="25">
        <v>0</v>
      </c>
      <c r="AE78" s="25">
        <v>0</v>
      </c>
      <c r="AF78" s="25">
        <v>0</v>
      </c>
      <c r="AH78" s="26">
        <v>0</v>
      </c>
      <c r="AI78" s="26">
        <v>0</v>
      </c>
      <c r="AJ78" s="26">
        <v>0</v>
      </c>
      <c r="AK78" s="26">
        <v>0</v>
      </c>
    </row>
    <row r="79" spans="3:37" ht="14" x14ac:dyDescent="0.2">
      <c r="E79" s="23" t="s">
        <v>103</v>
      </c>
      <c r="F79" s="23" t="s">
        <v>104</v>
      </c>
      <c r="G79" s="24">
        <v>590.1</v>
      </c>
      <c r="H79" s="24">
        <v>796.1</v>
      </c>
      <c r="I79" s="24">
        <v>754.9</v>
      </c>
      <c r="J79" s="24">
        <v>796.9</v>
      </c>
      <c r="K79" s="25">
        <v>889</v>
      </c>
      <c r="L79" s="25">
        <v>1088</v>
      </c>
      <c r="M79" s="25">
        <v>838</v>
      </c>
      <c r="N79" s="25">
        <v>1546</v>
      </c>
      <c r="O79" s="25">
        <v>1503</v>
      </c>
      <c r="P79" s="25">
        <v>1634</v>
      </c>
      <c r="Q79" s="25">
        <v>1914</v>
      </c>
      <c r="R79" s="25">
        <v>1771</v>
      </c>
      <c r="S79" s="25">
        <v>1373</v>
      </c>
      <c r="T79" s="25">
        <v>1222</v>
      </c>
      <c r="U79" s="25">
        <v>1706</v>
      </c>
      <c r="V79" s="25">
        <v>2362</v>
      </c>
      <c r="W79" s="25">
        <v>1541</v>
      </c>
      <c r="X79" s="25">
        <v>1715</v>
      </c>
      <c r="Y79" s="25">
        <v>1737</v>
      </c>
      <c r="Z79" s="25">
        <v>1704</v>
      </c>
      <c r="AA79" s="25">
        <v>1679</v>
      </c>
      <c r="AB79" s="25">
        <v>1522</v>
      </c>
      <c r="AC79" s="25">
        <v>1599</v>
      </c>
      <c r="AD79" s="25">
        <v>1717</v>
      </c>
      <c r="AE79" s="25">
        <v>1759</v>
      </c>
      <c r="AF79" s="25">
        <v>5434</v>
      </c>
      <c r="AH79" s="26">
        <f>(SUMIF(Budget!$G$34:$G$168,$E79,Budget!I$34:I$168))*1000</f>
        <v>1354.825703</v>
      </c>
      <c r="AI79" s="26">
        <f>(SUMIF(Budget!$G$34:$G$168,$E79,Budget!J$34:J$168))*1000</f>
        <v>1724.0337870000001</v>
      </c>
      <c r="AJ79" s="26">
        <f>(SUMIF(Budget!$G$34:$G$168,$E79,Budget!K$34:K$168))*1000</f>
        <v>1329.2465999999999</v>
      </c>
      <c r="AK79" s="26">
        <f>(SUMIF(Budget!$G$34:$G$168,$E79,Budget!L$34:L$168))*1000</f>
        <v>1349.587618</v>
      </c>
    </row>
    <row r="80" spans="3:37" ht="14" x14ac:dyDescent="0.2">
      <c r="E80" s="23" t="s">
        <v>105</v>
      </c>
      <c r="F80" s="23" t="s">
        <v>106</v>
      </c>
      <c r="G80" s="27">
        <v>1349.1</v>
      </c>
      <c r="H80" s="24">
        <v>1379</v>
      </c>
      <c r="I80" s="24">
        <v>1375.9</v>
      </c>
      <c r="J80" s="27">
        <v>1415</v>
      </c>
      <c r="K80" s="25">
        <v>1669</v>
      </c>
      <c r="L80" s="25">
        <v>1749</v>
      </c>
      <c r="M80" s="25">
        <v>1825</v>
      </c>
      <c r="N80" s="25">
        <v>1985</v>
      </c>
      <c r="O80" s="25">
        <v>2101</v>
      </c>
      <c r="P80" s="25">
        <v>2232</v>
      </c>
      <c r="Q80" s="25">
        <v>2320</v>
      </c>
      <c r="R80" s="25">
        <v>2149</v>
      </c>
      <c r="S80" s="25">
        <v>2474</v>
      </c>
      <c r="T80" s="25">
        <v>2596</v>
      </c>
      <c r="U80" s="25">
        <v>2569</v>
      </c>
      <c r="V80" s="25">
        <v>2384</v>
      </c>
      <c r="W80" s="25">
        <v>2275</v>
      </c>
      <c r="X80" s="25">
        <v>2224</v>
      </c>
      <c r="Y80" s="25">
        <v>2330</v>
      </c>
      <c r="Z80" s="25">
        <v>2234</v>
      </c>
      <c r="AA80" s="25">
        <v>2172</v>
      </c>
      <c r="AB80" s="25">
        <v>2173</v>
      </c>
      <c r="AC80" s="25">
        <v>2202</v>
      </c>
      <c r="AD80" s="25">
        <v>2194</v>
      </c>
      <c r="AE80" s="25">
        <v>2208</v>
      </c>
      <c r="AF80" s="25">
        <v>2182</v>
      </c>
      <c r="AH80" s="26">
        <f>(SUMIF(Budget!$G$34:$G$168,$E80,Budget!I$34:I$168))*1000</f>
        <v>0</v>
      </c>
      <c r="AI80" s="26">
        <f>(SUMIF(Budget!$G$34:$G$168,$E80,Budget!J$34:J$168))*1000</f>
        <v>0</v>
      </c>
      <c r="AJ80" s="26">
        <f>(SUMIF(Budget!$G$34:$G$168,$E80,Budget!K$34:K$168))*1000</f>
        <v>0</v>
      </c>
      <c r="AK80" s="26">
        <f>(SUMIF(Budget!$G$34:$G$168,$E80,Budget!L$34:L$168))*1000</f>
        <v>0</v>
      </c>
    </row>
    <row r="81" spans="3:37" ht="14" x14ac:dyDescent="0.2">
      <c r="E81" s="23" t="s">
        <v>107</v>
      </c>
      <c r="F81" s="23" t="s">
        <v>108</v>
      </c>
      <c r="G81" s="24">
        <v>363.9</v>
      </c>
      <c r="H81" s="27">
        <v>373.8</v>
      </c>
      <c r="I81" s="24">
        <v>381.9</v>
      </c>
      <c r="J81" s="24">
        <v>388.5</v>
      </c>
      <c r="K81" s="25">
        <v>400</v>
      </c>
      <c r="L81" s="25">
        <v>418</v>
      </c>
      <c r="M81" s="25">
        <v>434</v>
      </c>
      <c r="N81" s="25">
        <v>459</v>
      </c>
      <c r="O81" s="25">
        <v>488</v>
      </c>
      <c r="P81" s="25">
        <v>519</v>
      </c>
      <c r="Q81" s="25">
        <v>530</v>
      </c>
      <c r="R81" s="25">
        <v>513</v>
      </c>
      <c r="S81" s="25">
        <v>497</v>
      </c>
      <c r="T81" s="25">
        <v>487</v>
      </c>
      <c r="U81" s="25">
        <v>537</v>
      </c>
      <c r="V81" s="25">
        <v>1200</v>
      </c>
      <c r="W81" s="25">
        <v>1187</v>
      </c>
      <c r="X81" s="25">
        <v>1114</v>
      </c>
      <c r="Y81" s="25">
        <v>1317</v>
      </c>
      <c r="Z81" s="25">
        <v>1428</v>
      </c>
      <c r="AA81" s="25">
        <v>1281</v>
      </c>
      <c r="AB81" s="25">
        <v>4374</v>
      </c>
      <c r="AC81" s="25">
        <v>4610</v>
      </c>
      <c r="AD81" s="25">
        <v>4564</v>
      </c>
      <c r="AE81" s="25">
        <v>4630</v>
      </c>
      <c r="AF81" s="25">
        <v>5545</v>
      </c>
      <c r="AH81" s="26">
        <f>(SUMIF(Budget!$G$34:$G$168,$E81,Budget!I$34:I$168))*1000</f>
        <v>1446.564844</v>
      </c>
      <c r="AI81" s="26">
        <f>(SUMIF(Budget!$G$34:$G$168,$E81,Budget!J$34:J$168))*1000</f>
        <v>1324.6885049999999</v>
      </c>
      <c r="AJ81" s="26">
        <f>(SUMIF(Budget!$G$34:$G$168,$E81,Budget!K$34:K$168))*1000</f>
        <v>1481.8363549999997</v>
      </c>
      <c r="AK81" s="26">
        <f>(SUMIF(Budget!$G$34:$G$168,$E81,Budget!L$34:L$168))*1000</f>
        <v>1398.2062679999999</v>
      </c>
    </row>
    <row r="82" spans="3:37" s="72" customFormat="1" ht="14" x14ac:dyDescent="0.2">
      <c r="C82" s="32"/>
      <c r="D82" s="2"/>
      <c r="E82" s="4"/>
      <c r="F82" s="4"/>
      <c r="G82" s="24"/>
      <c r="H82" s="27"/>
      <c r="I82" s="24"/>
      <c r="J82" s="24"/>
      <c r="K82" s="25"/>
      <c r="L82" s="25"/>
      <c r="M82" s="25"/>
      <c r="N82" s="25"/>
      <c r="O82" s="25"/>
      <c r="P82" s="25"/>
      <c r="Q82" s="25"/>
      <c r="R82" s="25"/>
      <c r="S82" s="25"/>
      <c r="T82" s="25"/>
      <c r="U82" s="25"/>
      <c r="V82" s="25"/>
      <c r="W82" s="25"/>
      <c r="X82" s="25"/>
      <c r="Y82" s="25"/>
      <c r="Z82" s="25"/>
      <c r="AA82" s="25"/>
      <c r="AB82" s="25"/>
      <c r="AC82" s="25"/>
      <c r="AD82" s="25"/>
      <c r="AE82" s="25"/>
      <c r="AF82" s="25"/>
      <c r="AG82" s="2"/>
      <c r="AH82" s="26"/>
      <c r="AI82" s="26"/>
      <c r="AJ82" s="26"/>
      <c r="AK82" s="26"/>
    </row>
    <row r="83" spans="3:37" ht="14" x14ac:dyDescent="0.2">
      <c r="C83" s="116">
        <f>+MAX($C$1:$C82)+1</f>
        <v>8</v>
      </c>
      <c r="E83" s="41" t="s">
        <v>109</v>
      </c>
      <c r="F83" s="41" t="s">
        <v>110</v>
      </c>
      <c r="G83" s="42">
        <v>5333.1</v>
      </c>
      <c r="H83" s="42">
        <v>5381.6</v>
      </c>
      <c r="I83" s="42">
        <v>5370.6</v>
      </c>
      <c r="J83" s="42">
        <v>5513.8</v>
      </c>
      <c r="K83" s="43">
        <v>5966</v>
      </c>
      <c r="L83" s="43">
        <v>6410</v>
      </c>
      <c r="M83" s="43">
        <v>7158</v>
      </c>
      <c r="N83" s="43">
        <v>7087</v>
      </c>
      <c r="O83" s="43">
        <v>7103</v>
      </c>
      <c r="P83" s="43">
        <v>7374</v>
      </c>
      <c r="Q83" s="43">
        <v>7772</v>
      </c>
      <c r="R83" s="43">
        <v>8363</v>
      </c>
      <c r="S83" s="43">
        <v>8944</v>
      </c>
      <c r="T83" s="43">
        <v>9620</v>
      </c>
      <c r="U83" s="43">
        <v>9834</v>
      </c>
      <c r="V83" s="43">
        <v>10116</v>
      </c>
      <c r="W83" s="43">
        <v>9478</v>
      </c>
      <c r="X83" s="43">
        <v>9352</v>
      </c>
      <c r="Y83" s="43">
        <v>9222</v>
      </c>
      <c r="Z83" s="43">
        <v>9155</v>
      </c>
      <c r="AA83" s="43">
        <v>8718</v>
      </c>
      <c r="AB83" s="43">
        <v>9125</v>
      </c>
      <c r="AC83" s="43">
        <v>9433</v>
      </c>
      <c r="AD83" s="43">
        <v>9592</v>
      </c>
      <c r="AE83" s="43">
        <v>9665</v>
      </c>
      <c r="AF83" s="43">
        <v>10054</v>
      </c>
      <c r="AG83" s="44"/>
      <c r="AH83" s="45">
        <f>+SUM(AH84:AH89)</f>
        <v>8490.9660799999983</v>
      </c>
      <c r="AI83" s="45">
        <f t="shared" ref="AI83:AK83" si="8">+SUM(AI84:AI89)</f>
        <v>9468.8602959999989</v>
      </c>
      <c r="AJ83" s="45">
        <f t="shared" si="8"/>
        <v>8904.1138890000002</v>
      </c>
      <c r="AK83" s="45">
        <f t="shared" si="8"/>
        <v>9553.2332380000007</v>
      </c>
    </row>
    <row r="84" spans="3:37" ht="14" x14ac:dyDescent="0.2">
      <c r="E84" s="23" t="s">
        <v>111</v>
      </c>
      <c r="F84" s="23" t="s">
        <v>112</v>
      </c>
      <c r="G84" s="24">
        <v>500.6</v>
      </c>
      <c r="H84" s="24">
        <v>475.8</v>
      </c>
      <c r="I84" s="27">
        <v>482.1</v>
      </c>
      <c r="J84" s="27">
        <v>521.70000000000005</v>
      </c>
      <c r="K84" s="25">
        <v>556</v>
      </c>
      <c r="L84" s="25">
        <v>593</v>
      </c>
      <c r="M84" s="25">
        <v>719</v>
      </c>
      <c r="N84" s="25">
        <v>679</v>
      </c>
      <c r="O84" s="25">
        <v>662</v>
      </c>
      <c r="P84" s="25">
        <v>702</v>
      </c>
      <c r="Q84" s="25">
        <v>783</v>
      </c>
      <c r="R84" s="25">
        <v>837</v>
      </c>
      <c r="S84" s="25">
        <v>894</v>
      </c>
      <c r="T84" s="25">
        <v>977</v>
      </c>
      <c r="U84" s="25">
        <v>1033</v>
      </c>
      <c r="V84" s="25">
        <v>1046</v>
      </c>
      <c r="W84" s="25">
        <v>836</v>
      </c>
      <c r="X84" s="25">
        <v>758</v>
      </c>
      <c r="Y84" s="25">
        <v>522</v>
      </c>
      <c r="Z84" s="25">
        <v>498</v>
      </c>
      <c r="AA84" s="25">
        <v>432</v>
      </c>
      <c r="AB84" s="25">
        <v>777</v>
      </c>
      <c r="AC84" s="25">
        <v>757</v>
      </c>
      <c r="AD84" s="25">
        <v>744</v>
      </c>
      <c r="AE84" s="25">
        <v>802</v>
      </c>
      <c r="AF84" s="25">
        <v>859</v>
      </c>
      <c r="AH84" s="26">
        <f>(SUMIF(Budget!$G$34:$G$168,$E84,Budget!I$34:I$168))*1000</f>
        <v>998.25138900000002</v>
      </c>
      <c r="AI84" s="26">
        <f>(SUMIF(Budget!$G$34:$G$168,$E84,Budget!J$34:J$168))*1000</f>
        <v>1262.0588520000001</v>
      </c>
      <c r="AJ84" s="26">
        <f>(SUMIF(Budget!$G$34:$G$168,$E84,Budget!K$34:K$168))*1000</f>
        <v>1369.424395</v>
      </c>
      <c r="AK84" s="26">
        <f>(SUMIF(Budget!$G$34:$G$168,$E84,Budget!L$34:L$168))*1000</f>
        <v>1665.830103</v>
      </c>
    </row>
    <row r="85" spans="3:37" ht="14" x14ac:dyDescent="0.2">
      <c r="E85" s="23" t="s">
        <v>113</v>
      </c>
      <c r="F85" s="23" t="s">
        <v>114</v>
      </c>
      <c r="G85" s="24">
        <v>2644.9</v>
      </c>
      <c r="H85" s="24">
        <v>2624.6</v>
      </c>
      <c r="I85" s="24">
        <v>2603.9</v>
      </c>
      <c r="J85" s="24">
        <v>2657.1</v>
      </c>
      <c r="K85" s="25">
        <v>2942</v>
      </c>
      <c r="L85" s="25">
        <v>3317</v>
      </c>
      <c r="M85" s="25">
        <v>3967</v>
      </c>
      <c r="N85" s="25">
        <v>3947</v>
      </c>
      <c r="O85" s="25">
        <v>3931</v>
      </c>
      <c r="P85" s="25">
        <v>4111</v>
      </c>
      <c r="Q85" s="25">
        <v>4317</v>
      </c>
      <c r="R85" s="25">
        <v>4686</v>
      </c>
      <c r="S85" s="25">
        <v>4961</v>
      </c>
      <c r="T85" s="25">
        <v>5138</v>
      </c>
      <c r="U85" s="25">
        <v>5144</v>
      </c>
      <c r="V85" s="25">
        <v>5318</v>
      </c>
      <c r="W85" s="25">
        <v>4801</v>
      </c>
      <c r="X85" s="25">
        <v>4732</v>
      </c>
      <c r="Y85" s="25">
        <v>4776</v>
      </c>
      <c r="Z85" s="25">
        <v>5017</v>
      </c>
      <c r="AA85" s="25">
        <v>4762</v>
      </c>
      <c r="AB85" s="25">
        <v>4834</v>
      </c>
      <c r="AC85" s="25">
        <v>5120</v>
      </c>
      <c r="AD85" s="25">
        <v>5310</v>
      </c>
      <c r="AE85" s="25">
        <v>5393</v>
      </c>
      <c r="AF85" s="25">
        <v>5663</v>
      </c>
      <c r="AH85" s="26">
        <f>(SUMIF(Budget!$G$34:$G$168,$E85,Budget!I$34:I$168))*1000</f>
        <v>3633.0915909999999</v>
      </c>
      <c r="AI85" s="26">
        <f>(SUMIF(Budget!$G$34:$G$168,$E85,Budget!J$34:J$168))*1000</f>
        <v>4417.7753439999997</v>
      </c>
      <c r="AJ85" s="26">
        <f>(SUMIF(Budget!$G$34:$G$168,$E85,Budget!K$34:K$168))*1000</f>
        <v>3815.672294</v>
      </c>
      <c r="AK85" s="26">
        <f>(SUMIF(Budget!$G$34:$G$168,$E85,Budget!L$34:L$168))*1000</f>
        <v>4202.4017869999998</v>
      </c>
    </row>
    <row r="86" spans="3:37" ht="14" x14ac:dyDescent="0.2">
      <c r="E86" s="23" t="s">
        <v>115</v>
      </c>
      <c r="F86" s="23" t="s">
        <v>116</v>
      </c>
      <c r="G86" s="24">
        <v>2187.5</v>
      </c>
      <c r="H86" s="24">
        <v>2280.1</v>
      </c>
      <c r="I86" s="24">
        <v>2283.5</v>
      </c>
      <c r="J86" s="24">
        <v>2334.1</v>
      </c>
      <c r="K86" s="25">
        <v>2469</v>
      </c>
      <c r="L86" s="25">
        <v>2498</v>
      </c>
      <c r="M86" s="25">
        <v>2470</v>
      </c>
      <c r="N86" s="25">
        <v>2459</v>
      </c>
      <c r="O86" s="25">
        <v>2510</v>
      </c>
      <c r="P86" s="25">
        <v>2559</v>
      </c>
      <c r="Q86" s="25">
        <v>2670</v>
      </c>
      <c r="R86" s="25">
        <v>2839</v>
      </c>
      <c r="S86" s="25">
        <v>3088</v>
      </c>
      <c r="T86" s="25">
        <v>3502</v>
      </c>
      <c r="U86" s="25">
        <v>3655</v>
      </c>
      <c r="V86" s="25">
        <v>3749</v>
      </c>
      <c r="W86" s="25">
        <v>3802</v>
      </c>
      <c r="X86" s="25">
        <v>3826</v>
      </c>
      <c r="Y86" s="25">
        <v>3922</v>
      </c>
      <c r="Z86" s="25">
        <v>3638</v>
      </c>
      <c r="AA86" s="25">
        <v>3521</v>
      </c>
      <c r="AB86" s="25">
        <v>3510</v>
      </c>
      <c r="AC86" s="25">
        <v>3553</v>
      </c>
      <c r="AD86" s="25">
        <v>3535</v>
      </c>
      <c r="AE86" s="25">
        <v>3469</v>
      </c>
      <c r="AF86" s="25">
        <v>3531</v>
      </c>
      <c r="AH86" s="26">
        <f>(SUMIF(Budget!$G$34:$G$168,$E86,Budget!I$34:I$168))*1000</f>
        <v>3859.6230999999998</v>
      </c>
      <c r="AI86" s="26">
        <f>(SUMIF(Budget!$G$34:$G$168,$E86,Budget!J$34:J$168))*1000</f>
        <v>3789.0261</v>
      </c>
      <c r="AJ86" s="26">
        <f>(SUMIF(Budget!$G$34:$G$168,$E86,Budget!K$34:K$168))*1000</f>
        <v>3719.0172000000002</v>
      </c>
      <c r="AK86" s="26">
        <f>(SUMIF(Budget!$G$34:$G$168,$E86,Budget!L$34:L$168))*1000</f>
        <v>3685.0013480000002</v>
      </c>
    </row>
    <row r="87" spans="3:37" ht="15" customHeight="1" x14ac:dyDescent="0.2">
      <c r="E87" s="23" t="s">
        <v>117</v>
      </c>
      <c r="F87" s="23" t="s">
        <v>118</v>
      </c>
      <c r="G87" s="24">
        <v>1</v>
      </c>
      <c r="H87" s="27">
        <v>1</v>
      </c>
      <c r="I87" s="24">
        <v>1</v>
      </c>
      <c r="J87" s="24">
        <v>1</v>
      </c>
      <c r="K87" s="25">
        <v>1</v>
      </c>
      <c r="L87" s="25">
        <v>2</v>
      </c>
      <c r="M87" s="25">
        <v>2</v>
      </c>
      <c r="N87" s="25">
        <v>2</v>
      </c>
      <c r="O87" s="25">
        <v>1</v>
      </c>
      <c r="P87" s="25">
        <v>2</v>
      </c>
      <c r="Q87" s="25">
        <v>2</v>
      </c>
      <c r="R87" s="25">
        <v>2</v>
      </c>
      <c r="S87" s="25">
        <v>2</v>
      </c>
      <c r="T87" s="25">
        <v>2</v>
      </c>
      <c r="U87" s="25">
        <v>2</v>
      </c>
      <c r="V87" s="25">
        <v>3</v>
      </c>
      <c r="W87" s="25">
        <v>2</v>
      </c>
      <c r="X87" s="25">
        <v>2</v>
      </c>
      <c r="Y87" s="25">
        <v>2</v>
      </c>
      <c r="Z87" s="25">
        <v>2</v>
      </c>
      <c r="AA87" s="25">
        <v>2</v>
      </c>
      <c r="AB87" s="25">
        <v>3</v>
      </c>
      <c r="AC87" s="25">
        <v>4</v>
      </c>
      <c r="AD87" s="25">
        <v>2</v>
      </c>
      <c r="AE87" s="25">
        <v>2</v>
      </c>
      <c r="AF87" s="25">
        <v>2</v>
      </c>
      <c r="AH87" s="26">
        <v>0</v>
      </c>
      <c r="AI87" s="26">
        <v>0</v>
      </c>
      <c r="AJ87" s="26">
        <v>0</v>
      </c>
      <c r="AK87" s="26">
        <v>0</v>
      </c>
    </row>
    <row r="88" spans="3:37" ht="15" customHeight="1" x14ac:dyDescent="0.2">
      <c r="E88" s="23" t="s">
        <v>119</v>
      </c>
      <c r="F88" s="23" t="s">
        <v>120</v>
      </c>
      <c r="G88" s="27">
        <v>0</v>
      </c>
      <c r="H88" s="27">
        <v>0</v>
      </c>
      <c r="I88" s="27">
        <v>0</v>
      </c>
      <c r="J88" s="27">
        <v>0</v>
      </c>
      <c r="K88" s="25">
        <v>0</v>
      </c>
      <c r="L88" s="25">
        <v>0</v>
      </c>
      <c r="M88" s="25">
        <v>0</v>
      </c>
      <c r="N88" s="25">
        <v>0</v>
      </c>
      <c r="O88" s="25">
        <v>0</v>
      </c>
      <c r="P88" s="25">
        <v>0</v>
      </c>
      <c r="Q88" s="25">
        <v>0</v>
      </c>
      <c r="R88" s="25">
        <v>0</v>
      </c>
      <c r="S88" s="25">
        <v>0</v>
      </c>
      <c r="T88" s="25">
        <v>0</v>
      </c>
      <c r="U88" s="25">
        <v>0</v>
      </c>
      <c r="V88" s="25">
        <v>0</v>
      </c>
      <c r="W88" s="25">
        <v>0</v>
      </c>
      <c r="X88" s="25">
        <v>0</v>
      </c>
      <c r="Y88" s="25">
        <v>0</v>
      </c>
      <c r="Z88" s="25">
        <v>0</v>
      </c>
      <c r="AA88" s="25">
        <v>0</v>
      </c>
      <c r="AB88" s="25">
        <v>0</v>
      </c>
      <c r="AC88" s="25">
        <v>0</v>
      </c>
      <c r="AD88" s="25">
        <v>0</v>
      </c>
      <c r="AE88" s="25">
        <v>0</v>
      </c>
      <c r="AF88" s="25">
        <v>0</v>
      </c>
      <c r="AH88" s="26">
        <v>0</v>
      </c>
      <c r="AI88" s="26">
        <v>0</v>
      </c>
      <c r="AJ88" s="26">
        <v>0</v>
      </c>
      <c r="AK88" s="26">
        <v>0</v>
      </c>
    </row>
    <row r="89" spans="3:37" ht="15" customHeight="1" x14ac:dyDescent="0.2">
      <c r="E89" s="23" t="s">
        <v>121</v>
      </c>
      <c r="F89" s="23" t="s">
        <v>122</v>
      </c>
      <c r="G89" s="27">
        <v>0</v>
      </c>
      <c r="H89" s="27">
        <v>0</v>
      </c>
      <c r="I89" s="27">
        <v>0</v>
      </c>
      <c r="J89" s="27">
        <v>0</v>
      </c>
      <c r="K89" s="25">
        <v>0</v>
      </c>
      <c r="L89" s="25">
        <v>0</v>
      </c>
      <c r="M89" s="25">
        <v>0</v>
      </c>
      <c r="N89" s="25">
        <v>0</v>
      </c>
      <c r="O89" s="25">
        <v>0</v>
      </c>
      <c r="P89" s="25">
        <v>0</v>
      </c>
      <c r="Q89" s="25">
        <v>0</v>
      </c>
      <c r="R89" s="25">
        <v>0</v>
      </c>
      <c r="S89" s="25">
        <v>0</v>
      </c>
      <c r="T89" s="25">
        <v>0</v>
      </c>
      <c r="U89" s="25">
        <v>0</v>
      </c>
      <c r="V89" s="25">
        <v>0</v>
      </c>
      <c r="W89" s="25">
        <v>37</v>
      </c>
      <c r="X89" s="25">
        <v>35</v>
      </c>
      <c r="Y89" s="25">
        <v>0</v>
      </c>
      <c r="Z89" s="25">
        <v>0</v>
      </c>
      <c r="AA89" s="25">
        <v>0</v>
      </c>
      <c r="AB89" s="25">
        <v>0</v>
      </c>
      <c r="AC89" s="25">
        <v>0</v>
      </c>
      <c r="AD89" s="25">
        <v>0</v>
      </c>
      <c r="AE89" s="25">
        <v>0</v>
      </c>
      <c r="AF89" s="25">
        <v>0</v>
      </c>
      <c r="AH89" s="26">
        <v>0</v>
      </c>
      <c r="AI89" s="26">
        <v>0</v>
      </c>
      <c r="AJ89" s="26">
        <v>0</v>
      </c>
      <c r="AK89" s="26">
        <v>0</v>
      </c>
    </row>
    <row r="90" spans="3:37" s="72" customFormat="1" ht="15" customHeight="1" x14ac:dyDescent="0.2">
      <c r="C90" s="32"/>
      <c r="D90" s="2"/>
      <c r="E90" s="4"/>
      <c r="F90" s="4"/>
      <c r="G90" s="27"/>
      <c r="H90" s="27"/>
      <c r="I90" s="27"/>
      <c r="J90" s="27"/>
      <c r="K90" s="25"/>
      <c r="L90" s="25"/>
      <c r="M90" s="25"/>
      <c r="N90" s="25"/>
      <c r="O90" s="25"/>
      <c r="P90" s="25"/>
      <c r="Q90" s="25"/>
      <c r="R90" s="25"/>
      <c r="S90" s="25"/>
      <c r="T90" s="25"/>
      <c r="U90" s="25"/>
      <c r="V90" s="25"/>
      <c r="W90" s="25"/>
      <c r="X90" s="25"/>
      <c r="Y90" s="25"/>
      <c r="Z90" s="25"/>
      <c r="AA90" s="25"/>
      <c r="AB90" s="25"/>
      <c r="AC90" s="25"/>
      <c r="AD90" s="25"/>
      <c r="AE90" s="25"/>
      <c r="AF90" s="25"/>
      <c r="AG90" s="2"/>
      <c r="AH90" s="26"/>
      <c r="AI90" s="26"/>
      <c r="AJ90" s="26"/>
      <c r="AK90" s="26"/>
    </row>
    <row r="91" spans="3:37" ht="14" x14ac:dyDescent="0.2">
      <c r="C91" s="116">
        <f>+MAX($C$1:$C90)+1</f>
        <v>9</v>
      </c>
      <c r="E91" s="41" t="s">
        <v>123</v>
      </c>
      <c r="F91" s="41" t="s">
        <v>124</v>
      </c>
      <c r="G91" s="42">
        <v>56206.7</v>
      </c>
      <c r="H91" s="42">
        <v>58854.3</v>
      </c>
      <c r="I91" s="42">
        <v>58422.7</v>
      </c>
      <c r="J91" s="42">
        <v>60165.2</v>
      </c>
      <c r="K91" s="43">
        <v>62083</v>
      </c>
      <c r="L91" s="43">
        <v>63895</v>
      </c>
      <c r="M91" s="43">
        <v>65532</v>
      </c>
      <c r="N91" s="43">
        <v>69360</v>
      </c>
      <c r="O91" s="43">
        <v>70094</v>
      </c>
      <c r="P91" s="43">
        <v>70768</v>
      </c>
      <c r="Q91" s="43">
        <v>71922</v>
      </c>
      <c r="R91" s="43">
        <v>74094</v>
      </c>
      <c r="S91" s="43">
        <v>73847</v>
      </c>
      <c r="T91" s="43">
        <v>75224</v>
      </c>
      <c r="U91" s="43">
        <v>77904</v>
      </c>
      <c r="V91" s="43">
        <v>80488</v>
      </c>
      <c r="W91" s="43">
        <v>80115</v>
      </c>
      <c r="X91" s="43">
        <v>80885</v>
      </c>
      <c r="Y91" s="43">
        <v>81439</v>
      </c>
      <c r="Z91" s="43">
        <v>82648</v>
      </c>
      <c r="AA91" s="43">
        <v>84125</v>
      </c>
      <c r="AB91" s="43">
        <v>85565</v>
      </c>
      <c r="AC91" s="43">
        <v>87962</v>
      </c>
      <c r="AD91" s="43">
        <v>90190</v>
      </c>
      <c r="AE91" s="43">
        <v>91793</v>
      </c>
      <c r="AF91" s="43">
        <v>93108</v>
      </c>
      <c r="AG91" s="44"/>
      <c r="AH91" s="45">
        <f>+SUM(AH92:AH99)</f>
        <v>90951.11301500001</v>
      </c>
      <c r="AI91" s="45">
        <f t="shared" ref="AI91:AK91" si="9">+SUM(AI92:AI99)</f>
        <v>90995.045702999996</v>
      </c>
      <c r="AJ91" s="45">
        <f t="shared" si="9"/>
        <v>93201.366794000001</v>
      </c>
      <c r="AK91" s="45">
        <f t="shared" si="9"/>
        <v>95686.400974999997</v>
      </c>
    </row>
    <row r="92" spans="3:37" ht="14" x14ac:dyDescent="0.2">
      <c r="E92" s="23" t="s">
        <v>125</v>
      </c>
      <c r="F92" s="23" t="s">
        <v>126</v>
      </c>
      <c r="G92" s="24">
        <v>14392.7</v>
      </c>
      <c r="H92" s="27">
        <v>15155.8</v>
      </c>
      <c r="I92" s="24">
        <v>14890.6</v>
      </c>
      <c r="J92" s="24">
        <v>15216.9</v>
      </c>
      <c r="K92" s="25">
        <v>15784</v>
      </c>
      <c r="L92" s="25">
        <v>16217</v>
      </c>
      <c r="M92" s="25">
        <v>16655</v>
      </c>
      <c r="N92" s="25">
        <v>17286</v>
      </c>
      <c r="O92" s="25">
        <v>17422</v>
      </c>
      <c r="P92" s="25">
        <v>17567</v>
      </c>
      <c r="Q92" s="25">
        <v>17919</v>
      </c>
      <c r="R92" s="25">
        <v>18423</v>
      </c>
      <c r="S92" s="25">
        <v>18378</v>
      </c>
      <c r="T92" s="25">
        <v>18434</v>
      </c>
      <c r="U92" s="25">
        <v>18334</v>
      </c>
      <c r="V92" s="25">
        <v>18851</v>
      </c>
      <c r="W92" s="25">
        <v>19159</v>
      </c>
      <c r="X92" s="25">
        <v>19346</v>
      </c>
      <c r="Y92" s="25">
        <v>19766</v>
      </c>
      <c r="Z92" s="25">
        <v>20216</v>
      </c>
      <c r="AA92" s="25">
        <v>20793</v>
      </c>
      <c r="AB92" s="25">
        <v>21332</v>
      </c>
      <c r="AC92" s="25">
        <v>22338</v>
      </c>
      <c r="AD92" s="25">
        <v>22786</v>
      </c>
      <c r="AE92" s="25">
        <v>23211</v>
      </c>
      <c r="AF92" s="25">
        <v>23712</v>
      </c>
      <c r="AH92" s="26">
        <f>(SUMIF(Budget!$G$34:$G$168,$E92,Budget!I$34:I$168))*1000</f>
        <v>22549.359705999999</v>
      </c>
      <c r="AI92" s="26">
        <f>(SUMIF(Budget!$G$34:$G$168,$E92,Budget!J$34:J$168))*1000</f>
        <v>23101.341184999997</v>
      </c>
      <c r="AJ92" s="26">
        <f>(SUMIF(Budget!$G$34:$G$168,$E92,Budget!K$34:K$168))*1000</f>
        <v>23655.984963000003</v>
      </c>
      <c r="AK92" s="26">
        <f>(SUMIF(Budget!$G$34:$G$168,$E92,Budget!L$34:L$168))*1000</f>
        <v>24204.655054999999</v>
      </c>
    </row>
    <row r="93" spans="3:37" ht="14" x14ac:dyDescent="0.2">
      <c r="E93" s="23" t="s">
        <v>127</v>
      </c>
      <c r="F93" s="23" t="s">
        <v>128</v>
      </c>
      <c r="G93" s="24">
        <v>26302.400000000001</v>
      </c>
      <c r="H93" s="24">
        <v>27707.200000000001</v>
      </c>
      <c r="I93" s="24">
        <v>27269.599999999999</v>
      </c>
      <c r="J93" s="24">
        <v>27873.200000000001</v>
      </c>
      <c r="K93" s="25">
        <v>28938</v>
      </c>
      <c r="L93" s="25">
        <v>29714</v>
      </c>
      <c r="M93" s="25">
        <v>30512</v>
      </c>
      <c r="N93" s="25">
        <v>31734</v>
      </c>
      <c r="O93" s="25">
        <v>32035</v>
      </c>
      <c r="P93" s="25">
        <v>32352</v>
      </c>
      <c r="Q93" s="25">
        <v>32966</v>
      </c>
      <c r="R93" s="25">
        <v>33978</v>
      </c>
      <c r="S93" s="25">
        <v>33867</v>
      </c>
      <c r="T93" s="25">
        <v>33969</v>
      </c>
      <c r="U93" s="25">
        <v>33856</v>
      </c>
      <c r="V93" s="25">
        <v>34417</v>
      </c>
      <c r="W93" s="25">
        <v>34928</v>
      </c>
      <c r="X93" s="25">
        <v>35190</v>
      </c>
      <c r="Y93" s="25">
        <v>35466</v>
      </c>
      <c r="Z93" s="25">
        <v>35915</v>
      </c>
      <c r="AA93" s="25">
        <v>36494</v>
      </c>
      <c r="AB93" s="25">
        <v>36989</v>
      </c>
      <c r="AC93" s="25">
        <v>37659</v>
      </c>
      <c r="AD93" s="25">
        <v>38377</v>
      </c>
      <c r="AE93" s="25">
        <v>38527</v>
      </c>
      <c r="AF93" s="25">
        <v>38651</v>
      </c>
      <c r="AH93" s="26">
        <f>(SUMIF(Budget!$G$34:$G$168,$E93,Budget!I$34:I$168))*1000</f>
        <v>40830.773312999998</v>
      </c>
      <c r="AI93" s="26">
        <f>(SUMIF(Budget!$G$34:$G$168,$E93,Budget!J$34:J$168))*1000</f>
        <v>41173.776773999998</v>
      </c>
      <c r="AJ93" s="26">
        <f>(SUMIF(Budget!$G$34:$G$168,$E93,Budget!K$34:K$168))*1000</f>
        <v>41855.200625000005</v>
      </c>
      <c r="AK93" s="26">
        <f>(SUMIF(Budget!$G$34:$G$168,$E93,Budget!L$34:L$168))*1000</f>
        <v>42604.571592</v>
      </c>
    </row>
    <row r="94" spans="3:37" ht="14" x14ac:dyDescent="0.2">
      <c r="E94" s="23" t="s">
        <v>129</v>
      </c>
      <c r="F94" s="23" t="s">
        <v>130</v>
      </c>
      <c r="G94" s="27">
        <v>199</v>
      </c>
      <c r="H94" s="24">
        <v>210.1</v>
      </c>
      <c r="I94" s="24">
        <v>218.2</v>
      </c>
      <c r="J94" s="24">
        <v>220.6</v>
      </c>
      <c r="K94" s="25">
        <v>222</v>
      </c>
      <c r="L94" s="25">
        <v>236</v>
      </c>
      <c r="M94" s="25">
        <v>241</v>
      </c>
      <c r="N94" s="25">
        <v>257</v>
      </c>
      <c r="O94" s="25">
        <v>264</v>
      </c>
      <c r="P94" s="25">
        <v>268</v>
      </c>
      <c r="Q94" s="25">
        <v>404</v>
      </c>
      <c r="R94" s="25">
        <v>547</v>
      </c>
      <c r="S94" s="25">
        <v>640</v>
      </c>
      <c r="T94" s="25">
        <v>703</v>
      </c>
      <c r="U94" s="25">
        <v>802</v>
      </c>
      <c r="V94" s="25">
        <v>940</v>
      </c>
      <c r="W94" s="25">
        <v>876</v>
      </c>
      <c r="X94" s="25">
        <v>942</v>
      </c>
      <c r="Y94" s="25">
        <v>986</v>
      </c>
      <c r="Z94" s="25">
        <v>901</v>
      </c>
      <c r="AA94" s="25">
        <v>656</v>
      </c>
      <c r="AB94" s="25">
        <v>542</v>
      </c>
      <c r="AC94" s="25">
        <v>530</v>
      </c>
      <c r="AD94" s="25">
        <v>583</v>
      </c>
      <c r="AE94" s="25">
        <v>602</v>
      </c>
      <c r="AF94" s="25">
        <v>450</v>
      </c>
      <c r="AH94" s="26">
        <f>(SUMIF(Budget!$G$34:$G$168,$E94,Budget!I$34:I$168))*1000</f>
        <v>0</v>
      </c>
      <c r="AI94" s="26">
        <f>(SUMIF(Budget!$G$34:$G$168,$E94,Budget!J$34:J$168))*1000</f>
        <v>0</v>
      </c>
      <c r="AJ94" s="26">
        <f>(SUMIF(Budget!$G$34:$G$168,$E94,Budget!K$34:K$168))*1000</f>
        <v>0</v>
      </c>
      <c r="AK94" s="26">
        <f>(SUMIF(Budget!$G$34:$G$168,$E94,Budget!L$34:L$168))*1000</f>
        <v>0</v>
      </c>
    </row>
    <row r="95" spans="3:37" ht="14" x14ac:dyDescent="0.2">
      <c r="E95" s="23" t="s">
        <v>131</v>
      </c>
      <c r="F95" s="23" t="s">
        <v>132</v>
      </c>
      <c r="G95" s="27">
        <v>7555.8</v>
      </c>
      <c r="H95" s="24">
        <v>7510.2</v>
      </c>
      <c r="I95" s="24">
        <v>7807.9</v>
      </c>
      <c r="J95" s="24">
        <v>8091.4</v>
      </c>
      <c r="K95" s="25">
        <v>8004</v>
      </c>
      <c r="L95" s="25">
        <v>8321</v>
      </c>
      <c r="M95" s="25">
        <v>8466</v>
      </c>
      <c r="N95" s="25">
        <v>9381</v>
      </c>
      <c r="O95" s="25">
        <v>9645</v>
      </c>
      <c r="P95" s="25">
        <v>9607</v>
      </c>
      <c r="Q95" s="25">
        <v>9657</v>
      </c>
      <c r="R95" s="25">
        <v>9597</v>
      </c>
      <c r="S95" s="25">
        <v>9295</v>
      </c>
      <c r="T95" s="25">
        <v>10043</v>
      </c>
      <c r="U95" s="25">
        <v>11527</v>
      </c>
      <c r="V95" s="25">
        <v>13579</v>
      </c>
      <c r="W95" s="25">
        <v>13906</v>
      </c>
      <c r="X95" s="25">
        <v>13720</v>
      </c>
      <c r="Y95" s="25">
        <v>13471</v>
      </c>
      <c r="Z95" s="25">
        <v>13539</v>
      </c>
      <c r="AA95" s="25">
        <v>13859</v>
      </c>
      <c r="AB95" s="25">
        <v>13787</v>
      </c>
      <c r="AC95" s="25">
        <v>14135</v>
      </c>
      <c r="AD95" s="25">
        <v>14762</v>
      </c>
      <c r="AE95" s="25">
        <v>15277</v>
      </c>
      <c r="AF95" s="25">
        <v>15347</v>
      </c>
      <c r="AH95" s="26">
        <f>(SUMIF(Budget!$G$34:$G$168,$E95,Budget!I$34:I$168))*1000</f>
        <v>15292.655429000002</v>
      </c>
      <c r="AI95" s="26">
        <f>(SUMIF(Budget!$G$34:$G$168,$E95,Budget!J$34:J$168))*1000</f>
        <v>15485.841159</v>
      </c>
      <c r="AJ95" s="26">
        <f>(SUMIF(Budget!$G$34:$G$168,$E95,Budget!K$34:K$168))*1000</f>
        <v>15859.669307999999</v>
      </c>
      <c r="AK95" s="26">
        <f>(SUMIF(Budget!$G$34:$G$168,$E95,Budget!L$34:L$168))*1000</f>
        <v>16161.196124</v>
      </c>
    </row>
    <row r="96" spans="3:37" ht="14" x14ac:dyDescent="0.2">
      <c r="E96" s="23" t="s">
        <v>133</v>
      </c>
      <c r="F96" s="23" t="s">
        <v>134</v>
      </c>
      <c r="G96" s="24">
        <v>1464.7</v>
      </c>
      <c r="H96" s="24">
        <v>1557.8</v>
      </c>
      <c r="I96" s="27">
        <v>1617.9</v>
      </c>
      <c r="J96" s="24">
        <v>1682.3</v>
      </c>
      <c r="K96" s="25">
        <v>1695</v>
      </c>
      <c r="L96" s="25">
        <v>1741</v>
      </c>
      <c r="M96" s="25">
        <v>1806</v>
      </c>
      <c r="N96" s="25">
        <v>1973</v>
      </c>
      <c r="O96" s="25">
        <v>2055</v>
      </c>
      <c r="P96" s="25">
        <v>2095</v>
      </c>
      <c r="Q96" s="25">
        <v>2137</v>
      </c>
      <c r="R96" s="25">
        <v>2307</v>
      </c>
      <c r="S96" s="25">
        <v>2388</v>
      </c>
      <c r="T96" s="25">
        <v>2390</v>
      </c>
      <c r="U96" s="25">
        <v>2820</v>
      </c>
      <c r="V96" s="25">
        <v>2639</v>
      </c>
      <c r="W96" s="25">
        <v>1532</v>
      </c>
      <c r="X96" s="25">
        <v>1580</v>
      </c>
      <c r="Y96" s="25">
        <v>1635</v>
      </c>
      <c r="Z96" s="25">
        <v>1751</v>
      </c>
      <c r="AA96" s="25">
        <v>1805</v>
      </c>
      <c r="AB96" s="25">
        <v>1698</v>
      </c>
      <c r="AC96" s="25">
        <v>1761</v>
      </c>
      <c r="AD96" s="25">
        <v>1849</v>
      </c>
      <c r="AE96" s="25">
        <v>1907</v>
      </c>
      <c r="AF96" s="25">
        <v>1939</v>
      </c>
      <c r="AH96" s="26">
        <f>(SUMIF(Budget!$G$34:$G$168,$E96,Budget!I$34:I$168))*1000</f>
        <v>1709.7118280000002</v>
      </c>
      <c r="AI96" s="26">
        <f>(SUMIF(Budget!$G$34:$G$168,$E96,Budget!J$34:J$168))*1000</f>
        <v>0</v>
      </c>
      <c r="AJ96" s="26">
        <f>(SUMIF(Budget!$G$34:$G$168,$E96,Budget!K$34:K$168))*1000</f>
        <v>0</v>
      </c>
      <c r="AK96" s="26">
        <f>(SUMIF(Budget!$G$34:$G$168,$E96,Budget!L$34:L$168))*1000</f>
        <v>0</v>
      </c>
    </row>
    <row r="97" spans="3:37" ht="14" x14ac:dyDescent="0.2">
      <c r="E97" s="23" t="s">
        <v>135</v>
      </c>
      <c r="F97" s="23" t="s">
        <v>136</v>
      </c>
      <c r="G97" s="24">
        <v>5155.1000000000004</v>
      </c>
      <c r="H97" s="24">
        <v>5515</v>
      </c>
      <c r="I97" s="24">
        <v>5423.2</v>
      </c>
      <c r="J97" s="24">
        <v>5834.8</v>
      </c>
      <c r="K97" s="25">
        <v>6128</v>
      </c>
      <c r="L97" s="25">
        <v>6431</v>
      </c>
      <c r="M97" s="25">
        <v>6611</v>
      </c>
      <c r="N97" s="25">
        <v>7341</v>
      </c>
      <c r="O97" s="25">
        <v>7265</v>
      </c>
      <c r="P97" s="25">
        <v>7503</v>
      </c>
      <c r="Q97" s="25">
        <v>7452</v>
      </c>
      <c r="R97" s="25">
        <v>7828</v>
      </c>
      <c r="S97" s="25">
        <v>7934</v>
      </c>
      <c r="T97" s="25">
        <v>8348</v>
      </c>
      <c r="U97" s="25">
        <v>9265</v>
      </c>
      <c r="V97" s="25">
        <v>9103</v>
      </c>
      <c r="W97" s="25">
        <v>8965</v>
      </c>
      <c r="X97" s="25">
        <v>9424</v>
      </c>
      <c r="Y97" s="25">
        <v>9447</v>
      </c>
      <c r="Z97" s="25">
        <v>9661</v>
      </c>
      <c r="AA97" s="25">
        <v>9927</v>
      </c>
      <c r="AB97" s="25">
        <v>10610</v>
      </c>
      <c r="AC97" s="25">
        <v>10936</v>
      </c>
      <c r="AD97" s="25">
        <v>11209</v>
      </c>
      <c r="AE97" s="25">
        <v>11650</v>
      </c>
      <c r="AF97" s="25">
        <v>12383</v>
      </c>
      <c r="AH97" s="26">
        <f>(SUMIF(Budget!$G$34:$G$168,$E97,Budget!I$34:I$168))*1000</f>
        <v>10568.612739</v>
      </c>
      <c r="AI97" s="26">
        <f>(SUMIF(Budget!$G$34:$G$168,$E97,Budget!J$34:J$168))*1000</f>
        <v>11234.086585000001</v>
      </c>
      <c r="AJ97" s="26">
        <f>(SUMIF(Budget!$G$34:$G$168,$E97,Budget!K$34:K$168))*1000</f>
        <v>11830.511898000001</v>
      </c>
      <c r="AK97" s="26">
        <f>(SUMIF(Budget!$G$34:$G$168,$E97,Budget!L$34:L$168))*1000</f>
        <v>12715.978204000001</v>
      </c>
    </row>
    <row r="98" spans="3:37" ht="11.25" customHeight="1" x14ac:dyDescent="0.2">
      <c r="E98" s="23" t="s">
        <v>137</v>
      </c>
      <c r="F98" s="23" t="s">
        <v>138</v>
      </c>
      <c r="G98" s="27">
        <v>3</v>
      </c>
      <c r="H98" s="27">
        <v>1</v>
      </c>
      <c r="I98" s="27">
        <v>2</v>
      </c>
      <c r="J98" s="27">
        <v>3</v>
      </c>
      <c r="K98" s="25">
        <v>1</v>
      </c>
      <c r="L98" s="25">
        <v>2</v>
      </c>
      <c r="M98" s="25">
        <v>2</v>
      </c>
      <c r="N98" s="25">
        <v>2</v>
      </c>
      <c r="O98" s="25">
        <v>2</v>
      </c>
      <c r="P98" s="25">
        <v>2</v>
      </c>
      <c r="Q98" s="25">
        <v>3</v>
      </c>
      <c r="R98" s="25">
        <v>3</v>
      </c>
      <c r="S98" s="25">
        <v>3</v>
      </c>
      <c r="T98" s="25">
        <v>4</v>
      </c>
      <c r="U98" s="25">
        <v>4</v>
      </c>
      <c r="V98" s="25">
        <v>30</v>
      </c>
      <c r="W98" s="25">
        <v>28</v>
      </c>
      <c r="X98" s="25">
        <v>27</v>
      </c>
      <c r="Y98" s="25">
        <v>27</v>
      </c>
      <c r="Z98" s="25">
        <v>32</v>
      </c>
      <c r="AA98" s="25">
        <v>38</v>
      </c>
      <c r="AB98" s="25">
        <v>30</v>
      </c>
      <c r="AC98" s="25">
        <v>13</v>
      </c>
      <c r="AD98" s="25">
        <v>11</v>
      </c>
      <c r="AE98" s="25">
        <v>9</v>
      </c>
      <c r="AF98" s="25">
        <v>9</v>
      </c>
      <c r="AH98" s="26">
        <f>(SUMIF(Budget!$G$34:$G$168,$E98,Budget!I$34:I$168))*1000</f>
        <v>0</v>
      </c>
      <c r="AI98" s="26">
        <f>(SUMIF(Budget!$G$34:$G$168,$E98,Budget!J$34:J$168))*1000</f>
        <v>0</v>
      </c>
      <c r="AJ98" s="26">
        <f>(SUMIF(Budget!$G$34:$G$168,$E98,Budget!K$34:K$168))*1000</f>
        <v>0</v>
      </c>
      <c r="AK98" s="26">
        <f>(SUMIF(Budget!$G$34:$G$168,$E98,Budget!L$34:L$168))*1000</f>
        <v>0</v>
      </c>
    </row>
    <row r="99" spans="3:37" ht="14" x14ac:dyDescent="0.2">
      <c r="E99" s="23" t="s">
        <v>139</v>
      </c>
      <c r="F99" s="23" t="s">
        <v>140</v>
      </c>
      <c r="G99" s="24">
        <v>1134</v>
      </c>
      <c r="H99" s="24">
        <v>1198.2</v>
      </c>
      <c r="I99" s="27">
        <v>1194.3</v>
      </c>
      <c r="J99" s="24">
        <v>1241.0999999999999</v>
      </c>
      <c r="K99" s="25">
        <v>1310</v>
      </c>
      <c r="L99" s="25">
        <v>1234</v>
      </c>
      <c r="M99" s="25">
        <v>1240</v>
      </c>
      <c r="N99" s="25">
        <v>1386</v>
      </c>
      <c r="O99" s="25">
        <v>1406</v>
      </c>
      <c r="P99" s="25">
        <v>1375</v>
      </c>
      <c r="Q99" s="25">
        <v>1386</v>
      </c>
      <c r="R99" s="25">
        <v>1411</v>
      </c>
      <c r="S99" s="25">
        <v>1341</v>
      </c>
      <c r="T99" s="25">
        <v>1333</v>
      </c>
      <c r="U99" s="25">
        <v>1297</v>
      </c>
      <c r="V99" s="25">
        <v>927</v>
      </c>
      <c r="W99" s="25">
        <v>721</v>
      </c>
      <c r="X99" s="25">
        <v>656</v>
      </c>
      <c r="Y99" s="25">
        <v>641</v>
      </c>
      <c r="Z99" s="25">
        <v>633</v>
      </c>
      <c r="AA99" s="25">
        <v>553</v>
      </c>
      <c r="AB99" s="25">
        <v>576</v>
      </c>
      <c r="AC99" s="25">
        <v>590</v>
      </c>
      <c r="AD99" s="25">
        <v>613</v>
      </c>
      <c r="AE99" s="25">
        <v>609</v>
      </c>
      <c r="AF99" s="25">
        <v>616</v>
      </c>
      <c r="AH99" s="26">
        <f>(SUMIF(Budget!$G$34:$G$168,$E99,Budget!I$34:I$168))*1000</f>
        <v>0</v>
      </c>
      <c r="AI99" s="26">
        <f>(SUMIF(Budget!$G$34:$G$168,$E99,Budget!J$34:J$168))*1000</f>
        <v>0</v>
      </c>
      <c r="AJ99" s="26">
        <f>(SUMIF(Budget!$G$34:$G$168,$E99,Budget!K$34:K$168))*1000</f>
        <v>0</v>
      </c>
      <c r="AK99" s="26">
        <f>(SUMIF(Budget!$G$34:$G$168,$E99,Budget!L$34:L$168))*1000</f>
        <v>0</v>
      </c>
    </row>
    <row r="100" spans="3:37" s="72" customFormat="1" ht="14" x14ac:dyDescent="0.2">
      <c r="C100" s="32"/>
      <c r="D100" s="2"/>
      <c r="E100" s="4"/>
      <c r="F100" s="4"/>
      <c r="G100" s="24"/>
      <c r="H100" s="24"/>
      <c r="I100" s="27"/>
      <c r="J100" s="24"/>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
      <c r="AH100" s="26"/>
      <c r="AI100" s="26"/>
      <c r="AJ100" s="26"/>
      <c r="AK100" s="26"/>
    </row>
    <row r="101" spans="3:37" ht="14" x14ac:dyDescent="0.2">
      <c r="C101" s="116">
        <f>+MAX($C$1:$C100)+1</f>
        <v>10</v>
      </c>
      <c r="E101" s="41" t="s">
        <v>141</v>
      </c>
      <c r="F101" s="41" t="s">
        <v>142</v>
      </c>
      <c r="G101" s="42">
        <v>51995.6</v>
      </c>
      <c r="H101" s="46">
        <v>54050.5</v>
      </c>
      <c r="I101" s="42">
        <v>57260.1</v>
      </c>
      <c r="J101" s="42">
        <v>58056.7</v>
      </c>
      <c r="K101" s="43">
        <v>62599</v>
      </c>
      <c r="L101" s="43">
        <v>67250</v>
      </c>
      <c r="M101" s="43">
        <v>70481</v>
      </c>
      <c r="N101" s="43">
        <v>70695</v>
      </c>
      <c r="O101" s="43">
        <v>73881</v>
      </c>
      <c r="P101" s="43">
        <v>75705</v>
      </c>
      <c r="Q101" s="43">
        <v>75287</v>
      </c>
      <c r="R101" s="43">
        <v>85155</v>
      </c>
      <c r="S101" s="43">
        <v>91405</v>
      </c>
      <c r="T101" s="43">
        <v>93710</v>
      </c>
      <c r="U101" s="43">
        <v>96345</v>
      </c>
      <c r="V101" s="43">
        <v>95693</v>
      </c>
      <c r="W101" s="43">
        <v>99083</v>
      </c>
      <c r="X101" s="43">
        <v>101799</v>
      </c>
      <c r="Y101" s="43">
        <v>104377</v>
      </c>
      <c r="Z101" s="43">
        <v>105790</v>
      </c>
      <c r="AA101" s="43">
        <v>106585</v>
      </c>
      <c r="AB101" s="43">
        <v>116021</v>
      </c>
      <c r="AC101" s="43">
        <v>117066</v>
      </c>
      <c r="AD101" s="43">
        <v>118066</v>
      </c>
      <c r="AE101" s="43">
        <v>122835</v>
      </c>
      <c r="AF101" s="43">
        <v>146093</v>
      </c>
      <c r="AG101" s="44"/>
      <c r="AH101" s="45">
        <f>+SUM(AH102:AH110)</f>
        <v>104656.69148699999</v>
      </c>
      <c r="AI101" s="45">
        <f t="shared" ref="AI101:AK101" si="10">+SUM(AI102:AI110)</f>
        <v>127621.75573899999</v>
      </c>
      <c r="AJ101" s="45">
        <f t="shared" si="10"/>
        <v>108615.342172</v>
      </c>
      <c r="AK101" s="45">
        <f t="shared" si="10"/>
        <v>112603.31666500001</v>
      </c>
    </row>
    <row r="102" spans="3:37" ht="14" x14ac:dyDescent="0.2">
      <c r="E102" s="23" t="s">
        <v>143</v>
      </c>
      <c r="F102" s="23" t="s">
        <v>144</v>
      </c>
      <c r="G102" s="24">
        <v>5560.3</v>
      </c>
      <c r="H102" s="24">
        <v>5992.8</v>
      </c>
      <c r="I102" s="24">
        <v>6037.2</v>
      </c>
      <c r="J102" s="24">
        <v>6081.2</v>
      </c>
      <c r="K102" s="25">
        <v>6517</v>
      </c>
      <c r="L102" s="25">
        <v>7844</v>
      </c>
      <c r="M102" s="25">
        <v>8123</v>
      </c>
      <c r="N102" s="25">
        <v>7887</v>
      </c>
      <c r="O102" s="25">
        <v>8471</v>
      </c>
      <c r="P102" s="25">
        <v>10844</v>
      </c>
      <c r="Q102" s="25">
        <v>10737</v>
      </c>
      <c r="R102" s="25">
        <v>12326</v>
      </c>
      <c r="S102" s="25">
        <v>12387</v>
      </c>
      <c r="T102" s="25">
        <v>12276</v>
      </c>
      <c r="U102" s="25">
        <v>12337</v>
      </c>
      <c r="V102" s="25">
        <v>11447</v>
      </c>
      <c r="W102" s="25">
        <v>12151</v>
      </c>
      <c r="X102" s="25">
        <v>12981</v>
      </c>
      <c r="Y102" s="25">
        <v>13664</v>
      </c>
      <c r="Z102" s="25">
        <v>13852</v>
      </c>
      <c r="AA102" s="25">
        <v>14011</v>
      </c>
      <c r="AB102" s="25">
        <v>16957</v>
      </c>
      <c r="AC102" s="25">
        <v>15768</v>
      </c>
      <c r="AD102" s="25">
        <v>16215</v>
      </c>
      <c r="AE102" s="25">
        <v>16737</v>
      </c>
      <c r="AF102" s="25">
        <v>17588</v>
      </c>
      <c r="AH102" s="26">
        <f>(SUMIF(Budget!$G$34:$G$168,$E102,Budget!I$34:I$168))*1000</f>
        <v>11239.269084</v>
      </c>
      <c r="AI102" s="26">
        <f>(SUMIF(Budget!$G$34:$G$168,$E102,Budget!J$34:J$168))*1000</f>
        <v>14590.787322</v>
      </c>
      <c r="AJ102" s="26">
        <f>(SUMIF(Budget!$G$34:$G$168,$E102,Budget!K$34:K$168))*1000</f>
        <v>12384.83351</v>
      </c>
      <c r="AK102" s="26">
        <f>(SUMIF(Budget!$G$34:$G$168,$E102,Budget!L$34:L$168))*1000</f>
        <v>13430.933271</v>
      </c>
    </row>
    <row r="103" spans="3:37" ht="14" x14ac:dyDescent="0.2">
      <c r="E103" s="23" t="s">
        <v>145</v>
      </c>
      <c r="F103" s="23" t="s">
        <v>146</v>
      </c>
      <c r="G103" s="24">
        <v>21518.2</v>
      </c>
      <c r="H103" s="24">
        <v>21931.599999999999</v>
      </c>
      <c r="I103" s="24">
        <v>22762</v>
      </c>
      <c r="J103" s="24">
        <v>22855.200000000001</v>
      </c>
      <c r="K103" s="25">
        <v>23311</v>
      </c>
      <c r="L103" s="25">
        <v>25505</v>
      </c>
      <c r="M103" s="25">
        <v>26308</v>
      </c>
      <c r="N103" s="25">
        <v>26111</v>
      </c>
      <c r="O103" s="25">
        <v>27756</v>
      </c>
      <c r="P103" s="25">
        <v>37259</v>
      </c>
      <c r="Q103" s="25">
        <v>37154</v>
      </c>
      <c r="R103" s="25">
        <v>43783</v>
      </c>
      <c r="S103" s="25">
        <v>47422</v>
      </c>
      <c r="T103" s="25">
        <v>49423</v>
      </c>
      <c r="U103" s="25">
        <v>52081</v>
      </c>
      <c r="V103" s="25">
        <v>54047</v>
      </c>
      <c r="W103" s="25">
        <v>56594</v>
      </c>
      <c r="X103" s="25">
        <v>58480</v>
      </c>
      <c r="Y103" s="25">
        <v>59890</v>
      </c>
      <c r="Z103" s="25">
        <v>60631</v>
      </c>
      <c r="AA103" s="25">
        <v>60831</v>
      </c>
      <c r="AB103" s="25">
        <v>61320</v>
      </c>
      <c r="AC103" s="25">
        <v>62080</v>
      </c>
      <c r="AD103" s="25">
        <v>62984</v>
      </c>
      <c r="AE103" s="25">
        <v>63105</v>
      </c>
      <c r="AF103" s="25">
        <v>64252</v>
      </c>
      <c r="AH103" s="26">
        <f>(SUMIF(Budget!$G$34:$G$168,$E103,Budget!I$34:I$168))*1000</f>
        <v>65207.331250999996</v>
      </c>
      <c r="AI103" s="26">
        <f>(SUMIF(Budget!$G$34:$G$168,$E103,Budget!J$34:J$168))*1000</f>
        <v>65793.64805199999</v>
      </c>
      <c r="AJ103" s="26">
        <f>(SUMIF(Budget!$G$34:$G$168,$E103,Budget!K$34:K$168))*1000</f>
        <v>66377.943038000012</v>
      </c>
      <c r="AK103" s="26">
        <f>(SUMIF(Budget!$G$34:$G$168,$E103,Budget!L$34:L$168))*1000</f>
        <v>68489.487399999998</v>
      </c>
    </row>
    <row r="104" spans="3:37" ht="14" x14ac:dyDescent="0.2">
      <c r="E104" s="23" t="s">
        <v>147</v>
      </c>
      <c r="F104" s="23" t="s">
        <v>148</v>
      </c>
      <c r="G104" s="24">
        <v>581.1</v>
      </c>
      <c r="H104" s="24">
        <v>595</v>
      </c>
      <c r="I104" s="24">
        <v>620</v>
      </c>
      <c r="J104" s="24">
        <v>573.29999999999995</v>
      </c>
      <c r="K104" s="25">
        <v>630</v>
      </c>
      <c r="L104" s="25">
        <v>695</v>
      </c>
      <c r="M104" s="25">
        <v>734</v>
      </c>
      <c r="N104" s="25">
        <v>827</v>
      </c>
      <c r="O104" s="25">
        <v>869</v>
      </c>
      <c r="P104" s="25">
        <v>903</v>
      </c>
      <c r="Q104" s="25">
        <v>894</v>
      </c>
      <c r="R104" s="25">
        <v>1041</v>
      </c>
      <c r="S104" s="25">
        <v>852</v>
      </c>
      <c r="T104" s="25">
        <v>835</v>
      </c>
      <c r="U104" s="25">
        <v>803</v>
      </c>
      <c r="V104" s="25">
        <v>809</v>
      </c>
      <c r="W104" s="25">
        <v>781</v>
      </c>
      <c r="X104" s="25">
        <v>792</v>
      </c>
      <c r="Y104" s="25">
        <v>780</v>
      </c>
      <c r="Z104" s="25">
        <v>774</v>
      </c>
      <c r="AA104" s="25">
        <v>853</v>
      </c>
      <c r="AB104" s="25">
        <v>808</v>
      </c>
      <c r="AC104" s="25">
        <v>788</v>
      </c>
      <c r="AD104" s="25">
        <v>837</v>
      </c>
      <c r="AE104" s="25">
        <v>854</v>
      </c>
      <c r="AF104" s="25">
        <v>832</v>
      </c>
      <c r="AH104" s="26">
        <f>(SUMIF(Budget!$G$34:$G$168,$E104,Budget!I$34:I$168))*1000</f>
        <v>0</v>
      </c>
      <c r="AI104" s="26">
        <f>(SUMIF(Budget!$G$34:$G$168,$E104,Budget!J$34:J$168))*1000</f>
        <v>0</v>
      </c>
      <c r="AJ104" s="26">
        <f>(SUMIF(Budget!$G$34:$G$168,$E104,Budget!K$34:K$168))*1000</f>
        <v>0</v>
      </c>
      <c r="AK104" s="26">
        <f>(SUMIF(Budget!$G$34:$G$168,$E104,Budget!L$34:L$168))*1000</f>
        <v>0</v>
      </c>
    </row>
    <row r="105" spans="3:37" ht="14" x14ac:dyDescent="0.2">
      <c r="E105" s="23" t="s">
        <v>149</v>
      </c>
      <c r="F105" s="23" t="s">
        <v>150</v>
      </c>
      <c r="G105" s="24">
        <v>1025.4000000000001</v>
      </c>
      <c r="H105" s="24">
        <v>1269.9000000000001</v>
      </c>
      <c r="I105" s="24">
        <v>1515.7</v>
      </c>
      <c r="J105" s="24">
        <v>1151.7</v>
      </c>
      <c r="K105" s="25">
        <v>1916</v>
      </c>
      <c r="L105" s="25">
        <v>1824</v>
      </c>
      <c r="M105" s="25">
        <v>1574</v>
      </c>
      <c r="N105" s="25">
        <v>1464</v>
      </c>
      <c r="O105" s="25">
        <v>1299</v>
      </c>
      <c r="P105" s="25">
        <v>2095</v>
      </c>
      <c r="Q105" s="25">
        <v>1827</v>
      </c>
      <c r="R105" s="25">
        <v>1711</v>
      </c>
      <c r="S105" s="25">
        <v>2411</v>
      </c>
      <c r="T105" s="25">
        <v>2492</v>
      </c>
      <c r="U105" s="25">
        <v>1732</v>
      </c>
      <c r="V105" s="25">
        <v>1383</v>
      </c>
      <c r="W105" s="25">
        <v>1260</v>
      </c>
      <c r="X105" s="25">
        <v>1343</v>
      </c>
      <c r="Y105" s="25">
        <v>1467</v>
      </c>
      <c r="Z105" s="25">
        <v>1465</v>
      </c>
      <c r="AA105" s="25">
        <v>1442</v>
      </c>
      <c r="AB105" s="25">
        <v>1763</v>
      </c>
      <c r="AC105" s="25">
        <v>1772</v>
      </c>
      <c r="AD105" s="25">
        <v>1753</v>
      </c>
      <c r="AE105" s="25">
        <v>1807</v>
      </c>
      <c r="AF105" s="25">
        <v>1765</v>
      </c>
      <c r="AH105" s="26">
        <f>(SUMIF(Budget!$G$34:$G$168,$E105,Budget!I$34:I$168))*1000</f>
        <v>0</v>
      </c>
      <c r="AI105" s="26">
        <f>(SUMIF(Budget!$G$34:$G$168,$E105,Budget!J$34:J$168))*1000</f>
        <v>0</v>
      </c>
      <c r="AJ105" s="26">
        <f>(SUMIF(Budget!$G$34:$G$168,$E105,Budget!K$34:K$168))*1000</f>
        <v>0</v>
      </c>
      <c r="AK105" s="26">
        <f>(SUMIF(Budget!$G$34:$G$168,$E105,Budget!L$34:L$168))*1000</f>
        <v>0</v>
      </c>
    </row>
    <row r="106" spans="3:37" ht="14" x14ac:dyDescent="0.2">
      <c r="E106" s="23" t="s">
        <v>151</v>
      </c>
      <c r="F106" s="23" t="s">
        <v>152</v>
      </c>
      <c r="G106" s="24">
        <v>4012.1</v>
      </c>
      <c r="H106" s="24">
        <v>3839</v>
      </c>
      <c r="I106" s="24">
        <v>4461.8999999999996</v>
      </c>
      <c r="J106" s="24">
        <v>4606.6000000000004</v>
      </c>
      <c r="K106" s="25">
        <v>5655</v>
      </c>
      <c r="L106" s="25">
        <v>5985</v>
      </c>
      <c r="M106" s="25">
        <v>5822</v>
      </c>
      <c r="N106" s="25">
        <v>5592</v>
      </c>
      <c r="O106" s="25">
        <v>6233</v>
      </c>
      <c r="P106" s="25">
        <v>6744</v>
      </c>
      <c r="Q106" s="25">
        <v>6679</v>
      </c>
      <c r="R106" s="25">
        <v>7392</v>
      </c>
      <c r="S106" s="25">
        <v>7802</v>
      </c>
      <c r="T106" s="25">
        <v>7432</v>
      </c>
      <c r="U106" s="25">
        <v>5868</v>
      </c>
      <c r="V106" s="25">
        <v>5604</v>
      </c>
      <c r="W106" s="25">
        <v>5908</v>
      </c>
      <c r="X106" s="25">
        <v>5811</v>
      </c>
      <c r="Y106" s="25">
        <v>6071</v>
      </c>
      <c r="Z106" s="25">
        <v>6168</v>
      </c>
      <c r="AA106" s="25">
        <v>6197</v>
      </c>
      <c r="AB106" s="25">
        <v>6224</v>
      </c>
      <c r="AC106" s="25">
        <v>6124</v>
      </c>
      <c r="AD106" s="25">
        <v>5923</v>
      </c>
      <c r="AE106" s="25">
        <v>5399</v>
      </c>
      <c r="AF106" s="25">
        <v>22856</v>
      </c>
      <c r="AH106" s="26">
        <f>(SUMIF(Budget!$G$34:$G$168,$E106,Budget!I$34:I$168))*1000</f>
        <v>0</v>
      </c>
      <c r="AI106" s="26">
        <f>(SUMIF(Budget!$G$34:$G$168,$E106,Budget!J$34:J$168))*1000</f>
        <v>17806.210999999999</v>
      </c>
      <c r="AJ106" s="26">
        <f>(SUMIF(Budget!$G$34:$G$168,$E106,Budget!K$34:K$168))*1000</f>
        <v>2601.087</v>
      </c>
      <c r="AK106" s="26">
        <f>(SUMIF(Budget!$G$34:$G$168,$E106,Budget!L$34:L$168))*1000</f>
        <v>0</v>
      </c>
    </row>
    <row r="107" spans="3:37" ht="14" x14ac:dyDescent="0.2">
      <c r="E107" s="23" t="s">
        <v>153</v>
      </c>
      <c r="F107" s="23" t="s">
        <v>154</v>
      </c>
      <c r="G107" s="27">
        <v>9430.6</v>
      </c>
      <c r="H107" s="24">
        <v>9790.4</v>
      </c>
      <c r="I107" s="24">
        <v>10783.8</v>
      </c>
      <c r="J107" s="24">
        <v>10717.6</v>
      </c>
      <c r="K107" s="25">
        <v>11294</v>
      </c>
      <c r="L107" s="25">
        <v>11617</v>
      </c>
      <c r="M107" s="25">
        <v>11634</v>
      </c>
      <c r="N107" s="25">
        <v>12221</v>
      </c>
      <c r="O107" s="25">
        <v>12118</v>
      </c>
      <c r="P107" s="25">
        <v>12795</v>
      </c>
      <c r="Q107" s="25">
        <v>12918</v>
      </c>
      <c r="R107" s="25">
        <v>12984</v>
      </c>
      <c r="S107" s="25">
        <v>13130</v>
      </c>
      <c r="T107" s="25">
        <v>13847</v>
      </c>
      <c r="U107" s="25">
        <v>15307</v>
      </c>
      <c r="V107" s="25">
        <v>14325</v>
      </c>
      <c r="W107" s="25">
        <v>14506</v>
      </c>
      <c r="X107" s="25">
        <v>14702</v>
      </c>
      <c r="Y107" s="25">
        <v>15503</v>
      </c>
      <c r="Z107" s="25">
        <v>15732</v>
      </c>
      <c r="AA107" s="25">
        <v>16110</v>
      </c>
      <c r="AB107" s="25">
        <v>21322</v>
      </c>
      <c r="AC107" s="25">
        <v>21801</v>
      </c>
      <c r="AD107" s="25">
        <v>21144</v>
      </c>
      <c r="AE107" s="25">
        <v>21196</v>
      </c>
      <c r="AF107" s="25">
        <v>21674</v>
      </c>
      <c r="AH107" s="26">
        <f>(SUMIF(Budget!$G$34:$G$168,$E107,Budget!I$34:I$168))*1000</f>
        <v>16185.310712999999</v>
      </c>
      <c r="AI107" s="26">
        <f>(SUMIF(Budget!$G$34:$G$168,$E107,Budget!J$34:J$168))*1000</f>
        <v>16327.431627</v>
      </c>
      <c r="AJ107" s="26">
        <f>(SUMIF(Budget!$G$34:$G$168,$E107,Budget!K$34:K$168))*1000</f>
        <v>14676.403857000001</v>
      </c>
      <c r="AK107" s="26">
        <f>(SUMIF(Budget!$G$34:$G$168,$E107,Budget!L$34:L$168))*1000</f>
        <v>15929.707536</v>
      </c>
    </row>
    <row r="108" spans="3:37" ht="14" x14ac:dyDescent="0.2">
      <c r="E108" s="23" t="s">
        <v>155</v>
      </c>
      <c r="F108" s="23" t="s">
        <v>156</v>
      </c>
      <c r="G108" s="24">
        <v>9680.9</v>
      </c>
      <c r="H108" s="24">
        <v>10438.9</v>
      </c>
      <c r="I108" s="24">
        <v>10883</v>
      </c>
      <c r="J108" s="24">
        <v>11868.3</v>
      </c>
      <c r="K108" s="25">
        <v>13063</v>
      </c>
      <c r="L108" s="25">
        <v>13554</v>
      </c>
      <c r="M108" s="25">
        <v>16054</v>
      </c>
      <c r="N108" s="25">
        <v>16361</v>
      </c>
      <c r="O108" s="25">
        <v>16884</v>
      </c>
      <c r="P108" s="25">
        <v>4812</v>
      </c>
      <c r="Q108" s="25">
        <v>4820</v>
      </c>
      <c r="R108" s="25">
        <v>5662</v>
      </c>
      <c r="S108" s="25">
        <v>7113</v>
      </c>
      <c r="T108" s="25">
        <v>7153</v>
      </c>
      <c r="U108" s="25">
        <v>7929</v>
      </c>
      <c r="V108" s="25">
        <v>7880</v>
      </c>
      <c r="W108" s="25">
        <v>7685</v>
      </c>
      <c r="X108" s="25">
        <v>7501</v>
      </c>
      <c r="Y108" s="25">
        <v>6917</v>
      </c>
      <c r="Z108" s="25">
        <v>7167</v>
      </c>
      <c r="AA108" s="25">
        <v>7141</v>
      </c>
      <c r="AB108" s="25">
        <v>7611</v>
      </c>
      <c r="AC108" s="25">
        <v>8714</v>
      </c>
      <c r="AD108" s="25">
        <v>9188</v>
      </c>
      <c r="AE108" s="25">
        <v>13717</v>
      </c>
      <c r="AF108" s="25">
        <v>17108</v>
      </c>
      <c r="AH108" s="26">
        <f>(SUMIF(Budget!$G$34:$G$168,$E108,Budget!I$34:I$168))*1000</f>
        <v>12024.780438999998</v>
      </c>
      <c r="AI108" s="26">
        <f>(SUMIF(Budget!$G$34:$G$168,$E108,Budget!J$34:J$168))*1000</f>
        <v>13103.677738</v>
      </c>
      <c r="AJ108" s="26">
        <f>(SUMIF(Budget!$G$34:$G$168,$E108,Budget!K$34:K$168))*1000</f>
        <v>12575.074767</v>
      </c>
      <c r="AK108" s="26">
        <f>(SUMIF(Budget!$G$34:$G$168,$E108,Budget!L$34:L$168))*1000</f>
        <v>14753.188458000001</v>
      </c>
    </row>
    <row r="109" spans="3:37" ht="14" x14ac:dyDescent="0.2">
      <c r="E109" s="23" t="s">
        <v>157</v>
      </c>
      <c r="F109" s="23" t="s">
        <v>158</v>
      </c>
      <c r="G109" s="27">
        <v>0</v>
      </c>
      <c r="H109" s="27">
        <v>0</v>
      </c>
      <c r="I109" s="27">
        <v>0</v>
      </c>
      <c r="J109" s="27">
        <v>0</v>
      </c>
      <c r="K109" s="25">
        <v>0</v>
      </c>
      <c r="L109" s="25">
        <v>0</v>
      </c>
      <c r="M109" s="25">
        <v>0</v>
      </c>
      <c r="N109" s="25">
        <v>0</v>
      </c>
      <c r="O109" s="25">
        <v>0</v>
      </c>
      <c r="P109" s="25">
        <v>0</v>
      </c>
      <c r="Q109" s="25">
        <v>0</v>
      </c>
      <c r="R109" s="25">
        <v>0</v>
      </c>
      <c r="S109" s="25">
        <v>0</v>
      </c>
      <c r="T109" s="25">
        <v>0</v>
      </c>
      <c r="U109" s="25">
        <v>0</v>
      </c>
      <c r="V109" s="25">
        <v>0</v>
      </c>
      <c r="W109" s="25">
        <v>0</v>
      </c>
      <c r="X109" s="25">
        <v>0</v>
      </c>
      <c r="Y109" s="25">
        <v>0</v>
      </c>
      <c r="Z109" s="25">
        <v>0</v>
      </c>
      <c r="AA109" s="25">
        <v>0</v>
      </c>
      <c r="AB109" s="25">
        <v>0</v>
      </c>
      <c r="AC109" s="25">
        <v>0</v>
      </c>
      <c r="AD109" s="25">
        <v>0</v>
      </c>
      <c r="AE109" s="25">
        <v>0</v>
      </c>
      <c r="AF109" s="25">
        <v>0</v>
      </c>
      <c r="AH109" s="26">
        <v>0</v>
      </c>
      <c r="AI109" s="26">
        <v>0</v>
      </c>
      <c r="AJ109" s="26">
        <v>0</v>
      </c>
      <c r="AK109" s="26">
        <v>0</v>
      </c>
    </row>
    <row r="110" spans="3:37" ht="14" x14ac:dyDescent="0.2">
      <c r="E110" s="23" t="s">
        <v>159</v>
      </c>
      <c r="F110" s="23" t="s">
        <v>160</v>
      </c>
      <c r="G110" s="24">
        <v>186</v>
      </c>
      <c r="H110" s="24">
        <v>195</v>
      </c>
      <c r="I110" s="27">
        <v>196.4</v>
      </c>
      <c r="J110" s="24">
        <v>202.7</v>
      </c>
      <c r="K110" s="25">
        <v>213</v>
      </c>
      <c r="L110" s="25">
        <v>225</v>
      </c>
      <c r="M110" s="25">
        <v>232</v>
      </c>
      <c r="N110" s="25">
        <v>233</v>
      </c>
      <c r="O110" s="25">
        <v>251</v>
      </c>
      <c r="P110" s="25">
        <v>253</v>
      </c>
      <c r="Q110" s="25">
        <v>258</v>
      </c>
      <c r="R110" s="25">
        <v>256</v>
      </c>
      <c r="S110" s="25">
        <v>288</v>
      </c>
      <c r="T110" s="25">
        <v>252</v>
      </c>
      <c r="U110" s="25">
        <v>288</v>
      </c>
      <c r="V110" s="25">
        <v>196</v>
      </c>
      <c r="W110" s="25">
        <v>199</v>
      </c>
      <c r="X110" s="25">
        <v>188</v>
      </c>
      <c r="Y110" s="25">
        <v>85</v>
      </c>
      <c r="Z110" s="25">
        <v>1</v>
      </c>
      <c r="AA110" s="25">
        <v>1</v>
      </c>
      <c r="AB110" s="25">
        <v>16</v>
      </c>
      <c r="AC110" s="25">
        <v>20</v>
      </c>
      <c r="AD110" s="25">
        <v>22</v>
      </c>
      <c r="AE110" s="25">
        <v>19</v>
      </c>
      <c r="AF110" s="25">
        <v>20</v>
      </c>
      <c r="AH110" s="26">
        <v>0</v>
      </c>
      <c r="AI110" s="26">
        <v>0</v>
      </c>
      <c r="AJ110" s="26">
        <v>0</v>
      </c>
      <c r="AK110" s="26">
        <v>0</v>
      </c>
    </row>
  </sheetData>
  <mergeCells count="1">
    <mergeCell ref="E14:F14"/>
  </mergeCells>
  <pageMargins left="0.7" right="0.7" top="0.75" bottom="0.75" header="0.3" footer="0.3"/>
  <pageSetup paperSize="9" orientation="portrait" r:id="rId1"/>
  <ignoredErrors>
    <ignoredError sqref="AD18:AF18" formulaRange="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4"/>
  </sheetPr>
  <dimension ref="A1:AQ128"/>
  <sheetViews>
    <sheetView showGridLines="0" view="pageBreakPreview" zoomScaleNormal="130" zoomScaleSheetLayoutView="100" workbookViewId="0">
      <pane xSplit="6" ySplit="16" topLeftCell="AD17" activePane="bottomRight" state="frozen"/>
      <selection activeCell="F45" sqref="F45"/>
      <selection pane="topRight" activeCell="F45" sqref="F45"/>
      <selection pane="bottomLeft" activeCell="F45" sqref="F45"/>
      <selection pane="bottomRight"/>
    </sheetView>
  </sheetViews>
  <sheetFormatPr baseColWidth="10" defaultColWidth="8.83203125" defaultRowHeight="11.25" customHeight="1" outlineLevelCol="1" x14ac:dyDescent="0.2"/>
  <cols>
    <col min="1" max="2" width="2.6640625" style="1" customWidth="1"/>
    <col min="3" max="3" width="2.6640625" style="48" customWidth="1"/>
    <col min="4" max="4" width="2.6640625" style="1" customWidth="1"/>
    <col min="5" max="5" width="15" style="2" customWidth="1"/>
    <col min="6" max="6" width="29.83203125" style="2" customWidth="1"/>
    <col min="7" max="29" width="10" style="2" hidden="1" customWidth="1" outlineLevel="1"/>
    <col min="30" max="30" width="10" style="2" customWidth="1" collapsed="1"/>
    <col min="31" max="37" width="10.6640625" style="2" customWidth="1"/>
    <col min="38" max="38" width="3.6640625" style="2" customWidth="1"/>
    <col min="39" max="39" width="12.6640625" style="2" bestFit="1" customWidth="1"/>
    <col min="40" max="40" width="2.6640625" customWidth="1"/>
    <col min="41" max="41" width="9.6640625" style="2" customWidth="1"/>
    <col min="42" max="42" width="8.83203125" style="2"/>
    <col min="43" max="43" width="9" style="2" bestFit="1" customWidth="1"/>
    <col min="44" max="16384" width="8.83203125" style="2"/>
  </cols>
  <sheetData>
    <row r="1" spans="1:43" ht="15" x14ac:dyDescent="0.2">
      <c r="E1" s="4"/>
      <c r="G1" s="3"/>
      <c r="AI1"/>
      <c r="AJ1"/>
      <c r="AK1"/>
      <c r="AL1"/>
      <c r="AN1" s="2"/>
    </row>
    <row r="2" spans="1:43" ht="25" x14ac:dyDescent="0.25">
      <c r="A2" s="2"/>
      <c r="B2" s="2"/>
      <c r="C2" s="132" t="s">
        <v>367</v>
      </c>
      <c r="D2" s="2"/>
      <c r="E2" s="4"/>
      <c r="G2" s="3"/>
      <c r="K2" s="12"/>
      <c r="L2" s="12"/>
      <c r="M2" s="12"/>
      <c r="N2" s="12"/>
      <c r="O2" s="12"/>
      <c r="P2" s="12"/>
      <c r="Q2" s="12"/>
      <c r="R2" s="12"/>
      <c r="S2" s="12"/>
      <c r="T2" s="12"/>
      <c r="U2" s="12"/>
      <c r="V2" s="12"/>
      <c r="W2" s="12"/>
      <c r="X2" s="12"/>
      <c r="Y2" s="12"/>
      <c r="Z2" s="12"/>
      <c r="AA2" s="12"/>
      <c r="AB2" s="12"/>
      <c r="AC2" s="12"/>
      <c r="AD2" s="12"/>
      <c r="AE2" s="12"/>
      <c r="AF2" s="12"/>
      <c r="AN2" s="2"/>
    </row>
    <row r="3" spans="1:43" ht="14" x14ac:dyDescent="0.15">
      <c r="E3" s="4"/>
      <c r="G3" s="3"/>
      <c r="AN3" s="2"/>
    </row>
    <row r="4" spans="1:43" ht="14" x14ac:dyDescent="0.15">
      <c r="E4" s="4"/>
      <c r="G4" s="3"/>
      <c r="AN4" s="2"/>
    </row>
    <row r="5" spans="1:43" s="75" customFormat="1" ht="13" x14ac:dyDescent="0.15">
      <c r="A5" s="2"/>
      <c r="B5" s="2"/>
      <c r="C5" s="116">
        <v>0</v>
      </c>
      <c r="E5" s="41" t="s">
        <v>392</v>
      </c>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row>
    <row r="6" spans="1:43" ht="14" x14ac:dyDescent="0.15">
      <c r="E6" s="142" t="s">
        <v>455</v>
      </c>
      <c r="AN6" s="2"/>
    </row>
    <row r="7" spans="1:43" ht="14" x14ac:dyDescent="0.15">
      <c r="E7" s="142" t="s">
        <v>423</v>
      </c>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c r="AL7" s="142"/>
      <c r="AM7" s="142"/>
      <c r="AN7" s="2"/>
    </row>
    <row r="8" spans="1:43" ht="14" x14ac:dyDescent="0.15">
      <c r="E8" s="142" t="s">
        <v>424</v>
      </c>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2"/>
    </row>
    <row r="9" spans="1:43" ht="14" x14ac:dyDescent="0.15">
      <c r="E9" s="4"/>
      <c r="G9" s="3"/>
      <c r="AN9" s="2"/>
    </row>
    <row r="10" spans="1:43" ht="14" x14ac:dyDescent="0.15">
      <c r="E10" s="4"/>
      <c r="G10" s="3"/>
      <c r="AN10" s="2"/>
    </row>
    <row r="11" spans="1:43" ht="14" x14ac:dyDescent="0.15">
      <c r="E11" s="4"/>
      <c r="G11" s="3"/>
      <c r="AN11" s="2"/>
    </row>
    <row r="12" spans="1:43" ht="14" x14ac:dyDescent="0.15">
      <c r="C12" s="9"/>
      <c r="D12" s="9"/>
      <c r="E12" s="9"/>
      <c r="F12" s="9"/>
      <c r="G12" s="9">
        <v>1995</v>
      </c>
      <c r="H12" s="9" t="s">
        <v>162</v>
      </c>
      <c r="I12" s="9" t="s">
        <v>163</v>
      </c>
      <c r="J12" s="9" t="s">
        <v>164</v>
      </c>
      <c r="K12" s="9" t="s">
        <v>165</v>
      </c>
      <c r="L12" s="9" t="s">
        <v>166</v>
      </c>
      <c r="M12" s="9" t="s">
        <v>167</v>
      </c>
      <c r="N12" s="9" t="s">
        <v>168</v>
      </c>
      <c r="O12" s="9" t="s">
        <v>169</v>
      </c>
      <c r="P12" s="9" t="s">
        <v>170</v>
      </c>
      <c r="Q12" s="9" t="s">
        <v>171</v>
      </c>
      <c r="R12" s="9" t="s">
        <v>172</v>
      </c>
      <c r="S12" s="9" t="s">
        <v>173</v>
      </c>
      <c r="T12" s="9" t="s">
        <v>174</v>
      </c>
      <c r="U12" s="9" t="s">
        <v>175</v>
      </c>
      <c r="V12" s="9" t="s">
        <v>176</v>
      </c>
      <c r="W12" s="9" t="s">
        <v>177</v>
      </c>
      <c r="X12" s="9" t="s">
        <v>178</v>
      </c>
      <c r="Y12" s="9" t="s">
        <v>179</v>
      </c>
      <c r="Z12" s="9" t="s">
        <v>180</v>
      </c>
      <c r="AA12" s="9" t="s">
        <v>181</v>
      </c>
      <c r="AB12" s="9" t="s">
        <v>182</v>
      </c>
      <c r="AC12" s="9" t="s">
        <v>183</v>
      </c>
      <c r="AD12" s="9" t="s">
        <v>184</v>
      </c>
      <c r="AE12" s="9" t="s">
        <v>185</v>
      </c>
      <c r="AF12" s="9" t="s">
        <v>186</v>
      </c>
      <c r="AH12" s="9" t="s">
        <v>191</v>
      </c>
      <c r="AI12" s="9" t="s">
        <v>190</v>
      </c>
      <c r="AJ12" s="9" t="s">
        <v>188</v>
      </c>
      <c r="AK12" s="9" t="s">
        <v>189</v>
      </c>
      <c r="AM12" s="6" t="s">
        <v>363</v>
      </c>
      <c r="AN12" s="2"/>
    </row>
    <row r="13" spans="1:43" ht="14" x14ac:dyDescent="0.15">
      <c r="E13" s="4"/>
      <c r="G13" s="3"/>
      <c r="AM13" s="6" t="s">
        <v>364</v>
      </c>
      <c r="AN13" s="2"/>
    </row>
    <row r="14" spans="1:43" ht="15" x14ac:dyDescent="0.2">
      <c r="A14" s="47"/>
      <c r="B14" s="47"/>
      <c r="C14" s="148"/>
      <c r="D14" s="47"/>
      <c r="AM14"/>
      <c r="AN14" s="2"/>
    </row>
    <row r="15" spans="1:43" ht="11.25" customHeight="1" x14ac:dyDescent="0.15">
      <c r="AN15" s="2"/>
    </row>
    <row r="16" spans="1:43" ht="14" x14ac:dyDescent="0.15">
      <c r="A16" s="47"/>
      <c r="B16" s="47"/>
      <c r="C16" s="148"/>
      <c r="D16" s="47"/>
      <c r="E16" s="28" t="s">
        <v>362</v>
      </c>
      <c r="F16" s="28"/>
      <c r="G16" s="31" t="s">
        <v>0</v>
      </c>
      <c r="H16" s="31" t="s">
        <v>0</v>
      </c>
      <c r="I16" s="31" t="s">
        <v>0</v>
      </c>
      <c r="J16" s="31" t="s">
        <v>0</v>
      </c>
      <c r="K16" s="31" t="s">
        <v>0</v>
      </c>
      <c r="L16" s="31" t="s">
        <v>0</v>
      </c>
      <c r="M16" s="31" t="s">
        <v>0</v>
      </c>
      <c r="N16" s="31" t="s">
        <v>0</v>
      </c>
      <c r="O16" s="31" t="s">
        <v>0</v>
      </c>
      <c r="P16" s="31" t="s">
        <v>0</v>
      </c>
      <c r="Q16" s="31" t="s">
        <v>0</v>
      </c>
      <c r="R16" s="31" t="s">
        <v>0</v>
      </c>
      <c r="S16" s="31" t="s">
        <v>0</v>
      </c>
      <c r="T16" s="31" t="s">
        <v>0</v>
      </c>
      <c r="U16" s="31" t="s">
        <v>0</v>
      </c>
      <c r="V16" s="31" t="s">
        <v>0</v>
      </c>
      <c r="W16" s="31" t="s">
        <v>0</v>
      </c>
      <c r="X16" s="31" t="s">
        <v>0</v>
      </c>
      <c r="Y16" s="31" t="s">
        <v>0</v>
      </c>
      <c r="Z16" s="31" t="s">
        <v>0</v>
      </c>
      <c r="AA16" s="31" t="s">
        <v>0</v>
      </c>
      <c r="AB16" s="31" t="s">
        <v>0</v>
      </c>
      <c r="AC16" s="31">
        <f>SUM(AC22:AC29,AC32:AC36,AC39:AC44,AC47:AC55,AC58:AC63,AC66:AC71,AC74:AC79,AC82:AC87,AC90:AC97,AC100:AC108)</f>
        <v>254219</v>
      </c>
      <c r="AD16" s="31">
        <f t="shared" ref="AD16:AF16" si="0">SUM(AD22:AD29,AD32:AD36,AD39:AD44,AD47:AD55,AD58:AD63,AD66:AD71,AD74:AD79,AD82:AD87,AD90:AD97,AD100:AD108)</f>
        <v>259529</v>
      </c>
      <c r="AE16" s="31">
        <f t="shared" si="0"/>
        <v>272134</v>
      </c>
      <c r="AF16" s="31">
        <f t="shared" si="0"/>
        <v>270077</v>
      </c>
      <c r="AN16" s="2"/>
      <c r="AQ16" s="5"/>
    </row>
    <row r="17" spans="1:41" ht="14" x14ac:dyDescent="0.15">
      <c r="AN17" s="2"/>
    </row>
    <row r="18" spans="1:41" ht="14" x14ac:dyDescent="0.15">
      <c r="A18" s="48"/>
      <c r="B18" s="48"/>
      <c r="D18" s="48"/>
      <c r="E18" s="28" t="s">
        <v>366</v>
      </c>
      <c r="F18" s="28"/>
      <c r="G18" s="29">
        <v>119079.6</v>
      </c>
      <c r="H18" s="29">
        <v>125982.6</v>
      </c>
      <c r="I18" s="29">
        <v>123143.5</v>
      </c>
      <c r="J18" s="29">
        <v>126651.1</v>
      </c>
      <c r="K18" s="29">
        <v>132943</v>
      </c>
      <c r="L18" s="29">
        <v>142656</v>
      </c>
      <c r="M18" s="29">
        <v>146253</v>
      </c>
      <c r="N18" s="29">
        <v>156172</v>
      </c>
      <c r="O18" s="29">
        <v>165158</v>
      </c>
      <c r="P18" s="29">
        <v>180178</v>
      </c>
      <c r="Q18" s="29">
        <v>188961</v>
      </c>
      <c r="R18" s="29">
        <v>200400</v>
      </c>
      <c r="S18" s="29">
        <v>214443</v>
      </c>
      <c r="T18" s="29">
        <v>223924</v>
      </c>
      <c r="U18" s="29">
        <v>231458</v>
      </c>
      <c r="V18" s="29">
        <v>230387</v>
      </c>
      <c r="W18" s="29">
        <v>235910</v>
      </c>
      <c r="X18" s="29">
        <v>244450</v>
      </c>
      <c r="Y18" s="29">
        <v>252750</v>
      </c>
      <c r="Z18" s="29">
        <v>253244</v>
      </c>
      <c r="AA18" s="29">
        <v>250539</v>
      </c>
      <c r="AB18" s="29">
        <v>248929</v>
      </c>
      <c r="AC18" s="29">
        <v>254216</v>
      </c>
      <c r="AD18" s="29">
        <v>259530</v>
      </c>
      <c r="AE18" s="29">
        <v>272134</v>
      </c>
      <c r="AF18" s="29">
        <v>270078</v>
      </c>
      <c r="AG18" s="30"/>
      <c r="AH18" s="62">
        <f>SUM(AH21,AH31,AH38,AH46,AH57,AH65,AH73,AH81,AH89,AH99)</f>
        <v>272134</v>
      </c>
      <c r="AI18" s="62">
        <f>SUM(AI21,AI31,AI38,AI46,AI57,AI65,AI73,AI81,AI89,AI99)</f>
        <v>270077</v>
      </c>
      <c r="AJ18" s="52">
        <v>282231.51</v>
      </c>
      <c r="AK18" s="52">
        <v>289851.76076999999</v>
      </c>
      <c r="AN18" s="2"/>
    </row>
    <row r="19" spans="1:41" s="17" customFormat="1" ht="13" x14ac:dyDescent="0.15">
      <c r="C19" s="123"/>
      <c r="E19" s="17" t="s">
        <v>365</v>
      </c>
      <c r="AI19" s="63">
        <f>+AI18/AH18-1</f>
        <v>-7.5587761911410922E-3</v>
      </c>
      <c r="AJ19" s="63">
        <f t="shared" ref="AJ19:AK19" si="1">+AJ18/AI18-1</f>
        <v>4.5003869266912799E-2</v>
      </c>
      <c r="AK19" s="63">
        <f t="shared" si="1"/>
        <v>2.6999999999999913E-2</v>
      </c>
    </row>
    <row r="20" spans="1:41" ht="14" x14ac:dyDescent="0.15">
      <c r="E20" s="4"/>
      <c r="F20" s="4"/>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H20" s="56"/>
      <c r="AI20" s="50"/>
      <c r="AJ20" s="50"/>
      <c r="AK20" s="50"/>
      <c r="AN20" s="2"/>
    </row>
    <row r="21" spans="1:41" ht="14" x14ac:dyDescent="0.15">
      <c r="C21" s="149">
        <f>+MAX($C$1:$C20)+1</f>
        <v>1</v>
      </c>
      <c r="E21" s="41" t="s">
        <v>3</v>
      </c>
      <c r="F21" s="41" t="s">
        <v>4</v>
      </c>
      <c r="G21" s="43">
        <v>30068.2</v>
      </c>
      <c r="H21" s="43">
        <v>31437</v>
      </c>
      <c r="I21" s="43">
        <v>30540.1</v>
      </c>
      <c r="J21" s="43">
        <v>31154.3</v>
      </c>
      <c r="K21" s="43">
        <v>33026</v>
      </c>
      <c r="L21" s="43">
        <v>35621</v>
      </c>
      <c r="M21" s="43">
        <v>36634</v>
      </c>
      <c r="N21" s="43">
        <v>35318</v>
      </c>
      <c r="O21" s="43">
        <v>33292</v>
      </c>
      <c r="P21" s="43">
        <v>35599</v>
      </c>
      <c r="Q21" s="43">
        <v>37487</v>
      </c>
      <c r="R21" s="43">
        <v>39736</v>
      </c>
      <c r="S21" s="43">
        <v>43170</v>
      </c>
      <c r="T21" s="43">
        <v>45076</v>
      </c>
      <c r="U21" s="43">
        <v>45269</v>
      </c>
      <c r="V21" s="43">
        <v>42005</v>
      </c>
      <c r="W21" s="43">
        <v>41767</v>
      </c>
      <c r="X21" s="43">
        <v>46683</v>
      </c>
      <c r="Y21" s="43">
        <v>47941</v>
      </c>
      <c r="Z21" s="43">
        <v>48189</v>
      </c>
      <c r="AA21" s="43">
        <v>47199</v>
      </c>
      <c r="AB21" s="43">
        <v>47824</v>
      </c>
      <c r="AC21" s="43">
        <v>47598</v>
      </c>
      <c r="AD21" s="43">
        <v>48129</v>
      </c>
      <c r="AE21" s="43">
        <v>49737</v>
      </c>
      <c r="AF21" s="43">
        <v>48913</v>
      </c>
      <c r="AG21" s="44"/>
      <c r="AH21" s="55">
        <f>SUM(AH22:AH29)</f>
        <v>49736</v>
      </c>
      <c r="AI21" s="55">
        <f>SUM(AI22:AI29)</f>
        <v>48913</v>
      </c>
      <c r="AJ21" s="57">
        <f>SUM(AJ22:AJ29)</f>
        <v>51952.125242807728</v>
      </c>
      <c r="AK21" s="57">
        <f>SUM(AK22:AK29)</f>
        <v>53354.832624363531</v>
      </c>
      <c r="AM21" s="58">
        <f>SUM(AM22:AM29)</f>
        <v>0.18407627568873414</v>
      </c>
      <c r="AN21" s="2"/>
      <c r="AO21" s="5" t="b">
        <f>AK21=SUM(AK22:AK29)</f>
        <v>1</v>
      </c>
    </row>
    <row r="22" spans="1:41" ht="14" x14ac:dyDescent="0.15">
      <c r="E22" s="23" t="s">
        <v>5</v>
      </c>
      <c r="F22" s="23" t="s">
        <v>6</v>
      </c>
      <c r="G22" s="25">
        <v>92.5</v>
      </c>
      <c r="H22" s="25">
        <v>98</v>
      </c>
      <c r="I22" s="25">
        <v>100.2</v>
      </c>
      <c r="J22" s="25">
        <v>111.3</v>
      </c>
      <c r="K22" s="25">
        <v>118</v>
      </c>
      <c r="L22" s="25">
        <v>147</v>
      </c>
      <c r="M22" s="25">
        <v>146</v>
      </c>
      <c r="N22" s="25">
        <v>180</v>
      </c>
      <c r="O22" s="25">
        <v>205</v>
      </c>
      <c r="P22" s="25">
        <v>336</v>
      </c>
      <c r="Q22" s="25">
        <v>457</v>
      </c>
      <c r="R22" s="25">
        <v>714</v>
      </c>
      <c r="S22" s="25">
        <v>866</v>
      </c>
      <c r="T22" s="25">
        <v>883</v>
      </c>
      <c r="U22" s="25">
        <v>981</v>
      </c>
      <c r="V22" s="25">
        <v>714</v>
      </c>
      <c r="W22" s="25">
        <v>608</v>
      </c>
      <c r="X22" s="25">
        <v>644</v>
      </c>
      <c r="Y22" s="25">
        <v>814</v>
      </c>
      <c r="Z22" s="25">
        <v>926</v>
      </c>
      <c r="AA22" s="25">
        <v>848</v>
      </c>
      <c r="AB22" s="25">
        <v>791</v>
      </c>
      <c r="AC22" s="25">
        <v>1059</v>
      </c>
      <c r="AD22" s="25">
        <v>1769</v>
      </c>
      <c r="AE22" s="25">
        <v>2744</v>
      </c>
      <c r="AF22" s="25">
        <v>2830</v>
      </c>
      <c r="AH22" s="53">
        <f t="shared" ref="AH22:AI29" si="2">+AE22</f>
        <v>2744</v>
      </c>
      <c r="AI22" s="53">
        <f t="shared" si="2"/>
        <v>2830</v>
      </c>
      <c r="AJ22" s="53">
        <f t="shared" ref="AJ22:AK29" si="3">AJ$18*$AM22</f>
        <v>2245.645093246992</v>
      </c>
      <c r="AK22" s="53">
        <f t="shared" si="3"/>
        <v>2306.2775107646607</v>
      </c>
      <c r="AM22" s="59">
        <f t="shared" ref="AM22:AM29" si="4">SUM(AC22:AF22)/SUM(AC$16:AF$16)</f>
        <v>7.9567483207207863E-3</v>
      </c>
      <c r="AN22" s="2"/>
    </row>
    <row r="23" spans="1:41" ht="14" x14ac:dyDescent="0.15">
      <c r="E23" s="23" t="s">
        <v>7</v>
      </c>
      <c r="F23" s="23" t="s">
        <v>8</v>
      </c>
      <c r="G23" s="25">
        <v>0</v>
      </c>
      <c r="H23" s="25">
        <v>0</v>
      </c>
      <c r="I23" s="25">
        <v>0</v>
      </c>
      <c r="J23" s="25">
        <v>0</v>
      </c>
      <c r="K23" s="25">
        <v>0</v>
      </c>
      <c r="L23" s="25">
        <v>0</v>
      </c>
      <c r="M23" s="25">
        <v>0</v>
      </c>
      <c r="N23" s="25">
        <v>0</v>
      </c>
      <c r="O23" s="25">
        <v>0</v>
      </c>
      <c r="P23" s="25">
        <v>0</v>
      </c>
      <c r="Q23" s="25">
        <v>0</v>
      </c>
      <c r="R23" s="25">
        <v>0</v>
      </c>
      <c r="S23" s="25">
        <v>0</v>
      </c>
      <c r="T23" s="25">
        <v>0</v>
      </c>
      <c r="U23" s="25">
        <v>0</v>
      </c>
      <c r="V23" s="25">
        <v>0</v>
      </c>
      <c r="W23" s="25">
        <v>0</v>
      </c>
      <c r="X23" s="25">
        <v>0</v>
      </c>
      <c r="Y23" s="25">
        <v>0</v>
      </c>
      <c r="Z23" s="25">
        <v>0</v>
      </c>
      <c r="AA23" s="25">
        <v>0</v>
      </c>
      <c r="AB23" s="25">
        <v>0</v>
      </c>
      <c r="AC23" s="25">
        <v>0</v>
      </c>
      <c r="AD23" s="25">
        <v>0</v>
      </c>
      <c r="AE23" s="25">
        <v>0</v>
      </c>
      <c r="AF23" s="25">
        <v>0</v>
      </c>
      <c r="AH23" s="53">
        <f t="shared" si="2"/>
        <v>0</v>
      </c>
      <c r="AI23" s="53">
        <f t="shared" si="2"/>
        <v>0</v>
      </c>
      <c r="AJ23" s="53">
        <f t="shared" si="3"/>
        <v>0</v>
      </c>
      <c r="AK23" s="53">
        <f t="shared" si="3"/>
        <v>0</v>
      </c>
      <c r="AM23" s="59">
        <f t="shared" si="4"/>
        <v>0</v>
      </c>
      <c r="AN23" s="2"/>
    </row>
    <row r="24" spans="1:41" ht="14" x14ac:dyDescent="0.15">
      <c r="E24" s="23" t="s">
        <v>9</v>
      </c>
      <c r="F24" s="23" t="s">
        <v>10</v>
      </c>
      <c r="G24" s="25">
        <v>23227.200000000001</v>
      </c>
      <c r="H24" s="25">
        <v>24246.1</v>
      </c>
      <c r="I24" s="25">
        <v>23961.3</v>
      </c>
      <c r="J24" s="25">
        <v>24850.5</v>
      </c>
      <c r="K24" s="25">
        <v>27838</v>
      </c>
      <c r="L24" s="25">
        <v>30622</v>
      </c>
      <c r="M24" s="25">
        <v>30514</v>
      </c>
      <c r="N24" s="25">
        <v>29635</v>
      </c>
      <c r="O24" s="25">
        <v>28118</v>
      </c>
      <c r="P24" s="25">
        <v>30375</v>
      </c>
      <c r="Q24" s="25">
        <v>32447</v>
      </c>
      <c r="R24" s="25">
        <v>33657</v>
      </c>
      <c r="S24" s="25">
        <v>35753</v>
      </c>
      <c r="T24" s="25">
        <v>36160</v>
      </c>
      <c r="U24" s="25">
        <v>38409</v>
      </c>
      <c r="V24" s="25">
        <v>35792</v>
      </c>
      <c r="W24" s="25">
        <v>35448</v>
      </c>
      <c r="X24" s="25">
        <v>40195</v>
      </c>
      <c r="Y24" s="25">
        <v>39802</v>
      </c>
      <c r="Z24" s="25">
        <v>40019</v>
      </c>
      <c r="AA24" s="25">
        <v>40675</v>
      </c>
      <c r="AB24" s="25">
        <v>41435</v>
      </c>
      <c r="AC24" s="25">
        <v>41315</v>
      </c>
      <c r="AD24" s="25">
        <v>41294</v>
      </c>
      <c r="AE24" s="25">
        <v>42084</v>
      </c>
      <c r="AF24" s="25">
        <v>41466</v>
      </c>
      <c r="AH24" s="53">
        <f t="shared" si="2"/>
        <v>42084</v>
      </c>
      <c r="AI24" s="53">
        <f t="shared" si="2"/>
        <v>41466</v>
      </c>
      <c r="AJ24" s="53">
        <f t="shared" si="3"/>
        <v>44410.157468320271</v>
      </c>
      <c r="AK24" s="53">
        <f t="shared" si="3"/>
        <v>45609.231719964911</v>
      </c>
      <c r="AM24" s="59">
        <f t="shared" si="4"/>
        <v>0.1573536472533498</v>
      </c>
      <c r="AN24" s="2"/>
    </row>
    <row r="25" spans="1:41" ht="14" x14ac:dyDescent="0.15">
      <c r="E25" s="23" t="s">
        <v>11</v>
      </c>
      <c r="F25" s="23" t="s">
        <v>12</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c r="Z25" s="25">
        <v>0</v>
      </c>
      <c r="AA25" s="25">
        <v>0</v>
      </c>
      <c r="AB25" s="25">
        <v>0</v>
      </c>
      <c r="AC25" s="25">
        <v>0</v>
      </c>
      <c r="AD25" s="25">
        <v>0</v>
      </c>
      <c r="AE25" s="25">
        <v>0</v>
      </c>
      <c r="AF25" s="25">
        <v>0</v>
      </c>
      <c r="AH25" s="53">
        <f t="shared" si="2"/>
        <v>0</v>
      </c>
      <c r="AI25" s="53">
        <f t="shared" si="2"/>
        <v>0</v>
      </c>
      <c r="AJ25" s="53">
        <f t="shared" si="3"/>
        <v>0</v>
      </c>
      <c r="AK25" s="53">
        <f t="shared" si="3"/>
        <v>0</v>
      </c>
      <c r="AM25" s="59">
        <f t="shared" si="4"/>
        <v>0</v>
      </c>
      <c r="AN25" s="2"/>
    </row>
    <row r="26" spans="1:41" ht="14" x14ac:dyDescent="0.15">
      <c r="E26" s="23" t="s">
        <v>13</v>
      </c>
      <c r="F26" s="23" t="s">
        <v>14</v>
      </c>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c r="Z26" s="25">
        <v>0</v>
      </c>
      <c r="AA26" s="25">
        <v>0</v>
      </c>
      <c r="AB26" s="25">
        <v>0</v>
      </c>
      <c r="AC26" s="25">
        <v>0</v>
      </c>
      <c r="AD26" s="25">
        <v>0</v>
      </c>
      <c r="AE26" s="25">
        <v>0</v>
      </c>
      <c r="AF26" s="25">
        <v>0</v>
      </c>
      <c r="AH26" s="53">
        <f t="shared" si="2"/>
        <v>0</v>
      </c>
      <c r="AI26" s="53">
        <f t="shared" si="2"/>
        <v>0</v>
      </c>
      <c r="AJ26" s="53">
        <f t="shared" si="3"/>
        <v>0</v>
      </c>
      <c r="AK26" s="53">
        <f t="shared" si="3"/>
        <v>0</v>
      </c>
      <c r="AM26" s="59">
        <f t="shared" si="4"/>
        <v>0</v>
      </c>
      <c r="AN26" s="2"/>
    </row>
    <row r="27" spans="1:41" ht="14" x14ac:dyDescent="0.15">
      <c r="E27" s="23" t="s">
        <v>15</v>
      </c>
      <c r="F27" s="23" t="s">
        <v>16</v>
      </c>
      <c r="G27" s="25">
        <v>253.3</v>
      </c>
      <c r="H27" s="25">
        <v>260.60000000000002</v>
      </c>
      <c r="I27" s="25">
        <v>272.8</v>
      </c>
      <c r="J27" s="25">
        <v>283.2</v>
      </c>
      <c r="K27" s="25">
        <v>326</v>
      </c>
      <c r="L27" s="25">
        <v>363</v>
      </c>
      <c r="M27" s="25">
        <v>347</v>
      </c>
      <c r="N27" s="25">
        <v>347</v>
      </c>
      <c r="O27" s="25">
        <v>337</v>
      </c>
      <c r="P27" s="25">
        <v>379</v>
      </c>
      <c r="Q27" s="25">
        <v>401</v>
      </c>
      <c r="R27" s="25">
        <v>416</v>
      </c>
      <c r="S27" s="25">
        <v>442</v>
      </c>
      <c r="T27" s="25">
        <v>455</v>
      </c>
      <c r="U27" s="25">
        <v>507</v>
      </c>
      <c r="V27" s="25">
        <v>567</v>
      </c>
      <c r="W27" s="25">
        <v>614</v>
      </c>
      <c r="X27" s="25">
        <v>541</v>
      </c>
      <c r="Y27" s="25">
        <v>1786</v>
      </c>
      <c r="Z27" s="25">
        <v>1654</v>
      </c>
      <c r="AA27" s="25">
        <v>396</v>
      </c>
      <c r="AB27" s="25">
        <v>394</v>
      </c>
      <c r="AC27" s="25">
        <v>408</v>
      </c>
      <c r="AD27" s="25">
        <v>432</v>
      </c>
      <c r="AE27" s="25">
        <v>451</v>
      </c>
      <c r="AF27" s="25">
        <v>456</v>
      </c>
      <c r="AH27" s="53">
        <f t="shared" si="2"/>
        <v>451</v>
      </c>
      <c r="AI27" s="53">
        <f t="shared" si="2"/>
        <v>456</v>
      </c>
      <c r="AJ27" s="53">
        <f t="shared" si="3"/>
        <v>466.92953795554564</v>
      </c>
      <c r="AK27" s="53">
        <f t="shared" si="3"/>
        <v>479.53663548034535</v>
      </c>
      <c r="AM27" s="59">
        <f t="shared" si="4"/>
        <v>1.6544202947273521E-3</v>
      </c>
      <c r="AN27" s="2"/>
    </row>
    <row r="28" spans="1:41" ht="14" x14ac:dyDescent="0.15">
      <c r="E28" s="23" t="s">
        <v>17</v>
      </c>
      <c r="F28" s="23" t="s">
        <v>18</v>
      </c>
      <c r="G28" s="25">
        <v>6496.2</v>
      </c>
      <c r="H28" s="25">
        <v>6832.3</v>
      </c>
      <c r="I28" s="25">
        <v>6205.8</v>
      </c>
      <c r="J28" s="25">
        <v>5911.3</v>
      </c>
      <c r="K28" s="25">
        <v>4744</v>
      </c>
      <c r="L28" s="25">
        <v>4489</v>
      </c>
      <c r="M28" s="25">
        <v>5626</v>
      </c>
      <c r="N28" s="25">
        <v>5155</v>
      </c>
      <c r="O28" s="25">
        <v>4632</v>
      </c>
      <c r="P28" s="25">
        <v>4510</v>
      </c>
      <c r="Q28" s="25">
        <v>4182</v>
      </c>
      <c r="R28" s="25">
        <v>4949</v>
      </c>
      <c r="S28" s="25">
        <v>6107</v>
      </c>
      <c r="T28" s="25">
        <v>7576</v>
      </c>
      <c r="U28" s="25">
        <v>5373</v>
      </c>
      <c r="V28" s="25">
        <v>4932</v>
      </c>
      <c r="W28" s="25">
        <v>5097</v>
      </c>
      <c r="X28" s="25">
        <v>5303</v>
      </c>
      <c r="Y28" s="25">
        <v>5539</v>
      </c>
      <c r="Z28" s="25">
        <v>5589</v>
      </c>
      <c r="AA28" s="25">
        <v>5280</v>
      </c>
      <c r="AB28" s="25">
        <v>5203</v>
      </c>
      <c r="AC28" s="25">
        <v>4817</v>
      </c>
      <c r="AD28" s="25">
        <v>4634</v>
      </c>
      <c r="AE28" s="25">
        <v>4457</v>
      </c>
      <c r="AF28" s="25">
        <v>4161</v>
      </c>
      <c r="AH28" s="53">
        <f t="shared" si="2"/>
        <v>4457</v>
      </c>
      <c r="AI28" s="53">
        <f t="shared" si="2"/>
        <v>4161</v>
      </c>
      <c r="AJ28" s="53">
        <f t="shared" si="3"/>
        <v>4829.3931432849195</v>
      </c>
      <c r="AK28" s="53">
        <f t="shared" si="3"/>
        <v>4959.786758153612</v>
      </c>
      <c r="AM28" s="59">
        <f t="shared" si="4"/>
        <v>1.7111459819936191E-2</v>
      </c>
      <c r="AN28" s="2"/>
    </row>
    <row r="29" spans="1:41" ht="14" x14ac:dyDescent="0.15">
      <c r="E29" s="23" t="s">
        <v>19</v>
      </c>
      <c r="F29" s="23" t="s">
        <v>20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H29" s="53">
        <f t="shared" si="2"/>
        <v>0</v>
      </c>
      <c r="AI29" s="53">
        <f t="shared" si="2"/>
        <v>0</v>
      </c>
      <c r="AJ29" s="53">
        <f t="shared" si="3"/>
        <v>0</v>
      </c>
      <c r="AK29" s="53">
        <f t="shared" si="3"/>
        <v>0</v>
      </c>
      <c r="AM29" s="59">
        <f t="shared" si="4"/>
        <v>0</v>
      </c>
      <c r="AN29" s="2"/>
    </row>
    <row r="30" spans="1:41" ht="14" x14ac:dyDescent="0.15">
      <c r="E30" s="4"/>
      <c r="F30" s="4"/>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H30" s="53"/>
      <c r="AI30" s="53"/>
      <c r="AJ30" s="53"/>
      <c r="AK30" s="53"/>
      <c r="AM30" s="59"/>
      <c r="AN30" s="2"/>
    </row>
    <row r="31" spans="1:41" ht="14" x14ac:dyDescent="0.15">
      <c r="C31" s="149">
        <f>+MAX($C$1:$C30)+1</f>
        <v>2</v>
      </c>
      <c r="E31" s="41" t="s">
        <v>21</v>
      </c>
      <c r="F31" s="41" t="s">
        <v>22</v>
      </c>
      <c r="G31" s="43">
        <v>0</v>
      </c>
      <c r="H31" s="43">
        <v>0</v>
      </c>
      <c r="I31" s="43">
        <v>0</v>
      </c>
      <c r="J31" s="43">
        <v>0</v>
      </c>
      <c r="K31" s="43">
        <v>0</v>
      </c>
      <c r="L31" s="43">
        <v>0</v>
      </c>
      <c r="M31" s="43">
        <v>0</v>
      </c>
      <c r="N31" s="43">
        <v>0</v>
      </c>
      <c r="O31" s="43">
        <v>0</v>
      </c>
      <c r="P31" s="43">
        <v>0</v>
      </c>
      <c r="Q31" s="43">
        <v>0</v>
      </c>
      <c r="R31" s="43">
        <v>0</v>
      </c>
      <c r="S31" s="43">
        <v>0</v>
      </c>
      <c r="T31" s="43">
        <v>0</v>
      </c>
      <c r="U31" s="43">
        <v>0</v>
      </c>
      <c r="V31" s="43">
        <v>0</v>
      </c>
      <c r="W31" s="43">
        <v>0</v>
      </c>
      <c r="X31" s="43">
        <v>0</v>
      </c>
      <c r="Y31" s="43">
        <v>0</v>
      </c>
      <c r="Z31" s="43">
        <v>0</v>
      </c>
      <c r="AA31" s="43">
        <v>0</v>
      </c>
      <c r="AB31" s="43">
        <v>0</v>
      </c>
      <c r="AC31" s="43">
        <v>0</v>
      </c>
      <c r="AD31" s="43">
        <v>0</v>
      </c>
      <c r="AE31" s="43">
        <v>0</v>
      </c>
      <c r="AF31" s="43">
        <v>0</v>
      </c>
      <c r="AG31" s="44"/>
      <c r="AH31" s="55">
        <f>+SUM(AH32:AH36)</f>
        <v>0</v>
      </c>
      <c r="AI31" s="55">
        <f>+SUM(AI32:AI36)</f>
        <v>0</v>
      </c>
      <c r="AJ31" s="57">
        <f>SUM(AJ32:AJ36)</f>
        <v>0</v>
      </c>
      <c r="AK31" s="57">
        <f>SUM(AK32:AK36)</f>
        <v>0</v>
      </c>
      <c r="AM31" s="58">
        <f>SUM(AM32:AM36)</f>
        <v>0</v>
      </c>
      <c r="AN31" s="2"/>
      <c r="AO31" s="5" t="b">
        <f>AK31=SUM(AK32:AK36)</f>
        <v>1</v>
      </c>
    </row>
    <row r="32" spans="1:41" ht="14" x14ac:dyDescent="0.15">
      <c r="E32" s="23" t="s">
        <v>23</v>
      </c>
      <c r="F32" s="23" t="s">
        <v>24</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0</v>
      </c>
      <c r="AF32" s="25">
        <v>0</v>
      </c>
      <c r="AH32" s="53">
        <f t="shared" ref="AH32:AI36" si="5">+AE32</f>
        <v>0</v>
      </c>
      <c r="AI32" s="53">
        <f t="shared" si="5"/>
        <v>0</v>
      </c>
      <c r="AJ32" s="53">
        <f t="shared" ref="AJ32:AK36" si="6">AJ$18*$AM32</f>
        <v>0</v>
      </c>
      <c r="AK32" s="53">
        <f t="shared" si="6"/>
        <v>0</v>
      </c>
      <c r="AM32" s="59">
        <f>SUM(AC32:AF32)/SUM(AC$16:AF$16)</f>
        <v>0</v>
      </c>
      <c r="AN32" s="2"/>
    </row>
    <row r="33" spans="3:41" ht="14" x14ac:dyDescent="0.15">
      <c r="E33" s="23" t="s">
        <v>25</v>
      </c>
      <c r="F33" s="23" t="s">
        <v>26</v>
      </c>
      <c r="G33" s="25">
        <v>0</v>
      </c>
      <c r="H33" s="25">
        <v>0</v>
      </c>
      <c r="I33" s="25">
        <v>0</v>
      </c>
      <c r="J33" s="25">
        <v>0</v>
      </c>
      <c r="K33" s="25">
        <v>0</v>
      </c>
      <c r="L33" s="25">
        <v>0</v>
      </c>
      <c r="M33" s="25">
        <v>0</v>
      </c>
      <c r="N33" s="25">
        <v>0</v>
      </c>
      <c r="O33" s="25">
        <v>0</v>
      </c>
      <c r="P33" s="25">
        <v>0</v>
      </c>
      <c r="Q33" s="25">
        <v>0</v>
      </c>
      <c r="R33" s="25">
        <v>0</v>
      </c>
      <c r="S33" s="25">
        <v>0</v>
      </c>
      <c r="T33" s="25">
        <v>0</v>
      </c>
      <c r="U33" s="25">
        <v>0</v>
      </c>
      <c r="V33" s="25">
        <v>0</v>
      </c>
      <c r="W33" s="25">
        <v>0</v>
      </c>
      <c r="X33" s="25">
        <v>0</v>
      </c>
      <c r="Y33" s="25">
        <v>0</v>
      </c>
      <c r="Z33" s="25">
        <v>0</v>
      </c>
      <c r="AA33" s="25">
        <v>0</v>
      </c>
      <c r="AB33" s="25">
        <v>0</v>
      </c>
      <c r="AC33" s="25">
        <v>0</v>
      </c>
      <c r="AD33" s="25">
        <v>0</v>
      </c>
      <c r="AE33" s="25">
        <v>0</v>
      </c>
      <c r="AF33" s="25">
        <v>0</v>
      </c>
      <c r="AH33" s="53">
        <f t="shared" si="5"/>
        <v>0</v>
      </c>
      <c r="AI33" s="53">
        <f t="shared" si="5"/>
        <v>0</v>
      </c>
      <c r="AJ33" s="53">
        <f t="shared" si="6"/>
        <v>0</v>
      </c>
      <c r="AK33" s="53">
        <f t="shared" si="6"/>
        <v>0</v>
      </c>
      <c r="AM33" s="59">
        <f>SUM(AC33:AF33)/SUM(AC$16:AF$16)</f>
        <v>0</v>
      </c>
      <c r="AN33" s="2"/>
    </row>
    <row r="34" spans="3:41" ht="14" x14ac:dyDescent="0.15">
      <c r="E34" s="23" t="s">
        <v>27</v>
      </c>
      <c r="F34" s="23" t="s">
        <v>28</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c r="Z34" s="25">
        <v>0</v>
      </c>
      <c r="AA34" s="25">
        <v>0</v>
      </c>
      <c r="AB34" s="25">
        <v>0</v>
      </c>
      <c r="AC34" s="25">
        <v>0</v>
      </c>
      <c r="AD34" s="25">
        <v>0</v>
      </c>
      <c r="AE34" s="25">
        <v>0</v>
      </c>
      <c r="AF34" s="25">
        <v>0</v>
      </c>
      <c r="AH34" s="53">
        <f t="shared" si="5"/>
        <v>0</v>
      </c>
      <c r="AI34" s="53">
        <f t="shared" si="5"/>
        <v>0</v>
      </c>
      <c r="AJ34" s="53">
        <f t="shared" si="6"/>
        <v>0</v>
      </c>
      <c r="AK34" s="53">
        <f t="shared" si="6"/>
        <v>0</v>
      </c>
      <c r="AM34" s="59">
        <f>SUM(AC34:AF34)/SUM(AC$16:AF$16)</f>
        <v>0</v>
      </c>
      <c r="AN34" s="2"/>
    </row>
    <row r="35" spans="3:41" ht="14" x14ac:dyDescent="0.15">
      <c r="E35" s="23" t="s">
        <v>29</v>
      </c>
      <c r="F35" s="23" t="s">
        <v>30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c r="Z35" s="25">
        <v>0</v>
      </c>
      <c r="AA35" s="25">
        <v>0</v>
      </c>
      <c r="AB35" s="25">
        <v>0</v>
      </c>
      <c r="AC35" s="25">
        <v>0</v>
      </c>
      <c r="AD35" s="25">
        <v>0</v>
      </c>
      <c r="AE35" s="25">
        <v>0</v>
      </c>
      <c r="AF35" s="25">
        <v>0</v>
      </c>
      <c r="AH35" s="53">
        <f t="shared" si="5"/>
        <v>0</v>
      </c>
      <c r="AI35" s="53">
        <f t="shared" si="5"/>
        <v>0</v>
      </c>
      <c r="AJ35" s="53">
        <f t="shared" si="6"/>
        <v>0</v>
      </c>
      <c r="AK35" s="53">
        <f t="shared" si="6"/>
        <v>0</v>
      </c>
      <c r="AM35" s="59">
        <f>SUM(AC35:AF35)/SUM(AC$16:AF$16)</f>
        <v>0</v>
      </c>
      <c r="AN35" s="2"/>
    </row>
    <row r="36" spans="3:41" ht="14" x14ac:dyDescent="0.15">
      <c r="E36" s="23" t="s">
        <v>31</v>
      </c>
      <c r="F36" s="23" t="s">
        <v>32</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H36" s="53">
        <f t="shared" si="5"/>
        <v>0</v>
      </c>
      <c r="AI36" s="53">
        <f t="shared" si="5"/>
        <v>0</v>
      </c>
      <c r="AJ36" s="53">
        <f t="shared" si="6"/>
        <v>0</v>
      </c>
      <c r="AK36" s="53">
        <f t="shared" si="6"/>
        <v>0</v>
      </c>
      <c r="AM36" s="59">
        <f>SUM(AC36:AF36)/SUM(AC$16:AF$16)</f>
        <v>0</v>
      </c>
      <c r="AN36" s="2"/>
    </row>
    <row r="37" spans="3:41" ht="14" x14ac:dyDescent="0.15">
      <c r="E37" s="4"/>
      <c r="F37" s="4"/>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H37" s="53"/>
      <c r="AI37" s="53"/>
      <c r="AJ37" s="53"/>
      <c r="AK37" s="53"/>
      <c r="AM37" s="59"/>
      <c r="AN37" s="2"/>
    </row>
    <row r="38" spans="3:41" ht="14" x14ac:dyDescent="0.15">
      <c r="C38" s="149">
        <f>+MAX($C$1:$C37)+1</f>
        <v>3</v>
      </c>
      <c r="E38" s="41" t="s">
        <v>33</v>
      </c>
      <c r="F38" s="41" t="s">
        <v>34</v>
      </c>
      <c r="G38" s="43">
        <v>1933.2</v>
      </c>
      <c r="H38" s="43">
        <v>2038.7</v>
      </c>
      <c r="I38" s="43">
        <v>2028.6</v>
      </c>
      <c r="J38" s="43">
        <v>2171.1999999999998</v>
      </c>
      <c r="K38" s="43">
        <v>2314</v>
      </c>
      <c r="L38" s="43">
        <v>2643</v>
      </c>
      <c r="M38" s="43">
        <v>3685</v>
      </c>
      <c r="N38" s="43">
        <v>4199</v>
      </c>
      <c r="O38" s="43">
        <v>4625</v>
      </c>
      <c r="P38" s="43">
        <v>4830</v>
      </c>
      <c r="Q38" s="43">
        <v>5309</v>
      </c>
      <c r="R38" s="43">
        <v>5688</v>
      </c>
      <c r="S38" s="43">
        <v>6074</v>
      </c>
      <c r="T38" s="43">
        <v>6512</v>
      </c>
      <c r="U38" s="43">
        <v>6765</v>
      </c>
      <c r="V38" s="43">
        <v>6961</v>
      </c>
      <c r="W38" s="43">
        <v>7008</v>
      </c>
      <c r="X38" s="43">
        <v>7143</v>
      </c>
      <c r="Y38" s="43">
        <v>7214</v>
      </c>
      <c r="Z38" s="43">
        <v>7342</v>
      </c>
      <c r="AA38" s="43">
        <v>7425</v>
      </c>
      <c r="AB38" s="43">
        <v>7481</v>
      </c>
      <c r="AC38" s="43">
        <v>7705</v>
      </c>
      <c r="AD38" s="43">
        <v>7812</v>
      </c>
      <c r="AE38" s="43">
        <v>8165</v>
      </c>
      <c r="AF38" s="43">
        <v>8366</v>
      </c>
      <c r="AG38" s="44"/>
      <c r="AH38" s="55">
        <f>+SUM(AH39:AH44)</f>
        <v>8165</v>
      </c>
      <c r="AI38" s="55">
        <f>+SUM(AI39:AI44)</f>
        <v>8365</v>
      </c>
      <c r="AJ38" s="57">
        <f>SUM(AJ39:AJ44)</f>
        <v>8565.6312721232553</v>
      </c>
      <c r="AK38" s="57">
        <f>SUM(AK39:AK44)</f>
        <v>8796.9033164705834</v>
      </c>
      <c r="AM38" s="58">
        <f>SUM(AM39:AM44)</f>
        <v>3.0349663197150645E-2</v>
      </c>
      <c r="AN38" s="2"/>
      <c r="AO38" s="5" t="b">
        <f>AK38=SUM(AK39:AK44)</f>
        <v>1</v>
      </c>
    </row>
    <row r="39" spans="3:41" ht="14" x14ac:dyDescent="0.15">
      <c r="E39" s="23" t="s">
        <v>35</v>
      </c>
      <c r="F39" s="23" t="s">
        <v>36</v>
      </c>
      <c r="G39" s="25">
        <v>378</v>
      </c>
      <c r="H39" s="25">
        <v>401.1</v>
      </c>
      <c r="I39" s="25">
        <v>384.9</v>
      </c>
      <c r="J39" s="25">
        <v>411.4</v>
      </c>
      <c r="K39" s="25">
        <v>438</v>
      </c>
      <c r="L39" s="25">
        <v>477</v>
      </c>
      <c r="M39" s="25">
        <v>695</v>
      </c>
      <c r="N39" s="25">
        <v>831</v>
      </c>
      <c r="O39" s="25">
        <v>916</v>
      </c>
      <c r="P39" s="25">
        <v>959</v>
      </c>
      <c r="Q39" s="25">
        <v>1052</v>
      </c>
      <c r="R39" s="25">
        <v>1146</v>
      </c>
      <c r="S39" s="25">
        <v>1226</v>
      </c>
      <c r="T39" s="25">
        <v>1305</v>
      </c>
      <c r="U39" s="25">
        <v>1356</v>
      </c>
      <c r="V39" s="25">
        <v>1487</v>
      </c>
      <c r="W39" s="25">
        <v>1550</v>
      </c>
      <c r="X39" s="25">
        <v>1606</v>
      </c>
      <c r="Y39" s="25">
        <v>1674</v>
      </c>
      <c r="Z39" s="25">
        <v>1747</v>
      </c>
      <c r="AA39" s="25">
        <v>1789</v>
      </c>
      <c r="AB39" s="25">
        <v>1904</v>
      </c>
      <c r="AC39" s="25">
        <v>2041</v>
      </c>
      <c r="AD39" s="25">
        <v>2070</v>
      </c>
      <c r="AE39" s="25">
        <v>2203</v>
      </c>
      <c r="AF39" s="25">
        <v>2230</v>
      </c>
      <c r="AH39" s="53">
        <f t="shared" ref="AH39:AI44" si="7">+AE39</f>
        <v>2203</v>
      </c>
      <c r="AI39" s="53">
        <f t="shared" si="7"/>
        <v>2230</v>
      </c>
      <c r="AJ39" s="53">
        <f t="shared" ref="AJ39:AK44" si="8">AJ$18*$AM39</f>
        <v>2283.5981524282665</v>
      </c>
      <c r="AK39" s="53">
        <f t="shared" si="8"/>
        <v>2345.2553025438297</v>
      </c>
      <c r="AM39" s="59">
        <f t="shared" ref="AM39:AM44" si="9">SUM(AC39:AF39)/SUM(AC$16:AF$16)</f>
        <v>8.0912232387810503E-3</v>
      </c>
      <c r="AN39" s="2"/>
    </row>
    <row r="40" spans="3:41" ht="14" x14ac:dyDescent="0.15">
      <c r="E40" s="23" t="s">
        <v>37</v>
      </c>
      <c r="F40" s="23" t="s">
        <v>38</v>
      </c>
      <c r="G40" s="25">
        <v>1551.2</v>
      </c>
      <c r="H40" s="25">
        <v>1634.6</v>
      </c>
      <c r="I40" s="25">
        <v>1637.8</v>
      </c>
      <c r="J40" s="25">
        <v>1754.8</v>
      </c>
      <c r="K40" s="25">
        <v>1871</v>
      </c>
      <c r="L40" s="25">
        <v>2159</v>
      </c>
      <c r="M40" s="25">
        <v>2981</v>
      </c>
      <c r="N40" s="25">
        <v>3361</v>
      </c>
      <c r="O40" s="25">
        <v>3702</v>
      </c>
      <c r="P40" s="25">
        <v>3863</v>
      </c>
      <c r="Q40" s="25">
        <v>4249</v>
      </c>
      <c r="R40" s="25">
        <v>4531</v>
      </c>
      <c r="S40" s="25">
        <v>4841</v>
      </c>
      <c r="T40" s="25">
        <v>5198</v>
      </c>
      <c r="U40" s="25">
        <v>5388</v>
      </c>
      <c r="V40" s="25">
        <v>5452</v>
      </c>
      <c r="W40" s="25">
        <v>5442</v>
      </c>
      <c r="X40" s="25">
        <v>5524</v>
      </c>
      <c r="Y40" s="25">
        <v>5524</v>
      </c>
      <c r="Z40" s="25">
        <v>5579</v>
      </c>
      <c r="AA40" s="25">
        <v>5609</v>
      </c>
      <c r="AB40" s="25">
        <v>5561</v>
      </c>
      <c r="AC40" s="25">
        <v>5651</v>
      </c>
      <c r="AD40" s="25">
        <v>5728</v>
      </c>
      <c r="AE40" s="25">
        <v>5948</v>
      </c>
      <c r="AF40" s="25">
        <v>6122</v>
      </c>
      <c r="AH40" s="53">
        <f t="shared" si="7"/>
        <v>5948</v>
      </c>
      <c r="AI40" s="53">
        <f t="shared" si="7"/>
        <v>6122</v>
      </c>
      <c r="AJ40" s="53">
        <f t="shared" si="8"/>
        <v>6267.332991138861</v>
      </c>
      <c r="AK40" s="53">
        <f t="shared" si="8"/>
        <v>6436.5509818996097</v>
      </c>
      <c r="AM40" s="59">
        <f t="shared" si="9"/>
        <v>2.2206354602782873E-2</v>
      </c>
      <c r="AN40" s="2"/>
    </row>
    <row r="41" spans="3:41" ht="14" x14ac:dyDescent="0.15">
      <c r="E41" s="23" t="s">
        <v>39</v>
      </c>
      <c r="F41" s="23" t="s">
        <v>40</v>
      </c>
      <c r="G41" s="25">
        <v>4</v>
      </c>
      <c r="H41" s="25">
        <v>4</v>
      </c>
      <c r="I41" s="25">
        <v>5</v>
      </c>
      <c r="J41" s="25">
        <v>5</v>
      </c>
      <c r="K41" s="25">
        <v>5</v>
      </c>
      <c r="L41" s="25">
        <v>6</v>
      </c>
      <c r="M41" s="25">
        <v>8</v>
      </c>
      <c r="N41" s="25">
        <v>7</v>
      </c>
      <c r="O41" s="25">
        <v>7</v>
      </c>
      <c r="P41" s="25">
        <v>8</v>
      </c>
      <c r="Q41" s="25">
        <v>8</v>
      </c>
      <c r="R41" s="25">
        <v>10</v>
      </c>
      <c r="S41" s="25">
        <v>10</v>
      </c>
      <c r="T41" s="25">
        <v>10</v>
      </c>
      <c r="U41" s="25">
        <v>20</v>
      </c>
      <c r="V41" s="25">
        <v>22</v>
      </c>
      <c r="W41" s="25">
        <v>16</v>
      </c>
      <c r="X41" s="25">
        <v>12</v>
      </c>
      <c r="Y41" s="25">
        <v>15</v>
      </c>
      <c r="Z41" s="25">
        <v>16</v>
      </c>
      <c r="AA41" s="25">
        <v>16</v>
      </c>
      <c r="AB41" s="25">
        <v>13</v>
      </c>
      <c r="AC41" s="25">
        <v>13</v>
      </c>
      <c r="AD41" s="25">
        <v>14</v>
      </c>
      <c r="AE41" s="25">
        <v>13</v>
      </c>
      <c r="AF41" s="25">
        <v>13</v>
      </c>
      <c r="AH41" s="53">
        <f t="shared" si="7"/>
        <v>13</v>
      </c>
      <c r="AI41" s="53">
        <f t="shared" si="7"/>
        <v>13</v>
      </c>
      <c r="AJ41" s="53">
        <f t="shared" si="8"/>
        <v>14.165578426813921</v>
      </c>
      <c r="AK41" s="53">
        <f t="shared" si="8"/>
        <v>14.548049044337896</v>
      </c>
      <c r="AM41" s="59">
        <f t="shared" si="9"/>
        <v>5.0191342656296316E-5</v>
      </c>
      <c r="AN41" s="2"/>
    </row>
    <row r="42" spans="3:41" ht="14" x14ac:dyDescent="0.15">
      <c r="E42" s="23" t="s">
        <v>41</v>
      </c>
      <c r="F42" s="23" t="s">
        <v>42</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v>
      </c>
      <c r="AB42" s="25">
        <v>0</v>
      </c>
      <c r="AC42" s="25">
        <v>0</v>
      </c>
      <c r="AD42" s="25">
        <v>0</v>
      </c>
      <c r="AE42" s="25">
        <v>0</v>
      </c>
      <c r="AF42" s="25">
        <v>0</v>
      </c>
      <c r="AH42" s="53">
        <f t="shared" si="7"/>
        <v>0</v>
      </c>
      <c r="AI42" s="53">
        <f t="shared" si="7"/>
        <v>0</v>
      </c>
      <c r="AJ42" s="53">
        <f t="shared" si="8"/>
        <v>0</v>
      </c>
      <c r="AK42" s="53">
        <f t="shared" si="8"/>
        <v>0</v>
      </c>
      <c r="AM42" s="59">
        <f t="shared" si="9"/>
        <v>0</v>
      </c>
      <c r="AN42" s="2"/>
    </row>
    <row r="43" spans="3:41" ht="14" x14ac:dyDescent="0.15">
      <c r="E43" s="23" t="s">
        <v>43</v>
      </c>
      <c r="F43" s="23" t="s">
        <v>44</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H43" s="53">
        <f t="shared" si="7"/>
        <v>0</v>
      </c>
      <c r="AI43" s="53">
        <f t="shared" si="7"/>
        <v>0</v>
      </c>
      <c r="AJ43" s="53">
        <f t="shared" si="8"/>
        <v>0</v>
      </c>
      <c r="AK43" s="53">
        <f t="shared" si="8"/>
        <v>0</v>
      </c>
      <c r="AM43" s="59">
        <f t="shared" si="9"/>
        <v>0</v>
      </c>
      <c r="AN43" s="2"/>
    </row>
    <row r="44" spans="3:41" ht="14" x14ac:dyDescent="0.15">
      <c r="E44" s="23" t="s">
        <v>45</v>
      </c>
      <c r="F44" s="23" t="s">
        <v>46</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11</v>
      </c>
      <c r="AB44" s="25">
        <v>2</v>
      </c>
      <c r="AC44" s="25">
        <v>0</v>
      </c>
      <c r="AD44" s="25">
        <v>1</v>
      </c>
      <c r="AE44" s="25">
        <v>1</v>
      </c>
      <c r="AF44" s="25">
        <v>0</v>
      </c>
      <c r="AH44" s="53">
        <f t="shared" si="7"/>
        <v>1</v>
      </c>
      <c r="AI44" s="53">
        <f t="shared" si="7"/>
        <v>0</v>
      </c>
      <c r="AJ44" s="53">
        <f t="shared" si="8"/>
        <v>0.5345501293137328</v>
      </c>
      <c r="AK44" s="53">
        <f t="shared" si="8"/>
        <v>0.54898298280520363</v>
      </c>
      <c r="AM44" s="59">
        <f t="shared" si="9"/>
        <v>1.894012930426276E-6</v>
      </c>
      <c r="AN44" s="2"/>
    </row>
    <row r="45" spans="3:41" ht="14" x14ac:dyDescent="0.15">
      <c r="E45" s="4"/>
      <c r="F45" s="4"/>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H45" s="53"/>
      <c r="AI45" s="53"/>
      <c r="AJ45" s="53"/>
      <c r="AK45" s="53"/>
      <c r="AM45" s="59"/>
      <c r="AN45" s="2"/>
    </row>
    <row r="46" spans="3:41" ht="14" x14ac:dyDescent="0.15">
      <c r="C46" s="149">
        <f>+MAX($C$1:$C45)+1</f>
        <v>4</v>
      </c>
      <c r="E46" s="41" t="s">
        <v>47</v>
      </c>
      <c r="F46" s="41" t="s">
        <v>48</v>
      </c>
      <c r="G46" s="43">
        <v>30711.599999999999</v>
      </c>
      <c r="H46" s="43">
        <v>34374.9</v>
      </c>
      <c r="I46" s="43">
        <v>31320.799999999999</v>
      </c>
      <c r="J46" s="43">
        <v>31057.9</v>
      </c>
      <c r="K46" s="43">
        <v>29808</v>
      </c>
      <c r="L46" s="43">
        <v>35027</v>
      </c>
      <c r="M46" s="43">
        <v>31729</v>
      </c>
      <c r="N46" s="43">
        <v>33537</v>
      </c>
      <c r="O46" s="43">
        <v>35838</v>
      </c>
      <c r="P46" s="43">
        <v>38156</v>
      </c>
      <c r="Q46" s="43">
        <v>39847</v>
      </c>
      <c r="R46" s="43">
        <v>41214</v>
      </c>
      <c r="S46" s="43">
        <v>43978</v>
      </c>
      <c r="T46" s="43">
        <v>45037</v>
      </c>
      <c r="U46" s="43">
        <v>45092</v>
      </c>
      <c r="V46" s="43">
        <v>45126</v>
      </c>
      <c r="W46" s="43">
        <v>45548</v>
      </c>
      <c r="X46" s="43">
        <v>47057</v>
      </c>
      <c r="Y46" s="43">
        <v>48882</v>
      </c>
      <c r="Z46" s="43">
        <v>48206</v>
      </c>
      <c r="AA46" s="43">
        <v>47595</v>
      </c>
      <c r="AB46" s="43">
        <v>46339</v>
      </c>
      <c r="AC46" s="43">
        <v>48359</v>
      </c>
      <c r="AD46" s="43">
        <v>50180</v>
      </c>
      <c r="AE46" s="43">
        <v>53636</v>
      </c>
      <c r="AF46" s="43">
        <v>56070</v>
      </c>
      <c r="AG46" s="44"/>
      <c r="AH46" s="55">
        <f>SUM(AH47:AH55)</f>
        <v>53636</v>
      </c>
      <c r="AI46" s="55">
        <f>SUM(AI47:AI55)</f>
        <v>56069</v>
      </c>
      <c r="AJ46" s="57">
        <f>SUM(AJ47:AJ55)</f>
        <v>55658.963114533792</v>
      </c>
      <c r="AK46" s="57">
        <f>SUM(AK47:AK55)</f>
        <v>57161.755118626214</v>
      </c>
      <c r="AM46" s="58">
        <f>SUM(AM47:AM55)</f>
        <v>0.19721030835477515</v>
      </c>
      <c r="AN46" s="2"/>
      <c r="AO46" s="5" t="b">
        <f>AK46=SUM(AK47:AK55)</f>
        <v>1</v>
      </c>
    </row>
    <row r="47" spans="3:41" ht="14" x14ac:dyDescent="0.15">
      <c r="E47" s="23" t="s">
        <v>49</v>
      </c>
      <c r="F47" s="23" t="s">
        <v>50</v>
      </c>
      <c r="G47" s="25">
        <v>1402.4</v>
      </c>
      <c r="H47" s="25">
        <v>1572</v>
      </c>
      <c r="I47" s="25">
        <v>1399.7</v>
      </c>
      <c r="J47" s="25">
        <v>1381.2</v>
      </c>
      <c r="K47" s="25">
        <v>1314</v>
      </c>
      <c r="L47" s="25">
        <v>1553</v>
      </c>
      <c r="M47" s="25">
        <v>1444</v>
      </c>
      <c r="N47" s="25">
        <v>1574</v>
      </c>
      <c r="O47" s="25">
        <v>1627</v>
      </c>
      <c r="P47" s="25">
        <v>1765</v>
      </c>
      <c r="Q47" s="25">
        <v>1836</v>
      </c>
      <c r="R47" s="25">
        <v>1864</v>
      </c>
      <c r="S47" s="25">
        <v>2007</v>
      </c>
      <c r="T47" s="25">
        <v>2087</v>
      </c>
      <c r="U47" s="25">
        <v>2168</v>
      </c>
      <c r="V47" s="25">
        <v>2020</v>
      </c>
      <c r="W47" s="25">
        <v>2148</v>
      </c>
      <c r="X47" s="25">
        <v>5759</v>
      </c>
      <c r="Y47" s="25">
        <v>5343</v>
      </c>
      <c r="Z47" s="25">
        <v>5109</v>
      </c>
      <c r="AA47" s="25">
        <v>4873</v>
      </c>
      <c r="AB47" s="25">
        <v>4091</v>
      </c>
      <c r="AC47" s="25">
        <v>4078</v>
      </c>
      <c r="AD47" s="25">
        <v>3923</v>
      </c>
      <c r="AE47" s="25">
        <v>4018</v>
      </c>
      <c r="AF47" s="25">
        <v>4398</v>
      </c>
      <c r="AH47" s="53">
        <f t="shared" ref="AH47:AH55" si="10">+AE47</f>
        <v>4018</v>
      </c>
      <c r="AI47" s="53">
        <f t="shared" ref="AI47:AI55" si="11">+AF47</f>
        <v>4398</v>
      </c>
      <c r="AJ47" s="53">
        <f t="shared" ref="AJ47:AK55" si="12">AJ$18*$AM47</f>
        <v>4387.8547364717761</v>
      </c>
      <c r="AK47" s="53">
        <f t="shared" si="12"/>
        <v>4506.3268143565138</v>
      </c>
      <c r="AM47" s="59">
        <f t="shared" ref="AM47:AM55" si="13">SUM(AC47:AF47)/SUM(AC$16:AF$16)</f>
        <v>1.5547005139404086E-2</v>
      </c>
      <c r="AN47" s="2"/>
    </row>
    <row r="48" spans="3:41" ht="14" x14ac:dyDescent="0.15">
      <c r="E48" s="23" t="s">
        <v>51</v>
      </c>
      <c r="F48" s="23" t="s">
        <v>52</v>
      </c>
      <c r="G48" s="25">
        <v>3830.2</v>
      </c>
      <c r="H48" s="25">
        <v>4484.5</v>
      </c>
      <c r="I48" s="25">
        <v>4334</v>
      </c>
      <c r="J48" s="25">
        <v>4247.8999999999996</v>
      </c>
      <c r="K48" s="25">
        <v>4174</v>
      </c>
      <c r="L48" s="25">
        <v>4461</v>
      </c>
      <c r="M48" s="25">
        <v>3588</v>
      </c>
      <c r="N48" s="25">
        <v>3928</v>
      </c>
      <c r="O48" s="25">
        <v>4308</v>
      </c>
      <c r="P48" s="25">
        <v>4449</v>
      </c>
      <c r="Q48" s="25">
        <v>4701</v>
      </c>
      <c r="R48" s="25">
        <v>4932</v>
      </c>
      <c r="S48" s="25">
        <v>5222</v>
      </c>
      <c r="T48" s="25">
        <v>5437</v>
      </c>
      <c r="U48" s="25">
        <v>5744</v>
      </c>
      <c r="V48" s="25">
        <v>6000</v>
      </c>
      <c r="W48" s="25">
        <v>6100</v>
      </c>
      <c r="X48" s="25">
        <v>2413</v>
      </c>
      <c r="Y48" s="25">
        <v>2399</v>
      </c>
      <c r="Z48" s="25">
        <v>2496</v>
      </c>
      <c r="AA48" s="25">
        <v>2593</v>
      </c>
      <c r="AB48" s="25">
        <v>2444</v>
      </c>
      <c r="AC48" s="25">
        <v>2534</v>
      </c>
      <c r="AD48" s="25">
        <v>2706</v>
      </c>
      <c r="AE48" s="25">
        <v>2650</v>
      </c>
      <c r="AF48" s="25">
        <v>2642</v>
      </c>
      <c r="AH48" s="53">
        <f t="shared" si="10"/>
        <v>2650</v>
      </c>
      <c r="AI48" s="53">
        <f t="shared" si="11"/>
        <v>2642</v>
      </c>
      <c r="AJ48" s="53">
        <f t="shared" si="12"/>
        <v>2814.9409809661174</v>
      </c>
      <c r="AK48" s="53">
        <f t="shared" si="12"/>
        <v>2890.9443874522021</v>
      </c>
      <c r="AM48" s="59">
        <f t="shared" si="13"/>
        <v>9.9738720916247702E-3</v>
      </c>
      <c r="AN48" s="2"/>
    </row>
    <row r="49" spans="3:41" ht="14" x14ac:dyDescent="0.15">
      <c r="E49" s="23" t="s">
        <v>53</v>
      </c>
      <c r="F49" s="23" t="s">
        <v>54</v>
      </c>
      <c r="G49" s="25">
        <v>1397.4</v>
      </c>
      <c r="H49" s="25">
        <v>1521.4</v>
      </c>
      <c r="I49" s="25">
        <v>1354.1</v>
      </c>
      <c r="J49" s="25">
        <v>1344.4</v>
      </c>
      <c r="K49" s="25">
        <v>1259</v>
      </c>
      <c r="L49" s="25">
        <v>1564</v>
      </c>
      <c r="M49" s="25">
        <v>1396</v>
      </c>
      <c r="N49" s="25">
        <v>1306</v>
      </c>
      <c r="O49" s="25">
        <v>1414</v>
      </c>
      <c r="P49" s="25">
        <v>1494</v>
      </c>
      <c r="Q49" s="25">
        <v>1608</v>
      </c>
      <c r="R49" s="25">
        <v>1679</v>
      </c>
      <c r="S49" s="25">
        <v>1809</v>
      </c>
      <c r="T49" s="25">
        <v>1782</v>
      </c>
      <c r="U49" s="25">
        <v>1666</v>
      </c>
      <c r="V49" s="25">
        <v>1748</v>
      </c>
      <c r="W49" s="25">
        <v>1856</v>
      </c>
      <c r="X49" s="25">
        <v>1927</v>
      </c>
      <c r="Y49" s="25">
        <v>1906</v>
      </c>
      <c r="Z49" s="25">
        <v>1861</v>
      </c>
      <c r="AA49" s="25">
        <v>1836</v>
      </c>
      <c r="AB49" s="25">
        <v>1777</v>
      </c>
      <c r="AC49" s="25">
        <v>1897</v>
      </c>
      <c r="AD49" s="25">
        <v>1987</v>
      </c>
      <c r="AE49" s="25">
        <v>2110</v>
      </c>
      <c r="AF49" s="25">
        <v>2044</v>
      </c>
      <c r="AH49" s="53">
        <f t="shared" si="10"/>
        <v>2110</v>
      </c>
      <c r="AI49" s="53">
        <f t="shared" si="11"/>
        <v>2044</v>
      </c>
      <c r="AJ49" s="53">
        <f t="shared" si="12"/>
        <v>2148.3569697118924</v>
      </c>
      <c r="AK49" s="53">
        <f t="shared" si="12"/>
        <v>2206.3626078941134</v>
      </c>
      <c r="AM49" s="59">
        <f t="shared" si="13"/>
        <v>7.6120379673832034E-3</v>
      </c>
      <c r="AN49" s="2"/>
    </row>
    <row r="50" spans="3:41" ht="14" x14ac:dyDescent="0.15">
      <c r="E50" s="23" t="s">
        <v>55</v>
      </c>
      <c r="F50" s="23" t="s">
        <v>56</v>
      </c>
      <c r="G50" s="25">
        <v>33.200000000000003</v>
      </c>
      <c r="H50" s="25">
        <v>39.4</v>
      </c>
      <c r="I50" s="25">
        <v>37.700000000000003</v>
      </c>
      <c r="J50" s="25">
        <v>35.799999999999997</v>
      </c>
      <c r="K50" s="25">
        <v>36</v>
      </c>
      <c r="L50" s="25">
        <v>41</v>
      </c>
      <c r="M50" s="25">
        <v>34</v>
      </c>
      <c r="N50" s="25">
        <v>36</v>
      </c>
      <c r="O50" s="25">
        <v>41</v>
      </c>
      <c r="P50" s="25">
        <v>40</v>
      </c>
      <c r="Q50" s="25">
        <v>42</v>
      </c>
      <c r="R50" s="25">
        <v>44</v>
      </c>
      <c r="S50" s="25">
        <v>46</v>
      </c>
      <c r="T50" s="25">
        <v>48</v>
      </c>
      <c r="U50" s="25">
        <v>49</v>
      </c>
      <c r="V50" s="25">
        <v>48</v>
      </c>
      <c r="W50" s="25">
        <v>42</v>
      </c>
      <c r="X50" s="25">
        <v>42</v>
      </c>
      <c r="Y50" s="25">
        <v>36</v>
      </c>
      <c r="Z50" s="25">
        <v>35</v>
      </c>
      <c r="AA50" s="25">
        <v>35</v>
      </c>
      <c r="AB50" s="25">
        <v>38</v>
      </c>
      <c r="AC50" s="25">
        <v>37</v>
      </c>
      <c r="AD50" s="25">
        <v>38</v>
      </c>
      <c r="AE50" s="25">
        <v>38</v>
      </c>
      <c r="AF50" s="25">
        <v>42</v>
      </c>
      <c r="AH50" s="53">
        <f t="shared" si="10"/>
        <v>38</v>
      </c>
      <c r="AI50" s="53">
        <f t="shared" si="11"/>
        <v>42</v>
      </c>
      <c r="AJ50" s="53">
        <f t="shared" si="12"/>
        <v>41.427635021814297</v>
      </c>
      <c r="AK50" s="53">
        <f t="shared" si="12"/>
        <v>42.546181167403276</v>
      </c>
      <c r="AM50" s="59">
        <f t="shared" si="13"/>
        <v>1.4678600210803639E-4</v>
      </c>
      <c r="AN50" s="2"/>
    </row>
    <row r="51" spans="3:41" ht="14" x14ac:dyDescent="0.15">
      <c r="E51" s="23" t="s">
        <v>57</v>
      </c>
      <c r="F51" s="23" t="s">
        <v>58</v>
      </c>
      <c r="G51" s="25">
        <v>19660.400000000001</v>
      </c>
      <c r="H51" s="25">
        <v>21713.4</v>
      </c>
      <c r="I51" s="25">
        <v>19652.099999999999</v>
      </c>
      <c r="J51" s="25">
        <v>19546.3</v>
      </c>
      <c r="K51" s="25">
        <v>18684</v>
      </c>
      <c r="L51" s="25">
        <v>22408</v>
      </c>
      <c r="M51" s="25">
        <v>20670</v>
      </c>
      <c r="N51" s="25">
        <v>21786</v>
      </c>
      <c r="O51" s="25">
        <v>23364</v>
      </c>
      <c r="P51" s="25">
        <v>24951</v>
      </c>
      <c r="Q51" s="25">
        <v>25915</v>
      </c>
      <c r="R51" s="25">
        <v>26783</v>
      </c>
      <c r="S51" s="25">
        <v>28684</v>
      </c>
      <c r="T51" s="25">
        <v>29181</v>
      </c>
      <c r="U51" s="25">
        <v>28690</v>
      </c>
      <c r="V51" s="25">
        <v>28712</v>
      </c>
      <c r="W51" s="25">
        <v>30110</v>
      </c>
      <c r="X51" s="25">
        <v>31788</v>
      </c>
      <c r="Y51" s="25">
        <v>33429</v>
      </c>
      <c r="Z51" s="25">
        <v>32625</v>
      </c>
      <c r="AA51" s="25">
        <v>32702</v>
      </c>
      <c r="AB51" s="25">
        <v>31920</v>
      </c>
      <c r="AC51" s="25">
        <v>33321</v>
      </c>
      <c r="AD51" s="25">
        <v>34969</v>
      </c>
      <c r="AE51" s="25">
        <v>37532</v>
      </c>
      <c r="AF51" s="25">
        <v>38609</v>
      </c>
      <c r="AH51" s="53">
        <f t="shared" si="10"/>
        <v>37532</v>
      </c>
      <c r="AI51" s="53">
        <f t="shared" si="11"/>
        <v>38609</v>
      </c>
      <c r="AJ51" s="53">
        <f t="shared" si="12"/>
        <v>38602.804863455873</v>
      </c>
      <c r="AK51" s="53">
        <f t="shared" si="12"/>
        <v>39645.080594769184</v>
      </c>
      <c r="AM51" s="59">
        <f t="shared" si="13"/>
        <v>0.13677709077719874</v>
      </c>
      <c r="AN51" s="2"/>
    </row>
    <row r="52" spans="3:41" ht="14" x14ac:dyDescent="0.15">
      <c r="E52" s="23" t="s">
        <v>59</v>
      </c>
      <c r="F52" s="23" t="s">
        <v>60</v>
      </c>
      <c r="G52" s="25">
        <v>44.2</v>
      </c>
      <c r="H52" s="25">
        <v>53.5</v>
      </c>
      <c r="I52" s="25">
        <v>41.7</v>
      </c>
      <c r="J52" s="25">
        <v>39.700000000000003</v>
      </c>
      <c r="K52" s="25">
        <v>39</v>
      </c>
      <c r="L52" s="25">
        <v>41</v>
      </c>
      <c r="M52" s="25">
        <v>39</v>
      </c>
      <c r="N52" s="25">
        <v>42</v>
      </c>
      <c r="O52" s="25">
        <v>44</v>
      </c>
      <c r="P52" s="25">
        <v>46</v>
      </c>
      <c r="Q52" s="25">
        <v>46</v>
      </c>
      <c r="R52" s="25">
        <v>50</v>
      </c>
      <c r="S52" s="25">
        <v>53</v>
      </c>
      <c r="T52" s="25">
        <v>56</v>
      </c>
      <c r="U52" s="25">
        <v>58</v>
      </c>
      <c r="V52" s="25">
        <v>59</v>
      </c>
      <c r="W52" s="25">
        <v>57</v>
      </c>
      <c r="X52" s="25">
        <v>57</v>
      </c>
      <c r="Y52" s="25">
        <v>66</v>
      </c>
      <c r="Z52" s="25">
        <v>48</v>
      </c>
      <c r="AA52" s="25">
        <v>95</v>
      </c>
      <c r="AB52" s="25">
        <v>179</v>
      </c>
      <c r="AC52" s="25">
        <v>273</v>
      </c>
      <c r="AD52" s="25">
        <v>317</v>
      </c>
      <c r="AE52" s="25">
        <v>412</v>
      </c>
      <c r="AF52" s="25">
        <v>508</v>
      </c>
      <c r="AH52" s="53">
        <f t="shared" si="10"/>
        <v>412</v>
      </c>
      <c r="AI52" s="53">
        <f t="shared" si="11"/>
        <v>508</v>
      </c>
      <c r="AJ52" s="53">
        <f t="shared" si="12"/>
        <v>403.58534763186827</v>
      </c>
      <c r="AK52" s="53">
        <f t="shared" si="12"/>
        <v>414.48215201792868</v>
      </c>
      <c r="AM52" s="59">
        <f t="shared" si="13"/>
        <v>1.4299797624718383E-3</v>
      </c>
      <c r="AN52" s="2"/>
    </row>
    <row r="53" spans="3:41" ht="14" x14ac:dyDescent="0.15">
      <c r="E53" s="23" t="s">
        <v>61</v>
      </c>
      <c r="F53" s="23" t="s">
        <v>62</v>
      </c>
      <c r="G53" s="25">
        <v>4179</v>
      </c>
      <c r="H53" s="25">
        <v>4799.7</v>
      </c>
      <c r="I53" s="25">
        <v>4321.1000000000004</v>
      </c>
      <c r="J53" s="25">
        <v>4285.7</v>
      </c>
      <c r="K53" s="25">
        <v>4132</v>
      </c>
      <c r="L53" s="25">
        <v>4767</v>
      </c>
      <c r="M53" s="25">
        <v>4399</v>
      </c>
      <c r="N53" s="25">
        <v>4704</v>
      </c>
      <c r="O53" s="25">
        <v>4864</v>
      </c>
      <c r="P53" s="25">
        <v>5229</v>
      </c>
      <c r="Q53" s="25">
        <v>5502</v>
      </c>
      <c r="R53" s="25">
        <v>5651</v>
      </c>
      <c r="S53" s="25">
        <v>5937</v>
      </c>
      <c r="T53" s="25">
        <v>6220</v>
      </c>
      <c r="U53" s="25">
        <v>6494</v>
      </c>
      <c r="V53" s="25">
        <v>6292</v>
      </c>
      <c r="W53" s="25">
        <v>4962</v>
      </c>
      <c r="X53" s="25">
        <v>4777</v>
      </c>
      <c r="Y53" s="25">
        <v>4607</v>
      </c>
      <c r="Z53" s="25">
        <v>4857</v>
      </c>
      <c r="AA53" s="25">
        <v>4326</v>
      </c>
      <c r="AB53" s="25">
        <v>4824</v>
      </c>
      <c r="AC53" s="25">
        <v>5165</v>
      </c>
      <c r="AD53" s="25">
        <v>5292</v>
      </c>
      <c r="AE53" s="25">
        <v>5896</v>
      </c>
      <c r="AF53" s="25">
        <v>6833</v>
      </c>
      <c r="AH53" s="53">
        <f t="shared" si="10"/>
        <v>5896</v>
      </c>
      <c r="AI53" s="53">
        <f t="shared" si="11"/>
        <v>6833</v>
      </c>
      <c r="AJ53" s="53">
        <f t="shared" si="12"/>
        <v>6197.0396491341044</v>
      </c>
      <c r="AK53" s="53">
        <f t="shared" si="12"/>
        <v>6364.3597196607252</v>
      </c>
      <c r="AM53" s="59">
        <f t="shared" si="13"/>
        <v>2.1957291902431817E-2</v>
      </c>
      <c r="AN53" s="2"/>
    </row>
    <row r="54" spans="3:41" ht="14" x14ac:dyDescent="0.15">
      <c r="E54" s="23" t="s">
        <v>63</v>
      </c>
      <c r="F54" s="23" t="s">
        <v>64</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423</v>
      </c>
      <c r="Z54" s="25">
        <v>493</v>
      </c>
      <c r="AA54" s="25">
        <v>498</v>
      </c>
      <c r="AB54" s="25">
        <v>465</v>
      </c>
      <c r="AC54" s="25">
        <v>528</v>
      </c>
      <c r="AD54" s="25">
        <v>465</v>
      </c>
      <c r="AE54" s="25">
        <v>508</v>
      </c>
      <c r="AF54" s="25">
        <v>487</v>
      </c>
      <c r="AH54" s="53">
        <f t="shared" si="10"/>
        <v>508</v>
      </c>
      <c r="AI54" s="53">
        <f t="shared" si="11"/>
        <v>487</v>
      </c>
      <c r="AJ54" s="53">
        <f t="shared" si="12"/>
        <v>531.34282853785044</v>
      </c>
      <c r="AK54" s="53">
        <f t="shared" si="12"/>
        <v>545.68908490837237</v>
      </c>
      <c r="AM54" s="59">
        <f t="shared" si="13"/>
        <v>1.8826488528437184E-3</v>
      </c>
      <c r="AN54" s="2"/>
    </row>
    <row r="55" spans="3:41" ht="14" x14ac:dyDescent="0.15">
      <c r="E55" s="23" t="s">
        <v>65</v>
      </c>
      <c r="F55" s="23" t="s">
        <v>66</v>
      </c>
      <c r="G55" s="25">
        <v>164.9</v>
      </c>
      <c r="H55" s="25">
        <v>191.9</v>
      </c>
      <c r="I55" s="25">
        <v>179.5</v>
      </c>
      <c r="J55" s="25">
        <v>176.9</v>
      </c>
      <c r="K55" s="25">
        <v>170</v>
      </c>
      <c r="L55" s="25">
        <v>193</v>
      </c>
      <c r="M55" s="25">
        <v>161</v>
      </c>
      <c r="N55" s="25">
        <v>161</v>
      </c>
      <c r="O55" s="25">
        <v>176</v>
      </c>
      <c r="P55" s="25">
        <v>183</v>
      </c>
      <c r="Q55" s="25">
        <v>196</v>
      </c>
      <c r="R55" s="25">
        <v>209</v>
      </c>
      <c r="S55" s="25">
        <v>220</v>
      </c>
      <c r="T55" s="25">
        <v>226</v>
      </c>
      <c r="U55" s="25">
        <v>224</v>
      </c>
      <c r="V55" s="25">
        <v>249</v>
      </c>
      <c r="W55" s="25">
        <v>274</v>
      </c>
      <c r="X55" s="25">
        <v>295</v>
      </c>
      <c r="Y55" s="25">
        <v>673</v>
      </c>
      <c r="Z55" s="25">
        <v>681</v>
      </c>
      <c r="AA55" s="25">
        <v>636</v>
      </c>
      <c r="AB55" s="25">
        <v>600</v>
      </c>
      <c r="AC55" s="25">
        <v>528</v>
      </c>
      <c r="AD55" s="25">
        <v>483</v>
      </c>
      <c r="AE55" s="25">
        <v>472</v>
      </c>
      <c r="AF55" s="25">
        <v>506</v>
      </c>
      <c r="AH55" s="53">
        <f t="shared" si="10"/>
        <v>472</v>
      </c>
      <c r="AI55" s="53">
        <f t="shared" si="11"/>
        <v>506</v>
      </c>
      <c r="AJ55" s="53">
        <f t="shared" si="12"/>
        <v>531.61010360250737</v>
      </c>
      <c r="AK55" s="53">
        <f t="shared" si="12"/>
        <v>545.96357639977498</v>
      </c>
      <c r="AM55" s="59">
        <f t="shared" si="13"/>
        <v>1.8835958593089316E-3</v>
      </c>
      <c r="AN55" s="2"/>
    </row>
    <row r="56" spans="3:41" ht="14" x14ac:dyDescent="0.15">
      <c r="E56" s="4"/>
      <c r="F56" s="4"/>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H56" s="53"/>
      <c r="AI56" s="53"/>
      <c r="AJ56" s="53"/>
      <c r="AK56" s="53"/>
      <c r="AM56" s="59"/>
      <c r="AN56" s="2"/>
    </row>
    <row r="57" spans="3:41" ht="14" x14ac:dyDescent="0.15">
      <c r="C57" s="149">
        <f>+MAX($C$1:$C56)+1</f>
        <v>5</v>
      </c>
      <c r="E57" s="41" t="s">
        <v>67</v>
      </c>
      <c r="F57" s="41" t="s">
        <v>68</v>
      </c>
      <c r="G57" s="43">
        <v>5522.1</v>
      </c>
      <c r="H57" s="43">
        <v>5790.8</v>
      </c>
      <c r="I57" s="43">
        <v>6435</v>
      </c>
      <c r="J57" s="43">
        <v>6790.7</v>
      </c>
      <c r="K57" s="43">
        <v>7192</v>
      </c>
      <c r="L57" s="43">
        <v>8520</v>
      </c>
      <c r="M57" s="43">
        <v>9246</v>
      </c>
      <c r="N57" s="43">
        <v>10130</v>
      </c>
      <c r="O57" s="43">
        <v>11139</v>
      </c>
      <c r="P57" s="43">
        <v>12241</v>
      </c>
      <c r="Q57" s="43">
        <v>13350</v>
      </c>
      <c r="R57" s="43">
        <v>14176</v>
      </c>
      <c r="S57" s="43">
        <v>14863</v>
      </c>
      <c r="T57" s="43">
        <v>15653</v>
      </c>
      <c r="U57" s="43">
        <v>16957</v>
      </c>
      <c r="V57" s="43">
        <v>17457</v>
      </c>
      <c r="W57" s="43">
        <v>18643</v>
      </c>
      <c r="X57" s="43">
        <v>18727</v>
      </c>
      <c r="Y57" s="43">
        <v>19079</v>
      </c>
      <c r="Z57" s="43">
        <v>19416</v>
      </c>
      <c r="AA57" s="43">
        <v>19298</v>
      </c>
      <c r="AB57" s="43">
        <v>18438</v>
      </c>
      <c r="AC57" s="43">
        <v>18982</v>
      </c>
      <c r="AD57" s="43">
        <v>20221</v>
      </c>
      <c r="AE57" s="43">
        <v>20923</v>
      </c>
      <c r="AF57" s="43">
        <v>20624</v>
      </c>
      <c r="AG57" s="44"/>
      <c r="AH57" s="55">
        <f>+SUM(AH58:AH63)</f>
        <v>20923</v>
      </c>
      <c r="AI57" s="55">
        <f>+SUM(AI58:AI63)</f>
        <v>20625</v>
      </c>
      <c r="AJ57" s="55">
        <f>SUM(AJ58:AJ63)</f>
        <v>21582.996021171275</v>
      </c>
      <c r="AK57" s="55">
        <f>SUM(AK58:AK63)</f>
        <v>22165.736913742901</v>
      </c>
      <c r="AM57" s="60">
        <f>SUM(AM58:AM63)</f>
        <v>7.6472666078891319E-2</v>
      </c>
      <c r="AN57" s="2"/>
      <c r="AO57" s="5" t="b">
        <f>AK57=SUM(AK58:AK63)</f>
        <v>1</v>
      </c>
    </row>
    <row r="58" spans="3:41" ht="14" x14ac:dyDescent="0.15">
      <c r="E58" s="23" t="s">
        <v>69</v>
      </c>
      <c r="F58" s="23" t="s">
        <v>70</v>
      </c>
      <c r="G58" s="25">
        <v>2984.7</v>
      </c>
      <c r="H58" s="25">
        <v>3235.8</v>
      </c>
      <c r="I58" s="25">
        <v>3694.1</v>
      </c>
      <c r="J58" s="25">
        <v>3929.9</v>
      </c>
      <c r="K58" s="25">
        <v>4029</v>
      </c>
      <c r="L58" s="25">
        <v>4683</v>
      </c>
      <c r="M58" s="25">
        <v>4820</v>
      </c>
      <c r="N58" s="25">
        <v>5578</v>
      </c>
      <c r="O58" s="25">
        <v>6381</v>
      </c>
      <c r="P58" s="25">
        <v>6939</v>
      </c>
      <c r="Q58" s="25">
        <v>7348</v>
      </c>
      <c r="R58" s="25">
        <v>7790</v>
      </c>
      <c r="S58" s="25">
        <v>8039</v>
      </c>
      <c r="T58" s="25">
        <v>8427</v>
      </c>
      <c r="U58" s="25">
        <v>8992</v>
      </c>
      <c r="V58" s="25">
        <v>9555</v>
      </c>
      <c r="W58" s="25">
        <v>10260</v>
      </c>
      <c r="X58" s="25">
        <v>10602</v>
      </c>
      <c r="Y58" s="25">
        <v>10874</v>
      </c>
      <c r="Z58" s="25">
        <v>11287</v>
      </c>
      <c r="AA58" s="25">
        <v>11288</v>
      </c>
      <c r="AB58" s="25">
        <v>10923</v>
      </c>
      <c r="AC58" s="25">
        <v>11155</v>
      </c>
      <c r="AD58" s="25">
        <v>11661</v>
      </c>
      <c r="AE58" s="25">
        <v>12065</v>
      </c>
      <c r="AF58" s="25">
        <v>12109</v>
      </c>
      <c r="AH58" s="53">
        <f t="shared" ref="AH58:AI63" si="14">+AE58</f>
        <v>12065</v>
      </c>
      <c r="AI58" s="53">
        <f t="shared" si="14"/>
        <v>12109</v>
      </c>
      <c r="AJ58" s="53">
        <f t="shared" ref="AJ58:AK63" si="15">AJ$18*$AM58</f>
        <v>12559.255288226153</v>
      </c>
      <c r="AK58" s="53">
        <f t="shared" si="15"/>
        <v>12898.355181008257</v>
      </c>
      <c r="AM58" s="59">
        <f t="shared" ref="AM58:AM63" si="16">SUM(AC58:AF58)/SUM(AC$16:AF$16)</f>
        <v>4.4499833800365353E-2</v>
      </c>
      <c r="AN58" s="2"/>
    </row>
    <row r="59" spans="3:41" ht="14" x14ac:dyDescent="0.15">
      <c r="E59" s="23" t="s">
        <v>71</v>
      </c>
      <c r="F59" s="23" t="s">
        <v>72</v>
      </c>
      <c r="G59" s="25">
        <v>1787.4</v>
      </c>
      <c r="H59" s="25">
        <v>1736.6</v>
      </c>
      <c r="I59" s="25">
        <v>1868.9</v>
      </c>
      <c r="J59" s="25">
        <v>1968.4</v>
      </c>
      <c r="K59" s="25">
        <v>2238</v>
      </c>
      <c r="L59" s="25">
        <v>2612</v>
      </c>
      <c r="M59" s="25">
        <v>2835</v>
      </c>
      <c r="N59" s="25">
        <v>2913</v>
      </c>
      <c r="O59" s="25">
        <v>3104</v>
      </c>
      <c r="P59" s="25">
        <v>3473</v>
      </c>
      <c r="Q59" s="25">
        <v>3982</v>
      </c>
      <c r="R59" s="25">
        <v>4135</v>
      </c>
      <c r="S59" s="25">
        <v>4422</v>
      </c>
      <c r="T59" s="25">
        <v>4746</v>
      </c>
      <c r="U59" s="25">
        <v>5015</v>
      </c>
      <c r="V59" s="25">
        <v>4837</v>
      </c>
      <c r="W59" s="25">
        <v>4943</v>
      </c>
      <c r="X59" s="25">
        <v>4919</v>
      </c>
      <c r="Y59" s="25">
        <v>4781</v>
      </c>
      <c r="Z59" s="25">
        <v>4604</v>
      </c>
      <c r="AA59" s="25">
        <v>4473</v>
      </c>
      <c r="AB59" s="25">
        <v>4277</v>
      </c>
      <c r="AC59" s="25">
        <v>4437</v>
      </c>
      <c r="AD59" s="25">
        <v>4693</v>
      </c>
      <c r="AE59" s="25">
        <v>5031</v>
      </c>
      <c r="AF59" s="25">
        <v>4767</v>
      </c>
      <c r="AH59" s="53">
        <f t="shared" si="14"/>
        <v>5031</v>
      </c>
      <c r="AI59" s="53">
        <f t="shared" si="14"/>
        <v>4767</v>
      </c>
      <c r="AJ59" s="53">
        <f t="shared" si="15"/>
        <v>5058.9824238251676</v>
      </c>
      <c r="AK59" s="53">
        <f t="shared" si="15"/>
        <v>5195.5749492684463</v>
      </c>
      <c r="AM59" s="59">
        <f t="shared" si="16"/>
        <v>1.7924938373554276E-2</v>
      </c>
      <c r="AN59" s="2"/>
    </row>
    <row r="60" spans="3:41" ht="14" x14ac:dyDescent="0.15">
      <c r="E60" s="23" t="s">
        <v>73</v>
      </c>
      <c r="F60" s="23" t="s">
        <v>74</v>
      </c>
      <c r="G60" s="25">
        <v>355.9</v>
      </c>
      <c r="H60" s="25">
        <v>400.1</v>
      </c>
      <c r="I60" s="25">
        <v>381.9</v>
      </c>
      <c r="J60" s="25">
        <v>391.5</v>
      </c>
      <c r="K60" s="25">
        <v>382</v>
      </c>
      <c r="L60" s="25">
        <v>579</v>
      </c>
      <c r="M60" s="25">
        <v>860</v>
      </c>
      <c r="N60" s="25">
        <v>912</v>
      </c>
      <c r="O60" s="25">
        <v>814</v>
      </c>
      <c r="P60" s="25">
        <v>904</v>
      </c>
      <c r="Q60" s="25">
        <v>1015</v>
      </c>
      <c r="R60" s="25">
        <v>1154</v>
      </c>
      <c r="S60" s="25">
        <v>1233</v>
      </c>
      <c r="T60" s="25">
        <v>1286</v>
      </c>
      <c r="U60" s="25">
        <v>1648</v>
      </c>
      <c r="V60" s="25">
        <v>1672</v>
      </c>
      <c r="W60" s="25">
        <v>1865</v>
      </c>
      <c r="X60" s="25">
        <v>1497</v>
      </c>
      <c r="Y60" s="25">
        <v>1638</v>
      </c>
      <c r="Z60" s="25">
        <v>1732</v>
      </c>
      <c r="AA60" s="25">
        <v>1713</v>
      </c>
      <c r="AB60" s="25">
        <v>1597</v>
      </c>
      <c r="AC60" s="25">
        <v>1655</v>
      </c>
      <c r="AD60" s="25">
        <v>1955</v>
      </c>
      <c r="AE60" s="25">
        <v>1791</v>
      </c>
      <c r="AF60" s="25">
        <v>1669</v>
      </c>
      <c r="AH60" s="53">
        <f t="shared" si="14"/>
        <v>1791</v>
      </c>
      <c r="AI60" s="53">
        <f t="shared" si="14"/>
        <v>1669</v>
      </c>
      <c r="AJ60" s="53">
        <f t="shared" si="15"/>
        <v>1889.6347071240455</v>
      </c>
      <c r="AK60" s="53">
        <f t="shared" si="15"/>
        <v>1940.6548442163946</v>
      </c>
      <c r="AM60" s="59">
        <f t="shared" si="16"/>
        <v>6.6953357090568854E-3</v>
      </c>
      <c r="AN60" s="2"/>
    </row>
    <row r="61" spans="3:41" ht="14" x14ac:dyDescent="0.15">
      <c r="E61" s="23" t="s">
        <v>75</v>
      </c>
      <c r="F61" s="23" t="s">
        <v>76</v>
      </c>
      <c r="G61" s="25">
        <v>299.60000000000002</v>
      </c>
      <c r="H61" s="25">
        <v>320.3</v>
      </c>
      <c r="I61" s="25">
        <v>380.9</v>
      </c>
      <c r="J61" s="25">
        <v>394.5</v>
      </c>
      <c r="K61" s="25">
        <v>418</v>
      </c>
      <c r="L61" s="25">
        <v>501</v>
      </c>
      <c r="M61" s="25">
        <v>555</v>
      </c>
      <c r="N61" s="25">
        <v>566</v>
      </c>
      <c r="O61" s="25">
        <v>625</v>
      </c>
      <c r="P61" s="25">
        <v>699</v>
      </c>
      <c r="Q61" s="25">
        <v>757</v>
      </c>
      <c r="R61" s="25">
        <v>819</v>
      </c>
      <c r="S61" s="25">
        <v>886</v>
      </c>
      <c r="T61" s="25">
        <v>897</v>
      </c>
      <c r="U61" s="25">
        <v>987</v>
      </c>
      <c r="V61" s="25">
        <v>1072</v>
      </c>
      <c r="W61" s="25">
        <v>1242</v>
      </c>
      <c r="X61" s="25">
        <v>1354</v>
      </c>
      <c r="Y61" s="25">
        <v>1407</v>
      </c>
      <c r="Z61" s="25">
        <v>1422</v>
      </c>
      <c r="AA61" s="25">
        <v>1457</v>
      </c>
      <c r="AB61" s="25">
        <v>1260</v>
      </c>
      <c r="AC61" s="25">
        <v>1307</v>
      </c>
      <c r="AD61" s="25">
        <v>1441</v>
      </c>
      <c r="AE61" s="25">
        <v>1525</v>
      </c>
      <c r="AF61" s="25">
        <v>1512</v>
      </c>
      <c r="AH61" s="53">
        <f t="shared" si="14"/>
        <v>1525</v>
      </c>
      <c r="AI61" s="53">
        <f t="shared" si="14"/>
        <v>1512</v>
      </c>
      <c r="AJ61" s="53">
        <f t="shared" si="15"/>
        <v>1546.1862490399724</v>
      </c>
      <c r="AK61" s="53">
        <f t="shared" si="15"/>
        <v>1587.9332777640514</v>
      </c>
      <c r="AM61" s="59">
        <f t="shared" si="16"/>
        <v>5.4784324012580035E-3</v>
      </c>
      <c r="AN61" s="2"/>
    </row>
    <row r="62" spans="3:41" ht="14" x14ac:dyDescent="0.15">
      <c r="E62" s="23" t="s">
        <v>77</v>
      </c>
      <c r="F62" s="23" t="s">
        <v>78</v>
      </c>
      <c r="G62" s="25">
        <v>1</v>
      </c>
      <c r="H62" s="25">
        <v>1</v>
      </c>
      <c r="I62" s="25">
        <v>1</v>
      </c>
      <c r="J62" s="25">
        <v>1</v>
      </c>
      <c r="K62" s="25">
        <v>1</v>
      </c>
      <c r="L62" s="25">
        <v>2</v>
      </c>
      <c r="M62" s="25">
        <v>2</v>
      </c>
      <c r="N62" s="25">
        <v>3</v>
      </c>
      <c r="O62" s="25">
        <v>2</v>
      </c>
      <c r="P62" s="25">
        <v>3</v>
      </c>
      <c r="Q62" s="25">
        <v>3</v>
      </c>
      <c r="R62" s="25">
        <v>3</v>
      </c>
      <c r="S62" s="25">
        <v>3</v>
      </c>
      <c r="T62" s="25">
        <v>3</v>
      </c>
      <c r="U62" s="25">
        <v>3</v>
      </c>
      <c r="V62" s="25">
        <v>-1</v>
      </c>
      <c r="W62" s="25">
        <v>-1</v>
      </c>
      <c r="X62" s="25">
        <v>0</v>
      </c>
      <c r="Y62" s="25">
        <v>1</v>
      </c>
      <c r="Z62" s="25">
        <v>6</v>
      </c>
      <c r="AA62" s="25">
        <v>14</v>
      </c>
      <c r="AB62" s="25">
        <v>52</v>
      </c>
      <c r="AC62" s="25">
        <v>69</v>
      </c>
      <c r="AD62" s="25">
        <v>108</v>
      </c>
      <c r="AE62" s="25">
        <v>144</v>
      </c>
      <c r="AF62" s="25">
        <v>182</v>
      </c>
      <c r="AH62" s="53">
        <f t="shared" si="14"/>
        <v>144</v>
      </c>
      <c r="AI62" s="53">
        <f t="shared" si="14"/>
        <v>182</v>
      </c>
      <c r="AJ62" s="53">
        <f t="shared" si="15"/>
        <v>134.43935752240381</v>
      </c>
      <c r="AK62" s="53">
        <f t="shared" si="15"/>
        <v>138.06922017550869</v>
      </c>
      <c r="AM62" s="59">
        <f t="shared" si="16"/>
        <v>4.763442520022084E-4</v>
      </c>
      <c r="AN62" s="2"/>
    </row>
    <row r="63" spans="3:41" ht="14" x14ac:dyDescent="0.15">
      <c r="E63" s="23" t="s">
        <v>79</v>
      </c>
      <c r="F63" s="23" t="s">
        <v>80</v>
      </c>
      <c r="G63" s="25">
        <v>92.5</v>
      </c>
      <c r="H63" s="25">
        <v>98</v>
      </c>
      <c r="I63" s="25">
        <v>106.1</v>
      </c>
      <c r="J63" s="25">
        <v>106.3</v>
      </c>
      <c r="K63" s="25">
        <v>125</v>
      </c>
      <c r="L63" s="25">
        <v>143</v>
      </c>
      <c r="M63" s="25">
        <v>175</v>
      </c>
      <c r="N63" s="25">
        <v>158</v>
      </c>
      <c r="O63" s="25">
        <v>211</v>
      </c>
      <c r="P63" s="25">
        <v>223</v>
      </c>
      <c r="Q63" s="25">
        <v>245</v>
      </c>
      <c r="R63" s="25">
        <v>274</v>
      </c>
      <c r="S63" s="25">
        <v>281</v>
      </c>
      <c r="T63" s="25">
        <v>293</v>
      </c>
      <c r="U63" s="25">
        <v>312</v>
      </c>
      <c r="V63" s="25">
        <v>322</v>
      </c>
      <c r="W63" s="25">
        <v>334</v>
      </c>
      <c r="X63" s="25">
        <v>355</v>
      </c>
      <c r="Y63" s="25">
        <v>377</v>
      </c>
      <c r="Z63" s="25">
        <v>365</v>
      </c>
      <c r="AA63" s="25">
        <v>353</v>
      </c>
      <c r="AB63" s="25">
        <v>328</v>
      </c>
      <c r="AC63" s="25">
        <v>359</v>
      </c>
      <c r="AD63" s="25">
        <v>364</v>
      </c>
      <c r="AE63" s="25">
        <v>367</v>
      </c>
      <c r="AF63" s="25">
        <v>386</v>
      </c>
      <c r="AH63" s="53">
        <f t="shared" si="14"/>
        <v>367</v>
      </c>
      <c r="AI63" s="53">
        <f t="shared" si="14"/>
        <v>386</v>
      </c>
      <c r="AJ63" s="53">
        <f t="shared" si="15"/>
        <v>394.49799543353481</v>
      </c>
      <c r="AK63" s="53">
        <f t="shared" si="15"/>
        <v>405.14944131024026</v>
      </c>
      <c r="AM63" s="59">
        <f t="shared" si="16"/>
        <v>1.3977815426545917E-3</v>
      </c>
      <c r="AN63" s="2"/>
    </row>
    <row r="64" spans="3:41" ht="14" x14ac:dyDescent="0.15">
      <c r="E64" s="4"/>
      <c r="F64" s="4"/>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H64" s="53"/>
      <c r="AI64" s="53"/>
      <c r="AJ64" s="53"/>
      <c r="AK64" s="53"/>
      <c r="AM64" s="59"/>
      <c r="AN64" s="2"/>
    </row>
    <row r="65" spans="3:41" ht="14" x14ac:dyDescent="0.15">
      <c r="C65" s="149">
        <f>+MAX($C$1:$C64)+1</f>
        <v>6</v>
      </c>
      <c r="E65" s="41" t="s">
        <v>81</v>
      </c>
      <c r="F65" s="41" t="s">
        <v>82</v>
      </c>
      <c r="G65" s="43">
        <v>8007.1</v>
      </c>
      <c r="H65" s="43">
        <v>8349.7000000000007</v>
      </c>
      <c r="I65" s="43">
        <v>8447.7000000000007</v>
      </c>
      <c r="J65" s="43">
        <v>8354.7000000000007</v>
      </c>
      <c r="K65" s="43">
        <v>9501</v>
      </c>
      <c r="L65" s="43">
        <v>11095</v>
      </c>
      <c r="M65" s="43">
        <v>12460</v>
      </c>
      <c r="N65" s="43">
        <v>14578</v>
      </c>
      <c r="O65" s="43">
        <v>15380</v>
      </c>
      <c r="P65" s="43">
        <v>16490</v>
      </c>
      <c r="Q65" s="43">
        <v>16722</v>
      </c>
      <c r="R65" s="43">
        <v>17709</v>
      </c>
      <c r="S65" s="43">
        <v>19166</v>
      </c>
      <c r="T65" s="43">
        <v>20133</v>
      </c>
      <c r="U65" s="43">
        <v>21113</v>
      </c>
      <c r="V65" s="43">
        <v>19883</v>
      </c>
      <c r="W65" s="43">
        <v>20476</v>
      </c>
      <c r="X65" s="43">
        <v>19826</v>
      </c>
      <c r="Y65" s="43">
        <v>20876</v>
      </c>
      <c r="Z65" s="43">
        <v>20067</v>
      </c>
      <c r="AA65" s="43">
        <v>19402</v>
      </c>
      <c r="AB65" s="43">
        <v>19181</v>
      </c>
      <c r="AC65" s="43">
        <v>19323</v>
      </c>
      <c r="AD65" s="43">
        <v>20017</v>
      </c>
      <c r="AE65" s="43">
        <v>22267</v>
      </c>
      <c r="AF65" s="43">
        <v>20977</v>
      </c>
      <c r="AG65" s="44"/>
      <c r="AH65" s="55">
        <f>+SUM(AH66:AH71)</f>
        <v>22267</v>
      </c>
      <c r="AI65" s="55">
        <f>+SUM(AI66:AI71)</f>
        <v>20977</v>
      </c>
      <c r="AJ65" s="57">
        <f>SUM(AJ66:AJ71)</f>
        <v>22072.643939622656</v>
      </c>
      <c r="AK65" s="57">
        <f>SUM(AK66:AK71)</f>
        <v>22668.605325992467</v>
      </c>
      <c r="AM65" s="58">
        <f>SUM(AM66:AM71)</f>
        <v>7.8207581923161795E-2</v>
      </c>
      <c r="AN65" s="2"/>
      <c r="AO65" s="5" t="b">
        <f>AK65=SUM(AK66:AK71)</f>
        <v>1</v>
      </c>
    </row>
    <row r="66" spans="3:41" ht="14" x14ac:dyDescent="0.15">
      <c r="E66" s="23" t="s">
        <v>83</v>
      </c>
      <c r="F66" s="23" t="s">
        <v>84</v>
      </c>
      <c r="G66" s="25">
        <v>1074.7</v>
      </c>
      <c r="H66" s="25">
        <v>1178</v>
      </c>
      <c r="I66" s="25">
        <v>862</v>
      </c>
      <c r="J66" s="25">
        <v>826.7</v>
      </c>
      <c r="K66" s="25">
        <v>851</v>
      </c>
      <c r="L66" s="25">
        <v>1021</v>
      </c>
      <c r="M66" s="25">
        <v>1263</v>
      </c>
      <c r="N66" s="25">
        <v>1771</v>
      </c>
      <c r="O66" s="25">
        <v>1808</v>
      </c>
      <c r="P66" s="25">
        <v>1866</v>
      </c>
      <c r="Q66" s="25">
        <v>1744</v>
      </c>
      <c r="R66" s="25">
        <v>1735</v>
      </c>
      <c r="S66" s="25">
        <v>1887</v>
      </c>
      <c r="T66" s="25">
        <v>1951</v>
      </c>
      <c r="U66" s="25">
        <v>2099</v>
      </c>
      <c r="V66" s="25">
        <v>2064</v>
      </c>
      <c r="W66" s="25">
        <v>1763</v>
      </c>
      <c r="X66" s="25">
        <v>1864</v>
      </c>
      <c r="Y66" s="25">
        <v>2089</v>
      </c>
      <c r="Z66" s="25">
        <v>1908</v>
      </c>
      <c r="AA66" s="25">
        <v>2232</v>
      </c>
      <c r="AB66" s="25">
        <v>2398</v>
      </c>
      <c r="AC66" s="25">
        <v>2175</v>
      </c>
      <c r="AD66" s="25">
        <v>2339</v>
      </c>
      <c r="AE66" s="25">
        <v>2394</v>
      </c>
      <c r="AF66" s="25">
        <v>2410</v>
      </c>
      <c r="AH66" s="53">
        <f t="shared" ref="AH66:AI71" si="17">+AE66</f>
        <v>2394</v>
      </c>
      <c r="AI66" s="53">
        <f t="shared" si="17"/>
        <v>2410</v>
      </c>
      <c r="AJ66" s="53">
        <f t="shared" ref="AJ66:AK71" si="18">AJ$18*$AM66</f>
        <v>2490.4690524726811</v>
      </c>
      <c r="AK66" s="53">
        <f t="shared" si="18"/>
        <v>2557.7117168894433</v>
      </c>
      <c r="AM66" s="59">
        <f t="shared" ref="AM66:AM71" si="19">SUM(AC66:AF66)/SUM(AC$16:AF$16)</f>
        <v>8.8242062428560194E-3</v>
      </c>
      <c r="AN66" s="2"/>
    </row>
    <row r="67" spans="3:41" ht="14" x14ac:dyDescent="0.15">
      <c r="E67" s="23" t="s">
        <v>85</v>
      </c>
      <c r="F67" s="23" t="s">
        <v>86</v>
      </c>
      <c r="G67" s="25">
        <v>4748</v>
      </c>
      <c r="H67" s="25">
        <v>4984.6000000000004</v>
      </c>
      <c r="I67" s="25">
        <v>5391.4</v>
      </c>
      <c r="J67" s="25">
        <v>5370.7</v>
      </c>
      <c r="K67" s="25">
        <v>6073</v>
      </c>
      <c r="L67" s="25">
        <v>7064</v>
      </c>
      <c r="M67" s="25">
        <v>7836</v>
      </c>
      <c r="N67" s="25">
        <v>9158</v>
      </c>
      <c r="O67" s="25">
        <v>9805</v>
      </c>
      <c r="P67" s="25">
        <v>10592</v>
      </c>
      <c r="Q67" s="25">
        <v>10775</v>
      </c>
      <c r="R67" s="25">
        <v>11390</v>
      </c>
      <c r="S67" s="25">
        <v>12433</v>
      </c>
      <c r="T67" s="25">
        <v>13155</v>
      </c>
      <c r="U67" s="25">
        <v>13929</v>
      </c>
      <c r="V67" s="25">
        <v>13173</v>
      </c>
      <c r="W67" s="25">
        <v>14249</v>
      </c>
      <c r="X67" s="25">
        <v>13807</v>
      </c>
      <c r="Y67" s="25">
        <v>14428</v>
      </c>
      <c r="Z67" s="25">
        <v>13831</v>
      </c>
      <c r="AA67" s="25">
        <v>12875</v>
      </c>
      <c r="AB67" s="25">
        <v>12465</v>
      </c>
      <c r="AC67" s="25">
        <v>12705</v>
      </c>
      <c r="AD67" s="25">
        <v>13028</v>
      </c>
      <c r="AE67" s="25">
        <v>14846</v>
      </c>
      <c r="AF67" s="25">
        <v>13697</v>
      </c>
      <c r="AH67" s="53">
        <f t="shared" si="17"/>
        <v>14846</v>
      </c>
      <c r="AI67" s="53">
        <f t="shared" si="17"/>
        <v>13697</v>
      </c>
      <c r="AJ67" s="53">
        <f t="shared" si="18"/>
        <v>14506.621409316083</v>
      </c>
      <c r="AK67" s="53">
        <f t="shared" si="18"/>
        <v>14898.300187367617</v>
      </c>
      <c r="AM67" s="59">
        <f t="shared" si="19"/>
        <v>5.1399722905908281E-2</v>
      </c>
      <c r="AN67" s="2"/>
    </row>
    <row r="68" spans="3:41" ht="14" x14ac:dyDescent="0.15">
      <c r="E68" s="23" t="s">
        <v>87</v>
      </c>
      <c r="F68" s="23" t="s">
        <v>88</v>
      </c>
      <c r="G68" s="25">
        <v>1200.3</v>
      </c>
      <c r="H68" s="25">
        <v>1164.8</v>
      </c>
      <c r="I68" s="25">
        <v>1188.4000000000001</v>
      </c>
      <c r="J68" s="25">
        <v>1174.5</v>
      </c>
      <c r="K68" s="25">
        <v>1449</v>
      </c>
      <c r="L68" s="25">
        <v>1748</v>
      </c>
      <c r="M68" s="25">
        <v>1982</v>
      </c>
      <c r="N68" s="25">
        <v>2132</v>
      </c>
      <c r="O68" s="25">
        <v>2192</v>
      </c>
      <c r="P68" s="25">
        <v>2363</v>
      </c>
      <c r="Q68" s="25">
        <v>2482</v>
      </c>
      <c r="R68" s="25">
        <v>2709</v>
      </c>
      <c r="S68" s="25">
        <v>2895</v>
      </c>
      <c r="T68" s="25">
        <v>3016</v>
      </c>
      <c r="U68" s="25">
        <v>3012</v>
      </c>
      <c r="V68" s="25">
        <v>2951</v>
      </c>
      <c r="W68" s="25">
        <v>2918</v>
      </c>
      <c r="X68" s="25">
        <v>2690</v>
      </c>
      <c r="Y68" s="25">
        <v>2854</v>
      </c>
      <c r="Z68" s="25">
        <v>2822</v>
      </c>
      <c r="AA68" s="25">
        <v>2820</v>
      </c>
      <c r="AB68" s="25">
        <v>2695</v>
      </c>
      <c r="AC68" s="25">
        <v>2799</v>
      </c>
      <c r="AD68" s="25">
        <v>2905</v>
      </c>
      <c r="AE68" s="25">
        <v>3135</v>
      </c>
      <c r="AF68" s="25">
        <v>3025</v>
      </c>
      <c r="AH68" s="53">
        <f t="shared" si="17"/>
        <v>3135</v>
      </c>
      <c r="AI68" s="53">
        <f t="shared" si="17"/>
        <v>3025</v>
      </c>
      <c r="AJ68" s="53">
        <f t="shared" si="18"/>
        <v>3170.9513670890628</v>
      </c>
      <c r="AK68" s="53">
        <f t="shared" si="18"/>
        <v>3256.5670540004676</v>
      </c>
      <c r="AM68" s="59">
        <f t="shared" si="19"/>
        <v>1.1235284703288669E-2</v>
      </c>
      <c r="AN68" s="2"/>
    </row>
    <row r="69" spans="3:41" ht="14" x14ac:dyDescent="0.15">
      <c r="E69" s="23" t="s">
        <v>89</v>
      </c>
      <c r="F69" s="23" t="s">
        <v>90</v>
      </c>
      <c r="G69" s="25">
        <v>558.9</v>
      </c>
      <c r="H69" s="25">
        <v>567.79999999999995</v>
      </c>
      <c r="I69" s="25">
        <v>600.1</v>
      </c>
      <c r="J69" s="25">
        <v>559.4</v>
      </c>
      <c r="K69" s="25">
        <v>699</v>
      </c>
      <c r="L69" s="25">
        <v>833</v>
      </c>
      <c r="M69" s="25">
        <v>905</v>
      </c>
      <c r="N69" s="25">
        <v>982</v>
      </c>
      <c r="O69" s="25">
        <v>1021</v>
      </c>
      <c r="P69" s="25">
        <v>1098</v>
      </c>
      <c r="Q69" s="25">
        <v>1111</v>
      </c>
      <c r="R69" s="25">
        <v>1221</v>
      </c>
      <c r="S69" s="25">
        <v>1272</v>
      </c>
      <c r="T69" s="25">
        <v>1309</v>
      </c>
      <c r="U69" s="25">
        <v>1319</v>
      </c>
      <c r="V69" s="25">
        <v>1349</v>
      </c>
      <c r="W69" s="25">
        <v>1444</v>
      </c>
      <c r="X69" s="25">
        <v>1385</v>
      </c>
      <c r="Y69" s="25">
        <v>1423</v>
      </c>
      <c r="Z69" s="25">
        <v>1428</v>
      </c>
      <c r="AA69" s="25">
        <v>1407</v>
      </c>
      <c r="AB69" s="25">
        <v>1353</v>
      </c>
      <c r="AC69" s="25">
        <v>1409</v>
      </c>
      <c r="AD69" s="25">
        <v>1487</v>
      </c>
      <c r="AE69" s="25">
        <v>1528</v>
      </c>
      <c r="AF69" s="25">
        <v>1471</v>
      </c>
      <c r="AH69" s="53">
        <f t="shared" si="17"/>
        <v>1528</v>
      </c>
      <c r="AI69" s="53">
        <f t="shared" si="17"/>
        <v>1471</v>
      </c>
      <c r="AJ69" s="53">
        <f t="shared" si="18"/>
        <v>1575.5865061522277</v>
      </c>
      <c r="AK69" s="53">
        <f t="shared" si="18"/>
        <v>1618.1273418183378</v>
      </c>
      <c r="AM69" s="59">
        <f t="shared" si="19"/>
        <v>5.5826031124314489E-3</v>
      </c>
      <c r="AN69" s="2"/>
    </row>
    <row r="70" spans="3:41" ht="14" x14ac:dyDescent="0.15">
      <c r="E70" s="23" t="s">
        <v>91</v>
      </c>
      <c r="F70" s="23" t="s">
        <v>92</v>
      </c>
      <c r="G70" s="25">
        <v>6</v>
      </c>
      <c r="H70" s="25">
        <v>7.1</v>
      </c>
      <c r="I70" s="25">
        <v>4</v>
      </c>
      <c r="J70" s="25">
        <v>4</v>
      </c>
      <c r="K70" s="25">
        <v>3</v>
      </c>
      <c r="L70" s="25">
        <v>3</v>
      </c>
      <c r="M70" s="25">
        <v>4</v>
      </c>
      <c r="N70" s="25">
        <v>7</v>
      </c>
      <c r="O70" s="25">
        <v>7</v>
      </c>
      <c r="P70" s="25">
        <v>8</v>
      </c>
      <c r="Q70" s="25">
        <v>6</v>
      </c>
      <c r="R70" s="25">
        <v>6</v>
      </c>
      <c r="S70" s="25">
        <v>7</v>
      </c>
      <c r="T70" s="25">
        <v>8</v>
      </c>
      <c r="U70" s="25">
        <v>9</v>
      </c>
      <c r="V70" s="25">
        <v>0</v>
      </c>
      <c r="W70" s="25">
        <v>-1</v>
      </c>
      <c r="X70" s="25">
        <v>1</v>
      </c>
      <c r="Y70" s="25">
        <v>1</v>
      </c>
      <c r="Z70" s="25">
        <v>0</v>
      </c>
      <c r="AA70" s="25">
        <v>0</v>
      </c>
      <c r="AB70" s="25">
        <v>0</v>
      </c>
      <c r="AC70" s="25">
        <v>0</v>
      </c>
      <c r="AD70" s="25">
        <v>0</v>
      </c>
      <c r="AE70" s="25">
        <v>0</v>
      </c>
      <c r="AF70" s="25">
        <v>0</v>
      </c>
      <c r="AH70" s="53">
        <f t="shared" si="17"/>
        <v>0</v>
      </c>
      <c r="AI70" s="53">
        <f t="shared" si="17"/>
        <v>0</v>
      </c>
      <c r="AJ70" s="53">
        <f t="shared" si="18"/>
        <v>0</v>
      </c>
      <c r="AK70" s="53">
        <f t="shared" si="18"/>
        <v>0</v>
      </c>
      <c r="AM70" s="59">
        <f t="shared" si="19"/>
        <v>0</v>
      </c>
      <c r="AN70" s="2"/>
    </row>
    <row r="71" spans="3:41" ht="14" x14ac:dyDescent="0.15">
      <c r="E71" s="23" t="s">
        <v>93</v>
      </c>
      <c r="F71" s="23" t="s">
        <v>94</v>
      </c>
      <c r="G71" s="25">
        <v>418.2</v>
      </c>
      <c r="H71" s="25">
        <v>446.5</v>
      </c>
      <c r="I71" s="25">
        <v>401.8</v>
      </c>
      <c r="J71" s="25">
        <v>420.3</v>
      </c>
      <c r="K71" s="25">
        <v>426</v>
      </c>
      <c r="L71" s="25">
        <v>428</v>
      </c>
      <c r="M71" s="25">
        <v>472</v>
      </c>
      <c r="N71" s="25">
        <v>528</v>
      </c>
      <c r="O71" s="25">
        <v>549</v>
      </c>
      <c r="P71" s="25">
        <v>565</v>
      </c>
      <c r="Q71" s="25">
        <v>604</v>
      </c>
      <c r="R71" s="25">
        <v>646</v>
      </c>
      <c r="S71" s="25">
        <v>671</v>
      </c>
      <c r="T71" s="25">
        <v>694</v>
      </c>
      <c r="U71" s="25">
        <v>746</v>
      </c>
      <c r="V71" s="25">
        <v>346</v>
      </c>
      <c r="W71" s="25">
        <v>103</v>
      </c>
      <c r="X71" s="25">
        <v>79</v>
      </c>
      <c r="Y71" s="25">
        <v>82</v>
      </c>
      <c r="Z71" s="25">
        <v>78</v>
      </c>
      <c r="AA71" s="25">
        <v>68</v>
      </c>
      <c r="AB71" s="25">
        <v>271</v>
      </c>
      <c r="AC71" s="25">
        <v>235</v>
      </c>
      <c r="AD71" s="25">
        <v>258</v>
      </c>
      <c r="AE71" s="25">
        <v>364</v>
      </c>
      <c r="AF71" s="25">
        <v>374</v>
      </c>
      <c r="AH71" s="53">
        <f t="shared" si="17"/>
        <v>364</v>
      </c>
      <c r="AI71" s="53">
        <f t="shared" si="17"/>
        <v>374</v>
      </c>
      <c r="AJ71" s="53">
        <f t="shared" si="18"/>
        <v>329.01560459260253</v>
      </c>
      <c r="AK71" s="53">
        <f t="shared" si="18"/>
        <v>337.8990259166028</v>
      </c>
      <c r="AM71" s="59">
        <f t="shared" si="19"/>
        <v>1.1657649586773729E-3</v>
      </c>
      <c r="AN71" s="2"/>
    </row>
    <row r="72" spans="3:41" ht="14" x14ac:dyDescent="0.15">
      <c r="E72" s="4"/>
      <c r="F72" s="4"/>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H72" s="53"/>
      <c r="AI72" s="53"/>
      <c r="AJ72" s="53"/>
      <c r="AK72" s="53"/>
      <c r="AM72" s="59"/>
      <c r="AN72" s="2"/>
    </row>
    <row r="73" spans="3:41" ht="14" x14ac:dyDescent="0.15">
      <c r="C73" s="149">
        <f>+MAX($C$1:$C72)+1</f>
        <v>7</v>
      </c>
      <c r="E73" s="41" t="s">
        <v>95</v>
      </c>
      <c r="F73" s="41" t="s">
        <v>96</v>
      </c>
      <c r="G73" s="43">
        <v>781.1</v>
      </c>
      <c r="H73" s="43">
        <v>822.3</v>
      </c>
      <c r="I73" s="43">
        <v>825.3</v>
      </c>
      <c r="J73" s="43">
        <v>866.5</v>
      </c>
      <c r="K73" s="43">
        <v>940</v>
      </c>
      <c r="L73" s="43">
        <v>1055</v>
      </c>
      <c r="M73" s="43">
        <v>1107</v>
      </c>
      <c r="N73" s="43">
        <v>1197</v>
      </c>
      <c r="O73" s="43">
        <v>1279</v>
      </c>
      <c r="P73" s="43">
        <v>1359</v>
      </c>
      <c r="Q73" s="43">
        <v>1508</v>
      </c>
      <c r="R73" s="43">
        <v>1550</v>
      </c>
      <c r="S73" s="43">
        <v>1649</v>
      </c>
      <c r="T73" s="43">
        <v>1680</v>
      </c>
      <c r="U73" s="43">
        <v>1649</v>
      </c>
      <c r="V73" s="43">
        <v>1652</v>
      </c>
      <c r="W73" s="43">
        <v>1725</v>
      </c>
      <c r="X73" s="43">
        <v>1784</v>
      </c>
      <c r="Y73" s="43">
        <v>1820</v>
      </c>
      <c r="Z73" s="43">
        <v>1809</v>
      </c>
      <c r="AA73" s="43">
        <v>1775</v>
      </c>
      <c r="AB73" s="43">
        <v>1752</v>
      </c>
      <c r="AC73" s="43">
        <v>1848</v>
      </c>
      <c r="AD73" s="43">
        <v>1879</v>
      </c>
      <c r="AE73" s="43">
        <v>1880</v>
      </c>
      <c r="AF73" s="43">
        <v>2205</v>
      </c>
      <c r="AG73" s="44"/>
      <c r="AH73" s="55">
        <f>+SUM(AH74:AH79)</f>
        <v>1880</v>
      </c>
      <c r="AI73" s="55">
        <f>+SUM(AI74:AI79)</f>
        <v>2205</v>
      </c>
      <c r="AJ73" s="57">
        <f>SUM(AJ74:AJ79)</f>
        <v>2087.6855300347834</v>
      </c>
      <c r="AK73" s="57">
        <f>SUM(AK74:AK79)</f>
        <v>2144.0530393457225</v>
      </c>
      <c r="AM73" s="58">
        <f>SUM(AM74:AM79)</f>
        <v>7.3970674997798202E-3</v>
      </c>
      <c r="AN73" s="2"/>
      <c r="AO73" s="5" t="b">
        <f>AK73=SUM(AK74:AK79)</f>
        <v>1</v>
      </c>
    </row>
    <row r="74" spans="3:41" ht="14" x14ac:dyDescent="0.15">
      <c r="E74" s="23" t="s">
        <v>97</v>
      </c>
      <c r="F74" s="23" t="s">
        <v>98</v>
      </c>
      <c r="G74" s="25">
        <v>8</v>
      </c>
      <c r="H74" s="25">
        <v>9.1</v>
      </c>
      <c r="I74" s="25">
        <v>9.9</v>
      </c>
      <c r="J74" s="25">
        <v>9.9</v>
      </c>
      <c r="K74" s="25">
        <v>10</v>
      </c>
      <c r="L74" s="25">
        <v>11</v>
      </c>
      <c r="M74" s="25">
        <v>11</v>
      </c>
      <c r="N74" s="25">
        <v>12</v>
      </c>
      <c r="O74" s="25">
        <v>13</v>
      </c>
      <c r="P74" s="25">
        <v>13</v>
      </c>
      <c r="Q74" s="25">
        <v>14</v>
      </c>
      <c r="R74" s="25">
        <v>15</v>
      </c>
      <c r="S74" s="25">
        <v>15</v>
      </c>
      <c r="T74" s="25">
        <v>15</v>
      </c>
      <c r="U74" s="25">
        <v>0</v>
      </c>
      <c r="V74" s="25">
        <v>0</v>
      </c>
      <c r="W74" s="25">
        <v>0</v>
      </c>
      <c r="X74" s="25">
        <v>0</v>
      </c>
      <c r="Y74" s="25">
        <v>0</v>
      </c>
      <c r="Z74" s="25">
        <v>0</v>
      </c>
      <c r="AA74" s="25">
        <v>0</v>
      </c>
      <c r="AB74" s="25">
        <v>0</v>
      </c>
      <c r="AC74" s="25">
        <v>0</v>
      </c>
      <c r="AD74" s="25">
        <v>0</v>
      </c>
      <c r="AE74" s="25">
        <v>0</v>
      </c>
      <c r="AF74" s="25">
        <v>0</v>
      </c>
      <c r="AH74" s="53">
        <f t="shared" ref="AH74:AI79" si="20">+AE74</f>
        <v>0</v>
      </c>
      <c r="AI74" s="53">
        <f t="shared" si="20"/>
        <v>0</v>
      </c>
      <c r="AJ74" s="53">
        <f t="shared" ref="AJ74:AK79" si="21">AJ$18*$AM74</f>
        <v>0</v>
      </c>
      <c r="AK74" s="53">
        <f t="shared" si="21"/>
        <v>0</v>
      </c>
      <c r="AM74" s="59">
        <f t="shared" ref="AM74:AM79" si="22">SUM(AC74:AF74)/SUM(AC$16:AF$16)</f>
        <v>0</v>
      </c>
      <c r="AN74" s="2"/>
    </row>
    <row r="75" spans="3:41" ht="14" x14ac:dyDescent="0.15">
      <c r="E75" s="23" t="s">
        <v>99</v>
      </c>
      <c r="F75" s="23" t="s">
        <v>100</v>
      </c>
      <c r="G75" s="25">
        <v>0</v>
      </c>
      <c r="H75" s="25">
        <v>0</v>
      </c>
      <c r="I75" s="25">
        <v>0</v>
      </c>
      <c r="J75" s="25">
        <v>0</v>
      </c>
      <c r="K75" s="25">
        <v>0</v>
      </c>
      <c r="L75" s="25">
        <v>0</v>
      </c>
      <c r="M75" s="25">
        <v>0</v>
      </c>
      <c r="N75" s="25">
        <v>0</v>
      </c>
      <c r="O75" s="25">
        <v>0</v>
      </c>
      <c r="P75" s="25">
        <v>0</v>
      </c>
      <c r="Q75" s="25">
        <v>0</v>
      </c>
      <c r="R75" s="25">
        <v>0</v>
      </c>
      <c r="S75" s="25">
        <v>0</v>
      </c>
      <c r="T75" s="25">
        <v>0</v>
      </c>
      <c r="U75" s="25">
        <v>0</v>
      </c>
      <c r="V75" s="25">
        <v>0</v>
      </c>
      <c r="W75" s="25">
        <v>0</v>
      </c>
      <c r="X75" s="25">
        <v>0</v>
      </c>
      <c r="Y75" s="25">
        <v>0</v>
      </c>
      <c r="Z75" s="25">
        <v>0</v>
      </c>
      <c r="AA75" s="25">
        <v>0</v>
      </c>
      <c r="AB75" s="25">
        <v>0</v>
      </c>
      <c r="AC75" s="25">
        <v>0</v>
      </c>
      <c r="AD75" s="25">
        <v>0</v>
      </c>
      <c r="AE75" s="25">
        <v>0</v>
      </c>
      <c r="AF75" s="25">
        <v>0</v>
      </c>
      <c r="AH75" s="53">
        <f t="shared" si="20"/>
        <v>0</v>
      </c>
      <c r="AI75" s="53">
        <f t="shared" si="20"/>
        <v>0</v>
      </c>
      <c r="AJ75" s="53">
        <f t="shared" si="21"/>
        <v>0</v>
      </c>
      <c r="AK75" s="53">
        <f t="shared" si="21"/>
        <v>0</v>
      </c>
      <c r="AM75" s="59">
        <f t="shared" si="22"/>
        <v>0</v>
      </c>
      <c r="AN75" s="2"/>
    </row>
    <row r="76" spans="3:41" ht="14" x14ac:dyDescent="0.15">
      <c r="E76" s="23" t="s">
        <v>101</v>
      </c>
      <c r="F76" s="23" t="s">
        <v>102</v>
      </c>
      <c r="G76" s="25">
        <v>5</v>
      </c>
      <c r="H76" s="25">
        <v>5.0999999999999996</v>
      </c>
      <c r="I76" s="25">
        <v>5</v>
      </c>
      <c r="J76" s="25">
        <v>5</v>
      </c>
      <c r="K76" s="25">
        <v>5</v>
      </c>
      <c r="L76" s="25">
        <v>6</v>
      </c>
      <c r="M76" s="25">
        <v>7</v>
      </c>
      <c r="N76" s="25">
        <v>8</v>
      </c>
      <c r="O76" s="25">
        <v>9</v>
      </c>
      <c r="P76" s="25">
        <v>10</v>
      </c>
      <c r="Q76" s="25">
        <v>95</v>
      </c>
      <c r="R76" s="25">
        <v>53</v>
      </c>
      <c r="S76" s="25">
        <v>55</v>
      </c>
      <c r="T76" s="25">
        <v>59</v>
      </c>
      <c r="U76" s="25">
        <v>0</v>
      </c>
      <c r="V76" s="25">
        <v>0</v>
      </c>
      <c r="W76" s="25">
        <v>0</v>
      </c>
      <c r="X76" s="25">
        <v>0</v>
      </c>
      <c r="Y76" s="25">
        <v>0</v>
      </c>
      <c r="Z76" s="25">
        <v>0</v>
      </c>
      <c r="AA76" s="25">
        <v>0</v>
      </c>
      <c r="AB76" s="25">
        <v>0</v>
      </c>
      <c r="AC76" s="25">
        <v>0</v>
      </c>
      <c r="AD76" s="25">
        <v>0</v>
      </c>
      <c r="AE76" s="25">
        <v>0</v>
      </c>
      <c r="AF76" s="25">
        <v>0</v>
      </c>
      <c r="AH76" s="53">
        <f t="shared" si="20"/>
        <v>0</v>
      </c>
      <c r="AI76" s="53">
        <f t="shared" si="20"/>
        <v>0</v>
      </c>
      <c r="AJ76" s="53">
        <f t="shared" si="21"/>
        <v>0</v>
      </c>
      <c r="AK76" s="53">
        <f t="shared" si="21"/>
        <v>0</v>
      </c>
      <c r="AM76" s="59">
        <f t="shared" si="22"/>
        <v>0</v>
      </c>
      <c r="AN76" s="2"/>
    </row>
    <row r="77" spans="3:41" ht="14" x14ac:dyDescent="0.15">
      <c r="E77" s="23" t="s">
        <v>103</v>
      </c>
      <c r="F77" s="23" t="s">
        <v>104</v>
      </c>
      <c r="G77" s="25">
        <v>439.3</v>
      </c>
      <c r="H77" s="25">
        <v>461.7</v>
      </c>
      <c r="I77" s="25">
        <v>465.2</v>
      </c>
      <c r="J77" s="25">
        <v>488.9</v>
      </c>
      <c r="K77" s="25">
        <v>531</v>
      </c>
      <c r="L77" s="25">
        <v>611</v>
      </c>
      <c r="M77" s="25">
        <v>637</v>
      </c>
      <c r="N77" s="25">
        <v>684</v>
      </c>
      <c r="O77" s="25">
        <v>729</v>
      </c>
      <c r="P77" s="25">
        <v>781</v>
      </c>
      <c r="Q77" s="25">
        <v>819</v>
      </c>
      <c r="R77" s="25">
        <v>869</v>
      </c>
      <c r="S77" s="25">
        <v>924</v>
      </c>
      <c r="T77" s="25">
        <v>914</v>
      </c>
      <c r="U77" s="25">
        <v>910</v>
      </c>
      <c r="V77" s="25">
        <v>904</v>
      </c>
      <c r="W77" s="25">
        <v>983</v>
      </c>
      <c r="X77" s="25">
        <v>998</v>
      </c>
      <c r="Y77" s="25">
        <v>1021</v>
      </c>
      <c r="Z77" s="25">
        <v>988</v>
      </c>
      <c r="AA77" s="25">
        <v>959</v>
      </c>
      <c r="AB77" s="25">
        <v>973</v>
      </c>
      <c r="AC77" s="25">
        <v>1033</v>
      </c>
      <c r="AD77" s="25">
        <v>1054</v>
      </c>
      <c r="AE77" s="25">
        <v>1107</v>
      </c>
      <c r="AF77" s="25">
        <v>1116</v>
      </c>
      <c r="AH77" s="53">
        <f t="shared" si="20"/>
        <v>1107</v>
      </c>
      <c r="AI77" s="53">
        <f t="shared" si="20"/>
        <v>1116</v>
      </c>
      <c r="AJ77" s="53">
        <f t="shared" si="21"/>
        <v>1151.9555286710943</v>
      </c>
      <c r="AK77" s="53">
        <f t="shared" si="21"/>
        <v>1183.0583279452137</v>
      </c>
      <c r="AM77" s="59">
        <f t="shared" si="22"/>
        <v>4.0815978650686245E-3</v>
      </c>
      <c r="AN77" s="2"/>
    </row>
    <row r="78" spans="3:41" ht="14" x14ac:dyDescent="0.15">
      <c r="E78" s="23" t="s">
        <v>105</v>
      </c>
      <c r="F78" s="23" t="s">
        <v>106</v>
      </c>
      <c r="G78" s="25">
        <v>0</v>
      </c>
      <c r="H78" s="25">
        <v>0</v>
      </c>
      <c r="I78" s="25">
        <v>0</v>
      </c>
      <c r="J78" s="25">
        <v>0</v>
      </c>
      <c r="K78" s="25">
        <v>0</v>
      </c>
      <c r="L78" s="25">
        <v>0</v>
      </c>
      <c r="M78" s="25">
        <v>0</v>
      </c>
      <c r="N78" s="25">
        <v>0</v>
      </c>
      <c r="O78" s="25">
        <v>0</v>
      </c>
      <c r="P78" s="25">
        <v>0</v>
      </c>
      <c r="Q78" s="25">
        <v>0</v>
      </c>
      <c r="R78" s="25">
        <v>0</v>
      </c>
      <c r="S78" s="25">
        <v>0</v>
      </c>
      <c r="T78" s="25">
        <v>0</v>
      </c>
      <c r="U78" s="25">
        <v>0</v>
      </c>
      <c r="V78" s="25">
        <v>0</v>
      </c>
      <c r="W78" s="25">
        <v>0</v>
      </c>
      <c r="X78" s="25">
        <v>0</v>
      </c>
      <c r="Y78" s="25">
        <v>0</v>
      </c>
      <c r="Z78" s="25">
        <v>0</v>
      </c>
      <c r="AA78" s="25">
        <v>0</v>
      </c>
      <c r="AB78" s="25">
        <v>0</v>
      </c>
      <c r="AC78" s="25">
        <v>0</v>
      </c>
      <c r="AD78" s="25">
        <v>0</v>
      </c>
      <c r="AE78" s="25">
        <v>0</v>
      </c>
      <c r="AF78" s="25">
        <v>0</v>
      </c>
      <c r="AH78" s="53">
        <f t="shared" si="20"/>
        <v>0</v>
      </c>
      <c r="AI78" s="53">
        <f t="shared" si="20"/>
        <v>0</v>
      </c>
      <c r="AJ78" s="53">
        <f t="shared" si="21"/>
        <v>0</v>
      </c>
      <c r="AK78" s="53">
        <f t="shared" si="21"/>
        <v>0</v>
      </c>
      <c r="AM78" s="59">
        <f t="shared" si="22"/>
        <v>0</v>
      </c>
      <c r="AN78" s="2"/>
    </row>
    <row r="79" spans="3:41" ht="14" x14ac:dyDescent="0.15">
      <c r="E79" s="23" t="s">
        <v>107</v>
      </c>
      <c r="F79" s="23" t="s">
        <v>108</v>
      </c>
      <c r="G79" s="25">
        <v>328.7</v>
      </c>
      <c r="H79" s="25">
        <v>347.5</v>
      </c>
      <c r="I79" s="25">
        <v>343.2</v>
      </c>
      <c r="J79" s="25">
        <v>362.7</v>
      </c>
      <c r="K79" s="25">
        <v>394</v>
      </c>
      <c r="L79" s="25">
        <v>429</v>
      </c>
      <c r="M79" s="25">
        <v>452</v>
      </c>
      <c r="N79" s="25">
        <v>493</v>
      </c>
      <c r="O79" s="25">
        <v>526</v>
      </c>
      <c r="P79" s="25">
        <v>555</v>
      </c>
      <c r="Q79" s="25">
        <v>580</v>
      </c>
      <c r="R79" s="25">
        <v>613</v>
      </c>
      <c r="S79" s="25">
        <v>655</v>
      </c>
      <c r="T79" s="25">
        <v>690</v>
      </c>
      <c r="U79" s="25">
        <v>739</v>
      </c>
      <c r="V79" s="25">
        <v>748</v>
      </c>
      <c r="W79" s="25">
        <v>741</v>
      </c>
      <c r="X79" s="25">
        <v>786</v>
      </c>
      <c r="Y79" s="25">
        <v>799</v>
      </c>
      <c r="Z79" s="25">
        <v>821</v>
      </c>
      <c r="AA79" s="25">
        <v>816</v>
      </c>
      <c r="AB79" s="25">
        <v>779</v>
      </c>
      <c r="AC79" s="25">
        <v>815</v>
      </c>
      <c r="AD79" s="25">
        <v>824</v>
      </c>
      <c r="AE79" s="25">
        <v>773</v>
      </c>
      <c r="AF79" s="25">
        <v>1089</v>
      </c>
      <c r="AH79" s="53">
        <f t="shared" si="20"/>
        <v>773</v>
      </c>
      <c r="AI79" s="53">
        <f t="shared" si="20"/>
        <v>1089</v>
      </c>
      <c r="AJ79" s="53">
        <f t="shared" si="21"/>
        <v>935.73000136368933</v>
      </c>
      <c r="AK79" s="53">
        <f t="shared" si="21"/>
        <v>960.99471140050889</v>
      </c>
      <c r="AM79" s="59">
        <f t="shared" si="22"/>
        <v>3.3154696347111961E-3</v>
      </c>
      <c r="AN79" s="2"/>
    </row>
    <row r="80" spans="3:41" ht="14" x14ac:dyDescent="0.15">
      <c r="E80" s="4"/>
      <c r="F80" s="4"/>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H80" s="53"/>
      <c r="AI80" s="53"/>
      <c r="AJ80" s="53"/>
      <c r="AK80" s="53"/>
      <c r="AM80" s="59"/>
      <c r="AN80" s="2"/>
    </row>
    <row r="81" spans="3:41" ht="14" x14ac:dyDescent="0.15">
      <c r="C81" s="149">
        <f>+MAX($C$1:$C80)+1</f>
        <v>8</v>
      </c>
      <c r="E81" s="41" t="s">
        <v>109</v>
      </c>
      <c r="F81" s="41" t="s">
        <v>110</v>
      </c>
      <c r="G81" s="43">
        <v>7076.2</v>
      </c>
      <c r="H81" s="43">
        <v>7143.5</v>
      </c>
      <c r="I81" s="43">
        <v>7669</v>
      </c>
      <c r="J81" s="43">
        <v>8610.1</v>
      </c>
      <c r="K81" s="43">
        <v>9163</v>
      </c>
      <c r="L81" s="43">
        <v>10362</v>
      </c>
      <c r="M81" s="43">
        <v>11902</v>
      </c>
      <c r="N81" s="43">
        <v>13958</v>
      </c>
      <c r="O81" s="43">
        <v>15624</v>
      </c>
      <c r="P81" s="43">
        <v>16411</v>
      </c>
      <c r="Q81" s="43">
        <v>17445</v>
      </c>
      <c r="R81" s="43">
        <v>18728</v>
      </c>
      <c r="S81" s="43">
        <v>19817</v>
      </c>
      <c r="T81" s="43">
        <v>20056</v>
      </c>
      <c r="U81" s="43">
        <v>20795</v>
      </c>
      <c r="V81" s="43">
        <v>21748</v>
      </c>
      <c r="W81" s="43">
        <v>22941</v>
      </c>
      <c r="X81" s="43">
        <v>23759</v>
      </c>
      <c r="Y81" s="43">
        <v>25076</v>
      </c>
      <c r="Z81" s="43">
        <v>24454</v>
      </c>
      <c r="AA81" s="43">
        <v>23232</v>
      </c>
      <c r="AB81" s="43">
        <v>22720</v>
      </c>
      <c r="AC81" s="43">
        <v>23412</v>
      </c>
      <c r="AD81" s="43">
        <v>23955</v>
      </c>
      <c r="AE81" s="43">
        <v>25683</v>
      </c>
      <c r="AF81" s="43">
        <v>24062</v>
      </c>
      <c r="AG81" s="44"/>
      <c r="AH81" s="55">
        <f>+SUM(AH82:AH87)</f>
        <v>25684</v>
      </c>
      <c r="AI81" s="55">
        <f>+SUM(AI82:AI87)</f>
        <v>24062</v>
      </c>
      <c r="AJ81" s="57">
        <f>SUM(AJ82:AJ87)</f>
        <v>25955.883354022269</v>
      </c>
      <c r="AK81" s="57">
        <f>SUM(AK82:AK87)</f>
        <v>26656.692204580868</v>
      </c>
      <c r="AM81" s="58">
        <f>SUM(AM82:AM87)</f>
        <v>9.1966638856243468E-2</v>
      </c>
      <c r="AN81" s="2"/>
      <c r="AO81" s="5" t="b">
        <f>AK81=SUM(AK82:AK87)</f>
        <v>1</v>
      </c>
    </row>
    <row r="82" spans="3:41" ht="14" x14ac:dyDescent="0.15">
      <c r="E82" s="23" t="s">
        <v>111</v>
      </c>
      <c r="F82" s="23" t="s">
        <v>112</v>
      </c>
      <c r="G82" s="25">
        <v>3707.5</v>
      </c>
      <c r="H82" s="25">
        <v>3720.8</v>
      </c>
      <c r="I82" s="25">
        <v>3981.8</v>
      </c>
      <c r="J82" s="25">
        <v>4480.3999999999996</v>
      </c>
      <c r="K82" s="25">
        <v>4778</v>
      </c>
      <c r="L82" s="25">
        <v>5392</v>
      </c>
      <c r="M82" s="25">
        <v>6174</v>
      </c>
      <c r="N82" s="25">
        <v>7139</v>
      </c>
      <c r="O82" s="25">
        <v>7956</v>
      </c>
      <c r="P82" s="25">
        <v>8403</v>
      </c>
      <c r="Q82" s="25">
        <v>8938</v>
      </c>
      <c r="R82" s="25">
        <v>9482</v>
      </c>
      <c r="S82" s="25">
        <v>10029</v>
      </c>
      <c r="T82" s="25">
        <v>10110</v>
      </c>
      <c r="U82" s="25">
        <v>10452</v>
      </c>
      <c r="V82" s="25">
        <v>10891</v>
      </c>
      <c r="W82" s="25">
        <v>11355</v>
      </c>
      <c r="X82" s="25">
        <v>11714</v>
      </c>
      <c r="Y82" s="25">
        <v>12385</v>
      </c>
      <c r="Z82" s="25">
        <v>12073</v>
      </c>
      <c r="AA82" s="25">
        <v>11664</v>
      </c>
      <c r="AB82" s="25">
        <v>11431</v>
      </c>
      <c r="AC82" s="25">
        <v>11879</v>
      </c>
      <c r="AD82" s="25">
        <v>12096</v>
      </c>
      <c r="AE82" s="25">
        <v>13069</v>
      </c>
      <c r="AF82" s="25">
        <v>12167</v>
      </c>
      <c r="AH82" s="53">
        <f t="shared" ref="AH82:AI87" si="23">+AE82</f>
        <v>13069</v>
      </c>
      <c r="AI82" s="53">
        <f t="shared" si="23"/>
        <v>12167</v>
      </c>
      <c r="AJ82" s="53">
        <f t="shared" ref="AJ82:AK87" si="24">AJ$18*$AM82</f>
        <v>13152.873206829054</v>
      </c>
      <c r="AK82" s="53">
        <f t="shared" si="24"/>
        <v>13508.000783413438</v>
      </c>
      <c r="AM82" s="59">
        <f t="shared" ref="AM82:AM87" si="25">SUM(AC82:AF82)/SUM(AC$16:AF$16)</f>
        <v>4.6603135159603737E-2</v>
      </c>
      <c r="AN82" s="2"/>
    </row>
    <row r="83" spans="3:41" ht="14" x14ac:dyDescent="0.15">
      <c r="E83" s="23" t="s">
        <v>113</v>
      </c>
      <c r="F83" s="23" t="s">
        <v>114</v>
      </c>
      <c r="G83" s="25">
        <v>3249.1</v>
      </c>
      <c r="H83" s="25">
        <v>3309.6</v>
      </c>
      <c r="I83" s="25">
        <v>3567.2</v>
      </c>
      <c r="J83" s="25">
        <v>3993.5</v>
      </c>
      <c r="K83" s="25">
        <v>4241</v>
      </c>
      <c r="L83" s="25">
        <v>4772</v>
      </c>
      <c r="M83" s="25">
        <v>5498</v>
      </c>
      <c r="N83" s="25">
        <v>6560</v>
      </c>
      <c r="O83" s="25">
        <v>7368</v>
      </c>
      <c r="P83" s="25">
        <v>7704</v>
      </c>
      <c r="Q83" s="25">
        <v>8186</v>
      </c>
      <c r="R83" s="25">
        <v>8910</v>
      </c>
      <c r="S83" s="25">
        <v>9438</v>
      </c>
      <c r="T83" s="25">
        <v>9608</v>
      </c>
      <c r="U83" s="25">
        <v>9963</v>
      </c>
      <c r="V83" s="25">
        <v>10454</v>
      </c>
      <c r="W83" s="25">
        <v>11159</v>
      </c>
      <c r="X83" s="25">
        <v>11588</v>
      </c>
      <c r="Y83" s="25">
        <v>12207</v>
      </c>
      <c r="Z83" s="25">
        <v>11914</v>
      </c>
      <c r="AA83" s="25">
        <v>11112</v>
      </c>
      <c r="AB83" s="25">
        <v>10846</v>
      </c>
      <c r="AC83" s="25">
        <v>11070</v>
      </c>
      <c r="AD83" s="25">
        <v>11308</v>
      </c>
      <c r="AE83" s="25">
        <v>12033</v>
      </c>
      <c r="AF83" s="25">
        <v>11351</v>
      </c>
      <c r="AH83" s="53">
        <f t="shared" si="23"/>
        <v>12033</v>
      </c>
      <c r="AI83" s="53">
        <f t="shared" si="23"/>
        <v>11351</v>
      </c>
      <c r="AJ83" s="53">
        <f t="shared" si="24"/>
        <v>12231.04150882752</v>
      </c>
      <c r="AK83" s="53">
        <f t="shared" si="24"/>
        <v>12561.279629565863</v>
      </c>
      <c r="AM83" s="59">
        <f t="shared" si="25"/>
        <v>4.3336909861083621E-2</v>
      </c>
      <c r="AN83" s="2"/>
    </row>
    <row r="84" spans="3:41" ht="14" x14ac:dyDescent="0.15">
      <c r="E84" s="23" t="s">
        <v>115</v>
      </c>
      <c r="F84" s="23" t="s">
        <v>116</v>
      </c>
      <c r="G84" s="25">
        <v>0</v>
      </c>
      <c r="H84" s="25">
        <v>0</v>
      </c>
      <c r="I84" s="25">
        <v>1</v>
      </c>
      <c r="J84" s="25">
        <v>1</v>
      </c>
      <c r="K84" s="25">
        <v>1</v>
      </c>
      <c r="L84" s="25">
        <v>1</v>
      </c>
      <c r="M84" s="25">
        <v>1</v>
      </c>
      <c r="N84" s="25">
        <v>2</v>
      </c>
      <c r="O84" s="25">
        <v>2</v>
      </c>
      <c r="P84" s="25">
        <v>2</v>
      </c>
      <c r="Q84" s="25">
        <v>2</v>
      </c>
      <c r="R84" s="25">
        <v>2</v>
      </c>
      <c r="S84" s="25">
        <v>2</v>
      </c>
      <c r="T84" s="25">
        <v>2</v>
      </c>
      <c r="U84" s="25">
        <v>1</v>
      </c>
      <c r="V84" s="25">
        <v>1</v>
      </c>
      <c r="W84" s="25">
        <v>1</v>
      </c>
      <c r="X84" s="25">
        <v>0</v>
      </c>
      <c r="Y84" s="25">
        <v>0</v>
      </c>
      <c r="Z84" s="25">
        <v>0</v>
      </c>
      <c r="AA84" s="25">
        <v>0</v>
      </c>
      <c r="AB84" s="25">
        <v>3</v>
      </c>
      <c r="AC84" s="25">
        <v>3</v>
      </c>
      <c r="AD84" s="25">
        <v>16</v>
      </c>
      <c r="AE84" s="25">
        <v>24</v>
      </c>
      <c r="AF84" s="25">
        <v>30</v>
      </c>
      <c r="AH84" s="53">
        <f t="shared" si="23"/>
        <v>24</v>
      </c>
      <c r="AI84" s="53">
        <f t="shared" si="23"/>
        <v>30</v>
      </c>
      <c r="AJ84" s="53">
        <f t="shared" si="24"/>
        <v>19.511079719951251</v>
      </c>
      <c r="AK84" s="53">
        <f t="shared" si="24"/>
        <v>20.037878872389932</v>
      </c>
      <c r="AM84" s="59">
        <f t="shared" si="25"/>
        <v>6.913147196055908E-5</v>
      </c>
      <c r="AN84" s="2"/>
    </row>
    <row r="85" spans="3:41" ht="14" x14ac:dyDescent="0.15">
      <c r="E85" s="23" t="s">
        <v>117</v>
      </c>
      <c r="F85" s="23" t="s">
        <v>118</v>
      </c>
      <c r="G85" s="25">
        <v>119.6</v>
      </c>
      <c r="H85" s="25">
        <v>115.2</v>
      </c>
      <c r="I85" s="25">
        <v>118</v>
      </c>
      <c r="J85" s="25">
        <v>135.1</v>
      </c>
      <c r="K85" s="25">
        <v>142</v>
      </c>
      <c r="L85" s="25">
        <v>196</v>
      </c>
      <c r="M85" s="25">
        <v>227</v>
      </c>
      <c r="N85" s="25">
        <v>257</v>
      </c>
      <c r="O85" s="25">
        <v>299</v>
      </c>
      <c r="P85" s="25">
        <v>302</v>
      </c>
      <c r="Q85" s="25">
        <v>319</v>
      </c>
      <c r="R85" s="25">
        <v>333</v>
      </c>
      <c r="S85" s="25">
        <v>348</v>
      </c>
      <c r="T85" s="25">
        <v>335</v>
      </c>
      <c r="U85" s="25">
        <v>373</v>
      </c>
      <c r="V85" s="25">
        <v>399</v>
      </c>
      <c r="W85" s="25">
        <v>419</v>
      </c>
      <c r="X85" s="25">
        <v>440</v>
      </c>
      <c r="Y85" s="25">
        <v>482</v>
      </c>
      <c r="Z85" s="25">
        <v>463</v>
      </c>
      <c r="AA85" s="25">
        <v>431</v>
      </c>
      <c r="AB85" s="25">
        <v>433</v>
      </c>
      <c r="AC85" s="25">
        <v>453</v>
      </c>
      <c r="AD85" s="25">
        <v>474</v>
      </c>
      <c r="AE85" s="25">
        <v>498</v>
      </c>
      <c r="AF85" s="25">
        <v>463</v>
      </c>
      <c r="AH85" s="53">
        <f t="shared" si="23"/>
        <v>498</v>
      </c>
      <c r="AI85" s="53">
        <f t="shared" si="23"/>
        <v>463</v>
      </c>
      <c r="AJ85" s="53">
        <f t="shared" si="24"/>
        <v>504.61532207216379</v>
      </c>
      <c r="AK85" s="53">
        <f t="shared" si="24"/>
        <v>518.23993576811222</v>
      </c>
      <c r="AM85" s="59">
        <f t="shared" si="25"/>
        <v>1.7879482063224046E-3</v>
      </c>
      <c r="AN85" s="2"/>
    </row>
    <row r="86" spans="3:41" ht="14" x14ac:dyDescent="0.15">
      <c r="E86" s="23" t="s">
        <v>119</v>
      </c>
      <c r="F86" s="23" t="s">
        <v>120</v>
      </c>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c r="Z86" s="25">
        <v>0</v>
      </c>
      <c r="AA86" s="25">
        <v>0</v>
      </c>
      <c r="AB86" s="25">
        <v>0</v>
      </c>
      <c r="AC86" s="25">
        <v>0</v>
      </c>
      <c r="AD86" s="25">
        <v>0</v>
      </c>
      <c r="AE86" s="25">
        <v>0</v>
      </c>
      <c r="AF86" s="25">
        <v>0</v>
      </c>
      <c r="AH86" s="53">
        <f t="shared" si="23"/>
        <v>0</v>
      </c>
      <c r="AI86" s="53">
        <f t="shared" si="23"/>
        <v>0</v>
      </c>
      <c r="AJ86" s="53">
        <f t="shared" si="24"/>
        <v>0</v>
      </c>
      <c r="AK86" s="53">
        <f t="shared" si="24"/>
        <v>0</v>
      </c>
      <c r="AM86" s="59">
        <f t="shared" si="25"/>
        <v>0</v>
      </c>
      <c r="AN86" s="2"/>
    </row>
    <row r="87" spans="3:41" ht="14" x14ac:dyDescent="0.15">
      <c r="E87" s="23" t="s">
        <v>121</v>
      </c>
      <c r="F87" s="23" t="s">
        <v>122</v>
      </c>
      <c r="G87" s="25">
        <v>0</v>
      </c>
      <c r="H87" s="25">
        <v>0</v>
      </c>
      <c r="I87" s="25">
        <v>0</v>
      </c>
      <c r="J87" s="25">
        <v>0</v>
      </c>
      <c r="K87" s="25">
        <v>0</v>
      </c>
      <c r="L87" s="25">
        <v>0</v>
      </c>
      <c r="M87" s="25">
        <v>0</v>
      </c>
      <c r="N87" s="25">
        <v>0</v>
      </c>
      <c r="O87" s="25">
        <v>0</v>
      </c>
      <c r="P87" s="25">
        <v>0</v>
      </c>
      <c r="Q87" s="25">
        <v>0</v>
      </c>
      <c r="R87" s="25">
        <v>0</v>
      </c>
      <c r="S87" s="25">
        <v>0</v>
      </c>
      <c r="T87" s="25">
        <v>0</v>
      </c>
      <c r="U87" s="25">
        <v>5</v>
      </c>
      <c r="V87" s="25">
        <v>3</v>
      </c>
      <c r="W87" s="25">
        <v>6</v>
      </c>
      <c r="X87" s="25">
        <v>17</v>
      </c>
      <c r="Y87" s="25">
        <v>3</v>
      </c>
      <c r="Z87" s="25">
        <v>3</v>
      </c>
      <c r="AA87" s="25">
        <v>25</v>
      </c>
      <c r="AB87" s="25">
        <v>7</v>
      </c>
      <c r="AC87" s="25">
        <v>7</v>
      </c>
      <c r="AD87" s="25">
        <v>61</v>
      </c>
      <c r="AE87" s="25">
        <v>60</v>
      </c>
      <c r="AF87" s="25">
        <v>51</v>
      </c>
      <c r="AH87" s="53">
        <f t="shared" si="23"/>
        <v>60</v>
      </c>
      <c r="AI87" s="53">
        <f t="shared" si="23"/>
        <v>51</v>
      </c>
      <c r="AJ87" s="53">
        <f t="shared" si="24"/>
        <v>47.842236573579086</v>
      </c>
      <c r="AK87" s="53">
        <f t="shared" si="24"/>
        <v>49.13397696106572</v>
      </c>
      <c r="AM87" s="59">
        <f t="shared" si="25"/>
        <v>1.695141572731517E-4</v>
      </c>
      <c r="AN87" s="2"/>
    </row>
    <row r="88" spans="3:41" ht="14" x14ac:dyDescent="0.15">
      <c r="E88" s="4"/>
      <c r="F88" s="4"/>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H88" s="53"/>
      <c r="AI88" s="53"/>
      <c r="AJ88" s="53"/>
      <c r="AK88" s="53"/>
      <c r="AM88" s="59"/>
      <c r="AN88" s="2"/>
    </row>
    <row r="89" spans="3:41" ht="14" x14ac:dyDescent="0.15">
      <c r="C89" s="149">
        <f>+MAX($C$1:$C88)+1</f>
        <v>9</v>
      </c>
      <c r="E89" s="41" t="s">
        <v>123</v>
      </c>
      <c r="F89" s="41" t="s">
        <v>124</v>
      </c>
      <c r="G89" s="43">
        <v>15462.4</v>
      </c>
      <c r="H89" s="43">
        <v>14983.1</v>
      </c>
      <c r="I89" s="43">
        <v>15941.1</v>
      </c>
      <c r="J89" s="43">
        <v>16693.5</v>
      </c>
      <c r="K89" s="43">
        <v>19076</v>
      </c>
      <c r="L89" s="43">
        <v>20490</v>
      </c>
      <c r="M89" s="43">
        <v>22506</v>
      </c>
      <c r="N89" s="43">
        <v>24395</v>
      </c>
      <c r="O89" s="43">
        <v>25775</v>
      </c>
      <c r="P89" s="43">
        <v>26316</v>
      </c>
      <c r="Q89" s="43">
        <v>27825</v>
      </c>
      <c r="R89" s="43">
        <v>29267</v>
      </c>
      <c r="S89" s="43">
        <v>31451</v>
      </c>
      <c r="T89" s="43">
        <v>34236</v>
      </c>
      <c r="U89" s="43">
        <v>33829</v>
      </c>
      <c r="V89" s="43">
        <v>33865</v>
      </c>
      <c r="W89" s="43">
        <v>34054</v>
      </c>
      <c r="X89" s="43">
        <v>35441</v>
      </c>
      <c r="Y89" s="43">
        <v>36438</v>
      </c>
      <c r="Z89" s="43">
        <v>37065</v>
      </c>
      <c r="AA89" s="43">
        <v>37020</v>
      </c>
      <c r="AB89" s="43">
        <v>36874</v>
      </c>
      <c r="AC89" s="43">
        <v>37540</v>
      </c>
      <c r="AD89" s="43">
        <v>37062</v>
      </c>
      <c r="AE89" s="43">
        <v>37926</v>
      </c>
      <c r="AF89" s="43">
        <v>36154</v>
      </c>
      <c r="AG89" s="44"/>
      <c r="AH89" s="55">
        <f>+SUM(AH90:AH97)</f>
        <v>37927</v>
      </c>
      <c r="AI89" s="55">
        <f>+SUM(AI90:AI97)</f>
        <v>36155</v>
      </c>
      <c r="AJ89" s="57">
        <f>SUM(AJ90:AJ97)</f>
        <v>39739.258438376877</v>
      </c>
      <c r="AK89" s="57">
        <f>SUM(AK90:AK97)</f>
        <v>40812.218416213043</v>
      </c>
      <c r="AM89" s="58">
        <f>SUM(AM90:AM97)</f>
        <v>0.140803762267285</v>
      </c>
      <c r="AN89" s="2"/>
      <c r="AO89" s="5" t="b">
        <f>AK89=SUM(AK90:AK97)</f>
        <v>1</v>
      </c>
    </row>
    <row r="90" spans="3:41" ht="14" x14ac:dyDescent="0.15">
      <c r="E90" s="23" t="s">
        <v>125</v>
      </c>
      <c r="F90" s="23" t="s">
        <v>126</v>
      </c>
      <c r="G90" s="25">
        <v>3901.5</v>
      </c>
      <c r="H90" s="25">
        <v>3735.9</v>
      </c>
      <c r="I90" s="25">
        <v>3976.9</v>
      </c>
      <c r="J90" s="25">
        <v>4201.2</v>
      </c>
      <c r="K90" s="25">
        <v>4962</v>
      </c>
      <c r="L90" s="25">
        <v>5151</v>
      </c>
      <c r="M90" s="25">
        <v>5564</v>
      </c>
      <c r="N90" s="25">
        <v>6121</v>
      </c>
      <c r="O90" s="25">
        <v>6534</v>
      </c>
      <c r="P90" s="25">
        <v>6653</v>
      </c>
      <c r="Q90" s="25">
        <v>6861</v>
      </c>
      <c r="R90" s="25">
        <v>6991</v>
      </c>
      <c r="S90" s="25">
        <v>7460</v>
      </c>
      <c r="T90" s="25">
        <v>8240</v>
      </c>
      <c r="U90" s="25">
        <v>8458</v>
      </c>
      <c r="V90" s="25">
        <v>8616</v>
      </c>
      <c r="W90" s="25">
        <v>8958</v>
      </c>
      <c r="X90" s="25">
        <v>6155</v>
      </c>
      <c r="Y90" s="25">
        <v>9644</v>
      </c>
      <c r="Z90" s="25">
        <v>10181</v>
      </c>
      <c r="AA90" s="25">
        <v>9711</v>
      </c>
      <c r="AB90" s="25">
        <v>9590</v>
      </c>
      <c r="AC90" s="25">
        <v>10123</v>
      </c>
      <c r="AD90" s="25">
        <v>10395</v>
      </c>
      <c r="AE90" s="25">
        <v>10792</v>
      </c>
      <c r="AF90" s="25">
        <v>10182</v>
      </c>
      <c r="AH90" s="53">
        <f t="shared" ref="AH90:AI97" si="26">+AE90</f>
        <v>10792</v>
      </c>
      <c r="AI90" s="53">
        <f t="shared" si="26"/>
        <v>10182</v>
      </c>
      <c r="AJ90" s="53">
        <f t="shared" ref="AJ90:AK97" si="27">AJ$18*$AM90</f>
        <v>11089.776982742702</v>
      </c>
      <c r="AK90" s="53">
        <f t="shared" si="27"/>
        <v>11389.200961276754</v>
      </c>
      <c r="AM90" s="59">
        <f t="shared" ref="AM90:AM97" si="28">SUM(AC90:AF90)/SUM(AC$16:AF$16)</f>
        <v>3.9293192254623521E-2</v>
      </c>
      <c r="AN90" s="2"/>
    </row>
    <row r="91" spans="3:41" ht="14" x14ac:dyDescent="0.15">
      <c r="E91" s="23" t="s">
        <v>127</v>
      </c>
      <c r="F91" s="23" t="s">
        <v>128</v>
      </c>
      <c r="G91" s="25">
        <v>7265.2</v>
      </c>
      <c r="H91" s="25">
        <v>6942.5</v>
      </c>
      <c r="I91" s="25">
        <v>7337.7</v>
      </c>
      <c r="J91" s="25">
        <v>7652.2</v>
      </c>
      <c r="K91" s="25">
        <v>8937</v>
      </c>
      <c r="L91" s="25">
        <v>9322</v>
      </c>
      <c r="M91" s="25">
        <v>9949</v>
      </c>
      <c r="N91" s="25">
        <v>11082</v>
      </c>
      <c r="O91" s="25">
        <v>11723</v>
      </c>
      <c r="P91" s="25">
        <v>11959</v>
      </c>
      <c r="Q91" s="25">
        <v>12409</v>
      </c>
      <c r="R91" s="25">
        <v>12855</v>
      </c>
      <c r="S91" s="25">
        <v>13664</v>
      </c>
      <c r="T91" s="25">
        <v>14922</v>
      </c>
      <c r="U91" s="25">
        <v>15217</v>
      </c>
      <c r="V91" s="25">
        <v>15141</v>
      </c>
      <c r="W91" s="25">
        <v>14986</v>
      </c>
      <c r="X91" s="25">
        <v>18602</v>
      </c>
      <c r="Y91" s="25">
        <v>15964</v>
      </c>
      <c r="Z91" s="25">
        <v>15712</v>
      </c>
      <c r="AA91" s="25">
        <v>16453</v>
      </c>
      <c r="AB91" s="25">
        <v>16452</v>
      </c>
      <c r="AC91" s="25">
        <v>16673</v>
      </c>
      <c r="AD91" s="25">
        <v>16272</v>
      </c>
      <c r="AE91" s="25">
        <v>16291</v>
      </c>
      <c r="AF91" s="25">
        <v>16302</v>
      </c>
      <c r="AH91" s="53">
        <f t="shared" si="26"/>
        <v>16291</v>
      </c>
      <c r="AI91" s="53">
        <f t="shared" si="26"/>
        <v>16302</v>
      </c>
      <c r="AJ91" s="53">
        <f t="shared" si="27"/>
        <v>17516.673187481712</v>
      </c>
      <c r="AK91" s="53">
        <f t="shared" si="27"/>
        <v>17989.623363543717</v>
      </c>
      <c r="AM91" s="59">
        <f t="shared" si="28"/>
        <v>6.2064909717138642E-2</v>
      </c>
      <c r="AN91" s="2"/>
    </row>
    <row r="92" spans="3:41" ht="14" x14ac:dyDescent="0.15">
      <c r="E92" s="23" t="s">
        <v>129</v>
      </c>
      <c r="F92" s="23" t="s">
        <v>130</v>
      </c>
      <c r="G92" s="25">
        <v>176.9</v>
      </c>
      <c r="H92" s="25">
        <v>168.7</v>
      </c>
      <c r="I92" s="25">
        <v>185.5</v>
      </c>
      <c r="J92" s="25">
        <v>194.8</v>
      </c>
      <c r="K92" s="25">
        <v>215</v>
      </c>
      <c r="L92" s="25">
        <v>233</v>
      </c>
      <c r="M92" s="25">
        <v>239</v>
      </c>
      <c r="N92" s="25">
        <v>263</v>
      </c>
      <c r="O92" s="25">
        <v>286</v>
      </c>
      <c r="P92" s="25">
        <v>289</v>
      </c>
      <c r="Q92" s="25">
        <v>295</v>
      </c>
      <c r="R92" s="25">
        <v>300</v>
      </c>
      <c r="S92" s="25">
        <v>314</v>
      </c>
      <c r="T92" s="25">
        <v>344</v>
      </c>
      <c r="U92" s="25">
        <v>366</v>
      </c>
      <c r="V92" s="25">
        <v>437</v>
      </c>
      <c r="W92" s="25">
        <v>401</v>
      </c>
      <c r="X92" s="25">
        <v>376</v>
      </c>
      <c r="Y92" s="25">
        <v>392</v>
      </c>
      <c r="Z92" s="25">
        <v>404</v>
      </c>
      <c r="AA92" s="25">
        <v>506</v>
      </c>
      <c r="AB92" s="25">
        <v>513</v>
      </c>
      <c r="AC92" s="25">
        <v>502</v>
      </c>
      <c r="AD92" s="25">
        <v>488</v>
      </c>
      <c r="AE92" s="25">
        <v>494</v>
      </c>
      <c r="AF92" s="25">
        <v>316</v>
      </c>
      <c r="AH92" s="53">
        <f t="shared" si="26"/>
        <v>494</v>
      </c>
      <c r="AI92" s="53">
        <f t="shared" si="26"/>
        <v>316</v>
      </c>
      <c r="AJ92" s="53">
        <f t="shared" si="27"/>
        <v>481.09511638235955</v>
      </c>
      <c r="AK92" s="53">
        <f t="shared" si="27"/>
        <v>494.08468452468327</v>
      </c>
      <c r="AM92" s="59">
        <f t="shared" si="28"/>
        <v>1.7046116373836484E-3</v>
      </c>
      <c r="AN92" s="2"/>
    </row>
    <row r="93" spans="3:41" ht="14" x14ac:dyDescent="0.15">
      <c r="E93" s="23" t="s">
        <v>131</v>
      </c>
      <c r="F93" s="23" t="s">
        <v>132</v>
      </c>
      <c r="G93" s="25">
        <v>353.9</v>
      </c>
      <c r="H93" s="25">
        <v>381.9</v>
      </c>
      <c r="I93" s="25">
        <v>385.9</v>
      </c>
      <c r="J93" s="25">
        <v>410.4</v>
      </c>
      <c r="K93" s="25">
        <v>439</v>
      </c>
      <c r="L93" s="25">
        <v>609</v>
      </c>
      <c r="M93" s="25">
        <v>708</v>
      </c>
      <c r="N93" s="25">
        <v>890</v>
      </c>
      <c r="O93" s="25">
        <v>932</v>
      </c>
      <c r="P93" s="25">
        <v>898</v>
      </c>
      <c r="Q93" s="25">
        <v>1074</v>
      </c>
      <c r="R93" s="25">
        <v>1418</v>
      </c>
      <c r="S93" s="25">
        <v>1595</v>
      </c>
      <c r="T93" s="25">
        <v>1748</v>
      </c>
      <c r="U93" s="25">
        <v>1097</v>
      </c>
      <c r="V93" s="25">
        <v>1037</v>
      </c>
      <c r="W93" s="25">
        <v>943</v>
      </c>
      <c r="X93" s="25">
        <v>615</v>
      </c>
      <c r="Y93" s="25">
        <v>559</v>
      </c>
      <c r="Z93" s="25">
        <v>590</v>
      </c>
      <c r="AA93" s="25">
        <v>242</v>
      </c>
      <c r="AB93" s="25">
        <v>204</v>
      </c>
      <c r="AC93" s="25">
        <v>225</v>
      </c>
      <c r="AD93" s="25">
        <v>261</v>
      </c>
      <c r="AE93" s="25">
        <v>346</v>
      </c>
      <c r="AF93" s="25">
        <v>344</v>
      </c>
      <c r="AH93" s="53">
        <f t="shared" si="26"/>
        <v>346</v>
      </c>
      <c r="AI93" s="53">
        <f t="shared" si="26"/>
        <v>344</v>
      </c>
      <c r="AJ93" s="53">
        <f t="shared" si="27"/>
        <v>314.31547603647493</v>
      </c>
      <c r="AK93" s="53">
        <f t="shared" si="27"/>
        <v>322.80199388945971</v>
      </c>
      <c r="AM93" s="59">
        <f t="shared" si="28"/>
        <v>1.1136796030906504E-3</v>
      </c>
      <c r="AN93" s="2"/>
    </row>
    <row r="94" spans="3:41" ht="14" x14ac:dyDescent="0.15">
      <c r="E94" s="23" t="s">
        <v>133</v>
      </c>
      <c r="F94" s="23" t="s">
        <v>134</v>
      </c>
      <c r="G94" s="25">
        <v>1556.2</v>
      </c>
      <c r="H94" s="25">
        <v>1603.3</v>
      </c>
      <c r="I94" s="25">
        <v>1740.9</v>
      </c>
      <c r="J94" s="25">
        <v>1851.2</v>
      </c>
      <c r="K94" s="25">
        <v>1879</v>
      </c>
      <c r="L94" s="25">
        <v>2301</v>
      </c>
      <c r="M94" s="25">
        <v>3027</v>
      </c>
      <c r="N94" s="25">
        <v>2774</v>
      </c>
      <c r="O94" s="25">
        <v>2838</v>
      </c>
      <c r="P94" s="25">
        <v>2949</v>
      </c>
      <c r="Q94" s="25">
        <v>3420</v>
      </c>
      <c r="R94" s="25">
        <v>3745</v>
      </c>
      <c r="S94" s="25">
        <v>4271</v>
      </c>
      <c r="T94" s="25">
        <v>4513</v>
      </c>
      <c r="U94" s="25">
        <v>4059</v>
      </c>
      <c r="V94" s="25">
        <v>3882</v>
      </c>
      <c r="W94" s="25">
        <v>3836</v>
      </c>
      <c r="X94" s="25">
        <v>4527</v>
      </c>
      <c r="Y94" s="25">
        <v>4542</v>
      </c>
      <c r="Z94" s="25">
        <v>4660</v>
      </c>
      <c r="AA94" s="25">
        <v>4614</v>
      </c>
      <c r="AB94" s="25">
        <v>4749</v>
      </c>
      <c r="AC94" s="25">
        <v>4727</v>
      </c>
      <c r="AD94" s="25">
        <v>4384</v>
      </c>
      <c r="AE94" s="25">
        <v>4571</v>
      </c>
      <c r="AF94" s="25">
        <v>4202</v>
      </c>
      <c r="AH94" s="53">
        <f t="shared" si="26"/>
        <v>4571</v>
      </c>
      <c r="AI94" s="53">
        <f t="shared" si="26"/>
        <v>4202</v>
      </c>
      <c r="AJ94" s="53">
        <f t="shared" si="27"/>
        <v>4779.9472563233994</v>
      </c>
      <c r="AK94" s="53">
        <f t="shared" si="27"/>
        <v>4909.00583224413</v>
      </c>
      <c r="AM94" s="59">
        <f t="shared" si="28"/>
        <v>1.693626362387176E-2</v>
      </c>
      <c r="AN94" s="2"/>
    </row>
    <row r="95" spans="3:41" ht="14" x14ac:dyDescent="0.15">
      <c r="E95" s="23" t="s">
        <v>135</v>
      </c>
      <c r="F95" s="23" t="s">
        <v>136</v>
      </c>
      <c r="G95" s="25">
        <v>2209.6</v>
      </c>
      <c r="H95" s="25">
        <v>2152.8000000000002</v>
      </c>
      <c r="I95" s="25">
        <v>2314.3000000000002</v>
      </c>
      <c r="J95" s="25">
        <v>2384.8000000000002</v>
      </c>
      <c r="K95" s="25">
        <v>2643</v>
      </c>
      <c r="L95" s="25">
        <v>2875</v>
      </c>
      <c r="M95" s="25">
        <v>3020</v>
      </c>
      <c r="N95" s="25">
        <v>3266</v>
      </c>
      <c r="O95" s="25">
        <v>3460</v>
      </c>
      <c r="P95" s="25">
        <v>3567</v>
      </c>
      <c r="Q95" s="25">
        <v>3765</v>
      </c>
      <c r="R95" s="25">
        <v>3958</v>
      </c>
      <c r="S95" s="25">
        <v>4147</v>
      </c>
      <c r="T95" s="25">
        <v>4470</v>
      </c>
      <c r="U95" s="25">
        <v>4632</v>
      </c>
      <c r="V95" s="25">
        <v>4753</v>
      </c>
      <c r="W95" s="25">
        <v>4931</v>
      </c>
      <c r="X95" s="25">
        <v>5166</v>
      </c>
      <c r="Y95" s="25">
        <v>5338</v>
      </c>
      <c r="Z95" s="25">
        <v>5516</v>
      </c>
      <c r="AA95" s="25">
        <v>5495</v>
      </c>
      <c r="AB95" s="25">
        <v>5366</v>
      </c>
      <c r="AC95" s="25">
        <v>5289</v>
      </c>
      <c r="AD95" s="25">
        <v>5262</v>
      </c>
      <c r="AE95" s="25">
        <v>5433</v>
      </c>
      <c r="AF95" s="25">
        <v>4809</v>
      </c>
      <c r="AH95" s="53">
        <f t="shared" si="26"/>
        <v>5433</v>
      </c>
      <c r="AI95" s="53">
        <f t="shared" si="26"/>
        <v>4809</v>
      </c>
      <c r="AJ95" s="53">
        <f t="shared" si="27"/>
        <v>5557.4504194102237</v>
      </c>
      <c r="AK95" s="53">
        <f t="shared" si="27"/>
        <v>5707.5015807342988</v>
      </c>
      <c r="AM95" s="59">
        <f t="shared" si="28"/>
        <v>1.9691105431176779E-2</v>
      </c>
      <c r="AN95" s="2"/>
    </row>
    <row r="96" spans="3:41" ht="14" x14ac:dyDescent="0.15">
      <c r="E96" s="23" t="s">
        <v>137</v>
      </c>
      <c r="F96" s="23" t="s">
        <v>138</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c r="Z96" s="25">
        <v>0</v>
      </c>
      <c r="AA96" s="25">
        <v>0</v>
      </c>
      <c r="AB96" s="25">
        <v>0</v>
      </c>
      <c r="AC96" s="25">
        <v>0</v>
      </c>
      <c r="AD96" s="25">
        <v>0</v>
      </c>
      <c r="AE96" s="25">
        <v>0</v>
      </c>
      <c r="AF96" s="25">
        <v>0</v>
      </c>
      <c r="AH96" s="53">
        <f t="shared" si="26"/>
        <v>0</v>
      </c>
      <c r="AI96" s="53">
        <f t="shared" si="26"/>
        <v>0</v>
      </c>
      <c r="AJ96" s="53">
        <f t="shared" si="27"/>
        <v>0</v>
      </c>
      <c r="AK96" s="53">
        <f t="shared" si="27"/>
        <v>0</v>
      </c>
      <c r="AM96" s="59">
        <f t="shared" si="28"/>
        <v>0</v>
      </c>
      <c r="AN96" s="2"/>
    </row>
    <row r="97" spans="3:41" ht="14" x14ac:dyDescent="0.15">
      <c r="E97" s="23" t="s">
        <v>139</v>
      </c>
      <c r="F97" s="23" t="s">
        <v>140</v>
      </c>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c r="Z97" s="25">
        <v>0</v>
      </c>
      <c r="AA97" s="25">
        <v>0</v>
      </c>
      <c r="AB97" s="25">
        <v>0</v>
      </c>
      <c r="AC97" s="25">
        <v>0</v>
      </c>
      <c r="AD97" s="25">
        <v>0</v>
      </c>
      <c r="AE97" s="25">
        <v>0</v>
      </c>
      <c r="AF97" s="25">
        <v>0</v>
      </c>
      <c r="AH97" s="53">
        <f t="shared" si="26"/>
        <v>0</v>
      </c>
      <c r="AI97" s="53">
        <f t="shared" si="26"/>
        <v>0</v>
      </c>
      <c r="AJ97" s="53">
        <f t="shared" si="27"/>
        <v>0</v>
      </c>
      <c r="AK97" s="53">
        <f t="shared" si="27"/>
        <v>0</v>
      </c>
      <c r="AM97" s="59">
        <f t="shared" si="28"/>
        <v>0</v>
      </c>
      <c r="AN97" s="2"/>
    </row>
    <row r="98" spans="3:41" ht="14" x14ac:dyDescent="0.15">
      <c r="E98" s="4"/>
      <c r="F98" s="4"/>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H98" s="53"/>
      <c r="AI98" s="53"/>
      <c r="AJ98" s="53"/>
      <c r="AK98" s="53"/>
      <c r="AM98" s="59"/>
      <c r="AN98" s="2"/>
    </row>
    <row r="99" spans="3:41" ht="14" x14ac:dyDescent="0.15">
      <c r="C99" s="149">
        <f>+MAX($C$1:$C98)+1</f>
        <v>10</v>
      </c>
      <c r="E99" s="41" t="s">
        <v>141</v>
      </c>
      <c r="F99" s="41" t="s">
        <v>142</v>
      </c>
      <c r="G99" s="43">
        <v>19519.7</v>
      </c>
      <c r="H99" s="43">
        <v>21041.5</v>
      </c>
      <c r="I99" s="43">
        <v>19935.8</v>
      </c>
      <c r="J99" s="43">
        <v>20951.400000000001</v>
      </c>
      <c r="K99" s="43">
        <v>21924</v>
      </c>
      <c r="L99" s="43">
        <v>17843</v>
      </c>
      <c r="M99" s="43">
        <v>16982</v>
      </c>
      <c r="N99" s="43">
        <v>18861</v>
      </c>
      <c r="O99" s="43">
        <v>22205</v>
      </c>
      <c r="P99" s="43">
        <v>28775</v>
      </c>
      <c r="Q99" s="43">
        <v>29468</v>
      </c>
      <c r="R99" s="43">
        <v>32334</v>
      </c>
      <c r="S99" s="43">
        <v>34274</v>
      </c>
      <c r="T99" s="43">
        <v>35541</v>
      </c>
      <c r="U99" s="43">
        <v>39989</v>
      </c>
      <c r="V99" s="43">
        <v>41690</v>
      </c>
      <c r="W99" s="43">
        <v>43747</v>
      </c>
      <c r="X99" s="43">
        <v>44031</v>
      </c>
      <c r="Y99" s="43">
        <v>45424</v>
      </c>
      <c r="Z99" s="43">
        <v>46697</v>
      </c>
      <c r="AA99" s="43">
        <v>47594</v>
      </c>
      <c r="AB99" s="43">
        <v>48319</v>
      </c>
      <c r="AC99" s="43">
        <v>49449</v>
      </c>
      <c r="AD99" s="43">
        <v>50274</v>
      </c>
      <c r="AE99" s="43">
        <v>51917</v>
      </c>
      <c r="AF99" s="43">
        <v>52707</v>
      </c>
      <c r="AG99" s="44"/>
      <c r="AH99" s="55">
        <f>+SUM(AH100:AH108)</f>
        <v>51916</v>
      </c>
      <c r="AI99" s="55">
        <f>+SUM(AI100:AI108)</f>
        <v>52706</v>
      </c>
      <c r="AJ99" s="57">
        <f>SUM(AJ100:AJ108)</f>
        <v>54616.32308730737</v>
      </c>
      <c r="AK99" s="57">
        <f>SUM(AK100:AK108)</f>
        <v>56090.96381066466</v>
      </c>
      <c r="AM99" s="58">
        <f>SUM(AM100:AM108)</f>
        <v>0.19351603613397866</v>
      </c>
      <c r="AN99" s="2"/>
      <c r="AO99" s="5" t="b">
        <f>AK99=SUM(AK100:AK108)</f>
        <v>1</v>
      </c>
    </row>
    <row r="100" spans="3:41" ht="14" x14ac:dyDescent="0.15">
      <c r="E100" s="23" t="s">
        <v>143</v>
      </c>
      <c r="F100" s="23" t="s">
        <v>144</v>
      </c>
      <c r="G100" s="25">
        <v>10555.5</v>
      </c>
      <c r="H100" s="25">
        <v>11474.5</v>
      </c>
      <c r="I100" s="25">
        <v>10823.5</v>
      </c>
      <c r="J100" s="25">
        <v>11187.6</v>
      </c>
      <c r="K100" s="25">
        <v>11524</v>
      </c>
      <c r="L100" s="25">
        <v>4566</v>
      </c>
      <c r="M100" s="25">
        <v>3268</v>
      </c>
      <c r="N100" s="25">
        <v>2606</v>
      </c>
      <c r="O100" s="25">
        <v>2874</v>
      </c>
      <c r="P100" s="25">
        <v>3135</v>
      </c>
      <c r="Q100" s="25">
        <v>3260</v>
      </c>
      <c r="R100" s="25">
        <v>3494</v>
      </c>
      <c r="S100" s="25">
        <v>3602</v>
      </c>
      <c r="T100" s="25">
        <v>3881</v>
      </c>
      <c r="U100" s="25">
        <v>5501</v>
      </c>
      <c r="V100" s="25">
        <v>5862</v>
      </c>
      <c r="W100" s="25">
        <v>6297</v>
      </c>
      <c r="X100" s="25">
        <v>6575</v>
      </c>
      <c r="Y100" s="25">
        <v>6789</v>
      </c>
      <c r="Z100" s="25">
        <v>7057</v>
      </c>
      <c r="AA100" s="25">
        <v>7238</v>
      </c>
      <c r="AB100" s="25">
        <v>7435</v>
      </c>
      <c r="AC100" s="25">
        <v>7649</v>
      </c>
      <c r="AD100" s="25">
        <v>7741</v>
      </c>
      <c r="AE100" s="25">
        <v>7976</v>
      </c>
      <c r="AF100" s="25">
        <v>8089</v>
      </c>
      <c r="AH100" s="53">
        <f t="shared" ref="AH100:AH108" si="29">+AE100</f>
        <v>7976</v>
      </c>
      <c r="AI100" s="53">
        <f t="shared" ref="AI100:AI108" si="30">+AF100</f>
        <v>8089</v>
      </c>
      <c r="AJ100" s="53">
        <f t="shared" ref="AJ100:AK108" si="31">AJ$18*$AM100</f>
        <v>8407.1371587817321</v>
      </c>
      <c r="AK100" s="53">
        <f t="shared" si="31"/>
        <v>8634.1298620688394</v>
      </c>
      <c r="AM100" s="59">
        <f t="shared" ref="AM100:AM108" si="32">SUM(AC100:AF100)/SUM(AC$16:AF$16)</f>
        <v>2.9788088363279255E-2</v>
      </c>
      <c r="AN100" s="2"/>
    </row>
    <row r="101" spans="3:41" ht="14" x14ac:dyDescent="0.15">
      <c r="E101" s="23" t="s">
        <v>145</v>
      </c>
      <c r="F101" s="23" t="s">
        <v>146</v>
      </c>
      <c r="G101" s="25">
        <v>1812.5</v>
      </c>
      <c r="H101" s="25">
        <v>1994.2</v>
      </c>
      <c r="I101" s="25">
        <v>1898.7</v>
      </c>
      <c r="J101" s="25">
        <v>1811.4</v>
      </c>
      <c r="K101" s="25">
        <v>1954</v>
      </c>
      <c r="L101" s="25">
        <v>2801</v>
      </c>
      <c r="M101" s="25">
        <v>2896</v>
      </c>
      <c r="N101" s="25">
        <v>4455</v>
      </c>
      <c r="O101" s="25">
        <v>5824</v>
      </c>
      <c r="P101" s="25">
        <v>5497</v>
      </c>
      <c r="Q101" s="25">
        <v>5460</v>
      </c>
      <c r="R101" s="25">
        <v>5761</v>
      </c>
      <c r="S101" s="25">
        <v>6177</v>
      </c>
      <c r="T101" s="25">
        <v>6427</v>
      </c>
      <c r="U101" s="25">
        <v>6548</v>
      </c>
      <c r="V101" s="25">
        <v>6566</v>
      </c>
      <c r="W101" s="25">
        <v>6947</v>
      </c>
      <c r="X101" s="25">
        <v>6938</v>
      </c>
      <c r="Y101" s="25">
        <v>6864</v>
      </c>
      <c r="Z101" s="25">
        <v>6910</v>
      </c>
      <c r="AA101" s="25">
        <v>6791</v>
      </c>
      <c r="AB101" s="25">
        <v>6896</v>
      </c>
      <c r="AC101" s="25">
        <v>6996</v>
      </c>
      <c r="AD101" s="25">
        <v>6979</v>
      </c>
      <c r="AE101" s="25">
        <v>6688</v>
      </c>
      <c r="AF101" s="25">
        <v>6750</v>
      </c>
      <c r="AH101" s="53">
        <f t="shared" si="29"/>
        <v>6688</v>
      </c>
      <c r="AI101" s="53">
        <f t="shared" si="30"/>
        <v>6750</v>
      </c>
      <c r="AJ101" s="53">
        <f t="shared" si="31"/>
        <v>7326.8113474386791</v>
      </c>
      <c r="AK101" s="53">
        <f t="shared" si="31"/>
        <v>7524.6352538195233</v>
      </c>
      <c r="AM101" s="59">
        <f t="shared" si="32"/>
        <v>2.5960288230887751E-2</v>
      </c>
      <c r="AN101" s="2"/>
    </row>
    <row r="102" spans="3:41" ht="14" x14ac:dyDescent="0.15">
      <c r="E102" s="23" t="s">
        <v>147</v>
      </c>
      <c r="F102" s="23" t="s">
        <v>148</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c r="Z102" s="25">
        <v>0</v>
      </c>
      <c r="AA102" s="25">
        <v>0</v>
      </c>
      <c r="AB102" s="25">
        <v>0</v>
      </c>
      <c r="AC102" s="25">
        <v>0</v>
      </c>
      <c r="AD102" s="25">
        <v>0</v>
      </c>
      <c r="AE102" s="25">
        <v>0</v>
      </c>
      <c r="AF102" s="25">
        <v>0</v>
      </c>
      <c r="AH102" s="53">
        <f t="shared" si="29"/>
        <v>0</v>
      </c>
      <c r="AI102" s="53">
        <f t="shared" si="30"/>
        <v>0</v>
      </c>
      <c r="AJ102" s="53">
        <f t="shared" si="31"/>
        <v>0</v>
      </c>
      <c r="AK102" s="53">
        <f t="shared" si="31"/>
        <v>0</v>
      </c>
      <c r="AM102" s="59">
        <f t="shared" si="32"/>
        <v>0</v>
      </c>
      <c r="AN102" s="2"/>
    </row>
    <row r="103" spans="3:41" ht="14" x14ac:dyDescent="0.15">
      <c r="E103" s="23" t="s">
        <v>149</v>
      </c>
      <c r="F103" s="23" t="s">
        <v>150</v>
      </c>
      <c r="G103" s="25">
        <v>4072.4</v>
      </c>
      <c r="H103" s="25">
        <v>4313.8</v>
      </c>
      <c r="I103" s="25">
        <v>4004.6</v>
      </c>
      <c r="J103" s="25">
        <v>4511.2</v>
      </c>
      <c r="K103" s="25">
        <v>4731</v>
      </c>
      <c r="L103" s="25">
        <v>6299</v>
      </c>
      <c r="M103" s="25">
        <v>6431</v>
      </c>
      <c r="N103" s="25">
        <v>6765</v>
      </c>
      <c r="O103" s="25">
        <v>7583</v>
      </c>
      <c r="P103" s="25">
        <v>7666</v>
      </c>
      <c r="Q103" s="25">
        <v>7777</v>
      </c>
      <c r="R103" s="25">
        <v>8525</v>
      </c>
      <c r="S103" s="25">
        <v>8980</v>
      </c>
      <c r="T103" s="25">
        <v>9449</v>
      </c>
      <c r="U103" s="25">
        <v>10834</v>
      </c>
      <c r="V103" s="25">
        <v>11368</v>
      </c>
      <c r="W103" s="25">
        <v>12057</v>
      </c>
      <c r="X103" s="25">
        <v>12462</v>
      </c>
      <c r="Y103" s="25">
        <v>12923</v>
      </c>
      <c r="Z103" s="25">
        <v>13196</v>
      </c>
      <c r="AA103" s="25">
        <v>13435</v>
      </c>
      <c r="AB103" s="25">
        <v>13627</v>
      </c>
      <c r="AC103" s="25">
        <v>14144</v>
      </c>
      <c r="AD103" s="25">
        <v>14448</v>
      </c>
      <c r="AE103" s="25">
        <v>15018</v>
      </c>
      <c r="AF103" s="25">
        <v>15183</v>
      </c>
      <c r="AH103" s="53">
        <f t="shared" si="29"/>
        <v>15018</v>
      </c>
      <c r="AI103" s="53">
        <f t="shared" si="30"/>
        <v>15183</v>
      </c>
      <c r="AJ103" s="53">
        <f t="shared" si="31"/>
        <v>15713.902876371149</v>
      </c>
      <c r="AK103" s="53">
        <f t="shared" si="31"/>
        <v>16138.178254033168</v>
      </c>
      <c r="AM103" s="59">
        <f t="shared" si="32"/>
        <v>5.5677351109276026E-2</v>
      </c>
      <c r="AN103" s="2"/>
    </row>
    <row r="104" spans="3:41" ht="14" x14ac:dyDescent="0.15">
      <c r="E104" s="23" t="s">
        <v>151</v>
      </c>
      <c r="F104" s="23" t="s">
        <v>152</v>
      </c>
      <c r="G104" s="25">
        <v>0</v>
      </c>
      <c r="H104" s="25">
        <v>0</v>
      </c>
      <c r="I104" s="25">
        <v>0</v>
      </c>
      <c r="J104" s="25">
        <v>0</v>
      </c>
      <c r="K104" s="25">
        <v>0</v>
      </c>
      <c r="L104" s="25">
        <v>0</v>
      </c>
      <c r="M104" s="25">
        <v>0</v>
      </c>
      <c r="N104" s="25">
        <v>0</v>
      </c>
      <c r="O104" s="25">
        <v>0</v>
      </c>
      <c r="P104" s="25">
        <v>0</v>
      </c>
      <c r="Q104" s="25">
        <v>0</v>
      </c>
      <c r="R104" s="25">
        <v>0</v>
      </c>
      <c r="S104" s="25">
        <v>0</v>
      </c>
      <c r="T104" s="25">
        <v>0</v>
      </c>
      <c r="U104" s="25">
        <v>0</v>
      </c>
      <c r="V104" s="25">
        <v>0</v>
      </c>
      <c r="W104" s="25">
        <v>0</v>
      </c>
      <c r="X104" s="25">
        <v>0</v>
      </c>
      <c r="Y104" s="25">
        <v>0</v>
      </c>
      <c r="Z104" s="25">
        <v>0</v>
      </c>
      <c r="AA104" s="25">
        <v>0</v>
      </c>
      <c r="AB104" s="25">
        <v>0</v>
      </c>
      <c r="AC104" s="25">
        <v>0</v>
      </c>
      <c r="AD104" s="25">
        <v>0</v>
      </c>
      <c r="AE104" s="25">
        <v>0</v>
      </c>
      <c r="AF104" s="25">
        <v>0</v>
      </c>
      <c r="AH104" s="53">
        <f t="shared" si="29"/>
        <v>0</v>
      </c>
      <c r="AI104" s="53">
        <f t="shared" si="30"/>
        <v>0</v>
      </c>
      <c r="AJ104" s="53">
        <f t="shared" si="31"/>
        <v>0</v>
      </c>
      <c r="AK104" s="53">
        <f t="shared" si="31"/>
        <v>0</v>
      </c>
      <c r="AM104" s="59">
        <f t="shared" si="32"/>
        <v>0</v>
      </c>
      <c r="AN104" s="2"/>
    </row>
    <row r="105" spans="3:41" ht="14" x14ac:dyDescent="0.15">
      <c r="E105" s="23" t="s">
        <v>153</v>
      </c>
      <c r="F105" s="23" t="s">
        <v>154</v>
      </c>
      <c r="G105" s="25">
        <v>11.1</v>
      </c>
      <c r="H105" s="25">
        <v>12.1</v>
      </c>
      <c r="I105" s="25">
        <v>10.9</v>
      </c>
      <c r="J105" s="25">
        <v>10.9</v>
      </c>
      <c r="K105" s="25">
        <v>11</v>
      </c>
      <c r="L105" s="25">
        <v>16</v>
      </c>
      <c r="M105" s="25">
        <v>17</v>
      </c>
      <c r="N105" s="25">
        <v>18</v>
      </c>
      <c r="O105" s="25">
        <v>21</v>
      </c>
      <c r="P105" s="25">
        <v>21</v>
      </c>
      <c r="Q105" s="25">
        <v>21</v>
      </c>
      <c r="R105" s="25">
        <v>22</v>
      </c>
      <c r="S105" s="25">
        <v>22</v>
      </c>
      <c r="T105" s="25">
        <v>18</v>
      </c>
      <c r="U105" s="25">
        <v>22</v>
      </c>
      <c r="V105" s="25">
        <v>59</v>
      </c>
      <c r="W105" s="25">
        <v>88</v>
      </c>
      <c r="X105" s="25">
        <v>87</v>
      </c>
      <c r="Y105" s="25">
        <v>91</v>
      </c>
      <c r="Z105" s="25">
        <v>74</v>
      </c>
      <c r="AA105" s="25">
        <v>67</v>
      </c>
      <c r="AB105" s="25">
        <v>55</v>
      </c>
      <c r="AC105" s="25">
        <v>43</v>
      </c>
      <c r="AD105" s="25">
        <v>46</v>
      </c>
      <c r="AE105" s="25">
        <v>49</v>
      </c>
      <c r="AF105" s="25">
        <v>39</v>
      </c>
      <c r="AH105" s="53">
        <f t="shared" si="29"/>
        <v>49</v>
      </c>
      <c r="AI105" s="53">
        <f t="shared" si="30"/>
        <v>39</v>
      </c>
      <c r="AJ105" s="53">
        <f t="shared" si="31"/>
        <v>47.307686444265357</v>
      </c>
      <c r="AK105" s="53">
        <f t="shared" si="31"/>
        <v>48.58499397826052</v>
      </c>
      <c r="AM105" s="59">
        <f t="shared" si="32"/>
        <v>1.6762014434272543E-4</v>
      </c>
      <c r="AN105" s="2"/>
    </row>
    <row r="106" spans="3:41" ht="14" x14ac:dyDescent="0.15">
      <c r="E106" s="23" t="s">
        <v>155</v>
      </c>
      <c r="F106" s="23" t="s">
        <v>156</v>
      </c>
      <c r="G106" s="25">
        <v>1019.4</v>
      </c>
      <c r="H106" s="25">
        <v>1089.0999999999999</v>
      </c>
      <c r="I106" s="25">
        <v>1030.7</v>
      </c>
      <c r="J106" s="25">
        <v>1153.5999999999999</v>
      </c>
      <c r="K106" s="25">
        <v>1262</v>
      </c>
      <c r="L106" s="25">
        <v>1302</v>
      </c>
      <c r="M106" s="25">
        <v>1384</v>
      </c>
      <c r="N106" s="25">
        <v>1804</v>
      </c>
      <c r="O106" s="25">
        <v>2456</v>
      </c>
      <c r="P106" s="25">
        <v>8779</v>
      </c>
      <c r="Q106" s="25">
        <v>9104</v>
      </c>
      <c r="R106" s="25">
        <v>10413</v>
      </c>
      <c r="S106" s="25">
        <v>11124</v>
      </c>
      <c r="T106" s="25">
        <v>11235</v>
      </c>
      <c r="U106" s="25">
        <v>12387</v>
      </c>
      <c r="V106" s="25">
        <v>13399</v>
      </c>
      <c r="W106" s="25">
        <v>13842</v>
      </c>
      <c r="X106" s="25">
        <v>13728</v>
      </c>
      <c r="Y106" s="25">
        <v>14347</v>
      </c>
      <c r="Z106" s="25">
        <v>15070</v>
      </c>
      <c r="AA106" s="25">
        <v>15816</v>
      </c>
      <c r="AB106" s="25">
        <v>16146</v>
      </c>
      <c r="AC106" s="25">
        <v>16432</v>
      </c>
      <c r="AD106" s="25">
        <v>16909</v>
      </c>
      <c r="AE106" s="25">
        <v>17971</v>
      </c>
      <c r="AF106" s="25">
        <v>18402</v>
      </c>
      <c r="AH106" s="53">
        <f t="shared" si="29"/>
        <v>17971</v>
      </c>
      <c r="AI106" s="53">
        <f t="shared" si="30"/>
        <v>18402</v>
      </c>
      <c r="AJ106" s="53">
        <f t="shared" si="31"/>
        <v>18632.813857488785</v>
      </c>
      <c r="AK106" s="53">
        <f t="shared" si="31"/>
        <v>19135.899831640982</v>
      </c>
      <c r="AM106" s="59">
        <f t="shared" si="32"/>
        <v>6.6019608715868705E-2</v>
      </c>
      <c r="AN106" s="2"/>
    </row>
    <row r="107" spans="3:41" ht="14" x14ac:dyDescent="0.15">
      <c r="E107" s="23" t="s">
        <v>157</v>
      </c>
      <c r="F107" s="23" t="s">
        <v>158</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c r="Z107" s="25">
        <v>0</v>
      </c>
      <c r="AA107" s="25">
        <v>0</v>
      </c>
      <c r="AB107" s="25">
        <v>0</v>
      </c>
      <c r="AC107" s="25">
        <v>0</v>
      </c>
      <c r="AD107" s="25">
        <v>0</v>
      </c>
      <c r="AE107" s="25">
        <v>0</v>
      </c>
      <c r="AF107" s="25">
        <v>0</v>
      </c>
      <c r="AH107" s="53">
        <f t="shared" si="29"/>
        <v>0</v>
      </c>
      <c r="AI107" s="53">
        <f t="shared" si="30"/>
        <v>0</v>
      </c>
      <c r="AJ107" s="53">
        <f t="shared" si="31"/>
        <v>0</v>
      </c>
      <c r="AK107" s="53">
        <f t="shared" si="31"/>
        <v>0</v>
      </c>
      <c r="AM107" s="59">
        <f t="shared" si="32"/>
        <v>0</v>
      </c>
      <c r="AN107" s="2"/>
    </row>
    <row r="108" spans="3:41" ht="14" x14ac:dyDescent="0.15">
      <c r="E108" s="23" t="s">
        <v>159</v>
      </c>
      <c r="F108" s="23" t="s">
        <v>160</v>
      </c>
      <c r="G108" s="25">
        <v>2045.8</v>
      </c>
      <c r="H108" s="25">
        <v>2159.9</v>
      </c>
      <c r="I108" s="25">
        <v>2166.5</v>
      </c>
      <c r="J108" s="25">
        <v>2275.5</v>
      </c>
      <c r="K108" s="25">
        <v>2443</v>
      </c>
      <c r="L108" s="25">
        <v>2860</v>
      </c>
      <c r="M108" s="25">
        <v>2986</v>
      </c>
      <c r="N108" s="25">
        <v>3213</v>
      </c>
      <c r="O108" s="25">
        <v>3449</v>
      </c>
      <c r="P108" s="25">
        <v>3678</v>
      </c>
      <c r="Q108" s="25">
        <v>3847</v>
      </c>
      <c r="R108" s="25">
        <v>4116</v>
      </c>
      <c r="S108" s="25">
        <v>4368</v>
      </c>
      <c r="T108" s="25">
        <v>4530</v>
      </c>
      <c r="U108" s="25">
        <v>4695</v>
      </c>
      <c r="V108" s="25">
        <v>4436</v>
      </c>
      <c r="W108" s="25">
        <v>4518</v>
      </c>
      <c r="X108" s="25">
        <v>4240</v>
      </c>
      <c r="Y108" s="25">
        <v>4410</v>
      </c>
      <c r="Z108" s="25">
        <v>4389</v>
      </c>
      <c r="AA108" s="25">
        <v>4248</v>
      </c>
      <c r="AB108" s="25">
        <v>4160</v>
      </c>
      <c r="AC108" s="25">
        <v>4186</v>
      </c>
      <c r="AD108" s="25">
        <v>4150</v>
      </c>
      <c r="AE108" s="25">
        <v>4214</v>
      </c>
      <c r="AF108" s="25">
        <v>4243</v>
      </c>
      <c r="AH108" s="53">
        <f t="shared" si="29"/>
        <v>4214</v>
      </c>
      <c r="AI108" s="53">
        <f t="shared" si="30"/>
        <v>4243</v>
      </c>
      <c r="AJ108" s="53">
        <f t="shared" si="31"/>
        <v>4488.3501607827575</v>
      </c>
      <c r="AK108" s="53">
        <f t="shared" si="31"/>
        <v>4609.5356151238921</v>
      </c>
      <c r="AM108" s="59">
        <f t="shared" si="32"/>
        <v>1.5903079570324226E-2</v>
      </c>
      <c r="AN108" s="2"/>
    </row>
    <row r="109" spans="3:41" ht="11.25" customHeight="1" x14ac:dyDescent="0.15">
      <c r="AC109" s="5"/>
      <c r="AD109" s="5"/>
      <c r="AE109" s="5"/>
      <c r="AF109" s="5"/>
      <c r="AH109" s="5"/>
      <c r="AN109" s="2"/>
    </row>
    <row r="110" spans="3:41" ht="11.25" customHeight="1" x14ac:dyDescent="0.15">
      <c r="Z110" s="54"/>
      <c r="AA110" s="54"/>
      <c r="AB110" s="54"/>
      <c r="AC110" s="54"/>
      <c r="AD110" s="54"/>
      <c r="AF110" s="51"/>
      <c r="AN110" s="2"/>
    </row>
    <row r="111" spans="3:41" ht="11.25" customHeight="1" x14ac:dyDescent="0.15">
      <c r="Z111" s="54"/>
      <c r="AA111" s="54"/>
      <c r="AB111" s="54"/>
      <c r="AC111" s="54"/>
      <c r="AD111" s="54"/>
      <c r="AF111" s="51"/>
      <c r="AN111" s="2"/>
    </row>
    <row r="112" spans="3:41" ht="11.25" customHeight="1" x14ac:dyDescent="0.15">
      <c r="Z112" s="54"/>
      <c r="AA112" s="54"/>
      <c r="AB112" s="54"/>
      <c r="AC112" s="54"/>
      <c r="AD112" s="54"/>
      <c r="AF112" s="51"/>
      <c r="AN112" s="2"/>
    </row>
    <row r="113" spans="26:40" ht="11.25" customHeight="1" x14ac:dyDescent="0.15">
      <c r="Z113" s="54"/>
      <c r="AA113" s="54"/>
      <c r="AB113" s="54"/>
      <c r="AC113" s="54"/>
      <c r="AD113" s="54"/>
      <c r="AF113" s="51"/>
      <c r="AN113" s="2"/>
    </row>
    <row r="114" spans="26:40" ht="11.25" customHeight="1" x14ac:dyDescent="0.15">
      <c r="Z114" s="54"/>
      <c r="AA114" s="54"/>
      <c r="AB114" s="54"/>
      <c r="AC114" s="54"/>
      <c r="AD114" s="54"/>
      <c r="AF114" s="51"/>
      <c r="AN114" s="2"/>
    </row>
    <row r="115" spans="26:40" ht="11.25" customHeight="1" x14ac:dyDescent="0.15">
      <c r="Z115" s="54"/>
      <c r="AA115" s="54"/>
      <c r="AB115" s="54"/>
      <c r="AC115" s="54"/>
      <c r="AD115" s="54"/>
      <c r="AF115" s="51"/>
      <c r="AN115" s="2"/>
    </row>
    <row r="116" spans="26:40" ht="11.25" customHeight="1" x14ac:dyDescent="0.15">
      <c r="Z116" s="54"/>
      <c r="AA116" s="54"/>
      <c r="AB116" s="54"/>
      <c r="AC116" s="54"/>
      <c r="AD116" s="54"/>
      <c r="AF116" s="51"/>
      <c r="AN116" s="2"/>
    </row>
    <row r="117" spans="26:40" ht="11.25" customHeight="1" x14ac:dyDescent="0.15">
      <c r="Z117" s="54"/>
      <c r="AA117" s="54"/>
      <c r="AB117" s="54"/>
      <c r="AC117" s="54"/>
      <c r="AD117" s="54"/>
      <c r="AF117" s="51"/>
      <c r="AN117" s="2"/>
    </row>
    <row r="118" spans="26:40" ht="11.25" customHeight="1" x14ac:dyDescent="0.15">
      <c r="Z118" s="54"/>
      <c r="AA118" s="54"/>
      <c r="AB118" s="54"/>
      <c r="AC118" s="54"/>
      <c r="AD118" s="54"/>
      <c r="AE118" s="54"/>
      <c r="AF118" s="5"/>
      <c r="AN118" s="2"/>
    </row>
    <row r="119" spans="26:40" ht="11.25" customHeight="1" x14ac:dyDescent="0.15">
      <c r="Z119" s="54"/>
      <c r="AA119" s="54"/>
      <c r="AB119" s="54"/>
      <c r="AC119" s="54"/>
      <c r="AD119" s="54"/>
      <c r="AE119" s="54"/>
      <c r="AF119" s="54"/>
      <c r="AN119" s="2"/>
    </row>
    <row r="120" spans="26:40" ht="11.25" customHeight="1" x14ac:dyDescent="0.15">
      <c r="AN120" s="2"/>
    </row>
    <row r="121" spans="26:40" ht="11.25" customHeight="1" x14ac:dyDescent="0.15">
      <c r="AN121" s="2"/>
    </row>
    <row r="122" spans="26:40" ht="11.25" customHeight="1" x14ac:dyDescent="0.15">
      <c r="AN122" s="2"/>
    </row>
    <row r="123" spans="26:40" ht="11.25" customHeight="1" x14ac:dyDescent="0.15">
      <c r="AN123" s="2"/>
    </row>
    <row r="124" spans="26:40" ht="11.25" customHeight="1" x14ac:dyDescent="0.15">
      <c r="AN124" s="2"/>
    </row>
    <row r="125" spans="26:40" ht="11.25" customHeight="1" x14ac:dyDescent="0.15">
      <c r="AN125" s="2"/>
    </row>
    <row r="126" spans="26:40" ht="11.25" customHeight="1" x14ac:dyDescent="0.15">
      <c r="AN126" s="2"/>
    </row>
    <row r="127" spans="26:40" ht="11.25" customHeight="1" x14ac:dyDescent="0.15">
      <c r="AN127" s="2"/>
    </row>
    <row r="128" spans="26:40" ht="11.25" customHeight="1" x14ac:dyDescent="0.15">
      <c r="AN128" s="2"/>
    </row>
  </sheetData>
  <phoneticPr fontId="7"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4"/>
  </sheetPr>
  <dimension ref="A1:AS145"/>
  <sheetViews>
    <sheetView showGridLines="0" view="pageBreakPreview" zoomScaleNormal="85" zoomScaleSheetLayoutView="100" workbookViewId="0"/>
  </sheetViews>
  <sheetFormatPr baseColWidth="10" defaultColWidth="8.83203125" defaultRowHeight="11.25" customHeight="1" outlineLevelCol="1" x14ac:dyDescent="0.2"/>
  <cols>
    <col min="1" max="2" width="2.5" style="2" customWidth="1"/>
    <col min="3" max="3" width="3.33203125" style="32" customWidth="1"/>
    <col min="4" max="4" width="2.5" style="2" customWidth="1"/>
    <col min="5" max="5" width="15" style="2" customWidth="1"/>
    <col min="6" max="6" width="29.83203125" style="2" customWidth="1"/>
    <col min="7" max="28" width="10" style="2" hidden="1" customWidth="1" outlineLevel="1"/>
    <col min="29" max="29" width="10" style="2" customWidth="1" collapsed="1"/>
    <col min="30" max="31" width="10" style="2" customWidth="1"/>
    <col min="32" max="37" width="10.6640625" style="2" customWidth="1"/>
    <col min="38" max="38" width="2.6640625" style="72" customWidth="1"/>
    <col min="39" max="40" width="3.6640625" style="2" customWidth="1"/>
    <col min="41" max="41" width="12.6640625" style="2" bestFit="1" customWidth="1"/>
    <col min="42" max="42" width="10.5" style="2" bestFit="1" customWidth="1"/>
    <col min="43" max="43" width="9.1640625" style="2" bestFit="1" customWidth="1"/>
    <col min="44" max="45" width="9" style="2" bestFit="1" customWidth="1"/>
    <col min="46" max="46" width="13.5" style="2" customWidth="1"/>
    <col min="47" max="49" width="9" style="2" bestFit="1" customWidth="1"/>
    <col min="50" max="51" width="8.83203125" style="2"/>
    <col min="52" max="52" width="16.1640625" style="2" customWidth="1"/>
    <col min="53" max="55" width="9" style="2" bestFit="1" customWidth="1"/>
    <col min="56" max="56" width="8.83203125" style="2"/>
    <col min="57" max="57" width="16.33203125" style="2" customWidth="1"/>
    <col min="58" max="60" width="9" style="2" bestFit="1" customWidth="1"/>
    <col min="61" max="61" width="8.83203125" style="2"/>
    <col min="62" max="62" width="16" style="2" customWidth="1"/>
    <col min="63" max="65" width="9" style="2" bestFit="1" customWidth="1"/>
    <col min="66" max="66" width="8.83203125" style="2"/>
    <col min="67" max="67" width="13.6640625" style="2" customWidth="1"/>
    <col min="68" max="70" width="9" style="2" bestFit="1" customWidth="1"/>
    <col min="71" max="16384" width="8.83203125" style="2"/>
  </cols>
  <sheetData>
    <row r="1" spans="1:40" ht="14" x14ac:dyDescent="0.2">
      <c r="E1" s="4"/>
      <c r="G1" s="3"/>
    </row>
    <row r="2" spans="1:40" ht="25" x14ac:dyDescent="0.25">
      <c r="C2" s="132" t="s">
        <v>386</v>
      </c>
      <c r="E2" s="4"/>
      <c r="G2" s="3"/>
      <c r="K2" s="12"/>
      <c r="L2" s="12"/>
      <c r="M2" s="12"/>
      <c r="N2" s="12"/>
      <c r="O2" s="12"/>
      <c r="P2" s="12"/>
      <c r="Q2" s="12"/>
      <c r="R2" s="12"/>
      <c r="S2" s="12"/>
      <c r="T2" s="12"/>
      <c r="U2" s="12"/>
      <c r="V2" s="12"/>
      <c r="W2" s="12"/>
      <c r="X2" s="12"/>
      <c r="Y2" s="12"/>
      <c r="Z2" s="12"/>
      <c r="AA2" s="12"/>
      <c r="AB2" s="12"/>
      <c r="AC2" s="12"/>
      <c r="AD2" s="12"/>
      <c r="AE2" s="12"/>
      <c r="AF2" s="12"/>
      <c r="AJ2"/>
      <c r="AK2"/>
      <c r="AL2"/>
      <c r="AM2"/>
    </row>
    <row r="3" spans="1:40" ht="15" x14ac:dyDescent="0.2">
      <c r="E3" s="4"/>
      <c r="G3" s="3"/>
      <c r="AJ3"/>
      <c r="AK3"/>
      <c r="AL3"/>
      <c r="AM3"/>
    </row>
    <row r="4" spans="1:40" ht="15" x14ac:dyDescent="0.2">
      <c r="E4" s="4"/>
      <c r="G4" s="3"/>
      <c r="AJ4"/>
      <c r="AK4"/>
      <c r="AL4"/>
      <c r="AM4"/>
    </row>
    <row r="5" spans="1:40" s="75" customFormat="1" ht="13" x14ac:dyDescent="0.15">
      <c r="A5" s="2"/>
      <c r="B5" s="2"/>
      <c r="C5" s="116">
        <v>0</v>
      </c>
      <c r="E5" s="41" t="s">
        <v>392</v>
      </c>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row>
    <row r="6" spans="1:40" ht="14" x14ac:dyDescent="0.2">
      <c r="E6" s="142" t="s">
        <v>455</v>
      </c>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142"/>
      <c r="AF6" s="142"/>
      <c r="AG6" s="142"/>
      <c r="AH6" s="142"/>
      <c r="AI6" s="142"/>
      <c r="AJ6" s="142"/>
      <c r="AK6" s="142"/>
    </row>
    <row r="7" spans="1:40" ht="14" x14ac:dyDescent="0.2">
      <c r="E7" s="142" t="s">
        <v>411</v>
      </c>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row>
    <row r="8" spans="1:40" ht="14" x14ac:dyDescent="0.2">
      <c r="E8" s="142" t="s">
        <v>412</v>
      </c>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row>
    <row r="9" spans="1:40" ht="15" x14ac:dyDescent="0.2">
      <c r="E9" s="142" t="s">
        <v>413</v>
      </c>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N9"/>
    </row>
    <row r="10" spans="1:40" ht="14" x14ac:dyDescent="0.2">
      <c r="E10" s="142" t="s">
        <v>414</v>
      </c>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row>
    <row r="11" spans="1:40" ht="14" x14ac:dyDescent="0.2">
      <c r="E11" s="142" t="s">
        <v>415</v>
      </c>
      <c r="F11" s="142"/>
      <c r="G11" s="142"/>
      <c r="H11" s="142"/>
      <c r="I11" s="142"/>
      <c r="J11" s="142"/>
      <c r="K11" s="142"/>
      <c r="L11" s="142"/>
      <c r="M11" s="142"/>
      <c r="N11" s="142"/>
      <c r="O11" s="142"/>
      <c r="P11" s="142"/>
      <c r="Q11" s="142"/>
      <c r="R11" s="142"/>
      <c r="S11" s="142"/>
      <c r="T11" s="142"/>
      <c r="U11" s="142"/>
      <c r="V11" s="142"/>
      <c r="W11" s="142"/>
      <c r="X11" s="142"/>
      <c r="Y11" s="142"/>
      <c r="Z11" s="142"/>
      <c r="AA11" s="142"/>
      <c r="AB11" s="142"/>
      <c r="AC11" s="142"/>
      <c r="AD11" s="142"/>
      <c r="AE11" s="142"/>
      <c r="AF11" s="142"/>
      <c r="AG11" s="142"/>
      <c r="AH11" s="142"/>
      <c r="AI11" s="142"/>
      <c r="AJ11" s="142"/>
      <c r="AK11" s="142"/>
    </row>
    <row r="12" spans="1:40" ht="14" x14ac:dyDescent="0.2">
      <c r="E12" s="142" t="s">
        <v>417</v>
      </c>
      <c r="F12" s="142"/>
      <c r="G12" s="142"/>
      <c r="H12" s="142"/>
      <c r="I12" s="142"/>
      <c r="J12" s="142"/>
      <c r="K12" s="142"/>
      <c r="L12" s="142"/>
      <c r="M12" s="142"/>
      <c r="N12" s="142"/>
      <c r="O12" s="142"/>
      <c r="P12" s="142"/>
      <c r="Q12" s="142"/>
      <c r="R12" s="142"/>
      <c r="S12" s="142"/>
      <c r="T12" s="142"/>
      <c r="U12" s="142"/>
      <c r="V12" s="142"/>
      <c r="W12" s="142"/>
      <c r="X12" s="142"/>
      <c r="Y12" s="142"/>
      <c r="Z12" s="142"/>
      <c r="AA12" s="142"/>
      <c r="AB12" s="142"/>
      <c r="AC12" s="142"/>
      <c r="AD12" s="142"/>
      <c r="AE12" s="142"/>
      <c r="AF12" s="142"/>
      <c r="AG12" s="142"/>
      <c r="AH12" s="142"/>
      <c r="AI12" s="142"/>
      <c r="AJ12" s="142"/>
      <c r="AK12" s="142"/>
    </row>
    <row r="13" spans="1:40" ht="14" x14ac:dyDescent="0.2">
      <c r="E13" s="142" t="s">
        <v>416</v>
      </c>
      <c r="F13" s="142"/>
      <c r="G13" s="142"/>
      <c r="H13" s="142"/>
      <c r="I13" s="142"/>
      <c r="J13" s="142"/>
      <c r="K13" s="142"/>
      <c r="L13" s="142"/>
      <c r="M13" s="142"/>
      <c r="N13" s="142"/>
      <c r="O13" s="142"/>
      <c r="P13" s="142"/>
      <c r="Q13" s="142"/>
      <c r="R13" s="142"/>
      <c r="S13" s="142"/>
      <c r="T13" s="142"/>
      <c r="U13" s="142"/>
      <c r="V13" s="142"/>
      <c r="W13" s="142"/>
      <c r="X13" s="142"/>
      <c r="Y13" s="142"/>
      <c r="Z13" s="142"/>
      <c r="AA13" s="142"/>
      <c r="AB13" s="142"/>
      <c r="AC13" s="142"/>
      <c r="AD13" s="142"/>
      <c r="AE13" s="142"/>
      <c r="AF13" s="142"/>
      <c r="AG13" s="142"/>
      <c r="AH13" s="142"/>
      <c r="AI13" s="142"/>
      <c r="AJ13" s="142"/>
      <c r="AK13" s="142"/>
    </row>
    <row r="14" spans="1:40" ht="14" x14ac:dyDescent="0.2">
      <c r="E14" s="142" t="s">
        <v>456</v>
      </c>
      <c r="F14" s="142"/>
      <c r="G14" s="142"/>
      <c r="H14" s="142"/>
      <c r="I14" s="142"/>
      <c r="J14" s="142"/>
      <c r="K14" s="142"/>
      <c r="L14" s="142"/>
      <c r="M14" s="142"/>
      <c r="N14" s="142"/>
      <c r="O14" s="142"/>
      <c r="P14" s="142"/>
      <c r="Q14" s="142"/>
      <c r="R14" s="142"/>
      <c r="S14" s="142"/>
      <c r="T14" s="142"/>
      <c r="U14" s="142"/>
      <c r="V14" s="142"/>
      <c r="W14" s="142"/>
      <c r="X14" s="142"/>
      <c r="Y14" s="142"/>
      <c r="Z14" s="142"/>
      <c r="AA14" s="142"/>
      <c r="AB14" s="142"/>
      <c r="AC14" s="142"/>
      <c r="AD14" s="142"/>
      <c r="AE14" s="142"/>
      <c r="AF14" s="142"/>
      <c r="AG14" s="142"/>
      <c r="AH14" s="142"/>
      <c r="AI14" s="142"/>
      <c r="AJ14" s="142"/>
      <c r="AK14" s="142"/>
    </row>
    <row r="15" spans="1:40" ht="14" x14ac:dyDescent="0.2">
      <c r="E15" s="142" t="s">
        <v>418</v>
      </c>
      <c r="F15" s="142"/>
      <c r="G15" s="142"/>
      <c r="H15" s="142"/>
      <c r="I15" s="142"/>
      <c r="J15" s="142"/>
      <c r="K15" s="142"/>
      <c r="L15" s="142"/>
      <c r="M15" s="142"/>
      <c r="N15" s="142"/>
      <c r="O15" s="142"/>
      <c r="P15" s="142"/>
      <c r="Q15" s="142"/>
      <c r="R15" s="142"/>
      <c r="S15" s="142"/>
      <c r="T15" s="142"/>
      <c r="U15" s="142"/>
      <c r="V15" s="142"/>
      <c r="W15" s="142"/>
      <c r="X15" s="142"/>
      <c r="Y15" s="142"/>
      <c r="Z15" s="142"/>
      <c r="AA15" s="142"/>
      <c r="AB15" s="142"/>
      <c r="AC15" s="142"/>
      <c r="AD15" s="142"/>
      <c r="AE15" s="142"/>
      <c r="AF15" s="142"/>
      <c r="AG15" s="142"/>
      <c r="AH15" s="142"/>
      <c r="AI15" s="142"/>
      <c r="AJ15" s="142"/>
      <c r="AK15" s="142"/>
    </row>
    <row r="16" spans="1:40" ht="14" x14ac:dyDescent="0.2">
      <c r="E16" s="142" t="s">
        <v>419</v>
      </c>
      <c r="F16" s="142"/>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row>
    <row r="17" spans="1:45" ht="14" x14ac:dyDescent="0.2">
      <c r="E17" s="142" t="s">
        <v>420</v>
      </c>
      <c r="F17" s="142"/>
      <c r="G17" s="142"/>
      <c r="H17" s="142"/>
      <c r="I17" s="142"/>
      <c r="J17" s="142"/>
      <c r="K17" s="142"/>
      <c r="L17" s="142"/>
      <c r="M17" s="142"/>
      <c r="N17" s="142"/>
      <c r="O17" s="142"/>
      <c r="P17" s="142"/>
      <c r="Q17" s="142"/>
      <c r="R17" s="142"/>
      <c r="S17" s="142"/>
      <c r="T17" s="142"/>
      <c r="U17" s="142"/>
      <c r="V17" s="142"/>
      <c r="W17" s="142"/>
      <c r="X17" s="142"/>
      <c r="Y17" s="142"/>
      <c r="Z17" s="142"/>
      <c r="AA17" s="142"/>
      <c r="AB17" s="142"/>
      <c r="AC17" s="142"/>
      <c r="AD17" s="142"/>
      <c r="AE17" s="142"/>
      <c r="AF17" s="142"/>
      <c r="AG17" s="142"/>
      <c r="AH17" s="142"/>
      <c r="AI17" s="142"/>
      <c r="AJ17" s="142"/>
      <c r="AK17" s="142"/>
    </row>
    <row r="18" spans="1:45" ht="14" x14ac:dyDescent="0.2">
      <c r="E18" s="142" t="s">
        <v>421</v>
      </c>
      <c r="F18" s="142"/>
      <c r="G18" s="142"/>
      <c r="H18" s="142"/>
      <c r="I18" s="142"/>
      <c r="J18" s="142"/>
      <c r="K18" s="142"/>
      <c r="L18" s="142"/>
      <c r="M18" s="142"/>
      <c r="N18" s="142"/>
      <c r="O18" s="142"/>
      <c r="P18" s="142"/>
      <c r="Q18" s="142"/>
      <c r="R18" s="142"/>
      <c r="S18" s="142"/>
      <c r="T18" s="142"/>
      <c r="U18" s="142"/>
      <c r="V18" s="142"/>
      <c r="W18" s="142"/>
      <c r="X18" s="142"/>
      <c r="Y18" s="142"/>
      <c r="Z18" s="142"/>
      <c r="AA18" s="142"/>
      <c r="AB18" s="142"/>
      <c r="AC18" s="142"/>
      <c r="AD18" s="142"/>
      <c r="AE18" s="142"/>
      <c r="AF18" s="142"/>
      <c r="AG18" s="142"/>
      <c r="AH18" s="142"/>
      <c r="AI18" s="142"/>
      <c r="AJ18" s="142"/>
      <c r="AK18" s="142"/>
    </row>
    <row r="19" spans="1:45" ht="14" x14ac:dyDescent="0.2">
      <c r="E19" s="142" t="s">
        <v>422</v>
      </c>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row>
    <row r="20" spans="1:45" ht="14" x14ac:dyDescent="0.2">
      <c r="E20" s="142" t="s">
        <v>410</v>
      </c>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row>
    <row r="21" spans="1:45" ht="14" x14ac:dyDescent="0.2">
      <c r="E21" s="142" t="s">
        <v>457</v>
      </c>
      <c r="F21" s="142"/>
      <c r="G21" s="142"/>
      <c r="H21" s="142"/>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row>
    <row r="22" spans="1:45" ht="14" x14ac:dyDescent="0.2">
      <c r="G22" s="3"/>
    </row>
    <row r="23" spans="1:45" ht="14" x14ac:dyDescent="0.2">
      <c r="E23" s="4"/>
      <c r="G23" s="3"/>
    </row>
    <row r="24" spans="1:45" ht="14" x14ac:dyDescent="0.2">
      <c r="E24" s="4"/>
      <c r="G24" s="3"/>
    </row>
    <row r="25" spans="1:45" ht="14" x14ac:dyDescent="0.2">
      <c r="C25" s="9"/>
      <c r="D25" s="9"/>
      <c r="E25" s="9"/>
      <c r="F25" s="9"/>
      <c r="G25" s="9" t="s">
        <v>161</v>
      </c>
      <c r="H25" s="9" t="s">
        <v>162</v>
      </c>
      <c r="I25" s="9" t="s">
        <v>163</v>
      </c>
      <c r="J25" s="9" t="s">
        <v>164</v>
      </c>
      <c r="K25" s="9" t="s">
        <v>165</v>
      </c>
      <c r="L25" s="9" t="s">
        <v>166</v>
      </c>
      <c r="M25" s="9" t="s">
        <v>167</v>
      </c>
      <c r="N25" s="9" t="s">
        <v>168</v>
      </c>
      <c r="O25" s="9" t="s">
        <v>169</v>
      </c>
      <c r="P25" s="9" t="s">
        <v>170</v>
      </c>
      <c r="Q25" s="9" t="s">
        <v>171</v>
      </c>
      <c r="R25" s="9" t="s">
        <v>172</v>
      </c>
      <c r="S25" s="9" t="s">
        <v>173</v>
      </c>
      <c r="T25" s="9" t="s">
        <v>174</v>
      </c>
      <c r="U25" s="9" t="s">
        <v>175</v>
      </c>
      <c r="V25" s="9" t="s">
        <v>176</v>
      </c>
      <c r="W25" s="9" t="s">
        <v>177</v>
      </c>
      <c r="X25" s="9" t="s">
        <v>178</v>
      </c>
      <c r="Y25" s="9" t="s">
        <v>179</v>
      </c>
      <c r="Z25" s="9" t="s">
        <v>180</v>
      </c>
      <c r="AA25" s="9" t="s">
        <v>181</v>
      </c>
      <c r="AB25" s="9" t="s">
        <v>182</v>
      </c>
      <c r="AC25" s="9" t="s">
        <v>183</v>
      </c>
      <c r="AD25" s="9" t="s">
        <v>184</v>
      </c>
      <c r="AE25" s="9" t="s">
        <v>185</v>
      </c>
      <c r="AF25" s="9" t="s">
        <v>186</v>
      </c>
      <c r="AH25" s="9" t="s">
        <v>191</v>
      </c>
      <c r="AI25" s="9" t="s">
        <v>190</v>
      </c>
      <c r="AJ25" s="9" t="s">
        <v>188</v>
      </c>
      <c r="AK25" s="9" t="s">
        <v>189</v>
      </c>
    </row>
    <row r="26" spans="1:45" ht="14" x14ac:dyDescent="0.2">
      <c r="E26" s="4"/>
      <c r="G26" s="3" t="s">
        <v>0</v>
      </c>
      <c r="H26" s="2" t="s">
        <v>0</v>
      </c>
      <c r="I26" s="2" t="s">
        <v>0</v>
      </c>
      <c r="J26" s="2" t="s">
        <v>0</v>
      </c>
      <c r="K26" s="2" t="s">
        <v>0</v>
      </c>
      <c r="L26" s="2" t="s">
        <v>0</v>
      </c>
      <c r="M26" s="2" t="s">
        <v>0</v>
      </c>
      <c r="N26" s="2" t="s">
        <v>0</v>
      </c>
      <c r="O26" s="2" t="s">
        <v>0</v>
      </c>
      <c r="P26" s="2" t="s">
        <v>0</v>
      </c>
      <c r="Q26" s="2" t="s">
        <v>0</v>
      </c>
      <c r="R26" s="2" t="s">
        <v>0</v>
      </c>
      <c r="S26" s="2" t="s">
        <v>0</v>
      </c>
      <c r="T26" s="2" t="s">
        <v>0</v>
      </c>
      <c r="U26" s="2" t="s">
        <v>0</v>
      </c>
      <c r="V26" s="2" t="s">
        <v>0</v>
      </c>
      <c r="W26" s="2" t="s">
        <v>0</v>
      </c>
      <c r="X26" s="2" t="s">
        <v>0</v>
      </c>
      <c r="Y26" s="2" t="s">
        <v>0</v>
      </c>
      <c r="Z26" s="2" t="s">
        <v>0</v>
      </c>
      <c r="AA26" s="2" t="s">
        <v>0</v>
      </c>
      <c r="AB26" s="2" t="s">
        <v>0</v>
      </c>
      <c r="AC26" s="2" t="s">
        <v>0</v>
      </c>
      <c r="AD26" s="2" t="s">
        <v>0</v>
      </c>
      <c r="AE26" s="2" t="s">
        <v>0</v>
      </c>
      <c r="AF26" s="2" t="s">
        <v>0</v>
      </c>
      <c r="AH26" s="2" t="s">
        <v>0</v>
      </c>
    </row>
    <row r="27" spans="1:45" ht="14" x14ac:dyDescent="0.2">
      <c r="A27" s="17"/>
      <c r="B27" s="17"/>
      <c r="C27" s="123"/>
      <c r="D27" s="17"/>
    </row>
    <row r="28" spans="1:45" ht="14" x14ac:dyDescent="0.2">
      <c r="A28" s="17"/>
      <c r="B28" s="17"/>
      <c r="D28" s="17"/>
    </row>
    <row r="29" spans="1:45" ht="11.25" customHeight="1" x14ac:dyDescent="0.2">
      <c r="C29" s="123"/>
      <c r="E29" s="28" t="s">
        <v>394</v>
      </c>
      <c r="F29" s="28"/>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52">
        <v>684500</v>
      </c>
      <c r="AK29" s="52">
        <v>682800</v>
      </c>
    </row>
    <row r="30" spans="1:45" ht="14" x14ac:dyDescent="0.2">
      <c r="A30" s="17"/>
      <c r="B30" s="17"/>
      <c r="D30" s="17"/>
      <c r="AQ30" s="51"/>
      <c r="AS30" s="5"/>
    </row>
    <row r="31" spans="1:45" ht="14" x14ac:dyDescent="0.2">
      <c r="E31" s="28" t="s">
        <v>1</v>
      </c>
      <c r="F31" s="28" t="s">
        <v>2</v>
      </c>
      <c r="G31" s="29">
        <v>284735.2</v>
      </c>
      <c r="H31" s="29">
        <v>296842.59999999998</v>
      </c>
      <c r="I31" s="29">
        <v>299043.5</v>
      </c>
      <c r="J31" s="29">
        <v>308802.09999999998</v>
      </c>
      <c r="K31" s="29">
        <v>319784</v>
      </c>
      <c r="L31" s="29">
        <v>330981</v>
      </c>
      <c r="M31" s="29">
        <v>347767</v>
      </c>
      <c r="N31" s="29">
        <v>367199</v>
      </c>
      <c r="O31" s="29">
        <v>386521</v>
      </c>
      <c r="P31" s="29">
        <v>406499</v>
      </c>
      <c r="Q31" s="29">
        <v>426796</v>
      </c>
      <c r="R31" s="29">
        <v>440695</v>
      </c>
      <c r="S31" s="29">
        <v>463179</v>
      </c>
      <c r="T31" s="29">
        <v>476485</v>
      </c>
      <c r="U31" s="29">
        <v>497527</v>
      </c>
      <c r="V31" s="29">
        <v>515936</v>
      </c>
      <c r="W31" s="29">
        <v>532175</v>
      </c>
      <c r="X31" s="29">
        <v>550404</v>
      </c>
      <c r="Y31" s="29">
        <v>562622</v>
      </c>
      <c r="Z31" s="29">
        <v>574199</v>
      </c>
      <c r="AA31" s="29">
        <v>577567</v>
      </c>
      <c r="AB31" s="29">
        <v>585004</v>
      </c>
      <c r="AC31" s="29">
        <v>596625</v>
      </c>
      <c r="AD31" s="29">
        <v>608799</v>
      </c>
      <c r="AE31" s="29">
        <v>621693</v>
      </c>
      <c r="AF31" s="29">
        <v>661369</v>
      </c>
      <c r="AG31" s="30"/>
      <c r="AH31" s="62">
        <f>SUM(AH34,AH44,AH51,AH59,AH70,AH78,AH86,AH94,AH102,AH112)</f>
        <v>621691</v>
      </c>
      <c r="AI31" s="62">
        <f>SUM(AI34,AI44,AI51,AI59,AI70,AI78,AI86,AI94,AI102,AI112)</f>
        <v>661368</v>
      </c>
      <c r="AJ31" s="52">
        <f>SUM(AJ34,AJ44,AJ51,AJ59,AJ70,AJ78,AJ86,AJ94,AJ102,AJ112)</f>
        <v>685149.1364512149</v>
      </c>
      <c r="AK31" s="52">
        <f>SUM(AK34,AK44,AK51,AK59,AK70,AK78,AK86,AK94,AK102,AK112)</f>
        <v>681311.89147195418</v>
      </c>
    </row>
    <row r="32" spans="1:45" ht="14" x14ac:dyDescent="0.2">
      <c r="A32" s="32"/>
      <c r="B32" s="32"/>
      <c r="C32" s="123"/>
      <c r="D32" s="32"/>
    </row>
    <row r="33" spans="3:41" s="17" customFormat="1" ht="14" x14ac:dyDescent="0.2">
      <c r="C33" s="32"/>
      <c r="AI33" s="63"/>
      <c r="AJ33" s="63"/>
      <c r="AK33" s="63"/>
      <c r="AL33" s="72"/>
    </row>
    <row r="34" spans="3:41" ht="14" x14ac:dyDescent="0.2">
      <c r="C34" s="116">
        <f>+MAX($C$1:$C33)+1</f>
        <v>1</v>
      </c>
      <c r="E34" s="41" t="s">
        <v>3</v>
      </c>
      <c r="F34" s="41" t="s">
        <v>4</v>
      </c>
      <c r="G34" s="43">
        <v>3535.6</v>
      </c>
      <c r="H34" s="43">
        <v>3859.2</v>
      </c>
      <c r="I34" s="43">
        <v>4106.8</v>
      </c>
      <c r="J34" s="43">
        <v>4401.8999999999996</v>
      </c>
      <c r="K34" s="43">
        <v>4176</v>
      </c>
      <c r="L34" s="43">
        <v>4213</v>
      </c>
      <c r="M34" s="43">
        <v>4321</v>
      </c>
      <c r="N34" s="43">
        <v>4143</v>
      </c>
      <c r="O34" s="43">
        <v>4000</v>
      </c>
      <c r="P34" s="43">
        <v>4734</v>
      </c>
      <c r="Q34" s="43">
        <v>5427</v>
      </c>
      <c r="R34" s="43">
        <v>5813</v>
      </c>
      <c r="S34" s="43">
        <v>6352</v>
      </c>
      <c r="T34" s="43">
        <v>6871</v>
      </c>
      <c r="U34" s="43">
        <v>5174</v>
      </c>
      <c r="V34" s="43">
        <v>5523</v>
      </c>
      <c r="W34" s="43">
        <v>6445</v>
      </c>
      <c r="X34" s="43">
        <v>7259</v>
      </c>
      <c r="Y34" s="43">
        <v>6575</v>
      </c>
      <c r="Z34" s="43">
        <v>6308</v>
      </c>
      <c r="AA34" s="43">
        <v>5899</v>
      </c>
      <c r="AB34" s="43">
        <v>5622</v>
      </c>
      <c r="AC34" s="43">
        <v>5632</v>
      </c>
      <c r="AD34" s="43">
        <v>5491</v>
      </c>
      <c r="AE34" s="43">
        <v>4866</v>
      </c>
      <c r="AF34" s="43">
        <v>4364</v>
      </c>
      <c r="AG34" s="44"/>
      <c r="AH34" s="55">
        <f>SUM(AH35:AH42)</f>
        <v>4866</v>
      </c>
      <c r="AI34" s="55">
        <f>SUM(AI35:AI42)</f>
        <v>4363</v>
      </c>
      <c r="AJ34" s="57">
        <f>SUM(AJ35:AJ42)</f>
        <v>4363</v>
      </c>
      <c r="AK34" s="57">
        <f>SUM(AK35:AK42)</f>
        <v>4363</v>
      </c>
      <c r="AM34" s="2">
        <f>AK34-SUM(AK35:AK42)</f>
        <v>0</v>
      </c>
    </row>
    <row r="35" spans="3:41" ht="14" x14ac:dyDescent="0.2">
      <c r="E35" s="23" t="s">
        <v>5</v>
      </c>
      <c r="F35" s="23" t="s">
        <v>6</v>
      </c>
      <c r="G35" s="25">
        <v>1072.5999999999999</v>
      </c>
      <c r="H35" s="25">
        <v>1090.0999999999999</v>
      </c>
      <c r="I35" s="25">
        <v>1064.4000000000001</v>
      </c>
      <c r="J35" s="25">
        <v>1089.0999999999999</v>
      </c>
      <c r="K35" s="25">
        <v>1144</v>
      </c>
      <c r="L35" s="25">
        <v>1149</v>
      </c>
      <c r="M35" s="25">
        <v>1203</v>
      </c>
      <c r="N35" s="25">
        <v>1256</v>
      </c>
      <c r="O35" s="25">
        <v>1309</v>
      </c>
      <c r="P35" s="25">
        <v>1391</v>
      </c>
      <c r="Q35" s="25">
        <v>1473</v>
      </c>
      <c r="R35" s="25">
        <v>1498</v>
      </c>
      <c r="S35" s="25">
        <v>1375</v>
      </c>
      <c r="T35" s="25">
        <v>1347</v>
      </c>
      <c r="U35" s="25">
        <v>1364</v>
      </c>
      <c r="V35" s="25">
        <v>1904</v>
      </c>
      <c r="W35" s="25">
        <v>1328</v>
      </c>
      <c r="X35" s="25">
        <v>1428</v>
      </c>
      <c r="Y35" s="25">
        <v>1502</v>
      </c>
      <c r="Z35" s="25">
        <v>1499</v>
      </c>
      <c r="AA35" s="25">
        <v>1515</v>
      </c>
      <c r="AB35" s="25">
        <v>1396</v>
      </c>
      <c r="AC35" s="25">
        <v>1409</v>
      </c>
      <c r="AD35" s="25">
        <v>1355</v>
      </c>
      <c r="AE35" s="25">
        <v>1331</v>
      </c>
      <c r="AF35" s="25">
        <v>1473</v>
      </c>
      <c r="AH35" s="53">
        <v>1331</v>
      </c>
      <c r="AI35" s="53">
        <v>1473</v>
      </c>
      <c r="AJ35" s="53">
        <f t="shared" ref="AJ35:AJ42" si="0">AF35</f>
        <v>1473</v>
      </c>
      <c r="AK35" s="53">
        <f t="shared" ref="AK35:AK42" si="1">AF35</f>
        <v>1473</v>
      </c>
    </row>
    <row r="36" spans="3:41" ht="14" x14ac:dyDescent="0.2">
      <c r="E36" s="23" t="s">
        <v>7</v>
      </c>
      <c r="F36" s="23" t="s">
        <v>8</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H36" s="53">
        <v>0</v>
      </c>
      <c r="AI36" s="53">
        <v>0</v>
      </c>
      <c r="AJ36" s="53">
        <f t="shared" si="0"/>
        <v>0</v>
      </c>
      <c r="AK36" s="53">
        <f t="shared" si="1"/>
        <v>0</v>
      </c>
    </row>
    <row r="37" spans="3:41" ht="14" x14ac:dyDescent="0.2">
      <c r="E37" s="23" t="s">
        <v>9</v>
      </c>
      <c r="F37" s="23" t="s">
        <v>10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5">
        <v>0</v>
      </c>
      <c r="AE37" s="25">
        <v>0</v>
      </c>
      <c r="AF37" s="25">
        <v>0</v>
      </c>
      <c r="AH37" s="53">
        <v>0</v>
      </c>
      <c r="AI37" s="53">
        <v>0</v>
      </c>
      <c r="AJ37" s="53">
        <f t="shared" si="0"/>
        <v>0</v>
      </c>
      <c r="AK37" s="53">
        <f t="shared" si="1"/>
        <v>0</v>
      </c>
    </row>
    <row r="38" spans="3:41" ht="14" x14ac:dyDescent="0.2">
      <c r="E38" s="23" t="s">
        <v>11</v>
      </c>
      <c r="F38" s="23" t="s">
        <v>12</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0</v>
      </c>
      <c r="AA38" s="25">
        <v>0</v>
      </c>
      <c r="AB38" s="25">
        <v>0</v>
      </c>
      <c r="AC38" s="25">
        <v>0</v>
      </c>
      <c r="AD38" s="25">
        <v>0</v>
      </c>
      <c r="AE38" s="25">
        <v>0</v>
      </c>
      <c r="AF38" s="25">
        <v>0</v>
      </c>
      <c r="AH38" s="53">
        <v>0</v>
      </c>
      <c r="AI38" s="53">
        <v>0</v>
      </c>
      <c r="AJ38" s="53">
        <f t="shared" si="0"/>
        <v>0</v>
      </c>
      <c r="AK38" s="53">
        <f t="shared" si="1"/>
        <v>0</v>
      </c>
    </row>
    <row r="39" spans="3:41" ht="14" x14ac:dyDescent="0.2">
      <c r="E39" s="23" t="s">
        <v>13</v>
      </c>
      <c r="F39" s="23" t="s">
        <v>14</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v>
      </c>
      <c r="AB39" s="25">
        <v>1</v>
      </c>
      <c r="AC39" s="25">
        <v>1</v>
      </c>
      <c r="AD39" s="25">
        <v>1</v>
      </c>
      <c r="AE39" s="25">
        <v>1</v>
      </c>
      <c r="AF39" s="25">
        <v>1</v>
      </c>
      <c r="AH39" s="53">
        <v>1</v>
      </c>
      <c r="AI39" s="53">
        <v>1</v>
      </c>
      <c r="AJ39" s="53">
        <f t="shared" si="0"/>
        <v>1</v>
      </c>
      <c r="AK39" s="53">
        <f t="shared" si="1"/>
        <v>1</v>
      </c>
    </row>
    <row r="40" spans="3:41" ht="14" x14ac:dyDescent="0.2">
      <c r="E40" s="23" t="s">
        <v>15</v>
      </c>
      <c r="F40" s="23" t="s">
        <v>16</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c r="Z40" s="25">
        <v>0</v>
      </c>
      <c r="AA40" s="25">
        <v>0</v>
      </c>
      <c r="AB40" s="25">
        <v>0</v>
      </c>
      <c r="AC40" s="25">
        <v>0</v>
      </c>
      <c r="AD40" s="25">
        <v>0</v>
      </c>
      <c r="AE40" s="25">
        <v>0</v>
      </c>
      <c r="AF40" s="25">
        <v>0</v>
      </c>
      <c r="AH40" s="53">
        <v>0</v>
      </c>
      <c r="AI40" s="53">
        <v>0</v>
      </c>
      <c r="AJ40" s="53">
        <f t="shared" si="0"/>
        <v>0</v>
      </c>
      <c r="AK40" s="53">
        <f t="shared" si="1"/>
        <v>0</v>
      </c>
    </row>
    <row r="41" spans="3:41" ht="14" x14ac:dyDescent="0.2">
      <c r="E41" s="23" t="s">
        <v>17</v>
      </c>
      <c r="F41" s="23" t="s">
        <v>18</v>
      </c>
      <c r="G41" s="25">
        <v>2463</v>
      </c>
      <c r="H41" s="25">
        <v>2769.1</v>
      </c>
      <c r="I41" s="25">
        <v>3042.4</v>
      </c>
      <c r="J41" s="25">
        <v>3311.9</v>
      </c>
      <c r="K41" s="25">
        <v>3032</v>
      </c>
      <c r="L41" s="25">
        <v>3064</v>
      </c>
      <c r="M41" s="25">
        <v>3118</v>
      </c>
      <c r="N41" s="25">
        <v>2887</v>
      </c>
      <c r="O41" s="25">
        <v>2691</v>
      </c>
      <c r="P41" s="25">
        <v>3343</v>
      </c>
      <c r="Q41" s="25">
        <v>3954</v>
      </c>
      <c r="R41" s="25">
        <v>4314</v>
      </c>
      <c r="S41" s="25">
        <v>4977</v>
      </c>
      <c r="T41" s="25">
        <v>5524</v>
      </c>
      <c r="U41" s="25">
        <v>3810</v>
      </c>
      <c r="V41" s="25">
        <v>3619</v>
      </c>
      <c r="W41" s="25">
        <v>5117</v>
      </c>
      <c r="X41" s="25">
        <v>5831</v>
      </c>
      <c r="Y41" s="25">
        <v>5073</v>
      </c>
      <c r="Z41" s="25">
        <v>4809</v>
      </c>
      <c r="AA41" s="25">
        <v>4384</v>
      </c>
      <c r="AB41" s="25">
        <v>4126</v>
      </c>
      <c r="AC41" s="25">
        <v>4121</v>
      </c>
      <c r="AD41" s="25">
        <v>4031</v>
      </c>
      <c r="AE41" s="25">
        <v>3525</v>
      </c>
      <c r="AF41" s="25">
        <v>2881</v>
      </c>
      <c r="AH41" s="53">
        <v>3525</v>
      </c>
      <c r="AI41" s="53">
        <v>2881</v>
      </c>
      <c r="AJ41" s="53">
        <f t="shared" si="0"/>
        <v>2881</v>
      </c>
      <c r="AK41" s="53">
        <f t="shared" si="1"/>
        <v>2881</v>
      </c>
    </row>
    <row r="42" spans="3:41" ht="14" x14ac:dyDescent="0.2">
      <c r="E42" s="23" t="s">
        <v>19</v>
      </c>
      <c r="F42" s="23" t="s">
        <v>20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v>
      </c>
      <c r="AB42" s="25">
        <v>99</v>
      </c>
      <c r="AC42" s="25">
        <v>101</v>
      </c>
      <c r="AD42" s="25">
        <v>104</v>
      </c>
      <c r="AE42" s="25">
        <v>9</v>
      </c>
      <c r="AF42" s="25">
        <v>8</v>
      </c>
      <c r="AH42" s="53">
        <v>9</v>
      </c>
      <c r="AI42" s="53">
        <v>8</v>
      </c>
      <c r="AJ42" s="53">
        <f t="shared" si="0"/>
        <v>8</v>
      </c>
      <c r="AK42" s="53">
        <f t="shared" si="1"/>
        <v>8</v>
      </c>
    </row>
    <row r="43" spans="3:41" ht="14" x14ac:dyDescent="0.2">
      <c r="E43" s="4"/>
      <c r="F43" s="4"/>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H43" s="53"/>
      <c r="AI43" s="53"/>
      <c r="AJ43" s="53"/>
      <c r="AK43" s="53"/>
    </row>
    <row r="44" spans="3:41" ht="14" x14ac:dyDescent="0.2">
      <c r="C44" s="116">
        <f>+MAX($C$1:$C43)+1</f>
        <v>2</v>
      </c>
      <c r="E44" s="41" t="s">
        <v>21</v>
      </c>
      <c r="F44" s="41" t="s">
        <v>22</v>
      </c>
      <c r="G44" s="43">
        <v>0</v>
      </c>
      <c r="H44" s="43">
        <v>0</v>
      </c>
      <c r="I44" s="43">
        <v>0</v>
      </c>
      <c r="J44" s="43">
        <v>0</v>
      </c>
      <c r="K44" s="43">
        <v>0</v>
      </c>
      <c r="L44" s="43">
        <v>0</v>
      </c>
      <c r="M44" s="43">
        <v>0</v>
      </c>
      <c r="N44" s="43">
        <v>0</v>
      </c>
      <c r="O44" s="43">
        <v>0</v>
      </c>
      <c r="P44" s="43">
        <v>0</v>
      </c>
      <c r="Q44" s="43">
        <v>0</v>
      </c>
      <c r="R44" s="43">
        <v>0</v>
      </c>
      <c r="S44" s="43">
        <v>0</v>
      </c>
      <c r="T44" s="43">
        <v>0</v>
      </c>
      <c r="U44" s="43">
        <v>0</v>
      </c>
      <c r="V44" s="43">
        <v>0</v>
      </c>
      <c r="W44" s="43">
        <v>0</v>
      </c>
      <c r="X44" s="43">
        <v>0</v>
      </c>
      <c r="Y44" s="43">
        <v>0</v>
      </c>
      <c r="Z44" s="43">
        <v>0</v>
      </c>
      <c r="AA44" s="43">
        <v>0</v>
      </c>
      <c r="AB44" s="43">
        <v>0</v>
      </c>
      <c r="AC44" s="43">
        <v>0</v>
      </c>
      <c r="AD44" s="43">
        <v>0</v>
      </c>
      <c r="AE44" s="43">
        <v>0</v>
      </c>
      <c r="AF44" s="43">
        <v>0</v>
      </c>
      <c r="AG44" s="44"/>
      <c r="AH44" s="55">
        <f>SUM(AH45:AH49)</f>
        <v>0</v>
      </c>
      <c r="AI44" s="55">
        <f>SUM(AI45:AI49)</f>
        <v>0</v>
      </c>
      <c r="AJ44" s="57">
        <f>SUM(AJ45:AJ49)</f>
        <v>0</v>
      </c>
      <c r="AK44" s="57">
        <f>SUM(AK45:AK49)</f>
        <v>0</v>
      </c>
      <c r="AM44" s="2">
        <f>AK44-SUM(AK45:AK49)</f>
        <v>0</v>
      </c>
    </row>
    <row r="45" spans="3:41" ht="14" x14ac:dyDescent="0.2">
      <c r="E45" s="23" t="s">
        <v>23</v>
      </c>
      <c r="F45" s="23" t="s">
        <v>24</v>
      </c>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c r="Z45" s="25">
        <v>0</v>
      </c>
      <c r="AA45" s="25">
        <v>0</v>
      </c>
      <c r="AB45" s="25">
        <v>0</v>
      </c>
      <c r="AC45" s="25">
        <v>0</v>
      </c>
      <c r="AD45" s="25">
        <v>0</v>
      </c>
      <c r="AE45" s="25">
        <v>0</v>
      </c>
      <c r="AF45" s="25">
        <v>0</v>
      </c>
      <c r="AH45" s="53">
        <v>0</v>
      </c>
      <c r="AI45" s="53">
        <v>0</v>
      </c>
      <c r="AJ45" s="53">
        <f>AF45</f>
        <v>0</v>
      </c>
      <c r="AK45" s="53">
        <f>AF45</f>
        <v>0</v>
      </c>
      <c r="AO45" s="59"/>
    </row>
    <row r="46" spans="3:41" ht="14" x14ac:dyDescent="0.2">
      <c r="E46" s="23" t="s">
        <v>25</v>
      </c>
      <c r="F46" s="23" t="s">
        <v>26</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H46" s="53">
        <v>0</v>
      </c>
      <c r="AI46" s="53">
        <v>0</v>
      </c>
      <c r="AJ46" s="53">
        <f>AF46</f>
        <v>0</v>
      </c>
      <c r="AK46" s="53">
        <f>AF46</f>
        <v>0</v>
      </c>
      <c r="AO46" s="59"/>
    </row>
    <row r="47" spans="3:41" ht="14" x14ac:dyDescent="0.2">
      <c r="E47" s="23" t="s">
        <v>27</v>
      </c>
      <c r="F47" s="23" t="s">
        <v>28</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0</v>
      </c>
      <c r="AD47" s="25">
        <v>0</v>
      </c>
      <c r="AE47" s="25">
        <v>0</v>
      </c>
      <c r="AF47" s="25">
        <v>0</v>
      </c>
      <c r="AH47" s="53">
        <v>0</v>
      </c>
      <c r="AI47" s="53">
        <v>0</v>
      </c>
      <c r="AJ47" s="53">
        <f>AF47</f>
        <v>0</v>
      </c>
      <c r="AK47" s="53">
        <f>AF47</f>
        <v>0</v>
      </c>
      <c r="AO47" s="59"/>
    </row>
    <row r="48" spans="3:41" ht="14" x14ac:dyDescent="0.2">
      <c r="E48" s="23" t="s">
        <v>29</v>
      </c>
      <c r="F48" s="23" t="s">
        <v>30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c r="AD48" s="25">
        <v>0</v>
      </c>
      <c r="AE48" s="25">
        <v>0</v>
      </c>
      <c r="AF48" s="25">
        <v>0</v>
      </c>
      <c r="AH48" s="53">
        <v>0</v>
      </c>
      <c r="AI48" s="53">
        <v>0</v>
      </c>
      <c r="AJ48" s="53">
        <f>AF48</f>
        <v>0</v>
      </c>
      <c r="AK48" s="53">
        <f>AF48</f>
        <v>0</v>
      </c>
      <c r="AO48" s="59"/>
    </row>
    <row r="49" spans="3:42" ht="14" x14ac:dyDescent="0.2">
      <c r="E49" s="23" t="s">
        <v>31</v>
      </c>
      <c r="F49" s="23" t="s">
        <v>32</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c r="AD49" s="25">
        <v>0</v>
      </c>
      <c r="AE49" s="25">
        <v>0</v>
      </c>
      <c r="AF49" s="25">
        <v>0</v>
      </c>
      <c r="AH49" s="53">
        <v>0</v>
      </c>
      <c r="AI49" s="53">
        <v>0</v>
      </c>
      <c r="AJ49" s="53">
        <f>AF49</f>
        <v>0</v>
      </c>
      <c r="AK49" s="53">
        <f>AF49</f>
        <v>0</v>
      </c>
      <c r="AO49" s="59"/>
    </row>
    <row r="50" spans="3:42" ht="14" x14ac:dyDescent="0.2">
      <c r="E50" s="4"/>
      <c r="F50" s="4"/>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H50" s="53"/>
      <c r="AI50" s="53"/>
      <c r="AJ50" s="53"/>
      <c r="AK50" s="53"/>
      <c r="AO50" s="59"/>
    </row>
    <row r="51" spans="3:42" ht="14" x14ac:dyDescent="0.2">
      <c r="C51" s="116">
        <f>+MAX($C$1:$C50)+1</f>
        <v>3</v>
      </c>
      <c r="E51" s="41" t="s">
        <v>33</v>
      </c>
      <c r="F51" s="41" t="s">
        <v>34</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4"/>
      <c r="AH51" s="55">
        <f>SUM(AH52:AH57)</f>
        <v>0</v>
      </c>
      <c r="AI51" s="55">
        <f>SUM(AI52:AI57)</f>
        <v>0</v>
      </c>
      <c r="AJ51" s="57">
        <f>SUM(AJ52:AJ57)</f>
        <v>0</v>
      </c>
      <c r="AK51" s="57">
        <f>SUM(AK52:AK57)</f>
        <v>0</v>
      </c>
      <c r="AM51" s="2">
        <f>AK51-SUM(AK52:AK57)</f>
        <v>0</v>
      </c>
      <c r="AO51" s="71"/>
      <c r="AP51" s="5"/>
    </row>
    <row r="52" spans="3:42" ht="14" x14ac:dyDescent="0.2">
      <c r="E52" s="23" t="s">
        <v>35</v>
      </c>
      <c r="F52" s="23" t="s">
        <v>36</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c r="AD52" s="25">
        <v>0</v>
      </c>
      <c r="AE52" s="25">
        <v>0</v>
      </c>
      <c r="AF52" s="25">
        <v>0</v>
      </c>
      <c r="AH52" s="53">
        <v>0</v>
      </c>
      <c r="AI52" s="53">
        <v>0</v>
      </c>
      <c r="AJ52" s="53">
        <f t="shared" ref="AJ52:AJ57" si="2">AF52</f>
        <v>0</v>
      </c>
      <c r="AK52" s="53">
        <f t="shared" ref="AK52:AK57" si="3">AF52</f>
        <v>0</v>
      </c>
      <c r="AO52" s="59"/>
    </row>
    <row r="53" spans="3:42" ht="14" x14ac:dyDescent="0.2">
      <c r="E53" s="23" t="s">
        <v>37</v>
      </c>
      <c r="F53" s="23" t="s">
        <v>38</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c r="AD53" s="25">
        <v>0</v>
      </c>
      <c r="AE53" s="25">
        <v>0</v>
      </c>
      <c r="AF53" s="25">
        <v>0</v>
      </c>
      <c r="AH53" s="53">
        <v>0</v>
      </c>
      <c r="AI53" s="53">
        <v>0</v>
      </c>
      <c r="AJ53" s="53">
        <f t="shared" si="2"/>
        <v>0</v>
      </c>
      <c r="AK53" s="53">
        <f t="shared" si="3"/>
        <v>0</v>
      </c>
      <c r="AO53" s="59"/>
    </row>
    <row r="54" spans="3:42" ht="14" x14ac:dyDescent="0.2">
      <c r="E54" s="23" t="s">
        <v>39</v>
      </c>
      <c r="F54" s="23" t="s">
        <v>40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25">
        <v>0</v>
      </c>
      <c r="AD54" s="25">
        <v>0</v>
      </c>
      <c r="AE54" s="25">
        <v>0</v>
      </c>
      <c r="AF54" s="25">
        <v>0</v>
      </c>
      <c r="AH54" s="53">
        <v>0</v>
      </c>
      <c r="AI54" s="53">
        <v>0</v>
      </c>
      <c r="AJ54" s="53">
        <f t="shared" si="2"/>
        <v>0</v>
      </c>
      <c r="AK54" s="53">
        <f t="shared" si="3"/>
        <v>0</v>
      </c>
      <c r="AO54" s="59"/>
    </row>
    <row r="55" spans="3:42" ht="14" x14ac:dyDescent="0.2">
      <c r="E55" s="23" t="s">
        <v>41</v>
      </c>
      <c r="F55" s="23" t="s">
        <v>42</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c r="AD55" s="25">
        <v>0</v>
      </c>
      <c r="AE55" s="25">
        <v>0</v>
      </c>
      <c r="AF55" s="25">
        <v>0</v>
      </c>
      <c r="AH55" s="53">
        <v>0</v>
      </c>
      <c r="AI55" s="53">
        <v>0</v>
      </c>
      <c r="AJ55" s="53">
        <f t="shared" si="2"/>
        <v>0</v>
      </c>
      <c r="AK55" s="53">
        <f t="shared" si="3"/>
        <v>0</v>
      </c>
      <c r="AO55" s="59"/>
    </row>
    <row r="56" spans="3:42" ht="14" x14ac:dyDescent="0.2">
      <c r="E56" s="23" t="s">
        <v>43</v>
      </c>
      <c r="F56" s="23" t="s">
        <v>44</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c r="AD56" s="25">
        <v>0</v>
      </c>
      <c r="AE56" s="25">
        <v>0</v>
      </c>
      <c r="AF56" s="25">
        <v>0</v>
      </c>
      <c r="AH56" s="53">
        <v>0</v>
      </c>
      <c r="AI56" s="53">
        <v>0</v>
      </c>
      <c r="AJ56" s="53">
        <f t="shared" si="2"/>
        <v>0</v>
      </c>
      <c r="AK56" s="53">
        <f t="shared" si="3"/>
        <v>0</v>
      </c>
      <c r="AO56" s="59"/>
    </row>
    <row r="57" spans="3:42" ht="14" x14ac:dyDescent="0.2">
      <c r="E57" s="23" t="s">
        <v>45</v>
      </c>
      <c r="F57" s="23" t="s">
        <v>46</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c r="AD57" s="25">
        <v>0</v>
      </c>
      <c r="AE57" s="25">
        <v>0</v>
      </c>
      <c r="AF57" s="25">
        <v>0</v>
      </c>
      <c r="AH57" s="53">
        <v>0</v>
      </c>
      <c r="AI57" s="53">
        <v>0</v>
      </c>
      <c r="AJ57" s="53">
        <f t="shared" si="2"/>
        <v>0</v>
      </c>
      <c r="AK57" s="53">
        <f t="shared" si="3"/>
        <v>0</v>
      </c>
      <c r="AO57" s="59"/>
    </row>
    <row r="58" spans="3:42" ht="14" x14ac:dyDescent="0.2">
      <c r="E58" s="4"/>
      <c r="F58" s="4"/>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H58" s="53"/>
      <c r="AI58" s="53"/>
      <c r="AJ58" s="53"/>
      <c r="AK58" s="53"/>
      <c r="AO58" s="59"/>
    </row>
    <row r="59" spans="3:42" ht="14" x14ac:dyDescent="0.2">
      <c r="C59" s="116">
        <f>+MAX($C$1:$C58)+1</f>
        <v>4</v>
      </c>
      <c r="E59" s="41" t="s">
        <v>47</v>
      </c>
      <c r="F59" s="41" t="s">
        <v>48</v>
      </c>
      <c r="G59" s="43">
        <v>0</v>
      </c>
      <c r="H59" s="43">
        <v>0</v>
      </c>
      <c r="I59" s="43">
        <v>0</v>
      </c>
      <c r="J59" s="43">
        <v>0</v>
      </c>
      <c r="K59" s="43">
        <v>0</v>
      </c>
      <c r="L59" s="43">
        <v>0</v>
      </c>
      <c r="M59" s="43">
        <v>0</v>
      </c>
      <c r="N59" s="43">
        <v>0</v>
      </c>
      <c r="O59" s="43">
        <v>0</v>
      </c>
      <c r="P59" s="43">
        <v>0</v>
      </c>
      <c r="Q59" s="43">
        <v>0</v>
      </c>
      <c r="R59" s="43">
        <v>0</v>
      </c>
      <c r="S59" s="43">
        <v>0</v>
      </c>
      <c r="T59" s="43">
        <v>0</v>
      </c>
      <c r="U59" s="43">
        <v>0</v>
      </c>
      <c r="V59" s="43">
        <v>0</v>
      </c>
      <c r="W59" s="43">
        <v>0</v>
      </c>
      <c r="X59" s="43">
        <v>0</v>
      </c>
      <c r="Y59" s="43">
        <v>0</v>
      </c>
      <c r="Z59" s="43">
        <v>0</v>
      </c>
      <c r="AA59" s="43">
        <v>0</v>
      </c>
      <c r="AB59" s="43">
        <v>0</v>
      </c>
      <c r="AC59" s="43">
        <v>0</v>
      </c>
      <c r="AD59" s="43">
        <v>575</v>
      </c>
      <c r="AE59" s="43">
        <v>578</v>
      </c>
      <c r="AF59" s="43">
        <v>3228</v>
      </c>
      <c r="AG59" s="44"/>
      <c r="AH59" s="55">
        <f>SUM(AH60:AH68)</f>
        <v>578</v>
      </c>
      <c r="AI59" s="55">
        <f>SUM(AI60:AI68)</f>
        <v>3228</v>
      </c>
      <c r="AJ59" s="57">
        <f>SUM(AJ60:AJ68)</f>
        <v>1000</v>
      </c>
      <c r="AK59" s="57">
        <f>SUM(AK60:AK68)</f>
        <v>0</v>
      </c>
      <c r="AM59" s="2">
        <f>AK59-SUM(AK60:AK68)</f>
        <v>0</v>
      </c>
      <c r="AO59" s="71"/>
      <c r="AP59" s="5"/>
    </row>
    <row r="60" spans="3:42" ht="14" x14ac:dyDescent="0.2">
      <c r="E60" s="23" t="s">
        <v>49</v>
      </c>
      <c r="F60" s="23" t="s">
        <v>50</v>
      </c>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c r="Z60" s="25">
        <v>0</v>
      </c>
      <c r="AA60" s="25">
        <v>0</v>
      </c>
      <c r="AB60" s="25">
        <v>0</v>
      </c>
      <c r="AC60" s="25">
        <v>0</v>
      </c>
      <c r="AD60" s="25">
        <v>575</v>
      </c>
      <c r="AE60" s="25">
        <v>578</v>
      </c>
      <c r="AF60" s="25">
        <v>3228</v>
      </c>
      <c r="AH60" s="53">
        <v>578</v>
      </c>
      <c r="AI60" s="53">
        <v>3228</v>
      </c>
      <c r="AJ60" s="53">
        <v>1000</v>
      </c>
      <c r="AK60" s="53">
        <v>0</v>
      </c>
      <c r="AO60" s="59"/>
    </row>
    <row r="61" spans="3:42" ht="14" x14ac:dyDescent="0.2">
      <c r="E61" s="23" t="s">
        <v>51</v>
      </c>
      <c r="F61" s="23" t="s">
        <v>52</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c r="AD61" s="25">
        <v>0</v>
      </c>
      <c r="AE61" s="25">
        <v>0</v>
      </c>
      <c r="AF61" s="25">
        <v>0</v>
      </c>
      <c r="AH61" s="53">
        <v>0</v>
      </c>
      <c r="AI61" s="53">
        <v>0</v>
      </c>
      <c r="AJ61" s="53">
        <f t="shared" ref="AJ61:AJ68" si="4">AF61</f>
        <v>0</v>
      </c>
      <c r="AK61" s="53">
        <f t="shared" ref="AK61:AK68" si="5">AF61</f>
        <v>0</v>
      </c>
      <c r="AO61" s="59"/>
    </row>
    <row r="62" spans="3:42" ht="14" x14ac:dyDescent="0.2">
      <c r="E62" s="23" t="s">
        <v>53</v>
      </c>
      <c r="F62" s="23" t="s">
        <v>54</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c r="AD62" s="25">
        <v>0</v>
      </c>
      <c r="AE62" s="25">
        <v>0</v>
      </c>
      <c r="AF62" s="25">
        <v>0</v>
      </c>
      <c r="AH62" s="53">
        <v>0</v>
      </c>
      <c r="AI62" s="53">
        <v>0</v>
      </c>
      <c r="AJ62" s="53">
        <f t="shared" si="4"/>
        <v>0</v>
      </c>
      <c r="AK62" s="53">
        <f t="shared" si="5"/>
        <v>0</v>
      </c>
      <c r="AO62" s="59"/>
    </row>
    <row r="63" spans="3:42" ht="14" x14ac:dyDescent="0.2">
      <c r="E63" s="23" t="s">
        <v>55</v>
      </c>
      <c r="F63" s="23" t="s">
        <v>56</v>
      </c>
      <c r="G63" s="25">
        <v>0</v>
      </c>
      <c r="H63" s="25">
        <v>0</v>
      </c>
      <c r="I63" s="25">
        <v>0</v>
      </c>
      <c r="J63" s="25">
        <v>0</v>
      </c>
      <c r="K63" s="25">
        <v>0</v>
      </c>
      <c r="L63" s="25">
        <v>0</v>
      </c>
      <c r="M63" s="25">
        <v>0</v>
      </c>
      <c r="N63" s="25">
        <v>0</v>
      </c>
      <c r="O63" s="25">
        <v>0</v>
      </c>
      <c r="P63" s="25">
        <v>0</v>
      </c>
      <c r="Q63" s="25">
        <v>0</v>
      </c>
      <c r="R63" s="25">
        <v>0</v>
      </c>
      <c r="S63" s="25">
        <v>0</v>
      </c>
      <c r="T63" s="25">
        <v>0</v>
      </c>
      <c r="U63" s="25">
        <v>0</v>
      </c>
      <c r="V63" s="25">
        <v>0</v>
      </c>
      <c r="W63" s="25">
        <v>0</v>
      </c>
      <c r="X63" s="25">
        <v>0</v>
      </c>
      <c r="Y63" s="25">
        <v>0</v>
      </c>
      <c r="Z63" s="25">
        <v>0</v>
      </c>
      <c r="AA63" s="25">
        <v>0</v>
      </c>
      <c r="AB63" s="25">
        <v>0</v>
      </c>
      <c r="AC63" s="25">
        <v>0</v>
      </c>
      <c r="AD63" s="25">
        <v>0</v>
      </c>
      <c r="AE63" s="25">
        <v>0</v>
      </c>
      <c r="AF63" s="25">
        <v>0</v>
      </c>
      <c r="AH63" s="53">
        <v>0</v>
      </c>
      <c r="AI63" s="53">
        <v>0</v>
      </c>
      <c r="AJ63" s="53">
        <f t="shared" si="4"/>
        <v>0</v>
      </c>
      <c r="AK63" s="53">
        <f t="shared" si="5"/>
        <v>0</v>
      </c>
      <c r="AO63" s="59"/>
    </row>
    <row r="64" spans="3:42" ht="14" x14ac:dyDescent="0.2">
      <c r="E64" s="23" t="s">
        <v>57</v>
      </c>
      <c r="F64" s="23" t="s">
        <v>58</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c r="Z64" s="25">
        <v>0</v>
      </c>
      <c r="AA64" s="25">
        <v>0</v>
      </c>
      <c r="AB64" s="25">
        <v>0</v>
      </c>
      <c r="AC64" s="25">
        <v>0</v>
      </c>
      <c r="AD64" s="25">
        <v>0</v>
      </c>
      <c r="AE64" s="25">
        <v>0</v>
      </c>
      <c r="AF64" s="25">
        <v>0</v>
      </c>
      <c r="AH64" s="53">
        <v>0</v>
      </c>
      <c r="AI64" s="53">
        <v>0</v>
      </c>
      <c r="AJ64" s="53">
        <f t="shared" si="4"/>
        <v>0</v>
      </c>
      <c r="AK64" s="53">
        <f t="shared" si="5"/>
        <v>0</v>
      </c>
      <c r="AO64" s="59"/>
    </row>
    <row r="65" spans="3:42" ht="14" x14ac:dyDescent="0.2">
      <c r="E65" s="23" t="s">
        <v>59</v>
      </c>
      <c r="F65" s="23" t="s">
        <v>60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c r="AD65" s="25">
        <v>0</v>
      </c>
      <c r="AE65" s="25">
        <v>0</v>
      </c>
      <c r="AF65" s="25">
        <v>0</v>
      </c>
      <c r="AH65" s="53">
        <v>0</v>
      </c>
      <c r="AI65" s="53">
        <v>0</v>
      </c>
      <c r="AJ65" s="53">
        <f t="shared" si="4"/>
        <v>0</v>
      </c>
      <c r="AK65" s="53">
        <f t="shared" si="5"/>
        <v>0</v>
      </c>
      <c r="AO65" s="59"/>
    </row>
    <row r="66" spans="3:42" ht="14" x14ac:dyDescent="0.2">
      <c r="E66" s="23" t="s">
        <v>61</v>
      </c>
      <c r="F66" s="23" t="s">
        <v>62</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c r="Z66" s="25">
        <v>0</v>
      </c>
      <c r="AA66" s="25">
        <v>0</v>
      </c>
      <c r="AB66" s="25">
        <v>0</v>
      </c>
      <c r="AC66" s="25">
        <v>0</v>
      </c>
      <c r="AD66" s="25">
        <v>0</v>
      </c>
      <c r="AE66" s="25">
        <v>0</v>
      </c>
      <c r="AF66" s="25">
        <v>0</v>
      </c>
      <c r="AH66" s="53">
        <v>0</v>
      </c>
      <c r="AI66" s="53">
        <v>0</v>
      </c>
      <c r="AJ66" s="53">
        <f t="shared" si="4"/>
        <v>0</v>
      </c>
      <c r="AK66" s="53">
        <f t="shared" si="5"/>
        <v>0</v>
      </c>
      <c r="AO66" s="59"/>
    </row>
    <row r="67" spans="3:42" ht="14" x14ac:dyDescent="0.2">
      <c r="E67" s="23" t="s">
        <v>63</v>
      </c>
      <c r="F67" s="23" t="s">
        <v>64</v>
      </c>
      <c r="G67" s="25">
        <v>0</v>
      </c>
      <c r="H67" s="25">
        <v>0</v>
      </c>
      <c r="I67" s="25">
        <v>0</v>
      </c>
      <c r="J67" s="25">
        <v>0</v>
      </c>
      <c r="K67" s="25">
        <v>0</v>
      </c>
      <c r="L67" s="25">
        <v>0</v>
      </c>
      <c r="M67" s="25">
        <v>0</v>
      </c>
      <c r="N67" s="25">
        <v>0</v>
      </c>
      <c r="O67" s="25">
        <v>0</v>
      </c>
      <c r="P67" s="25">
        <v>0</v>
      </c>
      <c r="Q67" s="25">
        <v>0</v>
      </c>
      <c r="R67" s="25">
        <v>0</v>
      </c>
      <c r="S67" s="25">
        <v>0</v>
      </c>
      <c r="T67" s="25">
        <v>0</v>
      </c>
      <c r="U67" s="25">
        <v>0</v>
      </c>
      <c r="V67" s="25">
        <v>0</v>
      </c>
      <c r="W67" s="25">
        <v>0</v>
      </c>
      <c r="X67" s="25">
        <v>0</v>
      </c>
      <c r="Y67" s="25">
        <v>0</v>
      </c>
      <c r="Z67" s="25">
        <v>0</v>
      </c>
      <c r="AA67" s="25">
        <v>0</v>
      </c>
      <c r="AB67" s="25">
        <v>0</v>
      </c>
      <c r="AC67" s="25">
        <v>0</v>
      </c>
      <c r="AD67" s="25">
        <v>0</v>
      </c>
      <c r="AE67" s="25">
        <v>0</v>
      </c>
      <c r="AF67" s="25">
        <v>0</v>
      </c>
      <c r="AH67" s="53">
        <v>0</v>
      </c>
      <c r="AI67" s="53">
        <v>0</v>
      </c>
      <c r="AJ67" s="53">
        <f t="shared" si="4"/>
        <v>0</v>
      </c>
      <c r="AK67" s="53">
        <f t="shared" si="5"/>
        <v>0</v>
      </c>
      <c r="AO67" s="59"/>
    </row>
    <row r="68" spans="3:42" ht="14" x14ac:dyDescent="0.2">
      <c r="E68" s="23" t="s">
        <v>65</v>
      </c>
      <c r="F68" s="23" t="s">
        <v>66</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c r="Z68" s="25">
        <v>0</v>
      </c>
      <c r="AA68" s="25">
        <v>0</v>
      </c>
      <c r="AB68" s="25">
        <v>0</v>
      </c>
      <c r="AC68" s="25">
        <v>0</v>
      </c>
      <c r="AD68" s="25">
        <v>0</v>
      </c>
      <c r="AE68" s="25">
        <v>0</v>
      </c>
      <c r="AF68" s="25">
        <v>0</v>
      </c>
      <c r="AH68" s="53">
        <v>0</v>
      </c>
      <c r="AI68" s="53">
        <v>0</v>
      </c>
      <c r="AJ68" s="53">
        <f t="shared" si="4"/>
        <v>0</v>
      </c>
      <c r="AK68" s="53">
        <f t="shared" si="5"/>
        <v>0</v>
      </c>
      <c r="AO68" s="59"/>
    </row>
    <row r="69" spans="3:42" ht="14" x14ac:dyDescent="0.2">
      <c r="E69" s="4"/>
      <c r="F69" s="4"/>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H69" s="53"/>
      <c r="AI69" s="53"/>
      <c r="AJ69" s="53"/>
      <c r="AK69" s="53"/>
      <c r="AO69" s="59"/>
    </row>
    <row r="70" spans="3:42" ht="14" x14ac:dyDescent="0.2">
      <c r="C70" s="116">
        <f>+MAX($C$1:$C69)+1</f>
        <v>5</v>
      </c>
      <c r="E70" s="41" t="s">
        <v>67</v>
      </c>
      <c r="F70" s="41" t="s">
        <v>68</v>
      </c>
      <c r="G70" s="43">
        <v>0</v>
      </c>
      <c r="H70" s="43">
        <v>0</v>
      </c>
      <c r="I70" s="43">
        <v>0</v>
      </c>
      <c r="J70" s="43">
        <v>0</v>
      </c>
      <c r="K70" s="43">
        <v>0</v>
      </c>
      <c r="L70" s="43">
        <v>0</v>
      </c>
      <c r="M70" s="43">
        <v>0</v>
      </c>
      <c r="N70" s="43">
        <v>0</v>
      </c>
      <c r="O70" s="43">
        <v>0</v>
      </c>
      <c r="P70" s="43">
        <v>0</v>
      </c>
      <c r="Q70" s="43">
        <v>0</v>
      </c>
      <c r="R70" s="43">
        <v>0</v>
      </c>
      <c r="S70" s="43">
        <v>0</v>
      </c>
      <c r="T70" s="43">
        <v>0</v>
      </c>
      <c r="U70" s="43">
        <v>0</v>
      </c>
      <c r="V70" s="43">
        <v>0</v>
      </c>
      <c r="W70" s="43">
        <v>0</v>
      </c>
      <c r="X70" s="43">
        <v>0</v>
      </c>
      <c r="Y70" s="43">
        <v>0</v>
      </c>
      <c r="Z70" s="43">
        <v>0</v>
      </c>
      <c r="AA70" s="43">
        <v>0</v>
      </c>
      <c r="AB70" s="43">
        <v>0</v>
      </c>
      <c r="AC70" s="43">
        <v>0</v>
      </c>
      <c r="AD70" s="43">
        <v>0</v>
      </c>
      <c r="AE70" s="43">
        <v>0</v>
      </c>
      <c r="AF70" s="43">
        <v>0</v>
      </c>
      <c r="AG70" s="44"/>
      <c r="AH70" s="55">
        <f>SUM(AH71:AH76)</f>
        <v>0</v>
      </c>
      <c r="AI70" s="55">
        <f>SUM(AI71:AI76)</f>
        <v>0</v>
      </c>
      <c r="AJ70" s="55">
        <f>SUM(AJ71:AJ76)</f>
        <v>0</v>
      </c>
      <c r="AK70" s="55">
        <f>SUM(AK71:AK76)</f>
        <v>0</v>
      </c>
      <c r="AM70" s="2">
        <f>AK70-SUM(AK71:AK76)</f>
        <v>0</v>
      </c>
      <c r="AO70" s="59"/>
      <c r="AP70" s="5"/>
    </row>
    <row r="71" spans="3:42" ht="14" x14ac:dyDescent="0.2">
      <c r="E71" s="23" t="s">
        <v>69</v>
      </c>
      <c r="F71" s="23" t="s">
        <v>70</v>
      </c>
      <c r="G71" s="25">
        <v>0</v>
      </c>
      <c r="H71" s="25">
        <v>0</v>
      </c>
      <c r="I71" s="25">
        <v>0</v>
      </c>
      <c r="J71" s="25">
        <v>0</v>
      </c>
      <c r="K71" s="25">
        <v>0</v>
      </c>
      <c r="L71" s="25">
        <v>0</v>
      </c>
      <c r="M71" s="25">
        <v>0</v>
      </c>
      <c r="N71" s="25">
        <v>0</v>
      </c>
      <c r="O71" s="25">
        <v>0</v>
      </c>
      <c r="P71" s="25">
        <v>0</v>
      </c>
      <c r="Q71" s="25">
        <v>0</v>
      </c>
      <c r="R71" s="25">
        <v>0</v>
      </c>
      <c r="S71" s="25">
        <v>0</v>
      </c>
      <c r="T71" s="25">
        <v>0</v>
      </c>
      <c r="U71" s="25">
        <v>0</v>
      </c>
      <c r="V71" s="25">
        <v>0</v>
      </c>
      <c r="W71" s="25">
        <v>0</v>
      </c>
      <c r="X71" s="25">
        <v>0</v>
      </c>
      <c r="Y71" s="25">
        <v>0</v>
      </c>
      <c r="Z71" s="25">
        <v>0</v>
      </c>
      <c r="AA71" s="25">
        <v>0</v>
      </c>
      <c r="AB71" s="25">
        <v>0</v>
      </c>
      <c r="AC71" s="25">
        <v>0</v>
      </c>
      <c r="AD71" s="25">
        <v>0</v>
      </c>
      <c r="AE71" s="25">
        <v>0</v>
      </c>
      <c r="AF71" s="25">
        <v>0</v>
      </c>
      <c r="AH71" s="53">
        <v>0</v>
      </c>
      <c r="AI71" s="53">
        <v>0</v>
      </c>
      <c r="AJ71" s="53">
        <f t="shared" ref="AJ71:AJ76" si="6">AF71</f>
        <v>0</v>
      </c>
      <c r="AK71" s="53">
        <f t="shared" ref="AK71:AK76" si="7">AF71</f>
        <v>0</v>
      </c>
      <c r="AO71" s="59"/>
    </row>
    <row r="72" spans="3:42" ht="14" x14ac:dyDescent="0.2">
      <c r="E72" s="23" t="s">
        <v>71</v>
      </c>
      <c r="F72" s="23" t="s">
        <v>72</v>
      </c>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c r="Z72" s="25">
        <v>0</v>
      </c>
      <c r="AA72" s="25">
        <v>0</v>
      </c>
      <c r="AB72" s="25">
        <v>0</v>
      </c>
      <c r="AC72" s="25">
        <v>0</v>
      </c>
      <c r="AD72" s="25">
        <v>0</v>
      </c>
      <c r="AE72" s="25">
        <v>0</v>
      </c>
      <c r="AF72" s="25">
        <v>0</v>
      </c>
      <c r="AH72" s="53">
        <v>0</v>
      </c>
      <c r="AI72" s="53">
        <v>0</v>
      </c>
      <c r="AJ72" s="53">
        <f t="shared" si="6"/>
        <v>0</v>
      </c>
      <c r="AK72" s="53">
        <f t="shared" si="7"/>
        <v>0</v>
      </c>
      <c r="AO72" s="59"/>
    </row>
    <row r="73" spans="3:42" ht="14" x14ac:dyDescent="0.2">
      <c r="E73" s="23" t="s">
        <v>73</v>
      </c>
      <c r="F73" s="23" t="s">
        <v>74</v>
      </c>
      <c r="G73" s="25">
        <v>0</v>
      </c>
      <c r="H73" s="25">
        <v>0</v>
      </c>
      <c r="I73" s="25">
        <v>0</v>
      </c>
      <c r="J73" s="25">
        <v>0</v>
      </c>
      <c r="K73" s="25">
        <v>0</v>
      </c>
      <c r="L73" s="25">
        <v>0</v>
      </c>
      <c r="M73" s="25">
        <v>0</v>
      </c>
      <c r="N73" s="25">
        <v>0</v>
      </c>
      <c r="O73" s="25">
        <v>0</v>
      </c>
      <c r="P73" s="25">
        <v>0</v>
      </c>
      <c r="Q73" s="25">
        <v>0</v>
      </c>
      <c r="R73" s="25">
        <v>0</v>
      </c>
      <c r="S73" s="25">
        <v>0</v>
      </c>
      <c r="T73" s="25">
        <v>0</v>
      </c>
      <c r="U73" s="25">
        <v>0</v>
      </c>
      <c r="V73" s="25">
        <v>0</v>
      </c>
      <c r="W73" s="25">
        <v>0</v>
      </c>
      <c r="X73" s="25">
        <v>0</v>
      </c>
      <c r="Y73" s="25">
        <v>0</v>
      </c>
      <c r="Z73" s="25">
        <v>0</v>
      </c>
      <c r="AA73" s="25">
        <v>0</v>
      </c>
      <c r="AB73" s="25">
        <v>0</v>
      </c>
      <c r="AC73" s="25">
        <v>0</v>
      </c>
      <c r="AD73" s="25">
        <v>0</v>
      </c>
      <c r="AE73" s="25">
        <v>0</v>
      </c>
      <c r="AF73" s="25">
        <v>0</v>
      </c>
      <c r="AH73" s="53">
        <v>0</v>
      </c>
      <c r="AI73" s="53">
        <v>0</v>
      </c>
      <c r="AJ73" s="53">
        <f t="shared" si="6"/>
        <v>0</v>
      </c>
      <c r="AK73" s="53">
        <f t="shared" si="7"/>
        <v>0</v>
      </c>
      <c r="AO73" s="59"/>
    </row>
    <row r="74" spans="3:42" ht="14" x14ac:dyDescent="0.2">
      <c r="E74" s="23" t="s">
        <v>75</v>
      </c>
      <c r="F74" s="23" t="s">
        <v>76</v>
      </c>
      <c r="G74" s="25">
        <v>0</v>
      </c>
      <c r="H74" s="25">
        <v>0</v>
      </c>
      <c r="I74" s="25">
        <v>0</v>
      </c>
      <c r="J74" s="25">
        <v>0</v>
      </c>
      <c r="K74" s="25">
        <v>0</v>
      </c>
      <c r="L74" s="25">
        <v>0</v>
      </c>
      <c r="M74" s="25">
        <v>0</v>
      </c>
      <c r="N74" s="25">
        <v>0</v>
      </c>
      <c r="O74" s="25">
        <v>0</v>
      </c>
      <c r="P74" s="25">
        <v>0</v>
      </c>
      <c r="Q74" s="25">
        <v>0</v>
      </c>
      <c r="R74" s="25">
        <v>0</v>
      </c>
      <c r="S74" s="25">
        <v>0</v>
      </c>
      <c r="T74" s="25">
        <v>0</v>
      </c>
      <c r="U74" s="25">
        <v>0</v>
      </c>
      <c r="V74" s="25">
        <v>0</v>
      </c>
      <c r="W74" s="25">
        <v>0</v>
      </c>
      <c r="X74" s="25">
        <v>0</v>
      </c>
      <c r="Y74" s="25">
        <v>0</v>
      </c>
      <c r="Z74" s="25">
        <v>0</v>
      </c>
      <c r="AA74" s="25">
        <v>0</v>
      </c>
      <c r="AB74" s="25">
        <v>0</v>
      </c>
      <c r="AC74" s="25">
        <v>0</v>
      </c>
      <c r="AD74" s="25">
        <v>0</v>
      </c>
      <c r="AE74" s="25">
        <v>0</v>
      </c>
      <c r="AF74" s="25">
        <v>0</v>
      </c>
      <c r="AH74" s="53">
        <v>0</v>
      </c>
      <c r="AI74" s="53">
        <v>0</v>
      </c>
      <c r="AJ74" s="53">
        <f t="shared" si="6"/>
        <v>0</v>
      </c>
      <c r="AK74" s="53">
        <f t="shared" si="7"/>
        <v>0</v>
      </c>
      <c r="AO74" s="59"/>
    </row>
    <row r="75" spans="3:42" ht="14" x14ac:dyDescent="0.2">
      <c r="E75" s="23" t="s">
        <v>77</v>
      </c>
      <c r="F75" s="23" t="s">
        <v>78</v>
      </c>
      <c r="G75" s="25">
        <v>0</v>
      </c>
      <c r="H75" s="25">
        <v>0</v>
      </c>
      <c r="I75" s="25">
        <v>0</v>
      </c>
      <c r="J75" s="25">
        <v>0</v>
      </c>
      <c r="K75" s="25">
        <v>0</v>
      </c>
      <c r="L75" s="25">
        <v>0</v>
      </c>
      <c r="M75" s="25">
        <v>0</v>
      </c>
      <c r="N75" s="25">
        <v>0</v>
      </c>
      <c r="O75" s="25">
        <v>0</v>
      </c>
      <c r="P75" s="25">
        <v>0</v>
      </c>
      <c r="Q75" s="25">
        <v>0</v>
      </c>
      <c r="R75" s="25">
        <v>0</v>
      </c>
      <c r="S75" s="25">
        <v>0</v>
      </c>
      <c r="T75" s="25">
        <v>0</v>
      </c>
      <c r="U75" s="25">
        <v>0</v>
      </c>
      <c r="V75" s="25">
        <v>0</v>
      </c>
      <c r="W75" s="25">
        <v>0</v>
      </c>
      <c r="X75" s="25">
        <v>0</v>
      </c>
      <c r="Y75" s="25">
        <v>0</v>
      </c>
      <c r="Z75" s="25">
        <v>0</v>
      </c>
      <c r="AA75" s="25">
        <v>0</v>
      </c>
      <c r="AB75" s="25">
        <v>0</v>
      </c>
      <c r="AC75" s="25">
        <v>0</v>
      </c>
      <c r="AD75" s="25">
        <v>0</v>
      </c>
      <c r="AE75" s="25">
        <v>0</v>
      </c>
      <c r="AF75" s="25">
        <v>0</v>
      </c>
      <c r="AH75" s="53">
        <v>0</v>
      </c>
      <c r="AI75" s="53">
        <v>0</v>
      </c>
      <c r="AJ75" s="53">
        <f t="shared" si="6"/>
        <v>0</v>
      </c>
      <c r="AK75" s="53">
        <f t="shared" si="7"/>
        <v>0</v>
      </c>
      <c r="AO75" s="59"/>
    </row>
    <row r="76" spans="3:42" ht="14" x14ac:dyDescent="0.2">
      <c r="E76" s="23" t="s">
        <v>79</v>
      </c>
      <c r="F76" s="23" t="s">
        <v>80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c r="Z76" s="25">
        <v>0</v>
      </c>
      <c r="AA76" s="25">
        <v>0</v>
      </c>
      <c r="AB76" s="25">
        <v>0</v>
      </c>
      <c r="AC76" s="25">
        <v>0</v>
      </c>
      <c r="AD76" s="25">
        <v>0</v>
      </c>
      <c r="AE76" s="25">
        <v>0</v>
      </c>
      <c r="AF76" s="25">
        <v>0</v>
      </c>
      <c r="AH76" s="53">
        <v>0</v>
      </c>
      <c r="AI76" s="53">
        <v>0</v>
      </c>
      <c r="AJ76" s="53">
        <f t="shared" si="6"/>
        <v>0</v>
      </c>
      <c r="AK76" s="53">
        <f t="shared" si="7"/>
        <v>0</v>
      </c>
      <c r="AO76" s="59"/>
    </row>
    <row r="77" spans="3:42" ht="14" x14ac:dyDescent="0.2">
      <c r="E77" s="4"/>
      <c r="F77" s="4"/>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H77" s="53"/>
      <c r="AI77" s="53"/>
      <c r="AJ77" s="53"/>
      <c r="AK77" s="53"/>
      <c r="AO77" s="59"/>
    </row>
    <row r="78" spans="3:42" ht="14" x14ac:dyDescent="0.2">
      <c r="C78" s="116">
        <f>+MAX($C$1:$C77)+1</f>
        <v>6</v>
      </c>
      <c r="E78" s="41" t="s">
        <v>81</v>
      </c>
      <c r="F78" s="41" t="s">
        <v>82</v>
      </c>
      <c r="G78" s="43">
        <v>0</v>
      </c>
      <c r="H78" s="43">
        <v>0</v>
      </c>
      <c r="I78" s="43">
        <v>0</v>
      </c>
      <c r="J78" s="43">
        <v>0</v>
      </c>
      <c r="K78" s="43">
        <v>0</v>
      </c>
      <c r="L78" s="43">
        <v>0</v>
      </c>
      <c r="M78" s="43">
        <v>0</v>
      </c>
      <c r="N78" s="43">
        <v>0</v>
      </c>
      <c r="O78" s="43">
        <v>0</v>
      </c>
      <c r="P78" s="43">
        <v>0</v>
      </c>
      <c r="Q78" s="43">
        <v>0</v>
      </c>
      <c r="R78" s="43">
        <v>0</v>
      </c>
      <c r="S78" s="43">
        <v>0</v>
      </c>
      <c r="T78" s="43">
        <v>0</v>
      </c>
      <c r="U78" s="43">
        <v>0</v>
      </c>
      <c r="V78" s="43">
        <v>0</v>
      </c>
      <c r="W78" s="43">
        <v>0</v>
      </c>
      <c r="X78" s="43">
        <v>0</v>
      </c>
      <c r="Y78" s="43">
        <v>0</v>
      </c>
      <c r="Z78" s="43">
        <v>0</v>
      </c>
      <c r="AA78" s="43">
        <v>0</v>
      </c>
      <c r="AB78" s="43">
        <v>0</v>
      </c>
      <c r="AC78" s="43">
        <v>0</v>
      </c>
      <c r="AD78" s="43">
        <v>0</v>
      </c>
      <c r="AE78" s="43">
        <v>0</v>
      </c>
      <c r="AF78" s="43">
        <v>0</v>
      </c>
      <c r="AG78" s="44"/>
      <c r="AH78" s="55">
        <f>SUM(AH79:AH84)</f>
        <v>0</v>
      </c>
      <c r="AI78" s="55">
        <f>SUM(AI79:AI84)</f>
        <v>0</v>
      </c>
      <c r="AJ78" s="57">
        <f>SUM(AJ79:AJ84)</f>
        <v>0</v>
      </c>
      <c r="AK78" s="57">
        <f>SUM(AK79:AK84)</f>
        <v>0</v>
      </c>
      <c r="AM78" s="2">
        <f>AK78-SUM(AK79:AK84)</f>
        <v>0</v>
      </c>
      <c r="AO78" s="71"/>
      <c r="AP78" s="5"/>
    </row>
    <row r="79" spans="3:42" ht="14" x14ac:dyDescent="0.2">
      <c r="E79" s="23" t="s">
        <v>83</v>
      </c>
      <c r="F79" s="23" t="s">
        <v>84</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c r="Z79" s="25">
        <v>0</v>
      </c>
      <c r="AA79" s="25">
        <v>0</v>
      </c>
      <c r="AB79" s="25">
        <v>0</v>
      </c>
      <c r="AC79" s="25">
        <v>0</v>
      </c>
      <c r="AD79" s="25">
        <v>0</v>
      </c>
      <c r="AE79" s="25">
        <v>0</v>
      </c>
      <c r="AF79" s="25">
        <v>0</v>
      </c>
      <c r="AH79" s="53">
        <v>0</v>
      </c>
      <c r="AI79" s="53">
        <v>0</v>
      </c>
      <c r="AJ79" s="53">
        <f t="shared" ref="AJ79:AJ84" si="8">AF79</f>
        <v>0</v>
      </c>
      <c r="AK79" s="53">
        <f t="shared" ref="AK79:AK84" si="9">AF79</f>
        <v>0</v>
      </c>
      <c r="AO79" s="59"/>
    </row>
    <row r="80" spans="3:42" ht="14" x14ac:dyDescent="0.2">
      <c r="E80" s="23" t="s">
        <v>85</v>
      </c>
      <c r="F80" s="23" t="s">
        <v>86</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c r="Z80" s="25">
        <v>0</v>
      </c>
      <c r="AA80" s="25">
        <v>0</v>
      </c>
      <c r="AB80" s="25">
        <v>0</v>
      </c>
      <c r="AC80" s="25">
        <v>0</v>
      </c>
      <c r="AD80" s="25">
        <v>0</v>
      </c>
      <c r="AE80" s="25">
        <v>0</v>
      </c>
      <c r="AF80" s="25">
        <v>0</v>
      </c>
      <c r="AH80" s="53">
        <v>0</v>
      </c>
      <c r="AI80" s="53">
        <v>0</v>
      </c>
      <c r="AJ80" s="53">
        <f t="shared" si="8"/>
        <v>0</v>
      </c>
      <c r="AK80" s="53">
        <f t="shared" si="9"/>
        <v>0</v>
      </c>
      <c r="AO80" s="59"/>
    </row>
    <row r="81" spans="3:42" ht="14" x14ac:dyDescent="0.2">
      <c r="E81" s="23" t="s">
        <v>87</v>
      </c>
      <c r="F81" s="23" t="s">
        <v>88</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c r="Z81" s="25">
        <v>0</v>
      </c>
      <c r="AA81" s="25">
        <v>0</v>
      </c>
      <c r="AB81" s="25">
        <v>0</v>
      </c>
      <c r="AC81" s="25">
        <v>0</v>
      </c>
      <c r="AD81" s="25">
        <v>0</v>
      </c>
      <c r="AE81" s="25">
        <v>0</v>
      </c>
      <c r="AF81" s="25">
        <v>0</v>
      </c>
      <c r="AH81" s="53">
        <v>0</v>
      </c>
      <c r="AI81" s="53">
        <v>0</v>
      </c>
      <c r="AJ81" s="53">
        <f t="shared" si="8"/>
        <v>0</v>
      </c>
      <c r="AK81" s="53">
        <f t="shared" si="9"/>
        <v>0</v>
      </c>
      <c r="AO81" s="59"/>
    </row>
    <row r="82" spans="3:42" ht="14" x14ac:dyDescent="0.2">
      <c r="E82" s="23" t="s">
        <v>89</v>
      </c>
      <c r="F82" s="23" t="s">
        <v>90</v>
      </c>
      <c r="G82" s="25">
        <v>0</v>
      </c>
      <c r="H82" s="25">
        <v>0</v>
      </c>
      <c r="I82" s="25">
        <v>0</v>
      </c>
      <c r="J82" s="25">
        <v>0</v>
      </c>
      <c r="K82" s="25">
        <v>0</v>
      </c>
      <c r="L82" s="25">
        <v>0</v>
      </c>
      <c r="M82" s="25">
        <v>0</v>
      </c>
      <c r="N82" s="25">
        <v>0</v>
      </c>
      <c r="O82" s="25">
        <v>0</v>
      </c>
      <c r="P82" s="25">
        <v>0</v>
      </c>
      <c r="Q82" s="25">
        <v>0</v>
      </c>
      <c r="R82" s="25">
        <v>0</v>
      </c>
      <c r="S82" s="25">
        <v>0</v>
      </c>
      <c r="T82" s="25">
        <v>0</v>
      </c>
      <c r="U82" s="25">
        <v>0</v>
      </c>
      <c r="V82" s="25">
        <v>0</v>
      </c>
      <c r="W82" s="25">
        <v>0</v>
      </c>
      <c r="X82" s="25">
        <v>0</v>
      </c>
      <c r="Y82" s="25">
        <v>0</v>
      </c>
      <c r="Z82" s="25">
        <v>0</v>
      </c>
      <c r="AA82" s="25">
        <v>0</v>
      </c>
      <c r="AB82" s="25">
        <v>0</v>
      </c>
      <c r="AC82" s="25">
        <v>0</v>
      </c>
      <c r="AD82" s="25">
        <v>0</v>
      </c>
      <c r="AE82" s="25">
        <v>0</v>
      </c>
      <c r="AF82" s="25">
        <v>0</v>
      </c>
      <c r="AH82" s="53">
        <v>0</v>
      </c>
      <c r="AI82" s="53">
        <v>0</v>
      </c>
      <c r="AJ82" s="53">
        <f t="shared" si="8"/>
        <v>0</v>
      </c>
      <c r="AK82" s="53">
        <f t="shared" si="9"/>
        <v>0</v>
      </c>
      <c r="AO82" s="59"/>
    </row>
    <row r="83" spans="3:42" ht="14" x14ac:dyDescent="0.2">
      <c r="E83" s="23" t="s">
        <v>91</v>
      </c>
      <c r="F83" s="23" t="s">
        <v>92</v>
      </c>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c r="Z83" s="25">
        <v>0</v>
      </c>
      <c r="AA83" s="25">
        <v>0</v>
      </c>
      <c r="AB83" s="25">
        <v>0</v>
      </c>
      <c r="AC83" s="25">
        <v>0</v>
      </c>
      <c r="AD83" s="25">
        <v>0</v>
      </c>
      <c r="AE83" s="25">
        <v>0</v>
      </c>
      <c r="AF83" s="25">
        <v>0</v>
      </c>
      <c r="AH83" s="53">
        <v>0</v>
      </c>
      <c r="AI83" s="53">
        <v>0</v>
      </c>
      <c r="AJ83" s="53">
        <f t="shared" si="8"/>
        <v>0</v>
      </c>
      <c r="AK83" s="53">
        <f t="shared" si="9"/>
        <v>0</v>
      </c>
      <c r="AO83" s="59"/>
    </row>
    <row r="84" spans="3:42" ht="14" x14ac:dyDescent="0.2">
      <c r="E84" s="23" t="s">
        <v>93</v>
      </c>
      <c r="F84" s="23" t="s">
        <v>94</v>
      </c>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c r="Z84" s="25">
        <v>0</v>
      </c>
      <c r="AA84" s="25">
        <v>0</v>
      </c>
      <c r="AB84" s="25">
        <v>0</v>
      </c>
      <c r="AC84" s="25">
        <v>0</v>
      </c>
      <c r="AD84" s="25">
        <v>0</v>
      </c>
      <c r="AE84" s="25">
        <v>0</v>
      </c>
      <c r="AF84" s="25">
        <v>0</v>
      </c>
      <c r="AH84" s="53">
        <v>0</v>
      </c>
      <c r="AI84" s="53">
        <v>0</v>
      </c>
      <c r="AJ84" s="53">
        <f t="shared" si="8"/>
        <v>0</v>
      </c>
      <c r="AK84" s="53">
        <f t="shared" si="9"/>
        <v>0</v>
      </c>
      <c r="AO84" s="59"/>
    </row>
    <row r="85" spans="3:42" ht="14" x14ac:dyDescent="0.2">
      <c r="E85" s="4"/>
      <c r="F85" s="4"/>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H85" s="53"/>
      <c r="AI85" s="53"/>
      <c r="AJ85" s="53"/>
      <c r="AK85" s="53"/>
      <c r="AO85" s="59"/>
    </row>
    <row r="86" spans="3:42" ht="14" x14ac:dyDescent="0.2">
      <c r="C86" s="116">
        <f>+MAX($C$1:$C85)+1</f>
        <v>7</v>
      </c>
      <c r="E86" s="41" t="s">
        <v>95</v>
      </c>
      <c r="F86" s="41" t="s">
        <v>96</v>
      </c>
      <c r="G86" s="43">
        <v>84180.9</v>
      </c>
      <c r="H86" s="43">
        <v>88464.8</v>
      </c>
      <c r="I86" s="43">
        <v>87783.4</v>
      </c>
      <c r="J86" s="43">
        <v>90585.2</v>
      </c>
      <c r="K86" s="43">
        <v>93257</v>
      </c>
      <c r="L86" s="43">
        <v>99365</v>
      </c>
      <c r="M86" s="43">
        <v>104081</v>
      </c>
      <c r="N86" s="43">
        <v>110830</v>
      </c>
      <c r="O86" s="43">
        <v>117872</v>
      </c>
      <c r="P86" s="43">
        <v>123932</v>
      </c>
      <c r="Q86" s="43">
        <v>129685</v>
      </c>
      <c r="R86" s="43">
        <v>134472</v>
      </c>
      <c r="S86" s="43">
        <v>139007</v>
      </c>
      <c r="T86" s="43">
        <v>142616</v>
      </c>
      <c r="U86" s="43">
        <v>147833</v>
      </c>
      <c r="V86" s="43">
        <v>152224</v>
      </c>
      <c r="W86" s="43">
        <v>156614</v>
      </c>
      <c r="X86" s="43">
        <v>160641</v>
      </c>
      <c r="Y86" s="43">
        <v>163666</v>
      </c>
      <c r="Z86" s="43">
        <v>169074</v>
      </c>
      <c r="AA86" s="43">
        <v>170927</v>
      </c>
      <c r="AB86" s="43">
        <v>174804</v>
      </c>
      <c r="AC86" s="43">
        <v>178785</v>
      </c>
      <c r="AD86" s="43">
        <v>182150</v>
      </c>
      <c r="AE86" s="43">
        <v>186344</v>
      </c>
      <c r="AF86" s="43">
        <v>199259</v>
      </c>
      <c r="AG86" s="44"/>
      <c r="AH86" s="55">
        <f>SUM(AH87:AH92)</f>
        <v>186344</v>
      </c>
      <c r="AI86" s="55">
        <f>SUM(AI87:AI92)</f>
        <v>199259</v>
      </c>
      <c r="AJ86" s="57">
        <f>SUM(AJ87:AJ92)</f>
        <v>219750.17375886525</v>
      </c>
      <c r="AK86" s="57">
        <f>SUM(AK87:AK92)</f>
        <v>218729.54058313635</v>
      </c>
      <c r="AM86" s="2">
        <f>AK86-SUM(AK87:AK92)</f>
        <v>0</v>
      </c>
      <c r="AO86" s="71"/>
      <c r="AP86" s="5"/>
    </row>
    <row r="87" spans="3:42" ht="14" x14ac:dyDescent="0.2">
      <c r="E87" s="23" t="s">
        <v>97</v>
      </c>
      <c r="F87" s="23" t="s">
        <v>98</v>
      </c>
      <c r="G87" s="25">
        <v>11518.6</v>
      </c>
      <c r="H87" s="25">
        <v>12518</v>
      </c>
      <c r="I87" s="25">
        <v>12581.3</v>
      </c>
      <c r="J87" s="25">
        <v>13733.4</v>
      </c>
      <c r="K87" s="25">
        <v>14892</v>
      </c>
      <c r="L87" s="25">
        <v>16559</v>
      </c>
      <c r="M87" s="25">
        <v>18190</v>
      </c>
      <c r="N87" s="25">
        <v>19293</v>
      </c>
      <c r="O87" s="25">
        <v>20543</v>
      </c>
      <c r="P87" s="25">
        <v>21727</v>
      </c>
      <c r="Q87" s="25">
        <v>22456</v>
      </c>
      <c r="R87" s="25">
        <v>22682</v>
      </c>
      <c r="S87" s="25">
        <v>24057</v>
      </c>
      <c r="T87" s="25">
        <v>24450</v>
      </c>
      <c r="U87" s="25">
        <v>29003</v>
      </c>
      <c r="V87" s="25">
        <v>29675</v>
      </c>
      <c r="W87" s="25">
        <v>29860</v>
      </c>
      <c r="X87" s="25">
        <v>29271</v>
      </c>
      <c r="Y87" s="25">
        <v>30079</v>
      </c>
      <c r="Z87" s="25">
        <v>31194</v>
      </c>
      <c r="AA87" s="25">
        <v>31383</v>
      </c>
      <c r="AB87" s="25">
        <v>32146</v>
      </c>
      <c r="AC87" s="25">
        <v>32917</v>
      </c>
      <c r="AD87" s="25">
        <v>33369</v>
      </c>
      <c r="AE87" s="25">
        <v>34010</v>
      </c>
      <c r="AF87" s="25">
        <v>34955</v>
      </c>
      <c r="AH87" s="53">
        <v>34010</v>
      </c>
      <c r="AI87" s="53">
        <v>34955</v>
      </c>
      <c r="AJ87" s="53">
        <f>AF87*(1+$AG$141)</f>
        <v>38549.663120567377</v>
      </c>
      <c r="AK87" s="53">
        <f>AJ87*(1+$AH$141)</f>
        <v>38370.618597320725</v>
      </c>
      <c r="AO87" s="59"/>
    </row>
    <row r="88" spans="3:42" ht="14" x14ac:dyDescent="0.2">
      <c r="E88" s="23" t="s">
        <v>99</v>
      </c>
      <c r="F88" s="23" t="s">
        <v>100</v>
      </c>
      <c r="G88" s="25">
        <v>31535.9</v>
      </c>
      <c r="H88" s="25">
        <v>32889.800000000003</v>
      </c>
      <c r="I88" s="25">
        <v>32579.599999999999</v>
      </c>
      <c r="J88" s="25">
        <v>33217.1</v>
      </c>
      <c r="K88" s="25">
        <v>33378</v>
      </c>
      <c r="L88" s="25">
        <v>35634</v>
      </c>
      <c r="M88" s="25">
        <v>36868</v>
      </c>
      <c r="N88" s="25">
        <v>39624</v>
      </c>
      <c r="O88" s="25">
        <v>42680</v>
      </c>
      <c r="P88" s="25">
        <v>45359</v>
      </c>
      <c r="Q88" s="25">
        <v>47083</v>
      </c>
      <c r="R88" s="25">
        <v>50164</v>
      </c>
      <c r="S88" s="25">
        <v>52420</v>
      </c>
      <c r="T88" s="25">
        <v>54177</v>
      </c>
      <c r="U88" s="25">
        <v>52237</v>
      </c>
      <c r="V88" s="25">
        <v>54253</v>
      </c>
      <c r="W88" s="25">
        <v>56067</v>
      </c>
      <c r="X88" s="25">
        <v>58317</v>
      </c>
      <c r="Y88" s="25">
        <v>59809</v>
      </c>
      <c r="Z88" s="25">
        <v>61441</v>
      </c>
      <c r="AA88" s="25">
        <v>63116</v>
      </c>
      <c r="AB88" s="25">
        <v>65110</v>
      </c>
      <c r="AC88" s="25">
        <v>66838</v>
      </c>
      <c r="AD88" s="25">
        <v>68721</v>
      </c>
      <c r="AE88" s="25">
        <v>70571</v>
      </c>
      <c r="AF88" s="25">
        <v>72241</v>
      </c>
      <c r="AH88" s="53">
        <v>70571</v>
      </c>
      <c r="AI88" s="53">
        <v>72241</v>
      </c>
      <c r="AJ88" s="53">
        <f t="shared" ref="AJ88:AJ92" si="10">AF88*(1+$AG$141)</f>
        <v>79670.0390070922</v>
      </c>
      <c r="AK88" s="53">
        <f t="shared" ref="AK88:AK92" si="11">AJ88*(1+$AH$141)</f>
        <v>79300.010244286837</v>
      </c>
      <c r="AO88" s="59"/>
    </row>
    <row r="89" spans="3:42" ht="14" x14ac:dyDescent="0.2">
      <c r="E89" s="23" t="s">
        <v>101</v>
      </c>
      <c r="F89" s="23" t="s">
        <v>102</v>
      </c>
      <c r="G89" s="25">
        <v>41125.4</v>
      </c>
      <c r="H89" s="25">
        <v>43057</v>
      </c>
      <c r="I89" s="25">
        <v>42620.5</v>
      </c>
      <c r="J89" s="25">
        <v>43634.7</v>
      </c>
      <c r="K89" s="25">
        <v>44986</v>
      </c>
      <c r="L89" s="25">
        <v>47170</v>
      </c>
      <c r="M89" s="25">
        <v>49022</v>
      </c>
      <c r="N89" s="25">
        <v>51912</v>
      </c>
      <c r="O89" s="25">
        <v>54648</v>
      </c>
      <c r="P89" s="25">
        <v>56845</v>
      </c>
      <c r="Q89" s="25">
        <v>60145</v>
      </c>
      <c r="R89" s="25">
        <v>61625</v>
      </c>
      <c r="S89" s="25">
        <v>62529</v>
      </c>
      <c r="T89" s="25">
        <v>63989</v>
      </c>
      <c r="U89" s="25">
        <v>66592</v>
      </c>
      <c r="V89" s="25">
        <v>68295</v>
      </c>
      <c r="W89" s="25">
        <v>70685</v>
      </c>
      <c r="X89" s="25">
        <v>73052</v>
      </c>
      <c r="Y89" s="25">
        <v>73778</v>
      </c>
      <c r="Z89" s="25">
        <v>76437</v>
      </c>
      <c r="AA89" s="25">
        <v>76428</v>
      </c>
      <c r="AB89" s="25">
        <v>77539</v>
      </c>
      <c r="AC89" s="25">
        <v>78941</v>
      </c>
      <c r="AD89" s="25">
        <v>80035</v>
      </c>
      <c r="AE89" s="25">
        <v>81726</v>
      </c>
      <c r="AF89" s="25">
        <v>87468</v>
      </c>
      <c r="AH89" s="53">
        <v>81726</v>
      </c>
      <c r="AI89" s="53">
        <v>87468</v>
      </c>
      <c r="AJ89" s="53">
        <f t="shared" si="10"/>
        <v>96462.936170212779</v>
      </c>
      <c r="AK89" s="53">
        <f t="shared" si="11"/>
        <v>96014.912529550842</v>
      </c>
      <c r="AO89" s="59"/>
    </row>
    <row r="90" spans="3:42" ht="14" x14ac:dyDescent="0.2">
      <c r="E90" s="23" t="s">
        <v>103</v>
      </c>
      <c r="F90" s="23" t="s">
        <v>104</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c r="Z90" s="25">
        <v>0</v>
      </c>
      <c r="AA90" s="25">
        <v>0</v>
      </c>
      <c r="AB90" s="25">
        <v>0</v>
      </c>
      <c r="AC90" s="25">
        <v>0</v>
      </c>
      <c r="AD90" s="25">
        <v>0</v>
      </c>
      <c r="AE90" s="25">
        <v>0</v>
      </c>
      <c r="AF90" s="25">
        <v>4520</v>
      </c>
      <c r="AH90" s="53">
        <v>0</v>
      </c>
      <c r="AI90" s="53">
        <v>4520</v>
      </c>
      <c r="AJ90" s="53">
        <f t="shared" si="10"/>
        <v>4984.822695035461</v>
      </c>
      <c r="AK90" s="53">
        <f t="shared" si="11"/>
        <v>4961.6706067769901</v>
      </c>
      <c r="AO90" s="59"/>
    </row>
    <row r="91" spans="3:42" ht="14" x14ac:dyDescent="0.2">
      <c r="E91" s="23" t="s">
        <v>105</v>
      </c>
      <c r="F91" s="23" t="s">
        <v>106</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c r="Z91" s="25">
        <v>0</v>
      </c>
      <c r="AA91" s="25">
        <v>0</v>
      </c>
      <c r="AB91" s="25">
        <v>0</v>
      </c>
      <c r="AC91" s="25">
        <v>0</v>
      </c>
      <c r="AD91" s="25">
        <v>0</v>
      </c>
      <c r="AE91" s="25">
        <v>0</v>
      </c>
      <c r="AF91" s="25">
        <v>0</v>
      </c>
      <c r="AH91" s="53">
        <v>0</v>
      </c>
      <c r="AI91" s="53">
        <v>0</v>
      </c>
      <c r="AJ91" s="53">
        <f t="shared" si="10"/>
        <v>0</v>
      </c>
      <c r="AK91" s="53">
        <f t="shared" si="11"/>
        <v>0</v>
      </c>
      <c r="AO91" s="59"/>
    </row>
    <row r="92" spans="3:42" ht="14" x14ac:dyDescent="0.2">
      <c r="E92" s="23" t="s">
        <v>107</v>
      </c>
      <c r="F92" s="23" t="s">
        <v>108</v>
      </c>
      <c r="G92" s="25">
        <v>1</v>
      </c>
      <c r="H92" s="25">
        <v>1</v>
      </c>
      <c r="I92" s="25">
        <v>1</v>
      </c>
      <c r="J92" s="25">
        <v>1</v>
      </c>
      <c r="K92" s="25">
        <v>1</v>
      </c>
      <c r="L92" s="25">
        <v>1</v>
      </c>
      <c r="M92" s="25">
        <v>1</v>
      </c>
      <c r="N92" s="25">
        <v>1</v>
      </c>
      <c r="O92" s="25">
        <v>1</v>
      </c>
      <c r="P92" s="25">
        <v>1</v>
      </c>
      <c r="Q92" s="25">
        <v>1</v>
      </c>
      <c r="R92" s="25">
        <v>1</v>
      </c>
      <c r="S92" s="25">
        <v>1</v>
      </c>
      <c r="T92" s="25">
        <v>1</v>
      </c>
      <c r="U92" s="25">
        <v>1</v>
      </c>
      <c r="V92" s="25">
        <v>1</v>
      </c>
      <c r="W92" s="25">
        <v>1</v>
      </c>
      <c r="X92" s="25">
        <v>1</v>
      </c>
      <c r="Y92" s="25">
        <v>1</v>
      </c>
      <c r="Z92" s="25">
        <v>1</v>
      </c>
      <c r="AA92" s="25">
        <v>0</v>
      </c>
      <c r="AB92" s="25">
        <v>8</v>
      </c>
      <c r="AC92" s="25">
        <v>88</v>
      </c>
      <c r="AD92" s="25">
        <v>26</v>
      </c>
      <c r="AE92" s="25">
        <v>37</v>
      </c>
      <c r="AF92" s="25">
        <v>75</v>
      </c>
      <c r="AH92" s="53">
        <v>37</v>
      </c>
      <c r="AI92" s="53">
        <v>75</v>
      </c>
      <c r="AJ92" s="53">
        <f t="shared" si="10"/>
        <v>82.71276595744682</v>
      </c>
      <c r="AK92" s="53">
        <f t="shared" si="11"/>
        <v>82.328605200945631</v>
      </c>
      <c r="AO92" s="59"/>
    </row>
    <row r="93" spans="3:42" ht="14" x14ac:dyDescent="0.2">
      <c r="E93" s="4"/>
      <c r="F93" s="4"/>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H93" s="53"/>
      <c r="AI93" s="53"/>
      <c r="AJ93" s="53"/>
      <c r="AK93" s="53"/>
      <c r="AO93" s="59"/>
    </row>
    <row r="94" spans="3:42" ht="14" x14ac:dyDescent="0.2">
      <c r="C94" s="116">
        <f>+MAX($C$1:$C93)+1</f>
        <v>8</v>
      </c>
      <c r="E94" s="41" t="s">
        <v>109</v>
      </c>
      <c r="F94" s="41" t="s">
        <v>110</v>
      </c>
      <c r="G94" s="43">
        <v>0</v>
      </c>
      <c r="H94" s="43">
        <v>0</v>
      </c>
      <c r="I94" s="43">
        <v>0</v>
      </c>
      <c r="J94" s="43">
        <v>0</v>
      </c>
      <c r="K94" s="43">
        <v>0</v>
      </c>
      <c r="L94" s="43">
        <v>0</v>
      </c>
      <c r="M94" s="43">
        <v>0</v>
      </c>
      <c r="N94" s="43">
        <v>0</v>
      </c>
      <c r="O94" s="43">
        <v>0</v>
      </c>
      <c r="P94" s="43">
        <v>0</v>
      </c>
      <c r="Q94" s="43">
        <v>0</v>
      </c>
      <c r="R94" s="43">
        <v>0</v>
      </c>
      <c r="S94" s="43">
        <v>0</v>
      </c>
      <c r="T94" s="43">
        <v>0</v>
      </c>
      <c r="U94" s="43">
        <v>0</v>
      </c>
      <c r="V94" s="43">
        <v>0</v>
      </c>
      <c r="W94" s="43">
        <v>0</v>
      </c>
      <c r="X94" s="43">
        <v>0</v>
      </c>
      <c r="Y94" s="43">
        <v>0</v>
      </c>
      <c r="Z94" s="43">
        <v>0</v>
      </c>
      <c r="AA94" s="43">
        <v>0</v>
      </c>
      <c r="AB94" s="43">
        <v>0</v>
      </c>
      <c r="AC94" s="43">
        <v>0</v>
      </c>
      <c r="AD94" s="43">
        <v>0</v>
      </c>
      <c r="AE94" s="43">
        <v>0</v>
      </c>
      <c r="AF94" s="43">
        <v>0</v>
      </c>
      <c r="AG94" s="44"/>
      <c r="AH94" s="55">
        <f>SUM(AH95:AH100)</f>
        <v>0</v>
      </c>
      <c r="AI94" s="55">
        <f>SUM(AI95:AI100)</f>
        <v>0</v>
      </c>
      <c r="AJ94" s="57">
        <f>SUM(AJ95:AJ100)</f>
        <v>0</v>
      </c>
      <c r="AK94" s="57">
        <f>SUM(AK95:AK100)</f>
        <v>0</v>
      </c>
      <c r="AM94" s="2">
        <f>AK94-SUM(AK95:AK100)</f>
        <v>0</v>
      </c>
      <c r="AO94" s="71"/>
      <c r="AP94" s="5"/>
    </row>
    <row r="95" spans="3:42" ht="14" x14ac:dyDescent="0.2">
      <c r="E95" s="23" t="s">
        <v>111</v>
      </c>
      <c r="F95" s="23" t="s">
        <v>112</v>
      </c>
      <c r="G95" s="25">
        <v>0</v>
      </c>
      <c r="H95" s="25">
        <v>0</v>
      </c>
      <c r="I95" s="25">
        <v>0</v>
      </c>
      <c r="J95" s="25">
        <v>0</v>
      </c>
      <c r="K95" s="25">
        <v>0</v>
      </c>
      <c r="L95" s="25">
        <v>0</v>
      </c>
      <c r="M95" s="25">
        <v>0</v>
      </c>
      <c r="N95" s="25">
        <v>0</v>
      </c>
      <c r="O95" s="25">
        <v>0</v>
      </c>
      <c r="P95" s="25">
        <v>0</v>
      </c>
      <c r="Q95" s="25">
        <v>0</v>
      </c>
      <c r="R95" s="25">
        <v>0</v>
      </c>
      <c r="S95" s="25">
        <v>0</v>
      </c>
      <c r="T95" s="25">
        <v>0</v>
      </c>
      <c r="U95" s="25">
        <v>0</v>
      </c>
      <c r="V95" s="25">
        <v>0</v>
      </c>
      <c r="W95" s="25">
        <v>0</v>
      </c>
      <c r="X95" s="25">
        <v>0</v>
      </c>
      <c r="Y95" s="25">
        <v>0</v>
      </c>
      <c r="Z95" s="25">
        <v>0</v>
      </c>
      <c r="AA95" s="25">
        <v>0</v>
      </c>
      <c r="AB95" s="25">
        <v>0</v>
      </c>
      <c r="AC95" s="25">
        <v>0</v>
      </c>
      <c r="AD95" s="25">
        <v>0</v>
      </c>
      <c r="AE95" s="25">
        <v>0</v>
      </c>
      <c r="AF95" s="25">
        <v>0</v>
      </c>
      <c r="AH95" s="53">
        <v>0</v>
      </c>
      <c r="AI95" s="53">
        <v>0</v>
      </c>
      <c r="AJ95" s="53">
        <f t="shared" ref="AJ95:AJ100" si="12">AF95</f>
        <v>0</v>
      </c>
      <c r="AK95" s="53">
        <f t="shared" ref="AK95:AK100" si="13">AJ95</f>
        <v>0</v>
      </c>
      <c r="AO95" s="59"/>
    </row>
    <row r="96" spans="3:42" ht="14" x14ac:dyDescent="0.2">
      <c r="E96" s="23" t="s">
        <v>113</v>
      </c>
      <c r="F96" s="23" t="s">
        <v>114</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c r="Z96" s="25">
        <v>0</v>
      </c>
      <c r="AA96" s="25">
        <v>0</v>
      </c>
      <c r="AB96" s="25">
        <v>0</v>
      </c>
      <c r="AC96" s="25">
        <v>0</v>
      </c>
      <c r="AD96" s="25">
        <v>0</v>
      </c>
      <c r="AE96" s="25">
        <v>0</v>
      </c>
      <c r="AF96" s="25">
        <v>0</v>
      </c>
      <c r="AH96" s="53">
        <v>0</v>
      </c>
      <c r="AI96" s="53">
        <v>0</v>
      </c>
      <c r="AJ96" s="53">
        <f t="shared" si="12"/>
        <v>0</v>
      </c>
      <c r="AK96" s="53">
        <f t="shared" si="13"/>
        <v>0</v>
      </c>
      <c r="AO96" s="59"/>
    </row>
    <row r="97" spans="3:42" ht="14" x14ac:dyDescent="0.2">
      <c r="E97" s="23" t="s">
        <v>115</v>
      </c>
      <c r="F97" s="23" t="s">
        <v>116</v>
      </c>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c r="Z97" s="25">
        <v>0</v>
      </c>
      <c r="AA97" s="25">
        <v>0</v>
      </c>
      <c r="AB97" s="25">
        <v>0</v>
      </c>
      <c r="AC97" s="25">
        <v>0</v>
      </c>
      <c r="AD97" s="25">
        <v>0</v>
      </c>
      <c r="AE97" s="25">
        <v>0</v>
      </c>
      <c r="AF97" s="25">
        <v>0</v>
      </c>
      <c r="AH97" s="53">
        <v>0</v>
      </c>
      <c r="AI97" s="53">
        <v>0</v>
      </c>
      <c r="AJ97" s="53">
        <f t="shared" si="12"/>
        <v>0</v>
      </c>
      <c r="AK97" s="53">
        <f t="shared" si="13"/>
        <v>0</v>
      </c>
      <c r="AO97" s="59"/>
    </row>
    <row r="98" spans="3:42" ht="14" x14ac:dyDescent="0.2">
      <c r="E98" s="23" t="s">
        <v>117</v>
      </c>
      <c r="F98" s="23" t="s">
        <v>118</v>
      </c>
      <c r="G98" s="25">
        <v>0</v>
      </c>
      <c r="H98" s="25">
        <v>0</v>
      </c>
      <c r="I98" s="25">
        <v>0</v>
      </c>
      <c r="J98" s="25">
        <v>0</v>
      </c>
      <c r="K98" s="25">
        <v>0</v>
      </c>
      <c r="L98" s="25">
        <v>0</v>
      </c>
      <c r="M98" s="25">
        <v>0</v>
      </c>
      <c r="N98" s="25">
        <v>0</v>
      </c>
      <c r="O98" s="25">
        <v>0</v>
      </c>
      <c r="P98" s="25">
        <v>0</v>
      </c>
      <c r="Q98" s="25">
        <v>0</v>
      </c>
      <c r="R98" s="25">
        <v>0</v>
      </c>
      <c r="S98" s="25">
        <v>0</v>
      </c>
      <c r="T98" s="25">
        <v>0</v>
      </c>
      <c r="U98" s="25">
        <v>0</v>
      </c>
      <c r="V98" s="25">
        <v>0</v>
      </c>
      <c r="W98" s="25">
        <v>0</v>
      </c>
      <c r="X98" s="25">
        <v>0</v>
      </c>
      <c r="Y98" s="25">
        <v>0</v>
      </c>
      <c r="Z98" s="25">
        <v>0</v>
      </c>
      <c r="AA98" s="25">
        <v>0</v>
      </c>
      <c r="AB98" s="25">
        <v>0</v>
      </c>
      <c r="AC98" s="25">
        <v>0</v>
      </c>
      <c r="AD98" s="25">
        <v>0</v>
      </c>
      <c r="AE98" s="25">
        <v>0</v>
      </c>
      <c r="AF98" s="25">
        <v>0</v>
      </c>
      <c r="AH98" s="53">
        <v>0</v>
      </c>
      <c r="AI98" s="53">
        <v>0</v>
      </c>
      <c r="AJ98" s="53">
        <f t="shared" si="12"/>
        <v>0</v>
      </c>
      <c r="AK98" s="53">
        <f t="shared" si="13"/>
        <v>0</v>
      </c>
      <c r="AO98" s="59"/>
    </row>
    <row r="99" spans="3:42" ht="14" x14ac:dyDescent="0.2">
      <c r="E99" s="23" t="s">
        <v>119</v>
      </c>
      <c r="F99" s="23" t="s">
        <v>120</v>
      </c>
      <c r="G99" s="25">
        <v>0</v>
      </c>
      <c r="H99" s="25">
        <v>0</v>
      </c>
      <c r="I99" s="25">
        <v>0</v>
      </c>
      <c r="J99" s="25">
        <v>0</v>
      </c>
      <c r="K99" s="25">
        <v>0</v>
      </c>
      <c r="L99" s="25">
        <v>0</v>
      </c>
      <c r="M99" s="25">
        <v>0</v>
      </c>
      <c r="N99" s="25">
        <v>0</v>
      </c>
      <c r="O99" s="25">
        <v>0</v>
      </c>
      <c r="P99" s="25">
        <v>0</v>
      </c>
      <c r="Q99" s="25">
        <v>0</v>
      </c>
      <c r="R99" s="25">
        <v>0</v>
      </c>
      <c r="S99" s="25">
        <v>0</v>
      </c>
      <c r="T99" s="25">
        <v>0</v>
      </c>
      <c r="U99" s="25">
        <v>0</v>
      </c>
      <c r="V99" s="25">
        <v>0</v>
      </c>
      <c r="W99" s="25">
        <v>0</v>
      </c>
      <c r="X99" s="25">
        <v>0</v>
      </c>
      <c r="Y99" s="25">
        <v>0</v>
      </c>
      <c r="Z99" s="25">
        <v>0</v>
      </c>
      <c r="AA99" s="25">
        <v>0</v>
      </c>
      <c r="AB99" s="25">
        <v>0</v>
      </c>
      <c r="AC99" s="25">
        <v>0</v>
      </c>
      <c r="AD99" s="25">
        <v>0</v>
      </c>
      <c r="AE99" s="25">
        <v>0</v>
      </c>
      <c r="AF99" s="25">
        <v>0</v>
      </c>
      <c r="AH99" s="53">
        <v>0</v>
      </c>
      <c r="AI99" s="53">
        <v>0</v>
      </c>
      <c r="AJ99" s="53">
        <f t="shared" si="12"/>
        <v>0</v>
      </c>
      <c r="AK99" s="53">
        <f t="shared" si="13"/>
        <v>0</v>
      </c>
      <c r="AO99" s="59"/>
    </row>
    <row r="100" spans="3:42" ht="14" x14ac:dyDescent="0.2">
      <c r="E100" s="23" t="s">
        <v>121</v>
      </c>
      <c r="F100" s="23" t="s">
        <v>122</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c r="Z100" s="25">
        <v>0</v>
      </c>
      <c r="AA100" s="25">
        <v>0</v>
      </c>
      <c r="AB100" s="25">
        <v>0</v>
      </c>
      <c r="AC100" s="25">
        <v>0</v>
      </c>
      <c r="AD100" s="25">
        <v>0</v>
      </c>
      <c r="AE100" s="25">
        <v>0</v>
      </c>
      <c r="AF100" s="25">
        <v>0</v>
      </c>
      <c r="AH100" s="53">
        <v>0</v>
      </c>
      <c r="AI100" s="53">
        <v>0</v>
      </c>
      <c r="AJ100" s="53">
        <f t="shared" si="12"/>
        <v>0</v>
      </c>
      <c r="AK100" s="53">
        <f t="shared" si="13"/>
        <v>0</v>
      </c>
      <c r="AO100" s="59"/>
    </row>
    <row r="101" spans="3:42" ht="14" x14ac:dyDescent="0.2">
      <c r="E101" s="4"/>
      <c r="F101" s="4"/>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H101" s="53"/>
      <c r="AI101" s="53"/>
      <c r="AJ101" s="53"/>
      <c r="AK101" s="53"/>
      <c r="AO101" s="59"/>
    </row>
    <row r="102" spans="3:42" ht="14" x14ac:dyDescent="0.2">
      <c r="C102" s="116">
        <f>+MAX($C$1:$C101)+1</f>
        <v>9</v>
      </c>
      <c r="E102" s="41" t="s">
        <v>123</v>
      </c>
      <c r="F102" s="41" t="s">
        <v>124</v>
      </c>
      <c r="G102" s="43">
        <v>0</v>
      </c>
      <c r="H102" s="43">
        <v>0</v>
      </c>
      <c r="I102" s="43">
        <v>0</v>
      </c>
      <c r="J102" s="43">
        <v>0</v>
      </c>
      <c r="K102" s="43">
        <v>0</v>
      </c>
      <c r="L102" s="43">
        <v>0</v>
      </c>
      <c r="M102" s="43">
        <v>0</v>
      </c>
      <c r="N102" s="43">
        <v>0</v>
      </c>
      <c r="O102" s="43">
        <v>0</v>
      </c>
      <c r="P102" s="43">
        <v>0</v>
      </c>
      <c r="Q102" s="43">
        <v>0</v>
      </c>
      <c r="R102" s="43">
        <v>0</v>
      </c>
      <c r="S102" s="43">
        <v>0</v>
      </c>
      <c r="T102" s="43">
        <v>0</v>
      </c>
      <c r="U102" s="43">
        <v>0</v>
      </c>
      <c r="V102" s="43">
        <v>0</v>
      </c>
      <c r="W102" s="43">
        <v>0</v>
      </c>
      <c r="X102" s="43">
        <v>0</v>
      </c>
      <c r="Y102" s="43">
        <v>0</v>
      </c>
      <c r="Z102" s="43">
        <v>0</v>
      </c>
      <c r="AA102" s="43">
        <v>0</v>
      </c>
      <c r="AB102" s="43">
        <v>0</v>
      </c>
      <c r="AC102" s="43">
        <v>0</v>
      </c>
      <c r="AD102" s="43">
        <v>0</v>
      </c>
      <c r="AE102" s="43">
        <v>0</v>
      </c>
      <c r="AF102" s="43">
        <v>0</v>
      </c>
      <c r="AG102" s="44"/>
      <c r="AH102" s="55">
        <f>SUM(AH103:AH110)</f>
        <v>0</v>
      </c>
      <c r="AI102" s="55">
        <f>SUM(AI103:AI110)</f>
        <v>0</v>
      </c>
      <c r="AJ102" s="57">
        <f>SUM(AJ103:AJ110)</f>
        <v>0</v>
      </c>
      <c r="AK102" s="57">
        <f>SUM(AK103:AK110)</f>
        <v>0</v>
      </c>
      <c r="AM102" s="2">
        <f>AK102-SUM(AK103:AK110)</f>
        <v>0</v>
      </c>
      <c r="AO102" s="71"/>
      <c r="AP102" s="5"/>
    </row>
    <row r="103" spans="3:42" ht="14" x14ac:dyDescent="0.2">
      <c r="E103" s="23" t="s">
        <v>125</v>
      </c>
      <c r="F103" s="23" t="s">
        <v>126</v>
      </c>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c r="Z103" s="25">
        <v>0</v>
      </c>
      <c r="AA103" s="25">
        <v>0</v>
      </c>
      <c r="AB103" s="25">
        <v>0</v>
      </c>
      <c r="AC103" s="25">
        <v>0</v>
      </c>
      <c r="AD103" s="25">
        <v>0</v>
      </c>
      <c r="AE103" s="25">
        <v>0</v>
      </c>
      <c r="AF103" s="25">
        <v>0</v>
      </c>
      <c r="AH103" s="53">
        <v>0</v>
      </c>
      <c r="AI103" s="53">
        <v>0</v>
      </c>
      <c r="AJ103" s="53">
        <f t="shared" ref="AJ103:AJ110" si="14">AF103</f>
        <v>0</v>
      </c>
      <c r="AK103" s="53">
        <f t="shared" ref="AK103:AK110" si="15">AJ103</f>
        <v>0</v>
      </c>
      <c r="AO103" s="59"/>
    </row>
    <row r="104" spans="3:42" ht="14" x14ac:dyDescent="0.2">
      <c r="E104" s="23" t="s">
        <v>127</v>
      </c>
      <c r="F104" s="23" t="s">
        <v>128</v>
      </c>
      <c r="G104" s="25">
        <v>0</v>
      </c>
      <c r="H104" s="25">
        <v>0</v>
      </c>
      <c r="I104" s="25">
        <v>0</v>
      </c>
      <c r="J104" s="25">
        <v>0</v>
      </c>
      <c r="K104" s="25">
        <v>0</v>
      </c>
      <c r="L104" s="25">
        <v>0</v>
      </c>
      <c r="M104" s="25">
        <v>0</v>
      </c>
      <c r="N104" s="25">
        <v>0</v>
      </c>
      <c r="O104" s="25">
        <v>0</v>
      </c>
      <c r="P104" s="25">
        <v>0</v>
      </c>
      <c r="Q104" s="25">
        <v>0</v>
      </c>
      <c r="R104" s="25">
        <v>0</v>
      </c>
      <c r="S104" s="25">
        <v>0</v>
      </c>
      <c r="T104" s="25">
        <v>0</v>
      </c>
      <c r="U104" s="25">
        <v>0</v>
      </c>
      <c r="V104" s="25">
        <v>0</v>
      </c>
      <c r="W104" s="25">
        <v>0</v>
      </c>
      <c r="X104" s="25">
        <v>0</v>
      </c>
      <c r="Y104" s="25">
        <v>0</v>
      </c>
      <c r="Z104" s="25">
        <v>0</v>
      </c>
      <c r="AA104" s="25">
        <v>0</v>
      </c>
      <c r="AB104" s="25">
        <v>0</v>
      </c>
      <c r="AC104" s="25">
        <v>0</v>
      </c>
      <c r="AD104" s="25">
        <v>0</v>
      </c>
      <c r="AE104" s="25">
        <v>0</v>
      </c>
      <c r="AF104" s="25">
        <v>0</v>
      </c>
      <c r="AH104" s="53">
        <v>0</v>
      </c>
      <c r="AI104" s="53">
        <v>0</v>
      </c>
      <c r="AJ104" s="53">
        <f t="shared" si="14"/>
        <v>0</v>
      </c>
      <c r="AK104" s="53">
        <f t="shared" si="15"/>
        <v>0</v>
      </c>
      <c r="AO104" s="59"/>
    </row>
    <row r="105" spans="3:42" ht="14" x14ac:dyDescent="0.2">
      <c r="E105" s="23" t="s">
        <v>129</v>
      </c>
      <c r="F105" s="23" t="s">
        <v>130</v>
      </c>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c r="Z105" s="25">
        <v>0</v>
      </c>
      <c r="AA105" s="25">
        <v>0</v>
      </c>
      <c r="AB105" s="25">
        <v>0</v>
      </c>
      <c r="AC105" s="25">
        <v>0</v>
      </c>
      <c r="AD105" s="25">
        <v>0</v>
      </c>
      <c r="AE105" s="25">
        <v>0</v>
      </c>
      <c r="AF105" s="25">
        <v>0</v>
      </c>
      <c r="AH105" s="53">
        <v>0</v>
      </c>
      <c r="AI105" s="53">
        <v>0</v>
      </c>
      <c r="AJ105" s="53">
        <f t="shared" si="14"/>
        <v>0</v>
      </c>
      <c r="AK105" s="53">
        <f t="shared" si="15"/>
        <v>0</v>
      </c>
      <c r="AO105" s="59"/>
    </row>
    <row r="106" spans="3:42" ht="14" x14ac:dyDescent="0.2">
      <c r="E106" s="23" t="s">
        <v>131</v>
      </c>
      <c r="F106" s="23" t="s">
        <v>132</v>
      </c>
      <c r="G106" s="25">
        <v>0</v>
      </c>
      <c r="H106" s="25">
        <v>0</v>
      </c>
      <c r="I106" s="25">
        <v>0</v>
      </c>
      <c r="J106" s="25">
        <v>0</v>
      </c>
      <c r="K106" s="25">
        <v>0</v>
      </c>
      <c r="L106" s="25">
        <v>0</v>
      </c>
      <c r="M106" s="25">
        <v>0</v>
      </c>
      <c r="N106" s="25">
        <v>0</v>
      </c>
      <c r="O106" s="25">
        <v>0</v>
      </c>
      <c r="P106" s="25">
        <v>0</v>
      </c>
      <c r="Q106" s="25">
        <v>0</v>
      </c>
      <c r="R106" s="25">
        <v>0</v>
      </c>
      <c r="S106" s="25">
        <v>0</v>
      </c>
      <c r="T106" s="25">
        <v>0</v>
      </c>
      <c r="U106" s="25">
        <v>0</v>
      </c>
      <c r="V106" s="25">
        <v>0</v>
      </c>
      <c r="W106" s="25">
        <v>0</v>
      </c>
      <c r="X106" s="25">
        <v>0</v>
      </c>
      <c r="Y106" s="25">
        <v>0</v>
      </c>
      <c r="Z106" s="25">
        <v>0</v>
      </c>
      <c r="AA106" s="25">
        <v>0</v>
      </c>
      <c r="AB106" s="25">
        <v>0</v>
      </c>
      <c r="AC106" s="25">
        <v>0</v>
      </c>
      <c r="AD106" s="25">
        <v>0</v>
      </c>
      <c r="AE106" s="25">
        <v>0</v>
      </c>
      <c r="AF106" s="25">
        <v>0</v>
      </c>
      <c r="AH106" s="53">
        <v>0</v>
      </c>
      <c r="AI106" s="53">
        <v>0</v>
      </c>
      <c r="AJ106" s="53">
        <f t="shared" si="14"/>
        <v>0</v>
      </c>
      <c r="AK106" s="53">
        <f t="shared" si="15"/>
        <v>0</v>
      </c>
      <c r="AO106" s="59"/>
    </row>
    <row r="107" spans="3:42" ht="14" x14ac:dyDescent="0.2">
      <c r="E107" s="23" t="s">
        <v>133</v>
      </c>
      <c r="F107" s="23" t="s">
        <v>134</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c r="Z107" s="25">
        <v>0</v>
      </c>
      <c r="AA107" s="25">
        <v>0</v>
      </c>
      <c r="AB107" s="25">
        <v>0</v>
      </c>
      <c r="AC107" s="25">
        <v>0</v>
      </c>
      <c r="AD107" s="25">
        <v>0</v>
      </c>
      <c r="AE107" s="25">
        <v>0</v>
      </c>
      <c r="AF107" s="25">
        <v>0</v>
      </c>
      <c r="AH107" s="53">
        <v>0</v>
      </c>
      <c r="AI107" s="53">
        <v>0</v>
      </c>
      <c r="AJ107" s="53">
        <f t="shared" si="14"/>
        <v>0</v>
      </c>
      <c r="AK107" s="53">
        <f t="shared" si="15"/>
        <v>0</v>
      </c>
      <c r="AO107" s="59"/>
    </row>
    <row r="108" spans="3:42" ht="14" x14ac:dyDescent="0.2">
      <c r="E108" s="23" t="s">
        <v>135</v>
      </c>
      <c r="F108" s="23" t="s">
        <v>136</v>
      </c>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c r="Z108" s="25">
        <v>0</v>
      </c>
      <c r="AA108" s="25">
        <v>0</v>
      </c>
      <c r="AB108" s="25">
        <v>0</v>
      </c>
      <c r="AC108" s="25">
        <v>0</v>
      </c>
      <c r="AD108" s="25">
        <v>0</v>
      </c>
      <c r="AE108" s="25">
        <v>0</v>
      </c>
      <c r="AF108" s="25">
        <v>0</v>
      </c>
      <c r="AH108" s="53">
        <v>0</v>
      </c>
      <c r="AI108" s="53">
        <v>0</v>
      </c>
      <c r="AJ108" s="53">
        <f t="shared" si="14"/>
        <v>0</v>
      </c>
      <c r="AK108" s="53">
        <f t="shared" si="15"/>
        <v>0</v>
      </c>
      <c r="AO108" s="59"/>
    </row>
    <row r="109" spans="3:42" ht="14" x14ac:dyDescent="0.2">
      <c r="E109" s="23" t="s">
        <v>137</v>
      </c>
      <c r="F109" s="23" t="s">
        <v>138</v>
      </c>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c r="Z109" s="25">
        <v>0</v>
      </c>
      <c r="AA109" s="25">
        <v>0</v>
      </c>
      <c r="AB109" s="25">
        <v>0</v>
      </c>
      <c r="AC109" s="25">
        <v>0</v>
      </c>
      <c r="AD109" s="25">
        <v>0</v>
      </c>
      <c r="AE109" s="25">
        <v>0</v>
      </c>
      <c r="AF109" s="25">
        <v>0</v>
      </c>
      <c r="AH109" s="53">
        <v>0</v>
      </c>
      <c r="AI109" s="53">
        <v>0</v>
      </c>
      <c r="AJ109" s="53">
        <f t="shared" si="14"/>
        <v>0</v>
      </c>
      <c r="AK109" s="53">
        <f t="shared" si="15"/>
        <v>0</v>
      </c>
      <c r="AO109" s="59"/>
    </row>
    <row r="110" spans="3:42" ht="14" x14ac:dyDescent="0.2">
      <c r="E110" s="23" t="s">
        <v>139</v>
      </c>
      <c r="F110" s="23" t="s">
        <v>140</v>
      </c>
      <c r="G110" s="25">
        <v>0</v>
      </c>
      <c r="H110" s="25">
        <v>0</v>
      </c>
      <c r="I110" s="25">
        <v>0</v>
      </c>
      <c r="J110" s="25">
        <v>0</v>
      </c>
      <c r="K110" s="25">
        <v>0</v>
      </c>
      <c r="L110" s="25">
        <v>0</v>
      </c>
      <c r="M110" s="25">
        <v>0</v>
      </c>
      <c r="N110" s="25">
        <v>0</v>
      </c>
      <c r="O110" s="25">
        <v>0</v>
      </c>
      <c r="P110" s="25">
        <v>0</v>
      </c>
      <c r="Q110" s="25">
        <v>0</v>
      </c>
      <c r="R110" s="25">
        <v>0</v>
      </c>
      <c r="S110" s="25">
        <v>0</v>
      </c>
      <c r="T110" s="25">
        <v>0</v>
      </c>
      <c r="U110" s="25">
        <v>0</v>
      </c>
      <c r="V110" s="25">
        <v>0</v>
      </c>
      <c r="W110" s="25">
        <v>0</v>
      </c>
      <c r="X110" s="25">
        <v>0</v>
      </c>
      <c r="Y110" s="25">
        <v>0</v>
      </c>
      <c r="Z110" s="25">
        <v>0</v>
      </c>
      <c r="AA110" s="25">
        <v>0</v>
      </c>
      <c r="AB110" s="25">
        <v>0</v>
      </c>
      <c r="AC110" s="25">
        <v>0</v>
      </c>
      <c r="AD110" s="25">
        <v>0</v>
      </c>
      <c r="AE110" s="25">
        <v>0</v>
      </c>
      <c r="AF110" s="25">
        <v>0</v>
      </c>
      <c r="AH110" s="53">
        <v>0</v>
      </c>
      <c r="AI110" s="53">
        <v>0</v>
      </c>
      <c r="AJ110" s="53">
        <f t="shared" si="14"/>
        <v>0</v>
      </c>
      <c r="AK110" s="53">
        <f t="shared" si="15"/>
        <v>0</v>
      </c>
      <c r="AO110" s="59"/>
    </row>
    <row r="111" spans="3:42" ht="14" x14ac:dyDescent="0.2">
      <c r="E111" s="4"/>
      <c r="F111" s="4"/>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H111" s="53"/>
      <c r="AI111" s="53"/>
      <c r="AJ111" s="53"/>
      <c r="AK111" s="53"/>
      <c r="AO111" s="59"/>
    </row>
    <row r="112" spans="3:42" ht="14" x14ac:dyDescent="0.2">
      <c r="C112" s="116">
        <f>+MAX($C$1:$C111)+1</f>
        <v>10</v>
      </c>
      <c r="E112" s="41" t="s">
        <v>141</v>
      </c>
      <c r="F112" s="41" t="s">
        <v>142</v>
      </c>
      <c r="G112" s="43">
        <v>197017.7</v>
      </c>
      <c r="H112" s="43">
        <v>204516.6</v>
      </c>
      <c r="I112" s="43">
        <v>207152.4</v>
      </c>
      <c r="J112" s="43">
        <v>213816.1</v>
      </c>
      <c r="K112" s="43">
        <v>222351</v>
      </c>
      <c r="L112" s="43">
        <v>227403</v>
      </c>
      <c r="M112" s="43">
        <v>239365</v>
      </c>
      <c r="N112" s="43">
        <v>252226</v>
      </c>
      <c r="O112" s="43">
        <v>264651</v>
      </c>
      <c r="P112" s="43">
        <v>277834</v>
      </c>
      <c r="Q112" s="43">
        <v>291684</v>
      </c>
      <c r="R112" s="43">
        <v>300410</v>
      </c>
      <c r="S112" s="43">
        <v>317821</v>
      </c>
      <c r="T112" s="43">
        <v>326999</v>
      </c>
      <c r="U112" s="43">
        <v>344520</v>
      </c>
      <c r="V112" s="43">
        <v>358189</v>
      </c>
      <c r="W112" s="43">
        <v>369116</v>
      </c>
      <c r="X112" s="43">
        <v>382504</v>
      </c>
      <c r="Y112" s="43">
        <v>392381</v>
      </c>
      <c r="Z112" s="43">
        <v>398818</v>
      </c>
      <c r="AA112" s="43">
        <v>400740</v>
      </c>
      <c r="AB112" s="43">
        <v>404578</v>
      </c>
      <c r="AC112" s="43">
        <v>412208</v>
      </c>
      <c r="AD112" s="43">
        <v>420583</v>
      </c>
      <c r="AE112" s="43">
        <v>429905</v>
      </c>
      <c r="AF112" s="43">
        <v>454518</v>
      </c>
      <c r="AG112" s="44"/>
      <c r="AH112" s="55">
        <f>SUM(AH113:AH121)</f>
        <v>429903</v>
      </c>
      <c r="AI112" s="55">
        <f>SUM(AI113:AI121)</f>
        <v>454518</v>
      </c>
      <c r="AJ112" s="57">
        <f>SUM(AJ113:AJ121)</f>
        <v>460035.96269234963</v>
      </c>
      <c r="AK112" s="57">
        <f>SUM(AK113:AK121)</f>
        <v>458219.3508888178</v>
      </c>
      <c r="AM112" s="2">
        <f>AK112-SUM(AK113:AK121)</f>
        <v>0</v>
      </c>
      <c r="AO112" s="71"/>
      <c r="AP112" s="5"/>
    </row>
    <row r="113" spans="2:41" ht="14" x14ac:dyDescent="0.2">
      <c r="E113" s="23" t="s">
        <v>143</v>
      </c>
      <c r="F113" s="23" t="s">
        <v>144</v>
      </c>
      <c r="G113" s="25">
        <v>21781.599999999999</v>
      </c>
      <c r="H113" s="25">
        <v>22268</v>
      </c>
      <c r="I113" s="25">
        <v>22129.1</v>
      </c>
      <c r="J113" s="25">
        <v>23086.7</v>
      </c>
      <c r="K113" s="25">
        <v>24309</v>
      </c>
      <c r="L113" s="25">
        <v>24635</v>
      </c>
      <c r="M113" s="25">
        <v>26066</v>
      </c>
      <c r="N113" s="25">
        <v>28549</v>
      </c>
      <c r="O113" s="25">
        <v>29543</v>
      </c>
      <c r="P113" s="25">
        <v>31831</v>
      </c>
      <c r="Q113" s="25">
        <v>33400</v>
      </c>
      <c r="R113" s="25">
        <v>33067</v>
      </c>
      <c r="S113" s="25">
        <v>37501</v>
      </c>
      <c r="T113" s="25">
        <v>35921</v>
      </c>
      <c r="U113" s="25">
        <v>36825</v>
      </c>
      <c r="V113" s="25">
        <v>37692</v>
      </c>
      <c r="W113" s="25">
        <v>38179</v>
      </c>
      <c r="X113" s="25">
        <v>39713</v>
      </c>
      <c r="Y113" s="25">
        <v>41017</v>
      </c>
      <c r="Z113" s="25">
        <v>39722</v>
      </c>
      <c r="AA113" s="25">
        <v>41328</v>
      </c>
      <c r="AB113" s="25">
        <v>44451</v>
      </c>
      <c r="AC113" s="25">
        <v>46670</v>
      </c>
      <c r="AD113" s="25">
        <v>48695</v>
      </c>
      <c r="AE113" s="25">
        <v>50526</v>
      </c>
      <c r="AF113" s="25">
        <v>55104</v>
      </c>
      <c r="AH113" s="53">
        <v>50526</v>
      </c>
      <c r="AI113" s="53">
        <v>55104</v>
      </c>
      <c r="AJ113" s="53">
        <f>AF113*(1+$AG$141)</f>
        <v>60770.723404255325</v>
      </c>
      <c r="AK113" s="53">
        <f>AJ113*(1+$AH$141)</f>
        <v>60488.472813238775</v>
      </c>
      <c r="AO113" s="59"/>
    </row>
    <row r="114" spans="2:41" ht="14" x14ac:dyDescent="0.2">
      <c r="E114" s="23" t="s">
        <v>145</v>
      </c>
      <c r="F114" s="23" t="s">
        <v>146</v>
      </c>
      <c r="G114" s="25">
        <v>107176.9</v>
      </c>
      <c r="H114" s="25">
        <v>110536.8</v>
      </c>
      <c r="I114" s="25">
        <v>113546.1</v>
      </c>
      <c r="J114" s="25">
        <v>118385.8</v>
      </c>
      <c r="K114" s="25">
        <v>124149</v>
      </c>
      <c r="L114" s="25">
        <v>127237</v>
      </c>
      <c r="M114" s="25">
        <v>134267</v>
      </c>
      <c r="N114" s="25">
        <v>138722</v>
      </c>
      <c r="O114" s="25">
        <v>145567</v>
      </c>
      <c r="P114" s="25">
        <v>152797</v>
      </c>
      <c r="Q114" s="25">
        <v>163036</v>
      </c>
      <c r="R114" s="25">
        <v>171579</v>
      </c>
      <c r="S114" s="25">
        <v>182341</v>
      </c>
      <c r="T114" s="25">
        <v>192677</v>
      </c>
      <c r="U114" s="25">
        <v>200691</v>
      </c>
      <c r="V114" s="25">
        <v>208904</v>
      </c>
      <c r="W114" s="25">
        <v>218073</v>
      </c>
      <c r="X114" s="25">
        <v>224277</v>
      </c>
      <c r="Y114" s="25">
        <v>230687</v>
      </c>
      <c r="Z114" s="25">
        <v>236240</v>
      </c>
      <c r="AA114" s="25">
        <v>240599</v>
      </c>
      <c r="AB114" s="25">
        <v>245696</v>
      </c>
      <c r="AC114" s="25">
        <v>250190</v>
      </c>
      <c r="AD114" s="25">
        <v>256069</v>
      </c>
      <c r="AE114" s="25">
        <v>261860</v>
      </c>
      <c r="AF114" s="25">
        <v>267074</v>
      </c>
      <c r="AH114" s="53">
        <v>261860</v>
      </c>
      <c r="AI114" s="53">
        <v>267074</v>
      </c>
      <c r="AJ114" s="53">
        <f>AF114*(1+$AG$145)</f>
        <v>271740.46972775296</v>
      </c>
      <c r="AK114" s="53">
        <f>AJ114*(1+$AH$145)</f>
        <v>278468.86793986184</v>
      </c>
      <c r="AO114" s="59"/>
    </row>
    <row r="115" spans="2:41" ht="14" x14ac:dyDescent="0.2">
      <c r="E115" s="23" t="s">
        <v>147</v>
      </c>
      <c r="F115" s="23" t="s">
        <v>148</v>
      </c>
      <c r="G115" s="25">
        <v>19688.599999999999</v>
      </c>
      <c r="H115" s="25">
        <v>20356.599999999999</v>
      </c>
      <c r="I115" s="25">
        <v>20063.8</v>
      </c>
      <c r="J115" s="25">
        <v>20499.2</v>
      </c>
      <c r="K115" s="25">
        <v>20924</v>
      </c>
      <c r="L115" s="25">
        <v>21203</v>
      </c>
      <c r="M115" s="25">
        <v>21771</v>
      </c>
      <c r="N115" s="25">
        <v>22574</v>
      </c>
      <c r="O115" s="25">
        <v>23182</v>
      </c>
      <c r="P115" s="25">
        <v>24056</v>
      </c>
      <c r="Q115" s="25">
        <v>25436</v>
      </c>
      <c r="R115" s="25">
        <v>26138</v>
      </c>
      <c r="S115" s="25">
        <v>27177</v>
      </c>
      <c r="T115" s="25">
        <v>27904</v>
      </c>
      <c r="U115" s="25">
        <v>28843</v>
      </c>
      <c r="V115" s="25">
        <v>30477</v>
      </c>
      <c r="W115" s="25">
        <v>30822</v>
      </c>
      <c r="X115" s="25">
        <v>32621</v>
      </c>
      <c r="Y115" s="25">
        <v>32906</v>
      </c>
      <c r="Z115" s="25">
        <v>33280</v>
      </c>
      <c r="AA115" s="25">
        <v>33401</v>
      </c>
      <c r="AB115" s="25">
        <v>33601</v>
      </c>
      <c r="AC115" s="25">
        <v>33917</v>
      </c>
      <c r="AD115" s="25">
        <v>34144</v>
      </c>
      <c r="AE115" s="25">
        <v>34609</v>
      </c>
      <c r="AF115" s="25">
        <v>34944</v>
      </c>
      <c r="AH115" s="53">
        <v>34609</v>
      </c>
      <c r="AI115" s="53">
        <v>34944</v>
      </c>
      <c r="AJ115" s="53">
        <f>AF115*(1+$AG$145)</f>
        <v>35554.561560341332</v>
      </c>
      <c r="AK115" s="53">
        <f>AJ115*(1+$AH$145)</f>
        <v>36434.906135717196</v>
      </c>
      <c r="AO115" s="59"/>
    </row>
    <row r="116" spans="2:41" ht="14" x14ac:dyDescent="0.2">
      <c r="E116" s="23" t="s">
        <v>149</v>
      </c>
      <c r="F116" s="23" t="s">
        <v>150</v>
      </c>
      <c r="G116" s="25">
        <v>28624.6</v>
      </c>
      <c r="H116" s="25">
        <v>29313.5</v>
      </c>
      <c r="I116" s="25">
        <v>29853.7</v>
      </c>
      <c r="J116" s="25">
        <v>29946</v>
      </c>
      <c r="K116" s="25">
        <v>30438</v>
      </c>
      <c r="L116" s="25">
        <v>31159</v>
      </c>
      <c r="M116" s="25">
        <v>32600</v>
      </c>
      <c r="N116" s="25">
        <v>33848</v>
      </c>
      <c r="O116" s="25">
        <v>34346</v>
      </c>
      <c r="P116" s="25">
        <v>36116</v>
      </c>
      <c r="Q116" s="25">
        <v>37496</v>
      </c>
      <c r="R116" s="25">
        <v>39351</v>
      </c>
      <c r="S116" s="25">
        <v>42164</v>
      </c>
      <c r="T116" s="25">
        <v>42097</v>
      </c>
      <c r="U116" s="25">
        <v>42623</v>
      </c>
      <c r="V116" s="25">
        <v>43002</v>
      </c>
      <c r="W116" s="25">
        <v>43906</v>
      </c>
      <c r="X116" s="25">
        <v>45605</v>
      </c>
      <c r="Y116" s="25">
        <v>46410</v>
      </c>
      <c r="Z116" s="25">
        <v>47445</v>
      </c>
      <c r="AA116" s="25">
        <v>42541</v>
      </c>
      <c r="AB116" s="25">
        <v>41421</v>
      </c>
      <c r="AC116" s="25">
        <v>41801</v>
      </c>
      <c r="AD116" s="25">
        <v>41859</v>
      </c>
      <c r="AE116" s="25">
        <v>41810</v>
      </c>
      <c r="AF116" s="25">
        <v>42816</v>
      </c>
      <c r="AH116" s="53">
        <v>41810</v>
      </c>
      <c r="AI116" s="53">
        <v>42816</v>
      </c>
      <c r="AJ116" s="53">
        <f>AF116*(1+$AG$143)</f>
        <v>42302.207999999999</v>
      </c>
      <c r="AK116" s="53">
        <f>AJ116*(1+$AH$143)</f>
        <v>42559.103999999999</v>
      </c>
      <c r="AO116" s="59"/>
    </row>
    <row r="117" spans="2:41" ht="14" x14ac:dyDescent="0.2">
      <c r="E117" s="23" t="s">
        <v>151</v>
      </c>
      <c r="F117" s="23" t="s">
        <v>152</v>
      </c>
      <c r="G117" s="25">
        <v>17321.099999999999</v>
      </c>
      <c r="H117" s="25">
        <v>19552.400000000001</v>
      </c>
      <c r="I117" s="25">
        <v>19075.8</v>
      </c>
      <c r="J117" s="25">
        <v>19301.900000000001</v>
      </c>
      <c r="K117" s="25">
        <v>19810</v>
      </c>
      <c r="L117" s="25">
        <v>20345</v>
      </c>
      <c r="M117" s="25">
        <v>21618</v>
      </c>
      <c r="N117" s="25">
        <v>25304</v>
      </c>
      <c r="O117" s="25">
        <v>28745</v>
      </c>
      <c r="P117" s="25">
        <v>29576</v>
      </c>
      <c r="Q117" s="25">
        <v>28778</v>
      </c>
      <c r="R117" s="25">
        <v>26633</v>
      </c>
      <c r="S117" s="25">
        <v>24940</v>
      </c>
      <c r="T117" s="25">
        <v>24423</v>
      </c>
      <c r="U117" s="25">
        <v>31417</v>
      </c>
      <c r="V117" s="25">
        <v>33939</v>
      </c>
      <c r="W117" s="25">
        <v>33838</v>
      </c>
      <c r="X117" s="25">
        <v>35547</v>
      </c>
      <c r="Y117" s="25">
        <v>36911</v>
      </c>
      <c r="Z117" s="25">
        <v>37585</v>
      </c>
      <c r="AA117" s="25">
        <v>38321</v>
      </c>
      <c r="AB117" s="25">
        <v>39336</v>
      </c>
      <c r="AC117" s="25">
        <v>39536</v>
      </c>
      <c r="AD117" s="25">
        <v>39683</v>
      </c>
      <c r="AE117" s="25">
        <v>40971</v>
      </c>
      <c r="AF117" s="25">
        <v>54312</v>
      </c>
      <c r="AH117" s="53">
        <v>40971</v>
      </c>
      <c r="AI117" s="53">
        <v>54312</v>
      </c>
      <c r="AJ117" s="53">
        <v>49400</v>
      </c>
      <c r="AK117" s="53">
        <v>40000</v>
      </c>
      <c r="AO117" s="59"/>
    </row>
    <row r="118" spans="2:41" ht="14" x14ac:dyDescent="0.2">
      <c r="E118" s="23" t="s">
        <v>153</v>
      </c>
      <c r="F118" s="23" t="s">
        <v>154</v>
      </c>
      <c r="G118" s="25">
        <v>2425.8000000000002</v>
      </c>
      <c r="H118" s="25">
        <v>2487.1999999999998</v>
      </c>
      <c r="I118" s="25">
        <v>2486.9</v>
      </c>
      <c r="J118" s="25">
        <v>2597.4</v>
      </c>
      <c r="K118" s="25">
        <v>2722</v>
      </c>
      <c r="L118" s="25">
        <v>2824</v>
      </c>
      <c r="M118" s="25">
        <v>3044</v>
      </c>
      <c r="N118" s="25">
        <v>3229</v>
      </c>
      <c r="O118" s="25">
        <v>3269</v>
      </c>
      <c r="P118" s="25">
        <v>3458</v>
      </c>
      <c r="Q118" s="25">
        <v>3538</v>
      </c>
      <c r="R118" s="25">
        <v>3642</v>
      </c>
      <c r="S118" s="25">
        <v>3697</v>
      </c>
      <c r="T118" s="25">
        <v>3977</v>
      </c>
      <c r="U118" s="25">
        <v>4107</v>
      </c>
      <c r="V118" s="25">
        <v>4160</v>
      </c>
      <c r="W118" s="25">
        <v>4285</v>
      </c>
      <c r="X118" s="25">
        <v>4694</v>
      </c>
      <c r="Y118" s="25">
        <v>4373</v>
      </c>
      <c r="Z118" s="25">
        <v>4488</v>
      </c>
      <c r="AA118" s="25">
        <v>4468</v>
      </c>
      <c r="AB118" s="25">
        <v>0</v>
      </c>
      <c r="AC118" s="25">
        <v>0</v>
      </c>
      <c r="AD118" s="25">
        <v>0</v>
      </c>
      <c r="AE118" s="25">
        <v>0</v>
      </c>
      <c r="AF118" s="25">
        <v>0</v>
      </c>
      <c r="AH118" s="53">
        <v>0</v>
      </c>
      <c r="AI118" s="53">
        <v>0</v>
      </c>
      <c r="AJ118" s="53">
        <f>AF118</f>
        <v>0</v>
      </c>
      <c r="AK118" s="53">
        <f>AJ118</f>
        <v>0</v>
      </c>
      <c r="AO118" s="59"/>
    </row>
    <row r="119" spans="2:41" ht="14" x14ac:dyDescent="0.2">
      <c r="E119" s="23" t="s">
        <v>155</v>
      </c>
      <c r="F119" s="23" t="s">
        <v>156</v>
      </c>
      <c r="G119" s="25">
        <v>0</v>
      </c>
      <c r="H119" s="25">
        <v>0</v>
      </c>
      <c r="I119" s="25">
        <v>0</v>
      </c>
      <c r="J119" s="25">
        <v>0</v>
      </c>
      <c r="K119" s="25">
        <v>0</v>
      </c>
      <c r="L119" s="25">
        <v>0</v>
      </c>
      <c r="M119" s="25">
        <v>0</v>
      </c>
      <c r="N119" s="25">
        <v>0</v>
      </c>
      <c r="O119" s="25">
        <v>0</v>
      </c>
      <c r="P119" s="25">
        <v>0</v>
      </c>
      <c r="Q119" s="25">
        <v>0</v>
      </c>
      <c r="R119" s="25">
        <v>0</v>
      </c>
      <c r="S119" s="25">
        <v>0</v>
      </c>
      <c r="T119" s="25">
        <v>0</v>
      </c>
      <c r="U119" s="25">
        <v>0</v>
      </c>
      <c r="V119" s="25">
        <v>0</v>
      </c>
      <c r="W119" s="25">
        <v>0</v>
      </c>
      <c r="X119" s="25">
        <v>0</v>
      </c>
      <c r="Y119" s="25">
        <v>0</v>
      </c>
      <c r="Z119" s="25">
        <v>0</v>
      </c>
      <c r="AA119" s="25">
        <v>0</v>
      </c>
      <c r="AB119" s="25">
        <v>0</v>
      </c>
      <c r="AC119" s="25">
        <v>0</v>
      </c>
      <c r="AD119" s="25">
        <v>0</v>
      </c>
      <c r="AE119" s="25">
        <v>0</v>
      </c>
      <c r="AF119" s="25">
        <v>0</v>
      </c>
      <c r="AH119" s="53">
        <v>0</v>
      </c>
      <c r="AI119" s="53">
        <v>0</v>
      </c>
      <c r="AJ119" s="53">
        <f>AF119</f>
        <v>0</v>
      </c>
      <c r="AK119" s="53">
        <f>AJ119</f>
        <v>0</v>
      </c>
      <c r="AO119" s="59"/>
    </row>
    <row r="120" spans="2:41" ht="14" x14ac:dyDescent="0.2">
      <c r="E120" s="23" t="s">
        <v>157</v>
      </c>
      <c r="F120" s="23" t="s">
        <v>158</v>
      </c>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c r="Z120" s="25">
        <v>0</v>
      </c>
      <c r="AA120" s="25">
        <v>0</v>
      </c>
      <c r="AB120" s="25">
        <v>0</v>
      </c>
      <c r="AC120" s="25">
        <v>0</v>
      </c>
      <c r="AD120" s="25">
        <v>0</v>
      </c>
      <c r="AE120" s="25">
        <v>0</v>
      </c>
      <c r="AF120" s="25">
        <v>0</v>
      </c>
      <c r="AH120" s="53">
        <v>0</v>
      </c>
      <c r="AI120" s="53">
        <v>0</v>
      </c>
      <c r="AJ120" s="53">
        <f>AF120</f>
        <v>0</v>
      </c>
      <c r="AK120" s="53">
        <f>AJ120</f>
        <v>0</v>
      </c>
      <c r="AO120" s="59"/>
    </row>
    <row r="121" spans="2:41" ht="14" x14ac:dyDescent="0.2">
      <c r="E121" s="23" t="s">
        <v>159</v>
      </c>
      <c r="F121" s="23" t="s">
        <v>160</v>
      </c>
      <c r="G121" s="25">
        <v>0</v>
      </c>
      <c r="H121" s="25">
        <v>0</v>
      </c>
      <c r="I121" s="25">
        <v>0</v>
      </c>
      <c r="J121" s="25">
        <v>0</v>
      </c>
      <c r="K121" s="25">
        <v>0</v>
      </c>
      <c r="L121" s="25">
        <v>0</v>
      </c>
      <c r="M121" s="25">
        <v>0</v>
      </c>
      <c r="N121" s="25">
        <v>0</v>
      </c>
      <c r="O121" s="25">
        <v>0</v>
      </c>
      <c r="P121" s="25">
        <v>0</v>
      </c>
      <c r="Q121" s="25">
        <v>0</v>
      </c>
      <c r="R121" s="25">
        <v>0</v>
      </c>
      <c r="S121" s="25">
        <v>0</v>
      </c>
      <c r="T121" s="25">
        <v>0</v>
      </c>
      <c r="U121" s="25">
        <v>13</v>
      </c>
      <c r="V121" s="25">
        <v>14</v>
      </c>
      <c r="W121" s="25">
        <v>13</v>
      </c>
      <c r="X121" s="25">
        <v>47</v>
      </c>
      <c r="Y121" s="25">
        <v>77</v>
      </c>
      <c r="Z121" s="25">
        <v>57</v>
      </c>
      <c r="AA121" s="25">
        <v>84</v>
      </c>
      <c r="AB121" s="25">
        <v>73</v>
      </c>
      <c r="AC121" s="25">
        <v>94</v>
      </c>
      <c r="AD121" s="25">
        <v>133</v>
      </c>
      <c r="AE121" s="25">
        <v>127</v>
      </c>
      <c r="AF121" s="25">
        <v>268</v>
      </c>
      <c r="AH121" s="53">
        <v>127</v>
      </c>
      <c r="AI121" s="53">
        <v>268</v>
      </c>
      <c r="AJ121" s="53">
        <f>AF121</f>
        <v>268</v>
      </c>
      <c r="AK121" s="53">
        <f>AJ121</f>
        <v>268</v>
      </c>
      <c r="AO121" s="59"/>
    </row>
    <row r="122" spans="2:41" ht="14" x14ac:dyDescent="0.2">
      <c r="E122" s="23"/>
      <c r="F122" s="23"/>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H122" s="53"/>
      <c r="AI122" s="53"/>
      <c r="AJ122" s="53"/>
      <c r="AK122" s="53"/>
    </row>
    <row r="123" spans="2:41" ht="11.25" customHeight="1" x14ac:dyDescent="0.2">
      <c r="AC123" s="5"/>
      <c r="AD123" s="5"/>
      <c r="AE123" s="5"/>
      <c r="AF123" s="5"/>
      <c r="AH123" s="5"/>
    </row>
    <row r="124" spans="2:41" ht="11.25" customHeight="1" x14ac:dyDescent="0.2">
      <c r="Z124" s="54"/>
      <c r="AA124" s="54"/>
      <c r="AB124" s="54"/>
      <c r="AC124" s="54"/>
      <c r="AD124" s="54"/>
      <c r="AF124" s="51"/>
    </row>
    <row r="125" spans="2:41" ht="11.25" customHeight="1" x14ac:dyDescent="0.2">
      <c r="B125"/>
    </row>
    <row r="126" spans="2:41" ht="11.25" customHeight="1" x14ac:dyDescent="0.2">
      <c r="B126"/>
    </row>
    <row r="127" spans="2:41" ht="15" x14ac:dyDescent="0.2">
      <c r="C127" s="9"/>
      <c r="D127" s="9"/>
      <c r="E127" s="9"/>
      <c r="F127" s="9"/>
      <c r="G127" s="9" t="s">
        <v>161</v>
      </c>
      <c r="H127" s="9" t="s">
        <v>162</v>
      </c>
      <c r="I127" s="9" t="s">
        <v>163</v>
      </c>
      <c r="J127" s="9" t="s">
        <v>164</v>
      </c>
      <c r="K127" s="9" t="s">
        <v>165</v>
      </c>
      <c r="L127" s="9" t="s">
        <v>166</v>
      </c>
      <c r="M127" s="9" t="s">
        <v>167</v>
      </c>
      <c r="N127" s="9" t="s">
        <v>168</v>
      </c>
      <c r="O127" s="9" t="s">
        <v>169</v>
      </c>
      <c r="P127" s="9" t="s">
        <v>170</v>
      </c>
      <c r="Q127" s="9" t="s">
        <v>171</v>
      </c>
      <c r="R127" s="9" t="s">
        <v>172</v>
      </c>
      <c r="S127" s="9" t="s">
        <v>173</v>
      </c>
      <c r="T127" s="9" t="s">
        <v>174</v>
      </c>
      <c r="U127" s="9" t="s">
        <v>175</v>
      </c>
      <c r="V127" s="9" t="s">
        <v>176</v>
      </c>
      <c r="W127" s="9" t="s">
        <v>177</v>
      </c>
      <c r="X127" s="9" t="s">
        <v>178</v>
      </c>
      <c r="Y127" s="9" t="s">
        <v>179</v>
      </c>
      <c r="Z127" s="9" t="s">
        <v>180</v>
      </c>
      <c r="AA127" s="9" t="s">
        <v>181</v>
      </c>
      <c r="AB127" s="9" t="s">
        <v>182</v>
      </c>
      <c r="AC127" s="9" t="s">
        <v>183</v>
      </c>
      <c r="AD127" s="9" t="s">
        <v>184</v>
      </c>
      <c r="AE127" s="9" t="s">
        <v>185</v>
      </c>
      <c r="AF127" s="9" t="s">
        <v>186</v>
      </c>
      <c r="AG127" s="9">
        <v>2021</v>
      </c>
      <c r="AH127" s="9">
        <v>2022</v>
      </c>
      <c r="AI127" s="158"/>
      <c r="AJ127" s="158"/>
      <c r="AK127" s="158"/>
    </row>
    <row r="128" spans="2:41" ht="14" x14ac:dyDescent="0.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I128" s="159"/>
      <c r="AJ128" s="159"/>
      <c r="AK128" s="159"/>
    </row>
    <row r="129" spans="2:42" ht="14" x14ac:dyDescent="0.2">
      <c r="C129" s="116">
        <v>1</v>
      </c>
      <c r="E129" s="41" t="s">
        <v>430</v>
      </c>
      <c r="F129" s="41"/>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4"/>
      <c r="AH129" s="44"/>
      <c r="AI129" s="160"/>
      <c r="AJ129" s="161"/>
      <c r="AK129" s="161"/>
      <c r="AO129" s="71"/>
      <c r="AP129" s="5"/>
    </row>
    <row r="130" spans="2:42" ht="14" x14ac:dyDescent="0.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I130" s="159"/>
      <c r="AJ130" s="159"/>
      <c r="AK130" s="159"/>
    </row>
    <row r="131" spans="2:42" ht="11.25" customHeight="1" x14ac:dyDescent="0.2">
      <c r="B131"/>
      <c r="E131" s="32" t="s">
        <v>338</v>
      </c>
      <c r="AB131" s="25">
        <f>200.7+13.3</f>
        <v>214</v>
      </c>
      <c r="AC131" s="25">
        <f>208+13.2</f>
        <v>221.2</v>
      </c>
      <c r="AD131" s="25">
        <f>213.1+13.4</f>
        <v>226.5</v>
      </c>
      <c r="AE131" s="25">
        <f>218.1+13.6</f>
        <v>231.7</v>
      </c>
      <c r="AF131" s="25">
        <f>240.2+13.6</f>
        <v>253.79999999999998</v>
      </c>
      <c r="AG131" s="25">
        <v>279.89999999999998</v>
      </c>
      <c r="AH131" s="25">
        <v>278.59999999999997</v>
      </c>
      <c r="AI131" s="162"/>
      <c r="AJ131" s="162"/>
      <c r="AK131" s="162"/>
    </row>
    <row r="132" spans="2:42" s="17" customFormat="1" ht="11.25" customHeight="1" x14ac:dyDescent="0.2">
      <c r="B132" s="154"/>
      <c r="C132" s="123"/>
      <c r="E132" s="17" t="s">
        <v>450</v>
      </c>
      <c r="AC132" s="156">
        <f>+AC131/AB131-1</f>
        <v>3.3644859813084071E-2</v>
      </c>
      <c r="AD132" s="156">
        <f t="shared" ref="AD132:AH132" si="16">+AD131/AC131-1</f>
        <v>2.3960216998191841E-2</v>
      </c>
      <c r="AE132" s="156">
        <f t="shared" si="16"/>
        <v>2.2958057395143339E-2</v>
      </c>
      <c r="AF132" s="156">
        <f t="shared" si="16"/>
        <v>9.5381959430297814E-2</v>
      </c>
      <c r="AG132" s="156">
        <f t="shared" si="16"/>
        <v>0.10283687943262421</v>
      </c>
      <c r="AH132" s="156">
        <f t="shared" si="16"/>
        <v>-4.6445158985352064E-3</v>
      </c>
      <c r="AI132" s="163"/>
      <c r="AJ132" s="163"/>
      <c r="AK132" s="163"/>
      <c r="AL132" s="155"/>
    </row>
    <row r="133" spans="2:42" ht="11.25" customHeight="1" x14ac:dyDescent="0.2">
      <c r="B133"/>
      <c r="E133" s="32" t="s">
        <v>193</v>
      </c>
      <c r="AB133" s="25">
        <v>49.6</v>
      </c>
      <c r="AC133" s="25">
        <v>50</v>
      </c>
      <c r="AD133" s="25">
        <v>49.9</v>
      </c>
      <c r="AE133" s="25">
        <v>49.9</v>
      </c>
      <c r="AF133" s="25">
        <v>50</v>
      </c>
      <c r="AG133" s="25">
        <v>49.4</v>
      </c>
      <c r="AH133" s="25">
        <v>49.7</v>
      </c>
      <c r="AI133" s="162"/>
      <c r="AJ133" s="162"/>
      <c r="AK133" s="162"/>
    </row>
    <row r="134" spans="2:42" ht="11.25" customHeight="1" x14ac:dyDescent="0.2">
      <c r="B134"/>
      <c r="E134" s="17" t="s">
        <v>450</v>
      </c>
      <c r="AC134" s="156">
        <f>+AC133/AB133-1</f>
        <v>8.0645161290322509E-3</v>
      </c>
      <c r="AD134" s="156">
        <f t="shared" ref="AD134" si="17">+AD133/AC133-1</f>
        <v>-2.0000000000000018E-3</v>
      </c>
      <c r="AE134" s="156">
        <f t="shared" ref="AE134" si="18">+AE133/AD133-1</f>
        <v>0</v>
      </c>
      <c r="AF134" s="156">
        <f t="shared" ref="AF134" si="19">+AF133/AE133-1</f>
        <v>2.0040080160321772E-3</v>
      </c>
      <c r="AG134" s="156">
        <f t="shared" ref="AG134:AH134" si="20">+AG133/AF133-1</f>
        <v>-1.2000000000000011E-2</v>
      </c>
      <c r="AH134" s="156">
        <f t="shared" si="20"/>
        <v>6.0728744939271273E-3</v>
      </c>
      <c r="AI134" s="162"/>
      <c r="AJ134" s="162"/>
      <c r="AK134" s="162"/>
    </row>
    <row r="135" spans="2:42" ht="11.25" customHeight="1" x14ac:dyDescent="0.2">
      <c r="B135"/>
      <c r="E135" s="32" t="s">
        <v>146</v>
      </c>
      <c r="AB135" s="25">
        <f>227.2</f>
        <v>227.2</v>
      </c>
      <c r="AC135" s="25">
        <v>230.7</v>
      </c>
      <c r="AD135" s="25">
        <v>236.5</v>
      </c>
      <c r="AE135" s="25">
        <v>241.3</v>
      </c>
      <c r="AF135" s="25">
        <v>246.1</v>
      </c>
      <c r="AG135" s="25">
        <v>250.4</v>
      </c>
      <c r="AH135" s="25">
        <v>256.60000000000002</v>
      </c>
      <c r="AI135" s="162"/>
      <c r="AJ135" s="162"/>
      <c r="AK135" s="162"/>
    </row>
    <row r="136" spans="2:42" ht="11.25" customHeight="1" x14ac:dyDescent="0.2">
      <c r="B136"/>
      <c r="E136" s="17" t="s">
        <v>450</v>
      </c>
      <c r="AC136" s="156">
        <f>+AC135/AB135-1</f>
        <v>1.5404929577464754E-2</v>
      </c>
      <c r="AD136" s="156">
        <f t="shared" ref="AD136" si="21">+AD135/AC135-1</f>
        <v>2.514087559601208E-2</v>
      </c>
      <c r="AE136" s="156">
        <f t="shared" ref="AE136" si="22">+AE135/AD135-1</f>
        <v>2.0295983086680902E-2</v>
      </c>
      <c r="AF136" s="156">
        <f t="shared" ref="AF136" si="23">+AF135/AE135-1</f>
        <v>1.9892250310816317E-2</v>
      </c>
      <c r="AG136" s="156">
        <f t="shared" ref="AG136:AH136" si="24">+AG135/AF135-1</f>
        <v>1.7472572125152519E-2</v>
      </c>
      <c r="AH136" s="156">
        <f t="shared" si="24"/>
        <v>2.4760383386581486E-2</v>
      </c>
      <c r="AI136" s="162"/>
      <c r="AJ136" s="162"/>
      <c r="AK136" s="162"/>
    </row>
    <row r="137" spans="2:42" ht="11.25" customHeight="1" x14ac:dyDescent="0.2">
      <c r="B137"/>
      <c r="E137" s="17"/>
      <c r="AC137" s="156"/>
      <c r="AD137" s="156"/>
      <c r="AE137" s="156"/>
      <c r="AF137" s="156"/>
      <c r="AG137" s="156"/>
      <c r="AH137" s="156"/>
      <c r="AI137" s="162"/>
      <c r="AJ137" s="162"/>
      <c r="AK137" s="162"/>
    </row>
    <row r="138" spans="2:42" ht="14" x14ac:dyDescent="0.2">
      <c r="C138" s="116">
        <f>+C129+1</f>
        <v>2</v>
      </c>
      <c r="E138" s="41" t="s">
        <v>339</v>
      </c>
      <c r="F138" s="41"/>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4"/>
      <c r="AH138" s="44"/>
      <c r="AI138" s="160"/>
      <c r="AJ138" s="161"/>
      <c r="AK138" s="161"/>
      <c r="AO138" s="71"/>
      <c r="AP138" s="5"/>
    </row>
    <row r="139" spans="2:42" ht="11.25" customHeight="1" x14ac:dyDescent="0.2">
      <c r="E139" s="74"/>
      <c r="AB139" s="10"/>
      <c r="AC139" s="10"/>
      <c r="AD139" s="10"/>
      <c r="AE139" s="10"/>
      <c r="AF139" s="10"/>
      <c r="AG139" s="10"/>
      <c r="AH139" s="10"/>
      <c r="AI139" s="162"/>
      <c r="AJ139" s="162"/>
      <c r="AK139" s="162"/>
    </row>
    <row r="140" spans="2:42" ht="11.25" customHeight="1" x14ac:dyDescent="0.2">
      <c r="E140" s="32" t="s">
        <v>338</v>
      </c>
      <c r="AB140" s="53">
        <f>+AB86+AB113</f>
        <v>219255</v>
      </c>
      <c r="AC140" s="53">
        <f t="shared" ref="AC140:AF140" si="25">+AC86+AC113</f>
        <v>225455</v>
      </c>
      <c r="AD140" s="53">
        <f t="shared" si="25"/>
        <v>230845</v>
      </c>
      <c r="AE140" s="53">
        <f t="shared" si="25"/>
        <v>236870</v>
      </c>
      <c r="AF140" s="53">
        <f t="shared" si="25"/>
        <v>254363</v>
      </c>
      <c r="AG140" s="53">
        <f>+AF140*(1+AG141)</f>
        <v>280520.89716312056</v>
      </c>
      <c r="AH140" s="53">
        <f>+AG140*(1+AH141)</f>
        <v>279218.01339637511</v>
      </c>
      <c r="AI140" s="162"/>
      <c r="AJ140" s="162"/>
      <c r="AK140" s="162"/>
    </row>
    <row r="141" spans="2:42" s="17" customFormat="1" ht="11.25" customHeight="1" x14ac:dyDescent="0.2">
      <c r="B141" s="154"/>
      <c r="C141" s="123"/>
      <c r="E141" s="17" t="s">
        <v>450</v>
      </c>
      <c r="AC141" s="156">
        <f>+AC140/AB140-1</f>
        <v>2.8277576338053834E-2</v>
      </c>
      <c r="AD141" s="156">
        <f t="shared" ref="AD141" si="26">+AD140/AC140-1</f>
        <v>2.3907209864496348E-2</v>
      </c>
      <c r="AE141" s="156">
        <f t="shared" ref="AE141" si="27">+AE140/AD140-1</f>
        <v>2.6099763910849338E-2</v>
      </c>
      <c r="AF141" s="156">
        <f t="shared" ref="AF141" si="28">+AF140/AE140-1</f>
        <v>7.3850635369612005E-2</v>
      </c>
      <c r="AG141" s="157">
        <f>+AG132</f>
        <v>0.10283687943262421</v>
      </c>
      <c r="AH141" s="157">
        <f>+AH132</f>
        <v>-4.6445158985352064E-3</v>
      </c>
      <c r="AI141" s="163"/>
      <c r="AJ141" s="163"/>
      <c r="AK141" s="163"/>
      <c r="AL141" s="155"/>
    </row>
    <row r="142" spans="2:42" ht="11.25" customHeight="1" x14ac:dyDescent="0.2">
      <c r="E142" s="32" t="s">
        <v>193</v>
      </c>
      <c r="AB142" s="53">
        <f>+AB116</f>
        <v>41421</v>
      </c>
      <c r="AC142" s="53">
        <f t="shared" ref="AC142:AF142" si="29">+AC116</f>
        <v>41801</v>
      </c>
      <c r="AD142" s="53">
        <f t="shared" si="29"/>
        <v>41859</v>
      </c>
      <c r="AE142" s="53">
        <f t="shared" si="29"/>
        <v>41810</v>
      </c>
      <c r="AF142" s="53">
        <f t="shared" si="29"/>
        <v>42816</v>
      </c>
      <c r="AG142" s="53">
        <f>+AF142*(1+AG143)</f>
        <v>42302.207999999999</v>
      </c>
      <c r="AH142" s="53">
        <f>+AG142*(1+AH143)</f>
        <v>42559.103999999999</v>
      </c>
      <c r="AI142" s="162"/>
      <c r="AJ142" s="162"/>
      <c r="AK142" s="162"/>
    </row>
    <row r="143" spans="2:42" s="17" customFormat="1" ht="11.25" customHeight="1" x14ac:dyDescent="0.2">
      <c r="B143" s="154"/>
      <c r="C143" s="123"/>
      <c r="E143" s="17" t="s">
        <v>450</v>
      </c>
      <c r="AC143" s="156">
        <f>+AC142/AB142-1</f>
        <v>9.1740904372177301E-3</v>
      </c>
      <c r="AD143" s="156">
        <f t="shared" ref="AD143" si="30">+AD142/AC142-1</f>
        <v>1.3875266141958331E-3</v>
      </c>
      <c r="AE143" s="156">
        <f t="shared" ref="AE143" si="31">+AE142/AD142-1</f>
        <v>-1.1705965264340312E-3</v>
      </c>
      <c r="AF143" s="156">
        <f t="shared" ref="AF143" si="32">+AF142/AE142-1</f>
        <v>2.4061229370963888E-2</v>
      </c>
      <c r="AG143" s="157">
        <f>+AG134</f>
        <v>-1.2000000000000011E-2</v>
      </c>
      <c r="AH143" s="157">
        <f>+AH134</f>
        <v>6.0728744939271273E-3</v>
      </c>
      <c r="AI143" s="163"/>
      <c r="AJ143" s="163"/>
      <c r="AK143" s="163"/>
      <c r="AL143" s="155"/>
    </row>
    <row r="144" spans="2:42" ht="11.25" customHeight="1" x14ac:dyDescent="0.2">
      <c r="E144" s="32" t="s">
        <v>146</v>
      </c>
      <c r="F144" s="5"/>
      <c r="AB144" s="53">
        <f>+AB114+AB115</f>
        <v>279297</v>
      </c>
      <c r="AC144" s="53">
        <f t="shared" ref="AC144:AF144" si="33">+AC114+AC115</f>
        <v>284107</v>
      </c>
      <c r="AD144" s="53">
        <f t="shared" si="33"/>
        <v>290213</v>
      </c>
      <c r="AE144" s="53">
        <f t="shared" si="33"/>
        <v>296469</v>
      </c>
      <c r="AF144" s="53">
        <f t="shared" si="33"/>
        <v>302018</v>
      </c>
      <c r="AG144" s="53">
        <f>+AF144*(1+AG145)</f>
        <v>307295.03128809429</v>
      </c>
      <c r="AH144" s="53">
        <f>+AG144*(1+AH145)</f>
        <v>314903.77407557907</v>
      </c>
    </row>
    <row r="145" spans="2:38" s="17" customFormat="1" ht="11.25" customHeight="1" x14ac:dyDescent="0.2">
      <c r="B145" s="154"/>
      <c r="C145" s="123"/>
      <c r="E145" s="17" t="s">
        <v>450</v>
      </c>
      <c r="AC145" s="156">
        <f>+AC144/AB144-1</f>
        <v>1.7221810474154831E-2</v>
      </c>
      <c r="AD145" s="156">
        <f t="shared" ref="AD145" si="34">+AD144/AC144-1</f>
        <v>2.1491902698631105E-2</v>
      </c>
      <c r="AE145" s="156">
        <f t="shared" ref="AE145" si="35">+AE144/AD144-1</f>
        <v>2.155658085612977E-2</v>
      </c>
      <c r="AF145" s="156">
        <f t="shared" ref="AF145" si="36">+AF144/AE144-1</f>
        <v>1.871696534882239E-2</v>
      </c>
      <c r="AG145" s="157">
        <f>+AG136</f>
        <v>1.7472572125152519E-2</v>
      </c>
      <c r="AH145" s="157">
        <f>+AH136</f>
        <v>2.4760383386581486E-2</v>
      </c>
      <c r="AL145" s="155"/>
    </row>
  </sheetData>
  <phoneticPr fontId="7"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42B81-E169-7549-B9DE-6C33C72CF06C}">
  <sheetPr codeName="Sheet7">
    <tabColor theme="4"/>
  </sheetPr>
  <dimension ref="A2:AF168"/>
  <sheetViews>
    <sheetView showGridLines="0" view="pageBreakPreview" zoomScaleNormal="130" zoomScaleSheetLayoutView="100" workbookViewId="0"/>
  </sheetViews>
  <sheetFormatPr baseColWidth="10" defaultColWidth="10.83203125" defaultRowHeight="13" x14ac:dyDescent="0.15"/>
  <cols>
    <col min="1" max="1" width="3.1640625" style="64" customWidth="1"/>
    <col min="2" max="3" width="3.1640625" style="2" customWidth="1"/>
    <col min="4" max="4" width="3.1640625" style="64" customWidth="1"/>
    <col min="5" max="5" width="38.1640625" style="64" customWidth="1"/>
    <col min="6" max="6" width="30.5" style="64" customWidth="1"/>
    <col min="7" max="8" width="15.5" style="64" bestFit="1" customWidth="1"/>
    <col min="9" max="14" width="10.5" style="64" customWidth="1"/>
    <col min="15" max="15" width="2.6640625" style="64" customWidth="1"/>
    <col min="16" max="16384" width="10.83203125" style="64"/>
  </cols>
  <sheetData>
    <row r="2" spans="1:32" s="2" customFormat="1" ht="25" x14ac:dyDescent="0.25">
      <c r="C2" s="132" t="s">
        <v>386</v>
      </c>
      <c r="E2" s="4"/>
      <c r="G2" s="3"/>
      <c r="K2" s="12"/>
      <c r="L2" s="12"/>
      <c r="M2" s="12"/>
      <c r="N2" s="12"/>
      <c r="O2" s="12"/>
      <c r="P2" s="12"/>
      <c r="Q2" s="12"/>
      <c r="R2" s="12"/>
      <c r="S2" s="12"/>
      <c r="T2" s="12"/>
      <c r="U2" s="12"/>
      <c r="V2" s="12"/>
      <c r="W2" s="12"/>
      <c r="X2" s="12"/>
      <c r="Y2" s="12"/>
      <c r="Z2" s="12"/>
      <c r="AA2" s="12"/>
      <c r="AB2" s="12"/>
      <c r="AC2" s="12"/>
      <c r="AD2" s="12"/>
      <c r="AE2" s="12"/>
      <c r="AF2" s="12"/>
    </row>
    <row r="3" spans="1:32" ht="15" x14ac:dyDescent="0.2">
      <c r="O3"/>
      <c r="P3"/>
      <c r="Q3"/>
      <c r="R3"/>
    </row>
    <row r="4" spans="1:32" ht="15" x14ac:dyDescent="0.2">
      <c r="O4"/>
      <c r="P4"/>
      <c r="Q4"/>
      <c r="R4"/>
    </row>
    <row r="5" spans="1:32" s="75" customFormat="1" ht="15" x14ac:dyDescent="0.2">
      <c r="A5" s="2"/>
      <c r="B5" s="2"/>
      <c r="C5" s="116">
        <v>0</v>
      </c>
      <c r="E5" s="41" t="s">
        <v>392</v>
      </c>
      <c r="F5" s="44"/>
      <c r="G5" s="44"/>
      <c r="H5" s="44"/>
      <c r="I5" s="44"/>
      <c r="J5" s="44"/>
      <c r="K5" s="44"/>
      <c r="L5" s="44"/>
      <c r="M5" s="44"/>
      <c r="N5" s="44"/>
      <c r="O5"/>
      <c r="P5"/>
      <c r="Q5"/>
      <c r="R5"/>
      <c r="S5"/>
      <c r="T5"/>
      <c r="U5"/>
      <c r="V5"/>
      <c r="W5"/>
      <c r="X5"/>
      <c r="Y5"/>
    </row>
    <row r="6" spans="1:32" ht="15" x14ac:dyDescent="0.2">
      <c r="E6" s="141" t="s">
        <v>401</v>
      </c>
      <c r="F6" s="141"/>
      <c r="G6" s="141"/>
      <c r="H6" s="141"/>
      <c r="I6" s="141"/>
      <c r="J6" s="141"/>
      <c r="K6" s="141"/>
      <c r="L6" s="141"/>
      <c r="M6" s="141"/>
      <c r="N6" s="141"/>
      <c r="O6"/>
      <c r="P6"/>
      <c r="Q6"/>
      <c r="R6"/>
    </row>
    <row r="7" spans="1:32" ht="15" x14ac:dyDescent="0.2">
      <c r="E7" s="141" t="s">
        <v>402</v>
      </c>
      <c r="F7" s="141"/>
      <c r="G7" s="141"/>
      <c r="H7" s="141"/>
      <c r="I7" s="141"/>
      <c r="J7" s="141"/>
      <c r="K7" s="141"/>
      <c r="L7" s="141"/>
      <c r="M7" s="141"/>
      <c r="N7" s="141"/>
      <c r="O7"/>
      <c r="P7"/>
      <c r="Q7"/>
      <c r="R7"/>
    </row>
    <row r="8" spans="1:32" ht="15" x14ac:dyDescent="0.2">
      <c r="E8" s="141" t="s">
        <v>403</v>
      </c>
      <c r="F8" s="141"/>
      <c r="G8" s="141"/>
      <c r="H8" s="141"/>
      <c r="I8" s="141"/>
      <c r="J8" s="141"/>
      <c r="K8" s="141"/>
      <c r="L8" s="141"/>
      <c r="M8" s="141"/>
      <c r="N8" s="141"/>
      <c r="O8"/>
      <c r="P8"/>
      <c r="Q8"/>
      <c r="R8"/>
    </row>
    <row r="9" spans="1:32" ht="15" x14ac:dyDescent="0.2">
      <c r="E9" s="152" t="s">
        <v>458</v>
      </c>
      <c r="F9" s="141"/>
      <c r="G9" s="141"/>
      <c r="H9" s="141"/>
      <c r="I9" s="141"/>
      <c r="J9" s="141"/>
      <c r="K9" s="141"/>
      <c r="L9" s="141"/>
      <c r="M9" s="141"/>
      <c r="N9" s="141"/>
      <c r="O9"/>
      <c r="P9"/>
      <c r="Q9"/>
      <c r="R9"/>
    </row>
    <row r="10" spans="1:32" ht="15" x14ac:dyDescent="0.2">
      <c r="E10" s="152" t="s">
        <v>445</v>
      </c>
      <c r="F10" s="141"/>
      <c r="G10" s="141"/>
      <c r="H10" s="141"/>
      <c r="I10" s="141"/>
      <c r="J10" s="141"/>
      <c r="K10" s="141"/>
      <c r="L10" s="141"/>
      <c r="M10" s="141"/>
      <c r="N10" s="141"/>
      <c r="O10"/>
      <c r="P10"/>
      <c r="Q10"/>
      <c r="R10"/>
    </row>
    <row r="11" spans="1:32" ht="15" x14ac:dyDescent="0.2">
      <c r="E11" s="141" t="s">
        <v>404</v>
      </c>
      <c r="F11" s="141"/>
      <c r="G11" s="141"/>
      <c r="H11" s="141"/>
      <c r="I11" s="141"/>
      <c r="J11" s="141"/>
      <c r="K11" s="141"/>
      <c r="L11" s="141"/>
      <c r="M11" s="141"/>
      <c r="N11" s="141"/>
      <c r="O11"/>
      <c r="P11"/>
      <c r="Q11"/>
      <c r="R11"/>
    </row>
    <row r="12" spans="1:32" ht="15" x14ac:dyDescent="0.2">
      <c r="E12" s="141"/>
      <c r="F12" s="141"/>
      <c r="G12" s="141"/>
      <c r="H12" s="141"/>
      <c r="I12" s="141"/>
      <c r="J12" s="141"/>
      <c r="K12" s="141"/>
      <c r="L12" s="141"/>
      <c r="M12" s="141"/>
      <c r="N12" s="141"/>
      <c r="O12"/>
      <c r="P12"/>
      <c r="Q12"/>
      <c r="R12"/>
    </row>
    <row r="13" spans="1:32" ht="15" x14ac:dyDescent="0.2">
      <c r="E13" s="141" t="s">
        <v>405</v>
      </c>
      <c r="F13" s="141"/>
      <c r="G13" s="141"/>
      <c r="H13" s="141"/>
      <c r="I13" s="141"/>
      <c r="J13" s="141"/>
      <c r="K13" s="141"/>
      <c r="L13" s="141"/>
      <c r="M13" s="141"/>
      <c r="N13" s="141"/>
      <c r="O13"/>
      <c r="P13"/>
      <c r="Q13"/>
      <c r="R13"/>
    </row>
    <row r="14" spans="1:32" ht="15" x14ac:dyDescent="0.2">
      <c r="E14" s="152" t="s">
        <v>459</v>
      </c>
      <c r="F14" s="141"/>
      <c r="G14" s="141"/>
      <c r="H14" s="141"/>
      <c r="I14" s="141"/>
      <c r="J14" s="141"/>
      <c r="K14" s="141"/>
      <c r="L14" s="141"/>
      <c r="M14" s="141"/>
      <c r="N14" s="141"/>
      <c r="O14"/>
      <c r="P14"/>
      <c r="Q14"/>
      <c r="R14"/>
    </row>
    <row r="15" spans="1:32" ht="15" x14ac:dyDescent="0.2">
      <c r="E15" s="141" t="s">
        <v>406</v>
      </c>
      <c r="F15" s="141"/>
      <c r="G15" s="141"/>
      <c r="H15" s="141"/>
      <c r="I15" s="141"/>
      <c r="J15" s="141"/>
      <c r="K15" s="141"/>
      <c r="L15" s="141"/>
      <c r="M15" s="141"/>
      <c r="N15" s="141"/>
      <c r="O15"/>
      <c r="P15"/>
      <c r="Q15"/>
      <c r="R15"/>
    </row>
    <row r="16" spans="1:32" ht="15" x14ac:dyDescent="0.2">
      <c r="E16" s="141" t="s">
        <v>407</v>
      </c>
      <c r="F16" s="141"/>
      <c r="G16" s="141"/>
      <c r="H16" s="141"/>
      <c r="I16" s="141"/>
      <c r="J16" s="141"/>
      <c r="K16" s="141"/>
      <c r="L16" s="141"/>
      <c r="M16" s="141"/>
      <c r="N16" s="141"/>
      <c r="O16"/>
      <c r="P16"/>
      <c r="Q16"/>
      <c r="R16"/>
    </row>
    <row r="17" spans="5:18" ht="15" x14ac:dyDescent="0.2">
      <c r="E17" s="141"/>
      <c r="F17" s="141"/>
      <c r="G17" s="141"/>
      <c r="H17" s="141"/>
      <c r="I17" s="141"/>
      <c r="J17" s="141"/>
      <c r="K17" s="141"/>
      <c r="L17" s="141"/>
      <c r="M17" s="141"/>
      <c r="N17" s="141"/>
      <c r="O17"/>
      <c r="P17"/>
      <c r="Q17"/>
      <c r="R17"/>
    </row>
    <row r="18" spans="5:18" ht="15" x14ac:dyDescent="0.2">
      <c r="E18" s="152" t="s">
        <v>446</v>
      </c>
      <c r="F18" s="141"/>
      <c r="G18" s="141"/>
      <c r="H18" s="141"/>
      <c r="I18" s="141"/>
      <c r="J18" s="141"/>
      <c r="K18" s="141"/>
      <c r="L18" s="141"/>
      <c r="M18" s="141"/>
      <c r="N18" s="141"/>
      <c r="O18"/>
      <c r="P18"/>
      <c r="Q18"/>
      <c r="R18"/>
    </row>
    <row r="19" spans="5:18" ht="15" x14ac:dyDescent="0.2">
      <c r="E19" s="152" t="s">
        <v>447</v>
      </c>
      <c r="F19" s="141"/>
      <c r="G19" s="141"/>
      <c r="H19" s="141"/>
      <c r="I19" s="141"/>
      <c r="J19" s="141"/>
      <c r="K19" s="141"/>
      <c r="L19" s="141"/>
      <c r="M19" s="141"/>
      <c r="N19" s="141"/>
      <c r="O19"/>
      <c r="P19"/>
      <c r="Q19"/>
      <c r="R19"/>
    </row>
    <row r="20" spans="5:18" ht="15" x14ac:dyDescent="0.2">
      <c r="E20" s="141"/>
      <c r="F20" s="141"/>
      <c r="G20" s="141"/>
      <c r="H20" s="141"/>
      <c r="I20" s="141"/>
      <c r="J20" s="141"/>
      <c r="K20" s="141"/>
      <c r="L20" s="141"/>
      <c r="M20" s="141"/>
      <c r="N20" s="141"/>
      <c r="O20"/>
      <c r="P20"/>
      <c r="Q20"/>
      <c r="R20"/>
    </row>
    <row r="21" spans="5:18" ht="15" x14ac:dyDescent="0.2">
      <c r="E21" s="141" t="s">
        <v>408</v>
      </c>
      <c r="F21" s="141"/>
      <c r="G21" s="141"/>
      <c r="H21" s="141"/>
      <c r="I21" s="141"/>
      <c r="J21" s="141"/>
      <c r="K21" s="141"/>
      <c r="L21" s="141"/>
      <c r="M21" s="141"/>
      <c r="N21" s="141"/>
      <c r="O21"/>
      <c r="P21"/>
      <c r="Q21"/>
      <c r="R21"/>
    </row>
    <row r="22" spans="5:18" ht="15" x14ac:dyDescent="0.2">
      <c r="E22" s="152" t="s">
        <v>409</v>
      </c>
      <c r="F22" s="141"/>
      <c r="G22" s="141"/>
      <c r="H22" s="141"/>
      <c r="I22" s="141"/>
      <c r="J22" s="141"/>
      <c r="K22" s="141"/>
      <c r="L22" s="141"/>
      <c r="M22" s="141"/>
      <c r="N22" s="141"/>
      <c r="O22"/>
      <c r="P22"/>
      <c r="Q22"/>
      <c r="R22"/>
    </row>
    <row r="23" spans="5:18" ht="15" x14ac:dyDescent="0.2">
      <c r="E23" s="131"/>
      <c r="F23" s="141"/>
      <c r="G23" s="141"/>
      <c r="H23" s="141"/>
      <c r="I23" s="141"/>
      <c r="J23" s="141"/>
      <c r="K23" s="141"/>
      <c r="L23" s="141"/>
      <c r="M23" s="141"/>
      <c r="N23" s="141"/>
      <c r="O23"/>
      <c r="P23"/>
      <c r="Q23"/>
      <c r="R23"/>
    </row>
    <row r="24" spans="5:18" ht="15" x14ac:dyDescent="0.2">
      <c r="O24"/>
      <c r="P24"/>
      <c r="Q24"/>
      <c r="R24"/>
    </row>
    <row r="25" spans="5:18" ht="15" x14ac:dyDescent="0.2">
      <c r="O25"/>
      <c r="P25"/>
      <c r="Q25"/>
      <c r="R25"/>
    </row>
    <row r="27" spans="5:18" x14ac:dyDescent="0.15">
      <c r="E27" s="8" t="s">
        <v>359</v>
      </c>
      <c r="F27" s="9" t="s">
        <v>358</v>
      </c>
      <c r="G27" s="61" t="s">
        <v>357</v>
      </c>
      <c r="H27" s="61" t="s">
        <v>357</v>
      </c>
      <c r="I27" s="9">
        <v>2019</v>
      </c>
      <c r="J27" s="9">
        <v>2020</v>
      </c>
      <c r="K27" s="9">
        <v>2021</v>
      </c>
      <c r="L27" s="9">
        <v>2022</v>
      </c>
      <c r="M27" s="9" t="s">
        <v>360</v>
      </c>
      <c r="N27" s="9" t="s">
        <v>361</v>
      </c>
    </row>
    <row r="28" spans="5:18" s="2" customFormat="1" x14ac:dyDescent="0.15"/>
    <row r="29" spans="5:18" s="32" customFormat="1" x14ac:dyDescent="0.15">
      <c r="E29" s="36" t="s">
        <v>1</v>
      </c>
      <c r="F29" s="36"/>
      <c r="G29" s="36"/>
      <c r="H29" s="36"/>
      <c r="I29" s="69">
        <f t="shared" ref="I29:N29" si="0">SUM(I33,I49,I62,I67,I77,I86,I93,I111,I123,I130:I131,I137:I168,I118,I108,I103,I81,I55,I44,I40)</f>
        <v>422.79850662299998</v>
      </c>
      <c r="J29" s="69">
        <f t="shared" si="0"/>
        <v>488.6529056149999</v>
      </c>
      <c r="K29" s="69">
        <f t="shared" si="0"/>
        <v>508.03948261599987</v>
      </c>
      <c r="L29" s="69">
        <f t="shared" si="0"/>
        <v>518.83681714700003</v>
      </c>
      <c r="M29" s="69">
        <f t="shared" si="0"/>
        <v>474.29993611800006</v>
      </c>
      <c r="N29" s="69">
        <f t="shared" si="0"/>
        <v>44.536881029</v>
      </c>
    </row>
    <row r="30" spans="5:18" s="2" customFormat="1" x14ac:dyDescent="0.15"/>
    <row r="31" spans="5:18" x14ac:dyDescent="0.15">
      <c r="E31" s="64" t="s">
        <v>197</v>
      </c>
      <c r="F31" s="64" t="s">
        <v>2</v>
      </c>
      <c r="G31" s="110"/>
      <c r="H31" s="110"/>
      <c r="I31" s="66">
        <v>0</v>
      </c>
      <c r="J31" s="66">
        <v>0</v>
      </c>
      <c r="K31" s="66">
        <v>0</v>
      </c>
      <c r="L31" s="65">
        <f t="shared" ref="L31:L61" si="1">M31+N31</f>
        <v>133.97909889600001</v>
      </c>
      <c r="M31" s="66">
        <v>130.60797600000001</v>
      </c>
      <c r="N31" s="66">
        <v>3.3711228960000001</v>
      </c>
    </row>
    <row r="32" spans="5:18" x14ac:dyDescent="0.15">
      <c r="E32" s="64" t="s">
        <v>198</v>
      </c>
      <c r="F32" s="64" t="s">
        <v>2</v>
      </c>
      <c r="G32" s="110"/>
      <c r="H32" s="110"/>
      <c r="I32" s="66">
        <v>106.753199</v>
      </c>
      <c r="J32" s="66">
        <v>108.53776518399999</v>
      </c>
      <c r="K32" s="66">
        <v>112.219751</v>
      </c>
      <c r="L32" s="65">
        <f t="shared" si="1"/>
        <v>116.44558382700001</v>
      </c>
      <c r="M32" s="66">
        <v>114.877712</v>
      </c>
      <c r="N32" s="66">
        <v>1.5678718270000001</v>
      </c>
    </row>
    <row r="33" spans="5:14" x14ac:dyDescent="0.15">
      <c r="E33" s="64" t="s">
        <v>199</v>
      </c>
      <c r="F33" s="64" t="s">
        <v>2</v>
      </c>
      <c r="G33" s="110"/>
      <c r="H33" s="110"/>
      <c r="I33" s="66">
        <v>72.715649530999997</v>
      </c>
      <c r="J33" s="66">
        <v>73.968615807999996</v>
      </c>
      <c r="K33" s="66">
        <v>75.924857501999995</v>
      </c>
      <c r="L33" s="65">
        <f t="shared" si="1"/>
        <v>77.899045966999992</v>
      </c>
      <c r="M33" s="66">
        <v>77.795752359999994</v>
      </c>
      <c r="N33" s="66">
        <v>0.103293607</v>
      </c>
    </row>
    <row r="34" spans="5:14" x14ac:dyDescent="0.15">
      <c r="E34" s="64" t="s">
        <v>199</v>
      </c>
      <c r="F34" s="64" t="s">
        <v>200</v>
      </c>
      <c r="G34" s="111" t="s">
        <v>127</v>
      </c>
      <c r="H34" s="110"/>
      <c r="I34" s="66">
        <v>33.204043329999998</v>
      </c>
      <c r="J34" s="66">
        <v>33.452153140999997</v>
      </c>
      <c r="K34" s="66">
        <v>34.088996842</v>
      </c>
      <c r="L34" s="65">
        <f t="shared" si="1"/>
        <v>34.607592881999999</v>
      </c>
      <c r="M34" s="66">
        <v>34.607592881999999</v>
      </c>
      <c r="N34" s="66">
        <v>0</v>
      </c>
    </row>
    <row r="35" spans="5:14" x14ac:dyDescent="0.15">
      <c r="E35" s="64" t="s">
        <v>199</v>
      </c>
      <c r="F35" s="64" t="s">
        <v>201</v>
      </c>
      <c r="G35" s="111" t="s">
        <v>125</v>
      </c>
      <c r="H35" s="110"/>
      <c r="I35" s="66">
        <v>22.549359706000001</v>
      </c>
      <c r="J35" s="66">
        <v>23.101341184999999</v>
      </c>
      <c r="K35" s="66">
        <v>23.655984963000002</v>
      </c>
      <c r="L35" s="65">
        <f t="shared" si="1"/>
        <v>24.204655055</v>
      </c>
      <c r="M35" s="66">
        <v>24.204655055</v>
      </c>
      <c r="N35" s="66">
        <v>0</v>
      </c>
    </row>
    <row r="36" spans="5:14" x14ac:dyDescent="0.15">
      <c r="E36" s="64" t="s">
        <v>199</v>
      </c>
      <c r="F36" s="64" t="s">
        <v>202</v>
      </c>
      <c r="G36" s="111" t="s">
        <v>127</v>
      </c>
      <c r="H36" s="111" t="s">
        <v>125</v>
      </c>
      <c r="I36" s="66">
        <v>7.6267299829999997</v>
      </c>
      <c r="J36" s="66">
        <v>7.7216236330000001</v>
      </c>
      <c r="K36" s="66">
        <v>7.7662037829999999</v>
      </c>
      <c r="L36" s="65">
        <f t="shared" si="1"/>
        <v>7.9969787099999996</v>
      </c>
      <c r="M36" s="66">
        <v>7.9969787099999996</v>
      </c>
      <c r="N36" s="66">
        <v>0</v>
      </c>
    </row>
    <row r="37" spans="5:14" x14ac:dyDescent="0.15">
      <c r="E37" s="64" t="s">
        <v>199</v>
      </c>
      <c r="F37" s="64" t="s">
        <v>203</v>
      </c>
      <c r="G37" s="111" t="s">
        <v>135</v>
      </c>
      <c r="H37" s="110"/>
      <c r="I37" s="66">
        <v>5.6389282600000001</v>
      </c>
      <c r="J37" s="66">
        <v>6.0412198029999997</v>
      </c>
      <c r="K37" s="66">
        <v>6.4283071090000004</v>
      </c>
      <c r="L37" s="65">
        <f t="shared" si="1"/>
        <v>6.9508201250000008</v>
      </c>
      <c r="M37" s="66">
        <v>6.8598144440000004</v>
      </c>
      <c r="N37" s="66">
        <v>9.1005681000000005E-2</v>
      </c>
    </row>
    <row r="38" spans="5:14" x14ac:dyDescent="0.15">
      <c r="E38" s="64" t="s">
        <v>199</v>
      </c>
      <c r="F38" s="64" t="s">
        <v>204</v>
      </c>
      <c r="G38" s="111" t="s">
        <v>135</v>
      </c>
      <c r="H38" s="110"/>
      <c r="I38" s="66">
        <v>2.2639384260000002</v>
      </c>
      <c r="J38" s="66">
        <v>2.1880464750000002</v>
      </c>
      <c r="K38" s="66">
        <v>2.5013543989999998</v>
      </c>
      <c r="L38" s="65">
        <f t="shared" si="1"/>
        <v>2.5995525150000001</v>
      </c>
      <c r="M38" s="66">
        <v>2.5995525150000001</v>
      </c>
      <c r="N38" s="66">
        <v>0</v>
      </c>
    </row>
    <row r="39" spans="5:14" x14ac:dyDescent="0.15">
      <c r="E39" s="64" t="s">
        <v>199</v>
      </c>
      <c r="F39" s="64" t="s">
        <v>205</v>
      </c>
      <c r="G39" s="111" t="s">
        <v>131</v>
      </c>
      <c r="H39" s="110"/>
      <c r="I39" s="66">
        <v>1.432649826</v>
      </c>
      <c r="J39" s="66">
        <v>1.464231571</v>
      </c>
      <c r="K39" s="66">
        <v>1.4840104059999999</v>
      </c>
      <c r="L39" s="65">
        <f t="shared" si="1"/>
        <v>1.53944668</v>
      </c>
      <c r="M39" s="66">
        <v>1.527158754</v>
      </c>
      <c r="N39" s="66">
        <v>1.2287925999999999E-2</v>
      </c>
    </row>
    <row r="40" spans="5:14" x14ac:dyDescent="0.15">
      <c r="E40" s="64" t="s">
        <v>206</v>
      </c>
      <c r="F40" s="64" t="s">
        <v>2</v>
      </c>
      <c r="G40" s="110"/>
      <c r="H40" s="110"/>
      <c r="I40" s="66">
        <v>59.021169831000002</v>
      </c>
      <c r="J40" s="66">
        <v>59.549296151999997</v>
      </c>
      <c r="K40" s="66">
        <v>60.224620397999999</v>
      </c>
      <c r="L40" s="65">
        <f t="shared" si="1"/>
        <v>62.253799060999995</v>
      </c>
      <c r="M40" s="66">
        <v>60.976026617999999</v>
      </c>
      <c r="N40" s="66">
        <v>1.2777724429999999</v>
      </c>
    </row>
    <row r="41" spans="5:14" x14ac:dyDescent="0.15">
      <c r="E41" s="64" t="s">
        <v>206</v>
      </c>
      <c r="F41" s="2" t="s">
        <v>309</v>
      </c>
      <c r="G41" s="111" t="s">
        <v>145</v>
      </c>
      <c r="H41" s="110"/>
      <c r="I41" s="67">
        <v>55.347656573000002</v>
      </c>
      <c r="J41" s="67">
        <v>55.967083832999997</v>
      </c>
      <c r="K41" s="67">
        <v>56.743594000000002</v>
      </c>
      <c r="L41" s="65">
        <f t="shared" si="1"/>
        <v>58.818192547999999</v>
      </c>
      <c r="M41" s="67">
        <v>57.584662000000002</v>
      </c>
      <c r="N41" s="66">
        <v>1.2335305480000001</v>
      </c>
    </row>
    <row r="42" spans="5:14" x14ac:dyDescent="0.15">
      <c r="E42" s="64" t="s">
        <v>206</v>
      </c>
      <c r="F42" s="2" t="s">
        <v>310</v>
      </c>
      <c r="G42" s="111" t="s">
        <v>145</v>
      </c>
      <c r="H42" s="110"/>
      <c r="I42" s="67">
        <v>1.92149167</v>
      </c>
      <c r="J42" s="67">
        <v>1.9248166799999999</v>
      </c>
      <c r="K42" s="67">
        <v>1.937512398</v>
      </c>
      <c r="L42" s="65">
        <f t="shared" si="1"/>
        <v>1.9750297130000001</v>
      </c>
      <c r="M42" s="67">
        <v>1.930787818</v>
      </c>
      <c r="N42" s="66">
        <v>4.4241895000000003E-2</v>
      </c>
    </row>
    <row r="43" spans="5:14" x14ac:dyDescent="0.15">
      <c r="E43" s="64" t="s">
        <v>206</v>
      </c>
      <c r="F43" s="2" t="s">
        <v>311</v>
      </c>
      <c r="G43" s="111" t="s">
        <v>145</v>
      </c>
      <c r="H43" s="110"/>
      <c r="I43" s="67">
        <v>1.7520215880000001</v>
      </c>
      <c r="J43" s="67">
        <v>1.657395639</v>
      </c>
      <c r="K43" s="67">
        <v>1.5435140000000001</v>
      </c>
      <c r="L43" s="65">
        <f t="shared" si="1"/>
        <v>1.4605767999999999</v>
      </c>
      <c r="M43" s="67">
        <v>1.4605767999999999</v>
      </c>
      <c r="N43" s="66">
        <v>0</v>
      </c>
    </row>
    <row r="44" spans="5:14" x14ac:dyDescent="0.15">
      <c r="E44" s="64" t="s">
        <v>22</v>
      </c>
      <c r="F44" s="64" t="s">
        <v>2</v>
      </c>
      <c r="G44" s="110"/>
      <c r="H44" s="110"/>
      <c r="I44" s="66">
        <v>44.865963295999997</v>
      </c>
      <c r="J44" s="66">
        <v>46.675579272999997</v>
      </c>
      <c r="K44" s="66">
        <v>47.695358495999997</v>
      </c>
      <c r="L44" s="65">
        <f t="shared" si="1"/>
        <v>49.860756674000001</v>
      </c>
      <c r="M44" s="66">
        <v>49.560470314</v>
      </c>
      <c r="N44" s="66">
        <v>0.30028635999999997</v>
      </c>
    </row>
    <row r="45" spans="5:14" x14ac:dyDescent="0.15">
      <c r="E45" s="64" t="s">
        <v>22</v>
      </c>
      <c r="F45" s="2" t="s">
        <v>312</v>
      </c>
      <c r="G45" s="112" t="s">
        <v>23</v>
      </c>
      <c r="H45" s="110"/>
      <c r="I45" s="67">
        <v>23.152790975999999</v>
      </c>
      <c r="J45" s="67">
        <v>21.970811283</v>
      </c>
      <c r="K45" s="67">
        <v>22.030293473</v>
      </c>
      <c r="L45" s="65">
        <f t="shared" si="1"/>
        <v>22.527489985999999</v>
      </c>
      <c r="M45" s="67">
        <v>22.479544385000001</v>
      </c>
      <c r="N45" s="66">
        <v>4.7945600999999997E-2</v>
      </c>
    </row>
    <row r="46" spans="5:14" x14ac:dyDescent="0.15">
      <c r="E46" s="64" t="s">
        <v>22</v>
      </c>
      <c r="F46" s="2" t="s">
        <v>313</v>
      </c>
      <c r="G46" s="112" t="s">
        <v>23</v>
      </c>
      <c r="H46" s="110"/>
      <c r="I46" s="67">
        <v>10.826908875999999</v>
      </c>
      <c r="J46" s="67">
        <v>12.623360859</v>
      </c>
      <c r="K46" s="67">
        <v>13.643004449999999</v>
      </c>
      <c r="L46" s="65">
        <f t="shared" si="1"/>
        <v>14.705904181999999</v>
      </c>
      <c r="M46" s="67">
        <v>14.503563422999999</v>
      </c>
      <c r="N46" s="66">
        <v>0.20234075900000001</v>
      </c>
    </row>
    <row r="47" spans="5:14" x14ac:dyDescent="0.15">
      <c r="E47" s="64" t="s">
        <v>22</v>
      </c>
      <c r="F47" s="2" t="s">
        <v>314</v>
      </c>
      <c r="G47" s="112" t="s">
        <v>23</v>
      </c>
      <c r="H47" s="110"/>
      <c r="I47" s="67">
        <v>9.4271970459999999</v>
      </c>
      <c r="J47" s="67">
        <v>10.540000142</v>
      </c>
      <c r="K47" s="67">
        <v>10.337253835</v>
      </c>
      <c r="L47" s="65">
        <f t="shared" si="1"/>
        <v>10.798927056</v>
      </c>
      <c r="M47" s="67">
        <v>10.798927056</v>
      </c>
      <c r="N47" s="66">
        <v>0</v>
      </c>
    </row>
    <row r="48" spans="5:14" x14ac:dyDescent="0.15">
      <c r="E48" s="64" t="s">
        <v>22</v>
      </c>
      <c r="F48" s="2" t="s">
        <v>315</v>
      </c>
      <c r="G48" s="112" t="s">
        <v>31</v>
      </c>
      <c r="H48" s="110"/>
      <c r="I48" s="67">
        <v>1.459066398</v>
      </c>
      <c r="J48" s="67">
        <v>1.5414069889999999</v>
      </c>
      <c r="K48" s="67">
        <v>1.684806738</v>
      </c>
      <c r="L48" s="65">
        <f t="shared" si="1"/>
        <v>1.82843545</v>
      </c>
      <c r="M48" s="67">
        <v>1.7784354499999999</v>
      </c>
      <c r="N48" s="66">
        <v>0.05</v>
      </c>
    </row>
    <row r="49" spans="5:14" x14ac:dyDescent="0.15">
      <c r="E49" s="64" t="s">
        <v>207</v>
      </c>
      <c r="F49" s="64" t="s">
        <v>2</v>
      </c>
      <c r="G49" s="110"/>
      <c r="H49" s="110"/>
      <c r="I49" s="66">
        <v>0</v>
      </c>
      <c r="J49" s="66">
        <v>41.819510999999999</v>
      </c>
      <c r="K49" s="66">
        <v>34.352366000000004</v>
      </c>
      <c r="L49" s="65">
        <f t="shared" si="1"/>
        <v>0.2</v>
      </c>
      <c r="M49" s="66">
        <v>0.2</v>
      </c>
      <c r="N49" s="66">
        <v>0</v>
      </c>
    </row>
    <row r="50" spans="5:14" x14ac:dyDescent="0.15">
      <c r="E50" s="64" t="s">
        <v>207</v>
      </c>
      <c r="F50" s="64" t="s">
        <v>208</v>
      </c>
      <c r="G50" s="111" t="s">
        <v>151</v>
      </c>
      <c r="H50" s="110"/>
      <c r="I50" s="66">
        <v>0</v>
      </c>
      <c r="J50" s="66">
        <v>17.806211000000001</v>
      </c>
      <c r="K50" s="66">
        <v>2.6010870000000001</v>
      </c>
      <c r="L50" s="65">
        <f t="shared" si="1"/>
        <v>0</v>
      </c>
      <c r="M50" s="66">
        <v>0</v>
      </c>
      <c r="N50" s="66">
        <v>0</v>
      </c>
    </row>
    <row r="51" spans="5:14" x14ac:dyDescent="0.15">
      <c r="E51" s="64" t="s">
        <v>207</v>
      </c>
      <c r="F51" s="64" t="s">
        <v>209</v>
      </c>
      <c r="G51" s="111" t="s">
        <v>49</v>
      </c>
      <c r="H51" s="110"/>
      <c r="I51" s="66">
        <v>0</v>
      </c>
      <c r="J51" s="66">
        <v>11.8093</v>
      </c>
      <c r="K51" s="66">
        <v>26.771843000000001</v>
      </c>
      <c r="L51" s="65">
        <f t="shared" si="1"/>
        <v>0</v>
      </c>
      <c r="M51" s="66">
        <v>0</v>
      </c>
      <c r="N51" s="66">
        <v>0</v>
      </c>
    </row>
    <row r="52" spans="5:14" x14ac:dyDescent="0.15">
      <c r="E52" s="64" t="s">
        <v>207</v>
      </c>
      <c r="F52" s="64" t="s">
        <v>210</v>
      </c>
      <c r="G52" s="111" t="s">
        <v>49</v>
      </c>
      <c r="H52" s="110"/>
      <c r="I52" s="66">
        <v>0</v>
      </c>
      <c r="J52" s="66">
        <v>8.3040000000000003</v>
      </c>
      <c r="K52" s="66">
        <v>0.671821</v>
      </c>
      <c r="L52" s="65">
        <f t="shared" si="1"/>
        <v>0</v>
      </c>
      <c r="M52" s="66">
        <v>0</v>
      </c>
      <c r="N52" s="66">
        <v>0</v>
      </c>
    </row>
    <row r="53" spans="5:14" x14ac:dyDescent="0.15">
      <c r="E53" s="64" t="s">
        <v>207</v>
      </c>
      <c r="F53" s="64" t="s">
        <v>211</v>
      </c>
      <c r="G53" s="111" t="s">
        <v>49</v>
      </c>
      <c r="H53" s="110"/>
      <c r="I53" s="66">
        <v>0</v>
      </c>
      <c r="J53" s="66">
        <v>3.9</v>
      </c>
      <c r="K53" s="66">
        <v>4</v>
      </c>
      <c r="L53" s="65">
        <f t="shared" si="1"/>
        <v>0</v>
      </c>
      <c r="M53" s="66">
        <v>0</v>
      </c>
      <c r="N53" s="66">
        <v>0</v>
      </c>
    </row>
    <row r="54" spans="5:14" x14ac:dyDescent="0.15">
      <c r="E54" s="64" t="s">
        <v>207</v>
      </c>
      <c r="F54" s="64" t="s">
        <v>212</v>
      </c>
      <c r="G54" s="111" t="s">
        <v>107</v>
      </c>
      <c r="H54" s="110"/>
      <c r="I54" s="66">
        <v>0</v>
      </c>
      <c r="J54" s="66">
        <v>0</v>
      </c>
      <c r="K54" s="66">
        <v>0.30761300000000003</v>
      </c>
      <c r="L54" s="65">
        <f t="shared" si="1"/>
        <v>0.2</v>
      </c>
      <c r="M54" s="66">
        <v>0.2</v>
      </c>
      <c r="N54" s="66">
        <v>0</v>
      </c>
    </row>
    <row r="55" spans="5:14" x14ac:dyDescent="0.15">
      <c r="E55" s="64" t="s">
        <v>213</v>
      </c>
      <c r="F55" s="64" t="s">
        <v>2</v>
      </c>
      <c r="G55" s="110"/>
      <c r="H55" s="110"/>
      <c r="I55" s="66">
        <v>40.585455951999997</v>
      </c>
      <c r="J55" s="66">
        <v>36.230052890000003</v>
      </c>
      <c r="K55" s="66">
        <v>39.246642092999998</v>
      </c>
      <c r="L55" s="65">
        <f t="shared" si="1"/>
        <v>54.955878194</v>
      </c>
      <c r="M55" s="66">
        <v>43.061812431</v>
      </c>
      <c r="N55" s="66">
        <v>11.894065763</v>
      </c>
    </row>
    <row r="56" spans="5:14" x14ac:dyDescent="0.15">
      <c r="E56" s="64" t="s">
        <v>213</v>
      </c>
      <c r="F56" s="2" t="s">
        <v>316</v>
      </c>
      <c r="G56" s="111" t="s">
        <v>17</v>
      </c>
      <c r="H56" s="110"/>
      <c r="I56" s="67">
        <v>40.255859999999998</v>
      </c>
      <c r="J56" s="67">
        <v>35.802169999999997</v>
      </c>
      <c r="K56" s="67">
        <v>36.411000000000001</v>
      </c>
      <c r="L56" s="65">
        <f t="shared" si="1"/>
        <v>49.409000000000006</v>
      </c>
      <c r="M56" s="67">
        <v>37.523000000000003</v>
      </c>
      <c r="N56" s="66">
        <v>11.885999999999999</v>
      </c>
    </row>
    <row r="57" spans="5:14" x14ac:dyDescent="0.15">
      <c r="E57" s="64" t="s">
        <v>213</v>
      </c>
      <c r="F57" s="2" t="s">
        <v>317</v>
      </c>
      <c r="G57" s="112" t="s">
        <v>49</v>
      </c>
      <c r="H57" s="110"/>
      <c r="I57" s="67">
        <v>0.17751341500000001</v>
      </c>
      <c r="J57" s="67">
        <v>0.179405544</v>
      </c>
      <c r="K57" s="67">
        <v>0.18949199999999999</v>
      </c>
      <c r="L57" s="65">
        <f t="shared" si="1"/>
        <v>0.19001385300000001</v>
      </c>
      <c r="M57" s="67">
        <v>0.185645</v>
      </c>
      <c r="N57" s="66">
        <v>4.3688529999999998E-3</v>
      </c>
    </row>
    <row r="58" spans="5:14" x14ac:dyDescent="0.15">
      <c r="E58" s="64" t="s">
        <v>213</v>
      </c>
      <c r="F58" s="2" t="s">
        <v>318</v>
      </c>
      <c r="G58" s="112" t="s">
        <v>49</v>
      </c>
      <c r="H58" s="110"/>
      <c r="I58" s="67">
        <v>2.5035000000000001E-3</v>
      </c>
      <c r="J58" s="67">
        <v>9.8000000000000004E-2</v>
      </c>
      <c r="K58" s="67">
        <v>7.9000000000000001E-2</v>
      </c>
      <c r="L58" s="65">
        <f t="shared" si="1"/>
        <v>5.9279999999999999E-2</v>
      </c>
      <c r="M58" s="67">
        <v>5.7000000000000002E-2</v>
      </c>
      <c r="N58" s="66">
        <v>2.2799999999999999E-3</v>
      </c>
    </row>
    <row r="59" spans="5:14" x14ac:dyDescent="0.15">
      <c r="E59" s="64" t="s">
        <v>213</v>
      </c>
      <c r="F59" s="2" t="s">
        <v>319</v>
      </c>
      <c r="G59" s="112" t="s">
        <v>49</v>
      </c>
      <c r="H59" s="110"/>
      <c r="I59" s="67">
        <v>7.6739070000000006E-2</v>
      </c>
      <c r="J59" s="67">
        <v>9.2669109999999999E-2</v>
      </c>
      <c r="K59" s="67">
        <v>2.5047999999999999</v>
      </c>
      <c r="L59" s="65">
        <f t="shared" si="1"/>
        <v>3.3509090000000001</v>
      </c>
      <c r="M59" s="67">
        <v>3.3509090000000001</v>
      </c>
      <c r="N59" s="66">
        <v>0</v>
      </c>
    </row>
    <row r="60" spans="5:14" x14ac:dyDescent="0.15">
      <c r="E60" s="64" t="s">
        <v>213</v>
      </c>
      <c r="F60" s="2" t="s">
        <v>320</v>
      </c>
      <c r="G60" s="112" t="s">
        <v>49</v>
      </c>
      <c r="H60" s="110"/>
      <c r="I60" s="67">
        <v>7.2839967000000005E-2</v>
      </c>
      <c r="J60" s="67">
        <v>5.7808235999999999E-2</v>
      </c>
      <c r="K60" s="67">
        <v>6.2350093000000002E-2</v>
      </c>
      <c r="L60" s="65">
        <f t="shared" si="1"/>
        <v>6.1625341E-2</v>
      </c>
      <c r="M60" s="67">
        <v>6.0208431E-2</v>
      </c>
      <c r="N60" s="66">
        <v>1.41691E-3</v>
      </c>
    </row>
    <row r="61" spans="5:14" x14ac:dyDescent="0.15">
      <c r="E61" s="64" t="s">
        <v>213</v>
      </c>
      <c r="F61" s="2" t="s">
        <v>321</v>
      </c>
      <c r="G61" s="111" t="s">
        <v>17</v>
      </c>
      <c r="H61" s="110"/>
      <c r="I61" s="67">
        <v>0</v>
      </c>
      <c r="J61" s="67">
        <v>0</v>
      </c>
      <c r="K61" s="67">
        <v>0</v>
      </c>
      <c r="L61" s="65">
        <f t="shared" si="1"/>
        <v>1.8850499999999999</v>
      </c>
      <c r="M61" s="67">
        <v>1.8850499999999999</v>
      </c>
      <c r="N61" s="66">
        <v>0</v>
      </c>
    </row>
    <row r="62" spans="5:14" x14ac:dyDescent="0.15">
      <c r="E62" s="64" t="s">
        <v>214</v>
      </c>
      <c r="F62" s="64" t="s">
        <v>2</v>
      </c>
      <c r="G62" s="110"/>
      <c r="H62" s="110"/>
      <c r="I62" s="66">
        <v>24.710614367000002</v>
      </c>
      <c r="J62" s="66">
        <v>29.019153565</v>
      </c>
      <c r="K62" s="66">
        <v>26.119131631999998</v>
      </c>
      <c r="L62" s="65">
        <f t="shared" ref="L62:L81" si="2">M62+N62</f>
        <v>29.367327997</v>
      </c>
      <c r="M62" s="66">
        <v>27.605527106</v>
      </c>
      <c r="N62" s="66">
        <v>1.761800891</v>
      </c>
    </row>
    <row r="63" spans="5:14" x14ac:dyDescent="0.15">
      <c r="E63" s="64" t="s">
        <v>214</v>
      </c>
      <c r="F63" s="64" t="s">
        <v>215</v>
      </c>
      <c r="G63" s="111" t="s">
        <v>143</v>
      </c>
      <c r="H63" s="110"/>
      <c r="I63" s="66">
        <v>11.239269084</v>
      </c>
      <c r="J63" s="66">
        <v>14.590787322000001</v>
      </c>
      <c r="K63" s="66">
        <v>12.38483351</v>
      </c>
      <c r="L63" s="65">
        <f t="shared" si="2"/>
        <v>13.430933271000001</v>
      </c>
      <c r="M63" s="66">
        <v>13.238511794000001</v>
      </c>
      <c r="N63" s="66">
        <v>0.19242147700000001</v>
      </c>
    </row>
    <row r="64" spans="5:14" x14ac:dyDescent="0.15">
      <c r="E64" s="64" t="s">
        <v>214</v>
      </c>
      <c r="F64" s="64" t="s">
        <v>216</v>
      </c>
      <c r="G64" s="111" t="s">
        <v>155</v>
      </c>
      <c r="H64" s="110"/>
      <c r="I64" s="66">
        <v>11.99493036</v>
      </c>
      <c r="J64" s="66">
        <v>13.067164392</v>
      </c>
      <c r="K64" s="66">
        <v>12.533579227000001</v>
      </c>
      <c r="L64" s="65">
        <f t="shared" si="2"/>
        <v>14.702579048</v>
      </c>
      <c r="M64" s="66">
        <v>13.141894990000001</v>
      </c>
      <c r="N64" s="66">
        <v>1.5606840580000001</v>
      </c>
    </row>
    <row r="65" spans="5:14" x14ac:dyDescent="0.15">
      <c r="E65" s="64" t="s">
        <v>214</v>
      </c>
      <c r="F65" s="64" t="s">
        <v>217</v>
      </c>
      <c r="G65" s="112" t="s">
        <v>107</v>
      </c>
      <c r="H65" s="110"/>
      <c r="I65" s="66">
        <v>1.4465648440000001</v>
      </c>
      <c r="J65" s="66">
        <v>1.3246885049999999</v>
      </c>
      <c r="K65" s="66">
        <v>1.159223355</v>
      </c>
      <c r="L65" s="65">
        <f t="shared" si="2"/>
        <v>1.1832062679999999</v>
      </c>
      <c r="M65" s="66">
        <v>1.1745109119999999</v>
      </c>
      <c r="N65" s="66">
        <v>8.6953559999999996E-3</v>
      </c>
    </row>
    <row r="66" spans="5:14" x14ac:dyDescent="0.15">
      <c r="E66" s="64" t="s">
        <v>214</v>
      </c>
      <c r="F66" s="64" t="s">
        <v>219</v>
      </c>
      <c r="G66" s="111" t="s">
        <v>155</v>
      </c>
      <c r="H66" s="110"/>
      <c r="I66" s="66">
        <v>2.9850079000000002E-2</v>
      </c>
      <c r="J66" s="66">
        <v>3.6513346000000002E-2</v>
      </c>
      <c r="K66" s="66">
        <v>4.1495539999999997E-2</v>
      </c>
      <c r="L66" s="65">
        <f t="shared" si="2"/>
        <v>5.0609410000000001E-2</v>
      </c>
      <c r="M66" s="66">
        <v>5.0609410000000001E-2</v>
      </c>
      <c r="N66" s="66">
        <v>0</v>
      </c>
    </row>
    <row r="67" spans="5:14" x14ac:dyDescent="0.15">
      <c r="E67" s="64" t="s">
        <v>220</v>
      </c>
      <c r="F67" s="64" t="s">
        <v>2</v>
      </c>
      <c r="G67" s="110"/>
      <c r="H67" s="110"/>
      <c r="I67" s="66">
        <v>27.964029077999999</v>
      </c>
      <c r="J67" s="66">
        <v>28.747552106000001</v>
      </c>
      <c r="K67" s="66">
        <v>28.487901021999999</v>
      </c>
      <c r="L67" s="65">
        <f t="shared" si="2"/>
        <v>29.470263449000001</v>
      </c>
      <c r="M67" s="66">
        <v>29.235554134000001</v>
      </c>
      <c r="N67" s="66">
        <v>0.234709315</v>
      </c>
    </row>
    <row r="68" spans="5:14" x14ac:dyDescent="0.15">
      <c r="E68" s="64" t="s">
        <v>220</v>
      </c>
      <c r="F68" s="64" t="s">
        <v>221</v>
      </c>
      <c r="G68" s="111" t="s">
        <v>131</v>
      </c>
      <c r="H68" s="110"/>
      <c r="I68" s="66">
        <v>13.517711265000001</v>
      </c>
      <c r="J68" s="66">
        <v>13.676212105999999</v>
      </c>
      <c r="K68" s="66">
        <v>14.01175089</v>
      </c>
      <c r="L68" s="65">
        <f t="shared" si="2"/>
        <v>14.240335668</v>
      </c>
      <c r="M68" s="66">
        <v>14.210335668000001</v>
      </c>
      <c r="N68" s="66">
        <v>0.03</v>
      </c>
    </row>
    <row r="69" spans="5:14" x14ac:dyDescent="0.15">
      <c r="E69" s="64" t="s">
        <v>220</v>
      </c>
      <c r="F69" s="64" t="s">
        <v>222</v>
      </c>
      <c r="G69" s="111" t="s">
        <v>11</v>
      </c>
      <c r="H69" s="110"/>
      <c r="I69" s="66">
        <v>6.8519075809999999</v>
      </c>
      <c r="J69" s="66">
        <v>6.9032956219999999</v>
      </c>
      <c r="K69" s="66">
        <v>7.1631393970000001</v>
      </c>
      <c r="L69" s="65">
        <f t="shared" si="2"/>
        <v>7.5633851999999999</v>
      </c>
      <c r="M69" s="66">
        <v>7.4833851999999998</v>
      </c>
      <c r="N69" s="66">
        <v>0.08</v>
      </c>
    </row>
    <row r="70" spans="5:14" x14ac:dyDescent="0.15">
      <c r="E70" s="64" t="s">
        <v>220</v>
      </c>
      <c r="F70" s="64" t="s">
        <v>223</v>
      </c>
      <c r="G70" s="111" t="s">
        <v>135</v>
      </c>
      <c r="H70" s="110"/>
      <c r="I70" s="66">
        <v>2.6657460529999999</v>
      </c>
      <c r="J70" s="66">
        <v>3.0048203070000001</v>
      </c>
      <c r="K70" s="66">
        <v>2.90085039</v>
      </c>
      <c r="L70" s="65">
        <f t="shared" si="2"/>
        <v>3.1656055640000003</v>
      </c>
      <c r="M70" s="66">
        <v>3.0799603900000001</v>
      </c>
      <c r="N70" s="66">
        <v>8.5645174000000004E-2</v>
      </c>
    </row>
    <row r="71" spans="5:14" x14ac:dyDescent="0.15">
      <c r="E71" s="64" t="s">
        <v>220</v>
      </c>
      <c r="F71" s="64" t="s">
        <v>224</v>
      </c>
      <c r="G71" s="111" t="s">
        <v>63</v>
      </c>
      <c r="H71" s="110"/>
      <c r="I71" s="66">
        <v>1.8108617</v>
      </c>
      <c r="J71" s="66">
        <v>1.8744902999999999</v>
      </c>
      <c r="K71" s="66">
        <v>1.6358861</v>
      </c>
      <c r="L71" s="65">
        <f t="shared" si="2"/>
        <v>1.745503595</v>
      </c>
      <c r="M71" s="66">
        <v>1.72912171</v>
      </c>
      <c r="N71" s="66">
        <v>1.6381884999999999E-2</v>
      </c>
    </row>
    <row r="72" spans="5:14" x14ac:dyDescent="0.15">
      <c r="E72" s="64" t="s">
        <v>220</v>
      </c>
      <c r="F72" s="64" t="s">
        <v>225</v>
      </c>
      <c r="G72" s="111" t="s">
        <v>53</v>
      </c>
      <c r="H72" s="110"/>
      <c r="I72" s="66">
        <v>1.7079968679999999</v>
      </c>
      <c r="J72" s="66">
        <v>1.8269583069999999</v>
      </c>
      <c r="K72" s="66">
        <v>1.7583711099999999</v>
      </c>
      <c r="L72" s="65">
        <f t="shared" si="2"/>
        <v>1.674387182</v>
      </c>
      <c r="M72" s="66">
        <v>1.6622872</v>
      </c>
      <c r="N72" s="66">
        <v>1.2099982E-2</v>
      </c>
    </row>
    <row r="73" spans="5:14" x14ac:dyDescent="0.15">
      <c r="E73" s="64" t="s">
        <v>220</v>
      </c>
      <c r="F73" s="64" t="s">
        <v>226</v>
      </c>
      <c r="G73" s="111" t="s">
        <v>63</v>
      </c>
      <c r="H73" s="110"/>
      <c r="I73" s="66">
        <v>0.83677514900000005</v>
      </c>
      <c r="J73" s="66">
        <v>0.88963921899999998</v>
      </c>
      <c r="K73" s="66">
        <v>0.65399512299999996</v>
      </c>
      <c r="L73" s="65">
        <f t="shared" si="2"/>
        <v>0.69963246400000001</v>
      </c>
      <c r="M73" s="66">
        <v>0.69248545299999997</v>
      </c>
      <c r="N73" s="66">
        <v>7.147011E-3</v>
      </c>
    </row>
    <row r="74" spans="5:14" x14ac:dyDescent="0.15">
      <c r="E74" s="64" t="s">
        <v>220</v>
      </c>
      <c r="F74" s="64" t="s">
        <v>227</v>
      </c>
      <c r="G74" s="112" t="s">
        <v>131</v>
      </c>
      <c r="H74" s="110"/>
      <c r="I74" s="66">
        <v>0.34229433799999998</v>
      </c>
      <c r="J74" s="66">
        <v>0.34539748199999998</v>
      </c>
      <c r="K74" s="66">
        <v>0.363908012</v>
      </c>
      <c r="L74" s="65">
        <f t="shared" si="2"/>
        <v>0.38141377600000004</v>
      </c>
      <c r="M74" s="66">
        <v>0.37797851300000002</v>
      </c>
      <c r="N74" s="66">
        <v>3.435263E-3</v>
      </c>
    </row>
    <row r="75" spans="5:14" x14ac:dyDescent="0.15">
      <c r="E75" s="64" t="s">
        <v>220</v>
      </c>
      <c r="F75" s="64" t="s">
        <v>228</v>
      </c>
      <c r="G75" s="111" t="s">
        <v>29</v>
      </c>
      <c r="H75" s="110"/>
      <c r="I75" s="66">
        <v>0.12152768</v>
      </c>
      <c r="J75" s="66">
        <v>0.11851188</v>
      </c>
      <c r="K75" s="66">
        <v>0</v>
      </c>
      <c r="L75" s="65">
        <f t="shared" si="2"/>
        <v>0</v>
      </c>
      <c r="M75" s="66">
        <v>0</v>
      </c>
      <c r="N75" s="66">
        <v>0</v>
      </c>
    </row>
    <row r="76" spans="5:14" x14ac:dyDescent="0.15">
      <c r="E76" s="64" t="s">
        <v>220</v>
      </c>
      <c r="F76" s="64" t="s">
        <v>229</v>
      </c>
      <c r="G76" s="111" t="s">
        <v>113</v>
      </c>
      <c r="H76" s="110"/>
      <c r="I76" s="66">
        <v>0.109208444</v>
      </c>
      <c r="J76" s="66">
        <v>0.108226883</v>
      </c>
      <c r="K76" s="66">
        <v>0</v>
      </c>
      <c r="L76" s="65">
        <f t="shared" si="2"/>
        <v>0</v>
      </c>
      <c r="M76" s="66">
        <v>0</v>
      </c>
      <c r="N76" s="66">
        <v>0</v>
      </c>
    </row>
    <row r="77" spans="5:14" x14ac:dyDescent="0.15">
      <c r="E77" s="64" t="s">
        <v>230</v>
      </c>
      <c r="F77" s="64" t="s">
        <v>2</v>
      </c>
      <c r="G77" s="110"/>
      <c r="H77" s="110"/>
      <c r="I77" s="66">
        <v>0</v>
      </c>
      <c r="J77" s="66">
        <v>0</v>
      </c>
      <c r="K77" s="66">
        <v>21.991953110000001</v>
      </c>
      <c r="L77" s="65">
        <f t="shared" si="2"/>
        <v>12.90588902</v>
      </c>
      <c r="M77" s="66">
        <v>12.90588902</v>
      </c>
      <c r="N77" s="66">
        <v>0</v>
      </c>
    </row>
    <row r="78" spans="5:14" x14ac:dyDescent="0.15">
      <c r="E78" s="64" t="s">
        <v>230</v>
      </c>
      <c r="F78" s="64" t="s">
        <v>231</v>
      </c>
      <c r="G78" s="111" t="s">
        <v>49</v>
      </c>
      <c r="H78" s="110"/>
      <c r="I78" s="66">
        <v>0</v>
      </c>
      <c r="J78" s="66">
        <v>0</v>
      </c>
      <c r="K78" s="66">
        <v>11.410300210000001</v>
      </c>
      <c r="L78" s="65">
        <f t="shared" si="2"/>
        <v>4.4463546599999999</v>
      </c>
      <c r="M78" s="66">
        <v>4.4463546599999999</v>
      </c>
      <c r="N78" s="66">
        <v>0</v>
      </c>
    </row>
    <row r="79" spans="5:14" x14ac:dyDescent="0.15">
      <c r="E79" s="64" t="s">
        <v>230</v>
      </c>
      <c r="F79" s="64" t="s">
        <v>232</v>
      </c>
      <c r="G79" s="111" t="s">
        <v>53</v>
      </c>
      <c r="H79" s="110"/>
      <c r="I79" s="66">
        <v>0</v>
      </c>
      <c r="J79" s="66">
        <v>0</v>
      </c>
      <c r="K79" s="66">
        <v>6.5859750000000004</v>
      </c>
      <c r="L79" s="65">
        <f t="shared" si="2"/>
        <v>5.6968669600000004</v>
      </c>
      <c r="M79" s="66">
        <v>5.6968669600000004</v>
      </c>
      <c r="N79" s="66">
        <v>0</v>
      </c>
    </row>
    <row r="80" spans="5:14" x14ac:dyDescent="0.15">
      <c r="E80" s="64" t="s">
        <v>230</v>
      </c>
      <c r="F80" s="64" t="s">
        <v>233</v>
      </c>
      <c r="G80" s="111" t="s">
        <v>49</v>
      </c>
      <c r="H80" s="110"/>
      <c r="I80" s="66">
        <v>0</v>
      </c>
      <c r="J80" s="66">
        <v>0</v>
      </c>
      <c r="K80" s="66">
        <v>3.9956779</v>
      </c>
      <c r="L80" s="65">
        <f t="shared" si="2"/>
        <v>2.7626674000000002</v>
      </c>
      <c r="M80" s="66">
        <v>2.7626674000000002</v>
      </c>
      <c r="N80" s="66">
        <v>0</v>
      </c>
    </row>
    <row r="81" spans="5:14" x14ac:dyDescent="0.15">
      <c r="E81" s="64" t="s">
        <v>234</v>
      </c>
      <c r="F81" s="64" t="s">
        <v>2</v>
      </c>
      <c r="G81" s="110"/>
      <c r="H81" s="110"/>
      <c r="I81" s="66">
        <v>20.469146815999999</v>
      </c>
      <c r="J81" s="66">
        <v>20.612981015999999</v>
      </c>
      <c r="K81" s="66">
        <v>20.699828402000001</v>
      </c>
      <c r="L81" s="65">
        <f t="shared" si="2"/>
        <v>21.658986215999999</v>
      </c>
      <c r="M81" s="66">
        <v>21.579791858</v>
      </c>
      <c r="N81" s="66">
        <v>7.9194358000000006E-2</v>
      </c>
    </row>
    <row r="82" spans="5:14" x14ac:dyDescent="0.15">
      <c r="E82" s="64" t="s">
        <v>234</v>
      </c>
      <c r="F82" s="2" t="s">
        <v>322</v>
      </c>
      <c r="G82" s="112" t="s">
        <v>35</v>
      </c>
      <c r="H82" s="110"/>
      <c r="I82" s="67">
        <v>10.902957686000001</v>
      </c>
      <c r="J82" s="67">
        <v>10.915888132999999</v>
      </c>
      <c r="K82" s="67">
        <v>11.137815791</v>
      </c>
      <c r="L82" s="65">
        <f t="shared" ref="L82:L85" si="3">M82+N82</f>
        <v>11.676423273999999</v>
      </c>
      <c r="M82" s="67">
        <v>11.636037409</v>
      </c>
      <c r="N82" s="66">
        <v>4.0385865E-2</v>
      </c>
    </row>
    <row r="83" spans="5:14" x14ac:dyDescent="0.15">
      <c r="E83" s="64" t="s">
        <v>234</v>
      </c>
      <c r="F83" s="2" t="s">
        <v>323</v>
      </c>
      <c r="G83" s="112" t="s">
        <v>35</v>
      </c>
      <c r="H83" s="110"/>
      <c r="I83" s="67">
        <v>8.9773775310000001</v>
      </c>
      <c r="J83" s="67">
        <v>9.1003388429999994</v>
      </c>
      <c r="K83" s="67">
        <v>9.0004194749999993</v>
      </c>
      <c r="L83" s="65">
        <f t="shared" si="3"/>
        <v>9.3464336439999993</v>
      </c>
      <c r="M83" s="67">
        <v>9.3211372519999998</v>
      </c>
      <c r="N83" s="66">
        <v>2.5296392000000001E-2</v>
      </c>
    </row>
    <row r="84" spans="5:14" x14ac:dyDescent="0.15">
      <c r="E84" s="64" t="s">
        <v>234</v>
      </c>
      <c r="F84" s="2" t="s">
        <v>324</v>
      </c>
      <c r="G84" s="112" t="s">
        <v>37</v>
      </c>
      <c r="H84" s="110"/>
      <c r="I84" s="67">
        <v>0.54831181299999998</v>
      </c>
      <c r="J84" s="67">
        <v>0.55536155300000001</v>
      </c>
      <c r="K84" s="67">
        <v>0.52040825000000002</v>
      </c>
      <c r="L84" s="65">
        <f t="shared" si="3"/>
        <v>0.58096250500000002</v>
      </c>
      <c r="M84" s="67">
        <v>0.56863016099999997</v>
      </c>
      <c r="N84" s="66">
        <v>1.2332344E-2</v>
      </c>
    </row>
    <row r="85" spans="5:14" x14ac:dyDescent="0.15">
      <c r="E85" s="64" t="s">
        <v>234</v>
      </c>
      <c r="F85" s="2" t="s">
        <v>325</v>
      </c>
      <c r="G85" s="112" t="s">
        <v>45</v>
      </c>
      <c r="H85" s="110"/>
      <c r="I85" s="67">
        <v>4.0499786000000003E-2</v>
      </c>
      <c r="J85" s="67">
        <v>4.1392486999999999E-2</v>
      </c>
      <c r="K85" s="67">
        <v>4.1184885999999997E-2</v>
      </c>
      <c r="L85" s="65">
        <f t="shared" si="3"/>
        <v>5.5166793000000006E-2</v>
      </c>
      <c r="M85" s="67">
        <v>5.3987036000000002E-2</v>
      </c>
      <c r="N85" s="66">
        <v>1.179757E-3</v>
      </c>
    </row>
    <row r="86" spans="5:14" x14ac:dyDescent="0.15">
      <c r="E86" s="64" t="s">
        <v>235</v>
      </c>
      <c r="F86" s="64" t="s">
        <v>2</v>
      </c>
      <c r="G86" s="110"/>
      <c r="H86" s="110"/>
      <c r="I86" s="66">
        <v>17.580011377000002</v>
      </c>
      <c r="J86" s="66">
        <v>17.724671267000002</v>
      </c>
      <c r="K86" s="66">
        <v>15.991414943000001</v>
      </c>
      <c r="L86" s="65">
        <f t="shared" ref="L86:L103" si="4">M86+N86</f>
        <v>17.342066402</v>
      </c>
      <c r="M86" s="66">
        <v>17.127558071999999</v>
      </c>
      <c r="N86" s="66">
        <v>0.21450833</v>
      </c>
    </row>
    <row r="87" spans="5:14" x14ac:dyDescent="0.15">
      <c r="E87" s="64" t="s">
        <v>235</v>
      </c>
      <c r="F87" s="64" t="s">
        <v>236</v>
      </c>
      <c r="G87" s="111" t="s">
        <v>153</v>
      </c>
      <c r="H87" s="110"/>
      <c r="I87" s="66">
        <v>14.06958603</v>
      </c>
      <c r="J87" s="66">
        <v>13.893470195000001</v>
      </c>
      <c r="K87" s="66">
        <v>12.4764</v>
      </c>
      <c r="L87" s="65">
        <f t="shared" si="4"/>
        <v>13.117875367</v>
      </c>
      <c r="M87" s="66">
        <v>13.0794</v>
      </c>
      <c r="N87" s="66">
        <v>3.8475367000000003E-2</v>
      </c>
    </row>
    <row r="88" spans="5:14" x14ac:dyDescent="0.15">
      <c r="E88" s="64" t="s">
        <v>235</v>
      </c>
      <c r="F88" s="64" t="s">
        <v>237</v>
      </c>
      <c r="G88" s="111" t="s">
        <v>153</v>
      </c>
      <c r="H88" s="110"/>
      <c r="I88" s="66">
        <v>2.1157246829999998</v>
      </c>
      <c r="J88" s="66">
        <v>2.4339614319999998</v>
      </c>
      <c r="K88" s="66">
        <v>2.200003857</v>
      </c>
      <c r="L88" s="65">
        <f t="shared" si="4"/>
        <v>2.8118321690000001</v>
      </c>
      <c r="M88" s="66">
        <v>2.6775030000000002</v>
      </c>
      <c r="N88" s="66">
        <v>0.134329169</v>
      </c>
    </row>
    <row r="89" spans="5:14" x14ac:dyDescent="0.15">
      <c r="E89" s="64" t="s">
        <v>235</v>
      </c>
      <c r="F89" s="64" t="s">
        <v>238</v>
      </c>
      <c r="G89" s="111" t="s">
        <v>83</v>
      </c>
      <c r="H89" s="110"/>
      <c r="I89" s="66">
        <v>0.64465270399999997</v>
      </c>
      <c r="J89" s="66">
        <v>0.56507430300000006</v>
      </c>
      <c r="K89" s="66">
        <v>0.51529371599999996</v>
      </c>
      <c r="L89" s="65">
        <f t="shared" si="4"/>
        <v>0.54273991500000007</v>
      </c>
      <c r="M89" s="66">
        <v>0.53027800000000003</v>
      </c>
      <c r="N89" s="66">
        <v>1.2461915E-2</v>
      </c>
    </row>
    <row r="90" spans="5:14" x14ac:dyDescent="0.15">
      <c r="E90" s="64" t="s">
        <v>235</v>
      </c>
      <c r="F90" s="64" t="s">
        <v>239</v>
      </c>
      <c r="G90" s="111" t="s">
        <v>85</v>
      </c>
      <c r="H90" s="110"/>
      <c r="I90" s="66">
        <v>0.47334764600000001</v>
      </c>
      <c r="J90" s="66">
        <v>0.51010725199999996</v>
      </c>
      <c r="K90" s="66">
        <v>0.52835315999999999</v>
      </c>
      <c r="L90" s="65">
        <f t="shared" si="4"/>
        <v>0.57700967000000003</v>
      </c>
      <c r="M90" s="66">
        <v>0.55806819600000002</v>
      </c>
      <c r="N90" s="66">
        <v>1.8941474E-2</v>
      </c>
    </row>
    <row r="91" spans="5:14" x14ac:dyDescent="0.15">
      <c r="E91" s="64" t="s">
        <v>235</v>
      </c>
      <c r="F91" s="64" t="s">
        <v>240</v>
      </c>
      <c r="G91" s="111" t="s">
        <v>85</v>
      </c>
      <c r="H91" s="110"/>
      <c r="I91" s="66">
        <v>0.229283131</v>
      </c>
      <c r="J91" s="66">
        <v>0.26660267999999998</v>
      </c>
      <c r="K91" s="66">
        <v>0.23082150000000001</v>
      </c>
      <c r="L91" s="65">
        <f t="shared" si="4"/>
        <v>0.24814055199999999</v>
      </c>
      <c r="M91" s="66">
        <v>0.24001190999999999</v>
      </c>
      <c r="N91" s="66">
        <v>8.1286420000000002E-3</v>
      </c>
    </row>
    <row r="92" spans="5:14" x14ac:dyDescent="0.15">
      <c r="E92" s="64" t="s">
        <v>235</v>
      </c>
      <c r="F92" s="64" t="s">
        <v>241</v>
      </c>
      <c r="G92" s="111" t="s">
        <v>85</v>
      </c>
      <c r="H92" s="110"/>
      <c r="I92" s="66">
        <v>4.7417183000000002E-2</v>
      </c>
      <c r="J92" s="66">
        <v>5.5455404999999999E-2</v>
      </c>
      <c r="K92" s="66">
        <v>4.0542710000000003E-2</v>
      </c>
      <c r="L92" s="65">
        <f t="shared" si="4"/>
        <v>4.4468728999999999E-2</v>
      </c>
      <c r="M92" s="66">
        <v>4.2296965999999998E-2</v>
      </c>
      <c r="N92" s="66">
        <v>2.1717630000000002E-3</v>
      </c>
    </row>
    <row r="93" spans="5:14" x14ac:dyDescent="0.15">
      <c r="E93" s="64" t="s">
        <v>242</v>
      </c>
      <c r="F93" s="64" t="s">
        <v>2</v>
      </c>
      <c r="G93" s="110"/>
      <c r="H93" s="110"/>
      <c r="I93" s="66">
        <v>14.324897265000001</v>
      </c>
      <c r="J93" s="66">
        <v>16.734821582999999</v>
      </c>
      <c r="K93" s="66">
        <v>20.763082069999999</v>
      </c>
      <c r="L93" s="65">
        <f t="shared" si="4"/>
        <v>27.331999648999997</v>
      </c>
      <c r="M93" s="66">
        <v>21.223923075999998</v>
      </c>
      <c r="N93" s="66">
        <v>6.108076573</v>
      </c>
    </row>
    <row r="94" spans="5:14" x14ac:dyDescent="0.15">
      <c r="E94" s="64" t="s">
        <v>242</v>
      </c>
      <c r="F94" s="64" t="s">
        <v>243</v>
      </c>
      <c r="G94" s="111" t="s">
        <v>57</v>
      </c>
      <c r="H94" s="110"/>
      <c r="I94" s="66">
        <v>5.221777382</v>
      </c>
      <c r="J94" s="66">
        <v>5.9090553840000002</v>
      </c>
      <c r="K94" s="66">
        <v>3.7227523260000002</v>
      </c>
      <c r="L94" s="65">
        <f t="shared" si="4"/>
        <v>3.8990405359999998</v>
      </c>
      <c r="M94" s="66">
        <v>3.839562806</v>
      </c>
      <c r="N94" s="66">
        <v>5.9477729999999999E-2</v>
      </c>
    </row>
    <row r="95" spans="5:14" x14ac:dyDescent="0.15">
      <c r="E95" s="64" t="s">
        <v>242</v>
      </c>
      <c r="F95" s="64" t="s">
        <v>244</v>
      </c>
      <c r="G95" s="111" t="s">
        <v>53</v>
      </c>
      <c r="H95" s="110"/>
      <c r="I95" s="66">
        <v>3.2486104</v>
      </c>
      <c r="J95" s="66">
        <v>2.9740745799999999</v>
      </c>
      <c r="K95" s="66">
        <v>9.149379433</v>
      </c>
      <c r="L95" s="65">
        <f t="shared" si="4"/>
        <v>9.1343746560000003</v>
      </c>
      <c r="M95" s="66">
        <v>8.4493746559999998</v>
      </c>
      <c r="N95" s="66">
        <v>0.68500000000000005</v>
      </c>
    </row>
    <row r="96" spans="5:14" x14ac:dyDescent="0.15">
      <c r="E96" s="64" t="s">
        <v>242</v>
      </c>
      <c r="F96" s="64" t="s">
        <v>245</v>
      </c>
      <c r="G96" s="111" t="s">
        <v>57</v>
      </c>
      <c r="H96" s="110"/>
      <c r="I96" s="66">
        <v>2.9912023759999999</v>
      </c>
      <c r="J96" s="66">
        <v>2.948804773</v>
      </c>
      <c r="K96" s="66">
        <v>2.868937941</v>
      </c>
      <c r="L96" s="65">
        <f t="shared" si="4"/>
        <v>2.9267901860000003</v>
      </c>
      <c r="M96" s="66">
        <v>2.9205768660000002</v>
      </c>
      <c r="N96" s="66">
        <v>6.2133199999999996E-3</v>
      </c>
    </row>
    <row r="97" spans="5:14" x14ac:dyDescent="0.15">
      <c r="E97" s="64" t="s">
        <v>242</v>
      </c>
      <c r="F97" s="64" t="s">
        <v>246</v>
      </c>
      <c r="G97" s="111" t="s">
        <v>53</v>
      </c>
      <c r="H97" s="110"/>
      <c r="I97" s="66">
        <v>1.2271009020000001</v>
      </c>
      <c r="J97" s="66">
        <v>2.8283156649999999</v>
      </c>
      <c r="K97" s="66">
        <v>2.4667588199999999</v>
      </c>
      <c r="L97" s="65">
        <f t="shared" si="4"/>
        <v>8.5175853650000004</v>
      </c>
      <c r="M97" s="66">
        <v>3.1974302200000002</v>
      </c>
      <c r="N97" s="66">
        <v>5.3201551450000002</v>
      </c>
    </row>
    <row r="98" spans="5:14" x14ac:dyDescent="0.15">
      <c r="E98" s="64" t="s">
        <v>242</v>
      </c>
      <c r="F98" s="64" t="s">
        <v>247</v>
      </c>
      <c r="G98" s="111" t="s">
        <v>79</v>
      </c>
      <c r="H98" s="110"/>
      <c r="I98" s="66">
        <v>0.81154447799999996</v>
      </c>
      <c r="J98" s="66">
        <v>0.80465916000000004</v>
      </c>
      <c r="K98" s="66">
        <v>0.99264207400000004</v>
      </c>
      <c r="L98" s="65">
        <f t="shared" si="4"/>
        <v>1.0999045489999999</v>
      </c>
      <c r="M98" s="66">
        <v>1.072609594</v>
      </c>
      <c r="N98" s="66">
        <v>2.7294954999999999E-2</v>
      </c>
    </row>
    <row r="99" spans="5:14" x14ac:dyDescent="0.15">
      <c r="E99" s="64" t="s">
        <v>242</v>
      </c>
      <c r="F99" s="64" t="s">
        <v>248</v>
      </c>
      <c r="G99" s="112" t="s">
        <v>79</v>
      </c>
      <c r="H99" s="110"/>
      <c r="I99" s="66">
        <v>0.50794150100000002</v>
      </c>
      <c r="J99" s="66">
        <v>0.51948890199999997</v>
      </c>
      <c r="K99" s="66">
        <v>0.48067929999999998</v>
      </c>
      <c r="L99" s="65">
        <f t="shared" si="4"/>
        <v>0.47720416499999996</v>
      </c>
      <c r="M99" s="66">
        <v>0.47119139999999998</v>
      </c>
      <c r="N99" s="66">
        <v>6.0127649999999998E-3</v>
      </c>
    </row>
    <row r="100" spans="5:14" x14ac:dyDescent="0.15">
      <c r="E100" s="64" t="s">
        <v>242</v>
      </c>
      <c r="F100" s="64" t="s">
        <v>250</v>
      </c>
      <c r="G100" s="111" t="s">
        <v>57</v>
      </c>
      <c r="H100" s="110"/>
      <c r="I100" s="66">
        <v>0</v>
      </c>
      <c r="J100" s="66">
        <v>0.39996700000000002</v>
      </c>
      <c r="K100" s="66">
        <v>0.69199999999999995</v>
      </c>
      <c r="L100" s="65">
        <f t="shared" si="4"/>
        <v>0.82699999999999996</v>
      </c>
      <c r="M100" s="66">
        <v>0.83599999999999997</v>
      </c>
      <c r="N100" s="66">
        <v>-8.9999999999999993E-3</v>
      </c>
    </row>
    <row r="101" spans="5:14" x14ac:dyDescent="0.15">
      <c r="E101" s="64" t="s">
        <v>242</v>
      </c>
      <c r="F101" s="64" t="s">
        <v>251</v>
      </c>
      <c r="G101" s="111" t="s">
        <v>75</v>
      </c>
      <c r="H101" s="110"/>
      <c r="I101" s="66">
        <v>0.15938987199999999</v>
      </c>
      <c r="J101" s="66">
        <v>0.190549948</v>
      </c>
      <c r="K101" s="66">
        <v>0.230533614</v>
      </c>
      <c r="L101" s="65">
        <f t="shared" si="4"/>
        <v>0.253121137</v>
      </c>
      <c r="M101" s="66">
        <v>0.24435629</v>
      </c>
      <c r="N101" s="66">
        <v>8.7648469999999992E-3</v>
      </c>
    </row>
    <row r="102" spans="5:14" x14ac:dyDescent="0.15">
      <c r="E102" s="64" t="s">
        <v>242</v>
      </c>
      <c r="F102" s="64" t="s">
        <v>252</v>
      </c>
      <c r="G102" s="112" t="s">
        <v>75</v>
      </c>
      <c r="H102" s="110"/>
      <c r="I102" s="66">
        <v>0.15733035400000001</v>
      </c>
      <c r="J102" s="66">
        <v>0.15990617100000001</v>
      </c>
      <c r="K102" s="66">
        <v>0.15939856199999999</v>
      </c>
      <c r="L102" s="65">
        <f t="shared" si="4"/>
        <v>0.19697905500000001</v>
      </c>
      <c r="M102" s="66">
        <v>0.192821244</v>
      </c>
      <c r="N102" s="66">
        <v>4.157811E-3</v>
      </c>
    </row>
    <row r="103" spans="5:14" x14ac:dyDescent="0.15">
      <c r="E103" s="64" t="s">
        <v>253</v>
      </c>
      <c r="F103" s="64" t="s">
        <v>2</v>
      </c>
      <c r="G103" s="110"/>
      <c r="H103" s="110"/>
      <c r="I103" s="66">
        <v>14.192780074</v>
      </c>
      <c r="J103" s="66">
        <v>14.73603387</v>
      </c>
      <c r="K103" s="66">
        <v>13.380935835000001</v>
      </c>
      <c r="L103" s="65">
        <f t="shared" si="4"/>
        <v>16.147870326</v>
      </c>
      <c r="M103" s="66">
        <v>13.402915425</v>
      </c>
      <c r="N103" s="66">
        <v>2.7449549009999998</v>
      </c>
    </row>
    <row r="104" spans="5:14" x14ac:dyDescent="0.15">
      <c r="E104" s="64" t="s">
        <v>253</v>
      </c>
      <c r="F104" s="2" t="s">
        <v>326</v>
      </c>
      <c r="G104" s="111" t="s">
        <v>49</v>
      </c>
      <c r="H104" s="110"/>
      <c r="I104" s="67">
        <v>7.0319493949999998</v>
      </c>
      <c r="J104" s="67">
        <v>7.6628623669999998</v>
      </c>
      <c r="K104" s="67">
        <v>6.1097299200000004</v>
      </c>
      <c r="L104" s="65">
        <f t="shared" ref="L104:L107" si="5">M104+N104</f>
        <v>8.1323079039999993</v>
      </c>
      <c r="M104" s="67">
        <v>5.3892266299999996</v>
      </c>
      <c r="N104" s="66">
        <v>2.7430812740000001</v>
      </c>
    </row>
    <row r="105" spans="5:14" x14ac:dyDescent="0.15">
      <c r="E105" s="64" t="s">
        <v>253</v>
      </c>
      <c r="F105" s="2" t="s">
        <v>327</v>
      </c>
      <c r="G105" s="111" t="s">
        <v>49</v>
      </c>
      <c r="H105" s="110"/>
      <c r="I105" s="67">
        <v>6.4088928620000001</v>
      </c>
      <c r="J105" s="67">
        <v>6.3135174919999999</v>
      </c>
      <c r="K105" s="67">
        <v>6.5538014100000002</v>
      </c>
      <c r="L105" s="65">
        <f t="shared" si="5"/>
        <v>7.2780119000000001</v>
      </c>
      <c r="M105" s="67">
        <v>7.2780119000000001</v>
      </c>
      <c r="N105" s="66">
        <v>0</v>
      </c>
    </row>
    <row r="106" spans="5:14" x14ac:dyDescent="0.15">
      <c r="E106" s="64" t="s">
        <v>253</v>
      </c>
      <c r="F106" s="2" t="s">
        <v>328</v>
      </c>
      <c r="G106" s="111" t="s">
        <v>49</v>
      </c>
      <c r="H106" s="110"/>
      <c r="I106" s="67">
        <v>0.67781066199999995</v>
      </c>
      <c r="J106" s="67">
        <v>0.67689647500000005</v>
      </c>
      <c r="K106" s="67">
        <v>0.62869402500000005</v>
      </c>
      <c r="L106" s="65">
        <f t="shared" si="5"/>
        <v>0.64512511800000005</v>
      </c>
      <c r="M106" s="67">
        <v>0.64325149100000001</v>
      </c>
      <c r="N106" s="66">
        <v>1.8736270000000001E-3</v>
      </c>
    </row>
    <row r="107" spans="5:14" x14ac:dyDescent="0.15">
      <c r="E107" s="64" t="s">
        <v>253</v>
      </c>
      <c r="F107" s="2" t="s">
        <v>329</v>
      </c>
      <c r="G107" s="111" t="s">
        <v>49</v>
      </c>
      <c r="H107" s="110"/>
      <c r="I107" s="67">
        <v>7.4127155E-2</v>
      </c>
      <c r="J107" s="67">
        <v>8.2757536000000007E-2</v>
      </c>
      <c r="K107" s="67">
        <v>8.8710479999999994E-2</v>
      </c>
      <c r="L107" s="65">
        <f t="shared" si="5"/>
        <v>9.2425404000000003E-2</v>
      </c>
      <c r="M107" s="67">
        <v>9.2425404000000003E-2</v>
      </c>
      <c r="N107" s="66">
        <v>0</v>
      </c>
    </row>
    <row r="108" spans="5:14" x14ac:dyDescent="0.15">
      <c r="E108" s="64" t="s">
        <v>254</v>
      </c>
      <c r="F108" s="64" t="s">
        <v>2</v>
      </c>
      <c r="G108" s="110"/>
      <c r="H108" s="110"/>
      <c r="I108" s="66">
        <v>1.1221209000000001</v>
      </c>
      <c r="J108" s="66">
        <v>11.701082207000001</v>
      </c>
      <c r="K108" s="66">
        <v>13.325200000000001</v>
      </c>
      <c r="L108" s="65">
        <f>M108+N108</f>
        <v>7.0469999999999997</v>
      </c>
      <c r="M108" s="66">
        <v>7.0469999999999997</v>
      </c>
      <c r="N108" s="66">
        <v>0</v>
      </c>
    </row>
    <row r="109" spans="5:14" x14ac:dyDescent="0.15">
      <c r="E109" s="64" t="s">
        <v>254</v>
      </c>
      <c r="F109" s="2" t="s">
        <v>330</v>
      </c>
      <c r="G109" s="111" t="s">
        <v>65</v>
      </c>
      <c r="H109" s="110"/>
      <c r="I109" s="67">
        <v>1.1221209000000001</v>
      </c>
      <c r="J109" s="67">
        <v>11.701082207000001</v>
      </c>
      <c r="K109" s="67">
        <v>13.225199999999999</v>
      </c>
      <c r="L109" s="65">
        <f t="shared" ref="L109" si="6">M109+N109</f>
        <v>7.0469999999999997</v>
      </c>
      <c r="M109" s="67">
        <v>7.0469999999999997</v>
      </c>
      <c r="N109" s="66">
        <v>0</v>
      </c>
    </row>
    <row r="110" spans="5:14" x14ac:dyDescent="0.15">
      <c r="E110" s="64" t="s">
        <v>254</v>
      </c>
      <c r="F110" s="2" t="s">
        <v>331</v>
      </c>
      <c r="G110" s="111" t="s">
        <v>17</v>
      </c>
      <c r="H110" s="110"/>
      <c r="I110" s="66">
        <v>0</v>
      </c>
      <c r="J110" s="66">
        <v>0</v>
      </c>
      <c r="K110" s="66">
        <v>0.1</v>
      </c>
      <c r="L110" s="65">
        <f t="shared" ref="L110:L118" si="7">M110+N110</f>
        <v>0</v>
      </c>
      <c r="M110" s="67">
        <f>1.88505-1.88505</f>
        <v>0</v>
      </c>
      <c r="N110" s="66">
        <v>0</v>
      </c>
    </row>
    <row r="111" spans="5:14" x14ac:dyDescent="0.15">
      <c r="E111" s="64" t="s">
        <v>255</v>
      </c>
      <c r="F111" s="64" t="s">
        <v>2</v>
      </c>
      <c r="G111" s="110"/>
      <c r="H111" s="110"/>
      <c r="I111" s="66">
        <v>8.1461582999999997</v>
      </c>
      <c r="J111" s="66">
        <v>10.922973000000001</v>
      </c>
      <c r="K111" s="66">
        <v>11.029574999999999</v>
      </c>
      <c r="L111" s="65">
        <f t="shared" si="7"/>
        <v>11.0564</v>
      </c>
      <c r="M111" s="66">
        <v>11.0564</v>
      </c>
      <c r="N111" s="66">
        <v>0</v>
      </c>
    </row>
    <row r="112" spans="5:14" x14ac:dyDescent="0.15">
      <c r="E112" s="64" t="s">
        <v>255</v>
      </c>
      <c r="F112" s="64" t="s">
        <v>256</v>
      </c>
      <c r="G112" s="111" t="s">
        <v>51</v>
      </c>
      <c r="H112" s="110"/>
      <c r="I112" s="66">
        <v>8.08127</v>
      </c>
      <c r="J112" s="66">
        <v>8.1082099999999997</v>
      </c>
      <c r="K112" s="66">
        <v>10</v>
      </c>
      <c r="L112" s="65">
        <f t="shared" si="7"/>
        <v>10</v>
      </c>
      <c r="M112" s="66">
        <v>10</v>
      </c>
      <c r="N112" s="66">
        <v>0</v>
      </c>
    </row>
    <row r="113" spans="5:14" x14ac:dyDescent="0.15">
      <c r="E113" s="64" t="s">
        <v>255</v>
      </c>
      <c r="F113" s="64" t="s">
        <v>257</v>
      </c>
      <c r="G113" s="111" t="s">
        <v>9</v>
      </c>
      <c r="H113" s="110"/>
      <c r="I113" s="66">
        <v>0</v>
      </c>
      <c r="J113" s="66">
        <v>1.25</v>
      </c>
      <c r="K113" s="66">
        <v>0.760575</v>
      </c>
      <c r="L113" s="65">
        <f t="shared" si="7"/>
        <v>0.70699999999999996</v>
      </c>
      <c r="M113" s="66">
        <v>0.70699999999999996</v>
      </c>
      <c r="N113" s="66">
        <v>0</v>
      </c>
    </row>
    <row r="114" spans="5:14" x14ac:dyDescent="0.15">
      <c r="E114" s="64" t="s">
        <v>255</v>
      </c>
      <c r="F114" s="64" t="s">
        <v>258</v>
      </c>
      <c r="G114" s="111" t="s">
        <v>57</v>
      </c>
      <c r="H114" s="110"/>
      <c r="I114" s="66">
        <v>0</v>
      </c>
      <c r="J114" s="66">
        <v>1.175</v>
      </c>
      <c r="K114" s="66">
        <v>0</v>
      </c>
      <c r="L114" s="65">
        <f t="shared" si="7"/>
        <v>0</v>
      </c>
      <c r="M114" s="66">
        <v>0</v>
      </c>
      <c r="N114" s="66">
        <v>0</v>
      </c>
    </row>
    <row r="115" spans="5:14" x14ac:dyDescent="0.15">
      <c r="E115" s="64" t="s">
        <v>255</v>
      </c>
      <c r="F115" s="64" t="s">
        <v>259</v>
      </c>
      <c r="G115" s="111" t="s">
        <v>61</v>
      </c>
      <c r="H115" s="110"/>
      <c r="I115" s="66">
        <v>0</v>
      </c>
      <c r="J115" s="66">
        <v>0.299763</v>
      </c>
      <c r="K115" s="66">
        <v>0</v>
      </c>
      <c r="L115" s="65">
        <f t="shared" si="7"/>
        <v>0</v>
      </c>
      <c r="M115" s="66">
        <v>0</v>
      </c>
      <c r="N115" s="66">
        <v>0</v>
      </c>
    </row>
    <row r="116" spans="5:14" x14ac:dyDescent="0.15">
      <c r="E116" s="64" t="s">
        <v>255</v>
      </c>
      <c r="F116" s="64" t="s">
        <v>260</v>
      </c>
      <c r="G116" s="111" t="s">
        <v>9</v>
      </c>
      <c r="H116" s="110"/>
      <c r="I116" s="66">
        <v>6.4888299999999996E-2</v>
      </c>
      <c r="J116" s="66">
        <v>0.09</v>
      </c>
      <c r="K116" s="66">
        <v>0.254</v>
      </c>
      <c r="L116" s="65">
        <f t="shared" si="7"/>
        <v>0.33439999999999998</v>
      </c>
      <c r="M116" s="66">
        <v>0.33439999999999998</v>
      </c>
      <c r="N116" s="66">
        <v>0</v>
      </c>
    </row>
    <row r="117" spans="5:14" x14ac:dyDescent="0.15">
      <c r="E117" s="64" t="s">
        <v>255</v>
      </c>
      <c r="F117" s="64" t="s">
        <v>261</v>
      </c>
      <c r="G117" s="111" t="s">
        <v>107</v>
      </c>
      <c r="H117" s="110"/>
      <c r="I117" s="66">
        <v>0</v>
      </c>
      <c r="J117" s="66">
        <v>0</v>
      </c>
      <c r="K117" s="66">
        <v>1.4999999999999999E-2</v>
      </c>
      <c r="L117" s="65">
        <f t="shared" si="7"/>
        <v>1.4999999999999999E-2</v>
      </c>
      <c r="M117" s="66">
        <v>1.4999999999999999E-2</v>
      </c>
      <c r="N117" s="66">
        <v>0</v>
      </c>
    </row>
    <row r="118" spans="5:14" x14ac:dyDescent="0.15">
      <c r="E118" s="64" t="s">
        <v>262</v>
      </c>
      <c r="F118" s="64" t="s">
        <v>2</v>
      </c>
      <c r="G118" s="110"/>
      <c r="H118" s="110"/>
      <c r="I118" s="66">
        <v>10.324716298</v>
      </c>
      <c r="J118" s="66">
        <v>10.226127668</v>
      </c>
      <c r="K118" s="66">
        <v>10.102229473</v>
      </c>
      <c r="L118" s="65">
        <f t="shared" si="7"/>
        <v>10.034103543000001</v>
      </c>
      <c r="M118" s="66">
        <v>10.003144637</v>
      </c>
      <c r="N118" s="66">
        <v>3.0958906000000001E-2</v>
      </c>
    </row>
    <row r="119" spans="5:14" x14ac:dyDescent="0.15">
      <c r="E119" s="64" t="s">
        <v>262</v>
      </c>
      <c r="F119" s="2" t="s">
        <v>332</v>
      </c>
      <c r="G119" s="111" t="s">
        <v>5</v>
      </c>
      <c r="H119" s="110"/>
      <c r="I119" s="67">
        <v>7.6784519419999997</v>
      </c>
      <c r="J119" s="67">
        <v>7.5767239679999996</v>
      </c>
      <c r="K119" s="67">
        <v>7.5912531410000001</v>
      </c>
      <c r="L119" s="65">
        <f t="shared" ref="L119:L121" si="8">M119+N119</f>
        <v>7.5651715450000001</v>
      </c>
      <c r="M119" s="67">
        <v>7.5486215909999999</v>
      </c>
      <c r="N119" s="66">
        <v>1.6549953999999999E-2</v>
      </c>
    </row>
    <row r="120" spans="5:14" x14ac:dyDescent="0.15">
      <c r="E120" s="64" t="s">
        <v>262</v>
      </c>
      <c r="F120" s="2" t="s">
        <v>333</v>
      </c>
      <c r="G120" s="111" t="s">
        <v>5</v>
      </c>
      <c r="H120" s="110"/>
      <c r="I120" s="67">
        <v>1.541737433</v>
      </c>
      <c r="J120" s="67">
        <v>1.5572993049999999</v>
      </c>
      <c r="K120" s="67">
        <v>1.5685207889999999</v>
      </c>
      <c r="L120" s="65">
        <f t="shared" si="8"/>
        <v>1.5754714269999999</v>
      </c>
      <c r="M120" s="67">
        <v>1.5665985149999999</v>
      </c>
      <c r="N120" s="66">
        <v>8.8729120000000002E-3</v>
      </c>
    </row>
    <row r="121" spans="5:14" x14ac:dyDescent="0.15">
      <c r="E121" s="64" t="s">
        <v>262</v>
      </c>
      <c r="F121" s="2" t="s">
        <v>334</v>
      </c>
      <c r="G121" s="111" t="s">
        <v>5</v>
      </c>
      <c r="H121" s="110"/>
      <c r="I121" s="67">
        <v>0.90570442900000003</v>
      </c>
      <c r="J121" s="67">
        <v>0.89372751299999997</v>
      </c>
      <c r="K121" s="67">
        <v>0.94245554300000001</v>
      </c>
      <c r="L121" s="65">
        <f t="shared" si="8"/>
        <v>0.89346057099999998</v>
      </c>
      <c r="M121" s="67">
        <v>0.88792453100000002</v>
      </c>
      <c r="N121" s="66">
        <v>5.5360399999999999E-3</v>
      </c>
    </row>
    <row r="122" spans="5:14" x14ac:dyDescent="0.15">
      <c r="E122" s="64" t="s">
        <v>262</v>
      </c>
      <c r="F122" s="2" t="s">
        <v>335</v>
      </c>
      <c r="G122" s="111" t="s">
        <v>5</v>
      </c>
      <c r="H122" s="110"/>
      <c r="I122" s="67">
        <v>0.19882249399999999</v>
      </c>
      <c r="J122" s="67">
        <v>0.198376882</v>
      </c>
      <c r="K122" s="67">
        <v>0</v>
      </c>
      <c r="L122" s="65">
        <v>0</v>
      </c>
      <c r="M122" s="66">
        <v>0</v>
      </c>
      <c r="N122" s="66">
        <v>0</v>
      </c>
    </row>
    <row r="123" spans="5:14" x14ac:dyDescent="0.15">
      <c r="E123" s="64" t="s">
        <v>195</v>
      </c>
      <c r="F123" s="64" t="s">
        <v>2</v>
      </c>
      <c r="G123" s="110"/>
      <c r="H123" s="110"/>
      <c r="I123" s="66">
        <v>8.9248556600000004</v>
      </c>
      <c r="J123" s="66">
        <v>9.1509774959999994</v>
      </c>
      <c r="K123" s="66">
        <v>10.058185306</v>
      </c>
      <c r="L123" s="65">
        <f t="shared" ref="L123:L168" si="9">M123+N123</f>
        <v>10.860712466000001</v>
      </c>
      <c r="M123" s="66">
        <v>10.741447806</v>
      </c>
      <c r="N123" s="66">
        <v>0.11926465999999999</v>
      </c>
    </row>
    <row r="124" spans="5:14" x14ac:dyDescent="0.15">
      <c r="E124" s="64" t="s">
        <v>195</v>
      </c>
      <c r="F124" s="64" t="s">
        <v>42</v>
      </c>
      <c r="G124" s="111" t="s">
        <v>41</v>
      </c>
      <c r="H124" s="110"/>
      <c r="I124" s="66">
        <v>3.693905097</v>
      </c>
      <c r="J124" s="66">
        <v>3.8634356099999998</v>
      </c>
      <c r="K124" s="66">
        <v>4.2676063700000002</v>
      </c>
      <c r="L124" s="65">
        <f t="shared" si="9"/>
        <v>4.6227217309999995</v>
      </c>
      <c r="M124" s="66">
        <v>4.5840351799999999</v>
      </c>
      <c r="N124" s="66">
        <v>3.8686551E-2</v>
      </c>
    </row>
    <row r="125" spans="5:14" x14ac:dyDescent="0.15">
      <c r="E125" s="64" t="s">
        <v>195</v>
      </c>
      <c r="F125" s="64" t="s">
        <v>263</v>
      </c>
      <c r="G125" s="111" t="s">
        <v>39</v>
      </c>
      <c r="H125" s="110"/>
      <c r="I125" s="66">
        <v>3.4666213610000001</v>
      </c>
      <c r="J125" s="66">
        <v>3.4801102230000001</v>
      </c>
      <c r="K125" s="66">
        <v>3.720778658</v>
      </c>
      <c r="L125" s="65">
        <f t="shared" si="9"/>
        <v>3.8714266209999999</v>
      </c>
      <c r="M125" s="66">
        <v>3.849088745</v>
      </c>
      <c r="N125" s="66">
        <v>2.2337876E-2</v>
      </c>
    </row>
    <row r="126" spans="5:14" x14ac:dyDescent="0.15">
      <c r="E126" s="64" t="s">
        <v>195</v>
      </c>
      <c r="F126" s="64" t="s">
        <v>264</v>
      </c>
      <c r="G126" s="111" t="s">
        <v>39</v>
      </c>
      <c r="H126" s="110"/>
      <c r="I126" s="66">
        <v>0.84893842600000002</v>
      </c>
      <c r="J126" s="66">
        <v>0.86228303399999995</v>
      </c>
      <c r="K126" s="66">
        <v>0.94454235499999994</v>
      </c>
      <c r="L126" s="65">
        <f t="shared" si="9"/>
        <v>1.0239432479999999</v>
      </c>
      <c r="M126" s="66">
        <v>0.98482733099999997</v>
      </c>
      <c r="N126" s="66">
        <v>3.9115917E-2</v>
      </c>
    </row>
    <row r="127" spans="5:14" x14ac:dyDescent="0.15">
      <c r="E127" s="64" t="s">
        <v>195</v>
      </c>
      <c r="F127" s="64" t="s">
        <v>265</v>
      </c>
      <c r="G127" s="111" t="s">
        <v>39</v>
      </c>
      <c r="H127" s="110"/>
      <c r="I127" s="66">
        <v>0.45849944199999998</v>
      </c>
      <c r="J127" s="66">
        <v>0.475701339</v>
      </c>
      <c r="K127" s="66">
        <v>0.53481649200000003</v>
      </c>
      <c r="L127" s="65">
        <f t="shared" si="9"/>
        <v>0.64555384400000004</v>
      </c>
      <c r="M127" s="66">
        <v>0.63820090600000001</v>
      </c>
      <c r="N127" s="66">
        <v>7.3529379999999998E-3</v>
      </c>
    </row>
    <row r="128" spans="5:14" x14ac:dyDescent="0.15">
      <c r="E128" s="64" t="s">
        <v>195</v>
      </c>
      <c r="F128" s="64" t="s">
        <v>266</v>
      </c>
      <c r="G128" s="111" t="s">
        <v>39</v>
      </c>
      <c r="H128" s="110"/>
      <c r="I128" s="66">
        <v>0.45285492900000002</v>
      </c>
      <c r="J128" s="66">
        <v>0.46523226299999998</v>
      </c>
      <c r="K128" s="66">
        <v>0.58517443300000005</v>
      </c>
      <c r="L128" s="65">
        <f t="shared" si="9"/>
        <v>0.69174987099999996</v>
      </c>
      <c r="M128" s="66">
        <v>0.68003234199999996</v>
      </c>
      <c r="N128" s="66">
        <v>1.1717529000000001E-2</v>
      </c>
    </row>
    <row r="129" spans="2:15" x14ac:dyDescent="0.15">
      <c r="E129" s="64" t="s">
        <v>195</v>
      </c>
      <c r="F129" s="64" t="s">
        <v>267</v>
      </c>
      <c r="G129" s="111" t="s">
        <v>39</v>
      </c>
      <c r="H129" s="110"/>
      <c r="I129" s="66">
        <v>4.0364049999999999E-3</v>
      </c>
      <c r="J129" s="66">
        <v>4.2150269999999997E-3</v>
      </c>
      <c r="K129" s="66">
        <v>5.2669980000000002E-3</v>
      </c>
      <c r="L129" s="65">
        <f t="shared" si="9"/>
        <v>5.317151E-3</v>
      </c>
      <c r="M129" s="66">
        <v>5.2633020000000001E-3</v>
      </c>
      <c r="N129" s="66">
        <v>5.3848999999999999E-5</v>
      </c>
    </row>
    <row r="130" spans="2:15" x14ac:dyDescent="0.15">
      <c r="E130" s="64" t="s">
        <v>268</v>
      </c>
      <c r="F130" s="64" t="s">
        <v>268</v>
      </c>
      <c r="G130" s="111" t="s">
        <v>53</v>
      </c>
      <c r="H130" s="110"/>
      <c r="I130" s="66">
        <v>6.7040117879999999</v>
      </c>
      <c r="J130" s="66">
        <v>6.7320560839999999</v>
      </c>
      <c r="K130" s="66">
        <v>0</v>
      </c>
      <c r="L130" s="65">
        <f t="shared" si="9"/>
        <v>0</v>
      </c>
      <c r="M130" s="66">
        <v>0</v>
      </c>
      <c r="N130" s="66">
        <v>0</v>
      </c>
    </row>
    <row r="131" spans="2:15" ht="15" x14ac:dyDescent="0.2">
      <c r="D131"/>
      <c r="E131" s="64" t="s">
        <v>276</v>
      </c>
      <c r="F131" s="64" t="s">
        <v>2</v>
      </c>
      <c r="G131" s="110"/>
      <c r="H131" s="110"/>
      <c r="I131" s="66">
        <v>1.7861386939999999</v>
      </c>
      <c r="J131" s="66">
        <v>2.9196614049999998</v>
      </c>
      <c r="K131" s="66">
        <v>2.6550604409999998</v>
      </c>
      <c r="L131" s="65">
        <f t="shared" si="9"/>
        <v>18.942561748999999</v>
      </c>
      <c r="M131" s="66">
        <v>3.8543085129999999</v>
      </c>
      <c r="N131" s="66">
        <v>15.088253236</v>
      </c>
    </row>
    <row r="132" spans="2:15" x14ac:dyDescent="0.15">
      <c r="E132" s="64" t="s">
        <v>276</v>
      </c>
      <c r="F132" s="64" t="s">
        <v>277</v>
      </c>
      <c r="G132" s="111" t="s">
        <v>49</v>
      </c>
      <c r="H132" s="110"/>
      <c r="I132" s="66">
        <v>0.90233326300000005</v>
      </c>
      <c r="J132" s="66">
        <v>1.862893318</v>
      </c>
      <c r="K132" s="66">
        <v>1.1767313960000001</v>
      </c>
      <c r="L132" s="65">
        <f t="shared" si="9"/>
        <v>3.9573183999999997</v>
      </c>
      <c r="M132" s="66">
        <v>1.6314474699999999</v>
      </c>
      <c r="N132" s="66">
        <v>2.3258709299999998</v>
      </c>
    </row>
    <row r="133" spans="2:15" x14ac:dyDescent="0.15">
      <c r="E133" s="64" t="s">
        <v>276</v>
      </c>
      <c r="F133" s="64" t="s">
        <v>278</v>
      </c>
      <c r="G133" s="111" t="s">
        <v>5</v>
      </c>
      <c r="H133" s="110"/>
      <c r="I133" s="66">
        <v>0.44382601599999999</v>
      </c>
      <c r="J133" s="66">
        <v>0.43482150800000002</v>
      </c>
      <c r="K133" s="66">
        <v>0.43495696499999997</v>
      </c>
      <c r="L133" s="65">
        <f t="shared" si="9"/>
        <v>0.43715254800000003</v>
      </c>
      <c r="M133" s="66">
        <v>0.43551483400000002</v>
      </c>
      <c r="N133" s="66">
        <v>1.637714E-3</v>
      </c>
    </row>
    <row r="134" spans="2:15" x14ac:dyDescent="0.15">
      <c r="E134" s="64" t="s">
        <v>276</v>
      </c>
      <c r="F134" s="64" t="s">
        <v>279</v>
      </c>
      <c r="G134" s="111" t="s">
        <v>5</v>
      </c>
      <c r="H134" s="110"/>
      <c r="I134" s="66">
        <v>0.40997941500000001</v>
      </c>
      <c r="J134" s="66">
        <v>0.39694657900000002</v>
      </c>
      <c r="K134" s="66">
        <v>0.42103708000000001</v>
      </c>
      <c r="L134" s="65">
        <f t="shared" si="9"/>
        <v>0.42375396000000004</v>
      </c>
      <c r="M134" s="66">
        <v>0.41734620900000002</v>
      </c>
      <c r="N134" s="66">
        <v>6.4077509999999997E-3</v>
      </c>
    </row>
    <row r="135" spans="2:15" ht="15" x14ac:dyDescent="0.2">
      <c r="E135" s="64" t="s">
        <v>276</v>
      </c>
      <c r="F135" s="64" t="s">
        <v>281</v>
      </c>
      <c r="G135" s="111" t="s">
        <v>85</v>
      </c>
      <c r="H135" s="110"/>
      <c r="I135" s="66">
        <v>0.03</v>
      </c>
      <c r="J135" s="66">
        <v>0.22500000000000001</v>
      </c>
      <c r="K135" s="66">
        <v>0.62233499999999997</v>
      </c>
      <c r="L135" s="65">
        <f t="shared" si="9"/>
        <v>0.64433684099999999</v>
      </c>
      <c r="M135" s="66">
        <v>0.622</v>
      </c>
      <c r="N135" s="66">
        <v>2.2336841E-2</v>
      </c>
      <c r="O135"/>
    </row>
    <row r="136" spans="2:15" ht="15" x14ac:dyDescent="0.2">
      <c r="E136" s="64" t="s">
        <v>276</v>
      </c>
      <c r="F136" s="64" t="s">
        <v>282</v>
      </c>
      <c r="G136" s="111" t="s">
        <v>65</v>
      </c>
      <c r="H136" s="110"/>
      <c r="I136" s="66">
        <v>0</v>
      </c>
      <c r="J136" s="66">
        <v>0</v>
      </c>
      <c r="K136" s="66">
        <v>0</v>
      </c>
      <c r="L136" s="65">
        <f t="shared" si="9"/>
        <v>13.479999999999999</v>
      </c>
      <c r="M136" s="66">
        <v>0.748</v>
      </c>
      <c r="N136" s="66">
        <v>12.731999999999999</v>
      </c>
      <c r="O136"/>
    </row>
    <row r="137" spans="2:15" s="68" customFormat="1" ht="15" x14ac:dyDescent="0.2">
      <c r="B137" s="2"/>
      <c r="C137" s="2"/>
      <c r="D137" s="64"/>
      <c r="E137" s="64" t="s">
        <v>269</v>
      </c>
      <c r="F137" s="64" t="s">
        <v>269</v>
      </c>
      <c r="G137" s="111" t="s">
        <v>145</v>
      </c>
      <c r="H137" s="110"/>
      <c r="I137" s="66">
        <v>6.1861614200000004</v>
      </c>
      <c r="J137" s="66">
        <v>6.2443518999999998</v>
      </c>
      <c r="K137" s="66">
        <v>6.1533226399999998</v>
      </c>
      <c r="L137" s="65">
        <f t="shared" si="9"/>
        <v>6.2356883390000002</v>
      </c>
      <c r="M137" s="66">
        <v>6.0580516060000003</v>
      </c>
      <c r="N137" s="66">
        <v>0.17763673299999999</v>
      </c>
      <c r="O137"/>
    </row>
    <row r="138" spans="2:15" ht="15" x14ac:dyDescent="0.2">
      <c r="E138" s="64" t="s">
        <v>270</v>
      </c>
      <c r="F138" s="64" t="s">
        <v>270</v>
      </c>
      <c r="G138" s="111" t="s">
        <v>5</v>
      </c>
      <c r="H138" s="110"/>
      <c r="I138" s="66">
        <v>2.825666923</v>
      </c>
      <c r="J138" s="66">
        <v>3.8734900739999998</v>
      </c>
      <c r="K138" s="66">
        <v>4.2110793539999998</v>
      </c>
      <c r="L138" s="65">
        <f t="shared" si="9"/>
        <v>4.4326081070000001</v>
      </c>
      <c r="M138" s="66">
        <v>4.3936692749999997</v>
      </c>
      <c r="N138" s="66">
        <v>3.8938832E-2</v>
      </c>
      <c r="O138"/>
    </row>
    <row r="139" spans="2:15" x14ac:dyDescent="0.15">
      <c r="E139" s="64" t="s">
        <v>271</v>
      </c>
      <c r="F139" s="64" t="s">
        <v>271</v>
      </c>
      <c r="G139" s="111" t="s">
        <v>115</v>
      </c>
      <c r="H139" s="110"/>
      <c r="I139" s="66">
        <v>3.8596230999999999</v>
      </c>
      <c r="J139" s="66">
        <v>3.7890261000000001</v>
      </c>
      <c r="K139" s="66">
        <v>3.7190172000000001</v>
      </c>
      <c r="L139" s="65">
        <f t="shared" si="9"/>
        <v>3.6850013480000001</v>
      </c>
      <c r="M139" s="66">
        <v>3.7013134000000001</v>
      </c>
      <c r="N139" s="66">
        <v>-1.6312052E-2</v>
      </c>
    </row>
    <row r="140" spans="2:15" x14ac:dyDescent="0.15">
      <c r="E140" s="64" t="s">
        <v>272</v>
      </c>
      <c r="F140" s="64" t="s">
        <v>272</v>
      </c>
      <c r="G140" s="112" t="s">
        <v>85</v>
      </c>
      <c r="H140" s="110"/>
      <c r="I140" s="66">
        <v>3.439609575</v>
      </c>
      <c r="J140" s="66">
        <v>3.6179948550000001</v>
      </c>
      <c r="K140" s="66">
        <v>3.9147170509999998</v>
      </c>
      <c r="L140" s="65">
        <f t="shared" si="9"/>
        <v>4.3628117820000005</v>
      </c>
      <c r="M140" s="66">
        <v>4.2367037500000002</v>
      </c>
      <c r="N140" s="66">
        <v>0.12610803200000001</v>
      </c>
    </row>
    <row r="141" spans="2:15" x14ac:dyDescent="0.15">
      <c r="E141" s="64" t="s">
        <v>273</v>
      </c>
      <c r="F141" s="64" t="s">
        <v>273</v>
      </c>
      <c r="G141" s="111" t="s">
        <v>7</v>
      </c>
      <c r="H141" s="110"/>
      <c r="I141" s="66">
        <v>2.992357605</v>
      </c>
      <c r="J141" s="66">
        <v>3.3802020669999999</v>
      </c>
      <c r="K141" s="66">
        <v>4.9042898270000004</v>
      </c>
      <c r="L141" s="65">
        <f t="shared" si="9"/>
        <v>5.104955887</v>
      </c>
      <c r="M141" s="66">
        <v>5.104955887</v>
      </c>
      <c r="N141" s="66">
        <v>0</v>
      </c>
    </row>
    <row r="142" spans="2:15" x14ac:dyDescent="0.15">
      <c r="E142" s="64" t="s">
        <v>274</v>
      </c>
      <c r="F142" s="64" t="s">
        <v>274</v>
      </c>
      <c r="G142" s="111" t="s">
        <v>113</v>
      </c>
      <c r="H142" s="110"/>
      <c r="I142" s="66">
        <v>2.9472651989999998</v>
      </c>
      <c r="J142" s="66">
        <v>3.1630880709999998</v>
      </c>
      <c r="K142" s="66">
        <v>3.2091825200000001</v>
      </c>
      <c r="L142" s="65">
        <f t="shared" si="9"/>
        <v>3.5143514959999997</v>
      </c>
      <c r="M142" s="66">
        <v>3.4609216549999999</v>
      </c>
      <c r="N142" s="66">
        <v>5.3429840999999999E-2</v>
      </c>
    </row>
    <row r="143" spans="2:15" x14ac:dyDescent="0.15">
      <c r="E143" s="64" t="s">
        <v>275</v>
      </c>
      <c r="F143" s="64" t="s">
        <v>275</v>
      </c>
      <c r="G143" s="111" t="s">
        <v>5</v>
      </c>
      <c r="H143" s="110"/>
      <c r="I143" s="66">
        <v>2.8192581940000001</v>
      </c>
      <c r="J143" s="66">
        <v>2.9409961099999999</v>
      </c>
      <c r="K143" s="66">
        <v>2.9347215119999999</v>
      </c>
      <c r="L143" s="65">
        <f t="shared" si="9"/>
        <v>3.0290900190000003</v>
      </c>
      <c r="M143" s="66">
        <v>2.9771200790000001</v>
      </c>
      <c r="N143" s="66">
        <v>5.1969939999999999E-2</v>
      </c>
    </row>
    <row r="144" spans="2:15" x14ac:dyDescent="0.15">
      <c r="E144" s="64" t="s">
        <v>283</v>
      </c>
      <c r="F144" s="64" t="s">
        <v>283</v>
      </c>
      <c r="G144" s="111" t="s">
        <v>51</v>
      </c>
      <c r="H144" s="110"/>
      <c r="I144" s="66">
        <v>2.9438603730000001</v>
      </c>
      <c r="J144" s="66">
        <v>2.8863835579999999</v>
      </c>
      <c r="K144" s="66">
        <v>2.9733618019999999</v>
      </c>
      <c r="L144" s="65">
        <f t="shared" si="9"/>
        <v>3.4972222929999996</v>
      </c>
      <c r="M144" s="66">
        <v>3.0069143509999998</v>
      </c>
      <c r="N144" s="66">
        <v>0.490307942</v>
      </c>
    </row>
    <row r="145" spans="5:14" x14ac:dyDescent="0.15">
      <c r="E145" s="64" t="s">
        <v>284</v>
      </c>
      <c r="F145" s="64" t="s">
        <v>284</v>
      </c>
      <c r="G145" s="111" t="s">
        <v>49</v>
      </c>
      <c r="H145" s="110"/>
      <c r="I145" s="66">
        <v>2.4066992370000002</v>
      </c>
      <c r="J145" s="66">
        <v>2.3318564130000001</v>
      </c>
      <c r="K145" s="66">
        <v>2.4349934289999999</v>
      </c>
      <c r="L145" s="65">
        <f t="shared" si="9"/>
        <v>2.539898295</v>
      </c>
      <c r="M145" s="66">
        <v>2.4669496889999998</v>
      </c>
      <c r="N145" s="66">
        <v>7.2948605999999999E-2</v>
      </c>
    </row>
    <row r="146" spans="5:14" x14ac:dyDescent="0.15">
      <c r="E146" s="64" t="s">
        <v>285</v>
      </c>
      <c r="F146" s="64" t="s">
        <v>285</v>
      </c>
      <c r="G146" s="112" t="s">
        <v>31</v>
      </c>
      <c r="H146" s="110"/>
      <c r="I146" s="66">
        <v>2.2994979940000002</v>
      </c>
      <c r="J146" s="66">
        <v>2.1858074099999998</v>
      </c>
      <c r="K146" s="66">
        <v>2.0897857709999998</v>
      </c>
      <c r="L146" s="65">
        <f t="shared" si="9"/>
        <v>2.0671569220000001</v>
      </c>
      <c r="M146" s="66">
        <v>2.016228973</v>
      </c>
      <c r="N146" s="66">
        <v>5.0927949E-2</v>
      </c>
    </row>
    <row r="147" spans="5:14" x14ac:dyDescent="0.15">
      <c r="E147" s="64" t="s">
        <v>287</v>
      </c>
      <c r="F147" s="64" t="s">
        <v>287</v>
      </c>
      <c r="G147" s="111" t="s">
        <v>61</v>
      </c>
      <c r="H147" s="110"/>
      <c r="I147" s="66">
        <v>2.1258449100000001</v>
      </c>
      <c r="J147" s="66">
        <v>2.0888153100000002</v>
      </c>
      <c r="K147" s="66">
        <v>2.2722356189999999</v>
      </c>
      <c r="L147" s="65">
        <f t="shared" si="9"/>
        <v>2.4022657679999999</v>
      </c>
      <c r="M147" s="66">
        <v>2.3814392139999998</v>
      </c>
      <c r="N147" s="66">
        <v>2.0826554000000001E-2</v>
      </c>
    </row>
    <row r="148" spans="5:14" x14ac:dyDescent="0.15">
      <c r="E148" s="64" t="s">
        <v>288</v>
      </c>
      <c r="F148" s="64" t="s">
        <v>288</v>
      </c>
      <c r="G148" s="111" t="s">
        <v>63</v>
      </c>
      <c r="H148" s="110"/>
      <c r="I148" s="66">
        <v>1.0195000000000001</v>
      </c>
      <c r="J148" s="66">
        <v>2.0273249999999998</v>
      </c>
      <c r="K148" s="66">
        <v>3.9765000000000001</v>
      </c>
      <c r="L148" s="65">
        <f t="shared" si="9"/>
        <v>3.505322</v>
      </c>
      <c r="M148" s="66">
        <v>3.505322</v>
      </c>
      <c r="N148" s="66">
        <v>0</v>
      </c>
    </row>
    <row r="149" spans="5:14" x14ac:dyDescent="0.15">
      <c r="E149" s="64" t="s">
        <v>289</v>
      </c>
      <c r="F149" s="64" t="s">
        <v>289</v>
      </c>
      <c r="G149" s="111" t="s">
        <v>45</v>
      </c>
      <c r="H149" s="110"/>
      <c r="I149" s="66">
        <v>1.839401949</v>
      </c>
      <c r="J149" s="66">
        <v>1.8143610139999999</v>
      </c>
      <c r="K149" s="66">
        <v>1.8489662600000001</v>
      </c>
      <c r="L149" s="65">
        <f t="shared" si="9"/>
        <v>1.9376524310000001</v>
      </c>
      <c r="M149" s="66">
        <v>1.90026899</v>
      </c>
      <c r="N149" s="66">
        <v>3.7383441000000003E-2</v>
      </c>
    </row>
    <row r="150" spans="5:14" x14ac:dyDescent="0.15">
      <c r="E150" s="64" t="s">
        <v>96</v>
      </c>
      <c r="F150" s="64" t="s">
        <v>96</v>
      </c>
      <c r="G150" s="112" t="s">
        <v>103</v>
      </c>
      <c r="H150" s="110"/>
      <c r="I150" s="66">
        <v>1.3548257029999999</v>
      </c>
      <c r="J150" s="66">
        <v>1.724033787</v>
      </c>
      <c r="K150" s="66">
        <v>1.3292466000000001</v>
      </c>
      <c r="L150" s="65">
        <f t="shared" si="9"/>
        <v>1.3495876179999999</v>
      </c>
      <c r="M150" s="66">
        <v>1.2998633799999999</v>
      </c>
      <c r="N150" s="66">
        <v>4.9724237999999997E-2</v>
      </c>
    </row>
    <row r="151" spans="5:14" x14ac:dyDescent="0.15">
      <c r="E151" s="64" t="s">
        <v>290</v>
      </c>
      <c r="F151" s="64" t="s">
        <v>290</v>
      </c>
      <c r="G151" s="111" t="s">
        <v>45</v>
      </c>
      <c r="H151" s="110"/>
      <c r="I151" s="66">
        <v>1.387083281</v>
      </c>
      <c r="J151" s="66">
        <v>1.3262875000000001</v>
      </c>
      <c r="K151" s="66">
        <v>1.6114375000000001</v>
      </c>
      <c r="L151" s="65">
        <f t="shared" si="9"/>
        <v>1.5351353000000001</v>
      </c>
      <c r="M151" s="66">
        <v>1.5351353000000001</v>
      </c>
      <c r="N151" s="66">
        <v>0</v>
      </c>
    </row>
    <row r="152" spans="5:14" x14ac:dyDescent="0.15">
      <c r="E152" s="64" t="s">
        <v>291</v>
      </c>
      <c r="F152" s="64" t="s">
        <v>291</v>
      </c>
      <c r="G152" s="111" t="s">
        <v>111</v>
      </c>
      <c r="H152" s="110"/>
      <c r="I152" s="66">
        <v>0.99825138899999999</v>
      </c>
      <c r="J152" s="66">
        <v>1.262058852</v>
      </c>
      <c r="K152" s="66">
        <v>1.369424395</v>
      </c>
      <c r="L152" s="65">
        <f t="shared" si="9"/>
        <v>1.665830103</v>
      </c>
      <c r="M152" s="66">
        <v>1.6153447940000001</v>
      </c>
      <c r="N152" s="66">
        <v>5.0485308999999999E-2</v>
      </c>
    </row>
    <row r="153" spans="5:14" x14ac:dyDescent="0.15">
      <c r="E153" s="64" t="s">
        <v>292</v>
      </c>
      <c r="F153" s="64" t="s">
        <v>292</v>
      </c>
      <c r="G153" s="111" t="s">
        <v>113</v>
      </c>
      <c r="H153" s="110"/>
      <c r="I153" s="66">
        <v>0.57661794799999999</v>
      </c>
      <c r="J153" s="66">
        <v>1.1464603900000001</v>
      </c>
      <c r="K153" s="66">
        <v>0.60648977400000004</v>
      </c>
      <c r="L153" s="65">
        <f t="shared" si="9"/>
        <v>0.68805029099999993</v>
      </c>
      <c r="M153" s="66">
        <v>0.67519269999999998</v>
      </c>
      <c r="N153" s="66">
        <v>1.2857591E-2</v>
      </c>
    </row>
    <row r="154" spans="5:14" x14ac:dyDescent="0.15">
      <c r="E154" s="64" t="s">
        <v>293</v>
      </c>
      <c r="F154" s="64" t="s">
        <v>293</v>
      </c>
      <c r="G154" s="111" t="s">
        <v>5</v>
      </c>
      <c r="H154" s="110"/>
      <c r="I154" s="66">
        <v>0.99134480000000003</v>
      </c>
      <c r="J154" s="66">
        <v>0.9944558</v>
      </c>
      <c r="K154" s="66">
        <v>0.99395480000000003</v>
      </c>
      <c r="L154" s="65">
        <f t="shared" si="9"/>
        <v>1.0476110999999999</v>
      </c>
      <c r="M154" s="66">
        <v>1.0476110999999999</v>
      </c>
      <c r="N154" s="66">
        <v>0</v>
      </c>
    </row>
    <row r="155" spans="5:14" x14ac:dyDescent="0.15">
      <c r="E155" s="64" t="s">
        <v>294</v>
      </c>
      <c r="F155" s="64" t="s">
        <v>294</v>
      </c>
      <c r="G155" s="111" t="s">
        <v>49</v>
      </c>
      <c r="H155" s="110"/>
      <c r="I155" s="66">
        <v>0.31227269099999999</v>
      </c>
      <c r="J155" s="66">
        <v>0.78034163999999995</v>
      </c>
      <c r="K155" s="66">
        <v>0.51705000000000001</v>
      </c>
      <c r="L155" s="65">
        <f t="shared" si="9"/>
        <v>0.71004999999999996</v>
      </c>
      <c r="M155" s="66">
        <v>0.71004999999999996</v>
      </c>
      <c r="N155" s="66">
        <v>0</v>
      </c>
    </row>
    <row r="156" spans="5:14" x14ac:dyDescent="0.15">
      <c r="E156" s="64" t="s">
        <v>295</v>
      </c>
      <c r="F156" s="64" t="s">
        <v>295</v>
      </c>
      <c r="G156" s="111" t="s">
        <v>5</v>
      </c>
      <c r="H156" s="110"/>
      <c r="I156" s="66">
        <v>1.2429489460000001</v>
      </c>
      <c r="J156" s="66">
        <v>0.71565089100000001</v>
      </c>
      <c r="K156" s="66">
        <v>0.86034394599999997</v>
      </c>
      <c r="L156" s="65">
        <f t="shared" si="9"/>
        <v>0.97090867000000003</v>
      </c>
      <c r="M156" s="66">
        <v>0.95967280300000002</v>
      </c>
      <c r="N156" s="66">
        <v>1.1235867E-2</v>
      </c>
    </row>
    <row r="157" spans="5:14" x14ac:dyDescent="0.15">
      <c r="E157" s="64" t="s">
        <v>296</v>
      </c>
      <c r="F157" s="64" t="s">
        <v>296</v>
      </c>
      <c r="G157" s="111" t="s">
        <v>5</v>
      </c>
      <c r="H157" s="110"/>
      <c r="I157" s="66">
        <v>0.68560427999999995</v>
      </c>
      <c r="J157" s="66">
        <v>0.69049590199999999</v>
      </c>
      <c r="K157" s="66">
        <v>0.71873319300000005</v>
      </c>
      <c r="L157" s="65">
        <f t="shared" si="9"/>
        <v>0.76929627600000006</v>
      </c>
      <c r="M157" s="66">
        <v>0.75385132700000002</v>
      </c>
      <c r="N157" s="66">
        <v>1.5444948999999999E-2</v>
      </c>
    </row>
    <row r="158" spans="5:14" x14ac:dyDescent="0.15">
      <c r="E158" s="64" t="s">
        <v>297</v>
      </c>
      <c r="F158" s="64" t="s">
        <v>297</v>
      </c>
      <c r="G158" s="111" t="s">
        <v>7</v>
      </c>
      <c r="H158" s="110"/>
      <c r="I158" s="66">
        <v>0.42736299999999999</v>
      </c>
      <c r="J158" s="66">
        <v>0.57026489999999996</v>
      </c>
      <c r="K158" s="66">
        <v>1.274303</v>
      </c>
      <c r="L158" s="65">
        <f t="shared" si="9"/>
        <v>1.040332</v>
      </c>
      <c r="M158" s="66">
        <v>0.72533199999999998</v>
      </c>
      <c r="N158" s="66">
        <v>0.315</v>
      </c>
    </row>
    <row r="159" spans="5:14" x14ac:dyDescent="0.15">
      <c r="E159" s="64" t="s">
        <v>298</v>
      </c>
      <c r="F159" s="64" t="s">
        <v>298</v>
      </c>
      <c r="G159" s="111" t="s">
        <v>65</v>
      </c>
      <c r="H159" s="110"/>
      <c r="I159" s="66">
        <v>0.38580932699999998</v>
      </c>
      <c r="J159" s="66">
        <v>0.52202602399999998</v>
      </c>
      <c r="K159" s="66">
        <v>0.27500000000000002</v>
      </c>
      <c r="L159" s="65">
        <f t="shared" si="9"/>
        <v>0.42</v>
      </c>
      <c r="M159" s="66">
        <v>0.42</v>
      </c>
      <c r="N159" s="66">
        <v>0</v>
      </c>
    </row>
    <row r="160" spans="5:14" x14ac:dyDescent="0.15">
      <c r="E160" s="64" t="s">
        <v>299</v>
      </c>
      <c r="F160" s="64" t="s">
        <v>299</v>
      </c>
      <c r="G160" s="111" t="s">
        <v>61</v>
      </c>
      <c r="H160" s="110"/>
      <c r="I160" s="66">
        <v>0.38175257000000001</v>
      </c>
      <c r="J160" s="66">
        <v>0.29670812099999999</v>
      </c>
      <c r="K160" s="66">
        <v>0.36</v>
      </c>
      <c r="L160" s="65">
        <f t="shared" si="9"/>
        <v>0.36</v>
      </c>
      <c r="M160" s="66">
        <v>0.36</v>
      </c>
      <c r="N160" s="66">
        <v>0</v>
      </c>
    </row>
    <row r="161" spans="5:14" x14ac:dyDescent="0.15">
      <c r="E161" s="64" t="s">
        <v>300</v>
      </c>
      <c r="F161" s="64" t="s">
        <v>300</v>
      </c>
      <c r="G161" s="111" t="s">
        <v>57</v>
      </c>
      <c r="H161" s="110"/>
      <c r="I161" s="66">
        <v>0.338822071</v>
      </c>
      <c r="J161" s="66">
        <v>0.27622696000000002</v>
      </c>
      <c r="K161" s="66">
        <v>0</v>
      </c>
      <c r="L161" s="65">
        <f t="shared" si="9"/>
        <v>0</v>
      </c>
      <c r="M161" s="66">
        <v>0</v>
      </c>
      <c r="N161" s="66">
        <v>0</v>
      </c>
    </row>
    <row r="162" spans="5:14" x14ac:dyDescent="0.15">
      <c r="E162" s="64" t="s">
        <v>301</v>
      </c>
      <c r="F162" s="64" t="s">
        <v>301</v>
      </c>
      <c r="G162" s="111" t="s">
        <v>7</v>
      </c>
      <c r="H162" s="110"/>
      <c r="I162" s="66">
        <v>0.21190999999999999</v>
      </c>
      <c r="J162" s="66">
        <v>0.15779000000000001</v>
      </c>
      <c r="K162" s="66">
        <v>0.11795</v>
      </c>
      <c r="L162" s="65">
        <f t="shared" si="9"/>
        <v>9.8900000000000002E-2</v>
      </c>
      <c r="M162" s="66">
        <v>9.8900000000000002E-2</v>
      </c>
      <c r="N162" s="66">
        <v>0</v>
      </c>
    </row>
    <row r="163" spans="5:14" x14ac:dyDescent="0.15">
      <c r="E163" s="64" t="s">
        <v>302</v>
      </c>
      <c r="F163" s="64" t="s">
        <v>302</v>
      </c>
      <c r="G163" s="111" t="s">
        <v>5</v>
      </c>
      <c r="H163" s="110"/>
      <c r="I163" s="66">
        <v>0.13965300999999999</v>
      </c>
      <c r="J163" s="66">
        <v>0.13503203</v>
      </c>
      <c r="K163" s="66">
        <v>0.15233806</v>
      </c>
      <c r="L163" s="65">
        <f t="shared" si="9"/>
        <v>0.14980804</v>
      </c>
      <c r="M163" s="66">
        <v>0.14950804000000001</v>
      </c>
      <c r="N163" s="66">
        <v>2.9999999999999997E-4</v>
      </c>
    </row>
    <row r="164" spans="5:14" x14ac:dyDescent="0.15">
      <c r="E164" s="64" t="s">
        <v>303</v>
      </c>
      <c r="F164" s="64" t="s">
        <v>303</v>
      </c>
      <c r="G164" s="111" t="s">
        <v>51</v>
      </c>
      <c r="H164" s="110"/>
      <c r="I164" s="66">
        <v>0.130480455</v>
      </c>
      <c r="J164" s="66">
        <v>0.12714674200000001</v>
      </c>
      <c r="K164" s="66">
        <v>0.126</v>
      </c>
      <c r="L164" s="65">
        <f t="shared" si="9"/>
        <v>0.126</v>
      </c>
      <c r="M164" s="66">
        <v>0.126</v>
      </c>
      <c r="N164" s="66">
        <v>0</v>
      </c>
    </row>
    <row r="165" spans="5:14" x14ac:dyDescent="0.15">
      <c r="E165" s="64" t="s">
        <v>304</v>
      </c>
      <c r="F165" s="64" t="s">
        <v>304</v>
      </c>
      <c r="G165" s="112" t="s">
        <v>15</v>
      </c>
      <c r="H165" s="110"/>
      <c r="I165" s="66">
        <v>5.5462327999999998E-2</v>
      </c>
      <c r="J165" s="66">
        <v>0.11308180399999999</v>
      </c>
      <c r="K165" s="66">
        <v>0.71419664000000005</v>
      </c>
      <c r="L165" s="65">
        <f t="shared" si="9"/>
        <v>0.80895534899999999</v>
      </c>
      <c r="M165" s="66">
        <v>0.78842743500000001</v>
      </c>
      <c r="N165" s="66">
        <v>2.0527914000000001E-2</v>
      </c>
    </row>
    <row r="166" spans="5:14" x14ac:dyDescent="0.15">
      <c r="E166" s="64" t="s">
        <v>306</v>
      </c>
      <c r="F166" s="64" t="s">
        <v>306</v>
      </c>
      <c r="G166" s="111" t="s">
        <v>133</v>
      </c>
      <c r="H166" s="110"/>
      <c r="I166" s="66">
        <v>1.7097118280000001</v>
      </c>
      <c r="J166" s="66">
        <v>0</v>
      </c>
      <c r="K166" s="66">
        <v>0</v>
      </c>
      <c r="L166" s="65">
        <f t="shared" si="9"/>
        <v>0</v>
      </c>
      <c r="M166" s="66">
        <v>0</v>
      </c>
      <c r="N166" s="66">
        <v>0</v>
      </c>
    </row>
    <row r="167" spans="5:14" x14ac:dyDescent="0.15">
      <c r="E167" s="64" t="s">
        <v>307</v>
      </c>
      <c r="F167" s="64" t="s">
        <v>307</v>
      </c>
      <c r="G167" s="111" t="s">
        <v>49</v>
      </c>
      <c r="H167" s="110"/>
      <c r="I167" s="66">
        <v>0.32612729000000001</v>
      </c>
      <c r="J167" s="66">
        <v>0</v>
      </c>
      <c r="K167" s="66">
        <v>0</v>
      </c>
      <c r="L167" s="65">
        <f t="shared" si="9"/>
        <v>0</v>
      </c>
      <c r="M167" s="66">
        <v>0</v>
      </c>
      <c r="N167" s="66">
        <v>0</v>
      </c>
    </row>
    <row r="168" spans="5:14" x14ac:dyDescent="0.15">
      <c r="E168" s="64" t="s">
        <v>308</v>
      </c>
      <c r="F168" s="64" t="s">
        <v>308</v>
      </c>
      <c r="G168" s="111" t="s">
        <v>49</v>
      </c>
      <c r="H168" s="110"/>
      <c r="I168" s="66">
        <v>0</v>
      </c>
      <c r="J168" s="66">
        <v>0</v>
      </c>
      <c r="K168" s="66">
        <v>0.32250000000000001</v>
      </c>
      <c r="L168" s="65">
        <f t="shared" si="9"/>
        <v>3.447667</v>
      </c>
      <c r="M168" s="66">
        <v>0.44766699999999998</v>
      </c>
      <c r="N168" s="66">
        <v>3</v>
      </c>
    </row>
  </sheetData>
  <pageMargins left="0.78740157499999996" right="0.78740157499999996" top="0.984251969" bottom="0.984251969" header="0.4921259845" footer="0.492125984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8</vt:i4>
      </vt:variant>
      <vt:variant>
        <vt:lpstr>Plages nommées</vt:lpstr>
      </vt:variant>
      <vt:variant>
        <vt:i4>8</vt:i4>
      </vt:variant>
    </vt:vector>
  </HeadingPairs>
  <TitlesOfParts>
    <vt:vector size="16" baseType="lpstr">
      <vt:lpstr>Répartition Graphique</vt:lpstr>
      <vt:lpstr>Répartition Budget</vt:lpstr>
      <vt:lpstr>Répartition 1000€</vt:lpstr>
      <vt:lpstr>APU</vt:lpstr>
      <vt:lpstr>APUC</vt:lpstr>
      <vt:lpstr>APUL</vt:lpstr>
      <vt:lpstr>ASS</vt:lpstr>
      <vt:lpstr>Budget</vt:lpstr>
      <vt:lpstr>APU!Zone_d_impression</vt:lpstr>
      <vt:lpstr>APUC!Zone_d_impression</vt:lpstr>
      <vt:lpstr>APUL!Zone_d_impression</vt:lpstr>
      <vt:lpstr>ASS!Zone_d_impression</vt:lpstr>
      <vt:lpstr>Budget!Zone_d_impression</vt:lpstr>
      <vt:lpstr>'Répartition 1000€'!Zone_d_impression</vt:lpstr>
      <vt:lpstr>'Répartition Budget'!Zone_d_impression</vt:lpstr>
      <vt:lpstr>'Répartition Graphique'!Zone_d_impression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cp:lastPrinted>2022-10-16T13:31:54Z</cp:lastPrinted>
  <dcterms:created xsi:type="dcterms:W3CDTF">2022-07-24T16:52:17Z</dcterms:created>
  <dcterms:modified xsi:type="dcterms:W3CDTF">2022-11-12T11:26:04Z</dcterms:modified>
</cp:coreProperties>
</file>