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<sst xmlns="http://schemas.openxmlformats.org/spreadsheetml/2006/main" count="291" uniqueCount="143">
  <si>
    <t>PARAMETER</t>
  </si>
  <si>
    <t>Black Thunder</t>
  </si>
  <si>
    <t>Original</t>
  </si>
  <si>
    <t>Eq. Moisture</t>
  </si>
  <si>
    <t>Dry</t>
  </si>
  <si>
    <t>Calculations:</t>
  </si>
  <si>
    <t>WITH OVO PORTS:</t>
  </si>
  <si>
    <t>Proximate (As Received)</t>
  </si>
  <si>
    <t>Overall Efficiency:</t>
  </si>
  <si>
    <t>%</t>
  </si>
  <si>
    <t>Given</t>
  </si>
  <si>
    <t>Moisture</t>
  </si>
  <si>
    <t>Volatile Matter</t>
  </si>
  <si>
    <t>Firing Rate:</t>
  </si>
  <si>
    <t>Btu/hr</t>
  </si>
  <si>
    <t>ovo1l</t>
  </si>
  <si>
    <t>ovo2</t>
  </si>
  <si>
    <t>Ash</t>
  </si>
  <si>
    <t>lbs/hr</t>
  </si>
  <si>
    <t>Fixed Carbon</t>
  </si>
  <si>
    <t>tons/hr</t>
  </si>
  <si>
    <t>Front Wall Burners:</t>
  </si>
  <si>
    <t>Ultimate (Dry)</t>
  </si>
  <si>
    <t>Burner Size:</t>
  </si>
  <si>
    <t>Carbon</t>
  </si>
  <si>
    <t>No. Burners:</t>
  </si>
  <si>
    <t>Hydrogen</t>
  </si>
  <si>
    <t>Coal Feed Rate:</t>
  </si>
  <si>
    <t>kg/s</t>
  </si>
  <si>
    <t>Nitrogen</t>
  </si>
  <si>
    <t>Pipe Velocity:</t>
  </si>
  <si>
    <t>ft/sec</t>
  </si>
  <si>
    <t>Sulfur</t>
  </si>
  <si>
    <t>Density of Flue Gas:</t>
  </si>
  <si>
    <r>
      <t xml:space="preserve">lbs/ft</t>
    </r>
    <r>
      <rPr>
        <vertAlign val="superscript"/>
        <sz val="10"/>
        <color rgb="FF000000"/>
        <rFont val="Arial"/>
        <family val="2"/>
        <charset val="1"/>
      </rPr>
      <t xml:space="preserve">3</t>
    </r>
  </si>
  <si>
    <t>radius</t>
  </si>
  <si>
    <t>Oxygen</t>
  </si>
  <si>
    <t>Burner Pipe Diameter:</t>
  </si>
  <si>
    <t>ft </t>
  </si>
  <si>
    <t>meters</t>
  </si>
  <si>
    <t>Chlorine</t>
  </si>
  <si>
    <t>Flue Gas Feed Rate:</t>
  </si>
  <si>
    <t>Wall Burner Flow Rate:</t>
  </si>
  <si>
    <r>
      <t xml:space="preserve">ft</t>
    </r>
    <r>
      <rPr>
        <vertAlign val="superscript"/>
        <sz val="10"/>
        <color rgb="FF000000"/>
        <rFont val="Arial"/>
        <family val="2"/>
        <charset val="1"/>
      </rPr>
      <t xml:space="preserve">3</t>
    </r>
    <r>
      <rPr>
        <sz val="10"/>
        <color rgb="FF000000"/>
        <rFont val="Arial"/>
        <family val="2"/>
        <charset val="1"/>
      </rPr>
      <t xml:space="preserve">/sec</t>
    </r>
  </si>
  <si>
    <t>OVO1</t>
  </si>
  <si>
    <t>Flue Gas/Coal Ratio:</t>
  </si>
  <si>
    <t>lbs/lbs</t>
  </si>
  <si>
    <t>With OVO </t>
  </si>
  <si>
    <t>OVO 1</t>
  </si>
  <si>
    <t>Heating Value (As Received)</t>
  </si>
  <si>
    <t>Secondary Oxygen Feed Rate:</t>
  </si>
  <si>
    <t>lb/hr</t>
  </si>
  <si>
    <t>Btu/lb</t>
  </si>
  <si>
    <t>Secondary Oxygen Flow Rate:</t>
  </si>
  <si>
    <t>Secondary Velocity:</t>
  </si>
  <si>
    <t>Ash Composition (wt% of Ash)</t>
  </si>
  <si>
    <t>Secondary Annular Area:</t>
  </si>
  <si>
    <r>
      <t xml:space="preserve">ft</t>
    </r>
    <r>
      <rPr>
        <vertAlign val="superscript"/>
        <sz val="10"/>
        <color rgb="FF000000"/>
        <rFont val="Arial"/>
        <family val="2"/>
        <charset val="1"/>
      </rPr>
      <t xml:space="preserve">2</t>
    </r>
  </si>
  <si>
    <t>Radius</t>
  </si>
  <si>
    <t>Al2O3</t>
  </si>
  <si>
    <t>Secondary Pipe OD:</t>
  </si>
  <si>
    <t>ft</t>
  </si>
  <si>
    <t>SiO2</t>
  </si>
  <si>
    <t>TiO2</t>
  </si>
  <si>
    <t>Side Wall Burners:</t>
  </si>
  <si>
    <t>Na2O</t>
  </si>
  <si>
    <t>K2O</t>
  </si>
  <si>
    <t>Fe2O3</t>
  </si>
  <si>
    <t>MgO</t>
  </si>
  <si>
    <t>CaO</t>
  </si>
  <si>
    <t>SO3</t>
  </si>
  <si>
    <t>OVO2 </t>
  </si>
  <si>
    <t>P2O5</t>
  </si>
  <si>
    <t>OVO 2</t>
  </si>
  <si>
    <t>LiO2</t>
  </si>
  <si>
    <t>Other</t>
  </si>
  <si>
    <t>Total</t>
  </si>
  <si>
    <r>
      <t xml:space="preserve">Ash Fusion Temperatures (</t>
    </r>
    <r>
      <rPr>
        <b val="true"/>
        <vertAlign val="superscript"/>
        <sz val="10"/>
        <rFont val="Arial"/>
        <family val="2"/>
        <charset val="1"/>
      </rPr>
      <t xml:space="preserve">o</t>
    </r>
    <r>
      <rPr>
        <b val="true"/>
        <sz val="10"/>
        <rFont val="Arial"/>
        <family val="2"/>
        <charset val="1"/>
      </rPr>
      <t xml:space="preserve">F)</t>
    </r>
  </si>
  <si>
    <t>Initial Deformation</t>
  </si>
  <si>
    <t>Total Firing Rate:</t>
  </si>
  <si>
    <t>Softening</t>
  </si>
  <si>
    <t>Percent of Total:</t>
  </si>
  <si>
    <t>Confirm</t>
  </si>
  <si>
    <t>Hemispheric</t>
  </si>
  <si>
    <t>Actual Coal Feed Rate:</t>
  </si>
  <si>
    <t>mixture fraction before OVO</t>
  </si>
  <si>
    <t>mixture fraction after OVO</t>
  </si>
  <si>
    <t>Fluid</t>
  </si>
  <si>
    <t>front wall</t>
  </si>
  <si>
    <t>Oxygen Requirement:</t>
  </si>
  <si>
    <r>
      <t xml:space="preserve">% Excess O</t>
    </r>
    <r>
      <rPr>
        <vertAlign val="subscript"/>
        <sz val="10"/>
        <color rgb="FF000000"/>
        <rFont val="Arial"/>
        <family val="2"/>
        <charset val="1"/>
      </rPr>
      <t xml:space="preserve">2</t>
    </r>
  </si>
  <si>
    <t>side wall</t>
  </si>
  <si>
    <t>Trace Elements (ppm)</t>
  </si>
  <si>
    <r>
      <t xml:space="preserve">lbs O</t>
    </r>
    <r>
      <rPr>
        <vertAlign val="subscript"/>
        <sz val="10"/>
        <color rgb="FF000000"/>
        <rFont val="Arial"/>
        <family val="2"/>
        <charset val="1"/>
      </rPr>
      <t xml:space="preserve">2</t>
    </r>
    <r>
      <rPr>
        <sz val="10"/>
        <color rgb="FF000000"/>
        <rFont val="Arial"/>
        <family val="2"/>
        <charset val="1"/>
      </rPr>
      <t xml:space="preserve">/lb coal</t>
    </r>
  </si>
  <si>
    <t>See FQA AUSC OxyFire.xls</t>
  </si>
  <si>
    <t>Mercury</t>
  </si>
  <si>
    <r>
      <t xml:space="preserve">lbs O</t>
    </r>
    <r>
      <rPr>
        <vertAlign val="subscript"/>
        <sz val="10"/>
        <color rgb="FF000000"/>
        <rFont val="Arial"/>
        <family val="2"/>
        <charset val="1"/>
      </rPr>
      <t xml:space="preserve">2</t>
    </r>
    <r>
      <rPr>
        <sz val="10"/>
        <color rgb="FF000000"/>
        <rFont val="Arial"/>
        <family val="2"/>
        <charset val="1"/>
      </rPr>
      <t xml:space="preserve">/hr</t>
    </r>
  </si>
  <si>
    <r>
      <t xml:space="preserve">Total O</t>
    </r>
    <r>
      <rPr>
        <i val="true"/>
        <vertAlign val="subscript"/>
        <sz val="10"/>
        <color rgb="FF000000"/>
        <rFont val="Arial"/>
        <family val="2"/>
        <charset val="1"/>
      </rPr>
      <t xml:space="preserve">2</t>
    </r>
    <r>
      <rPr>
        <i val="true"/>
        <sz val="10"/>
        <color rgb="FF000000"/>
        <rFont val="Arial"/>
        <family val="2"/>
        <charset val="1"/>
      </rPr>
      <t xml:space="preserve"> Required</t>
    </r>
  </si>
  <si>
    <t>Oxygen in Primary w/coal:</t>
  </si>
  <si>
    <t>Special Analyses (% of Coal) - unless noted, assumed at 50% of Na2O and K2O in ash. </t>
  </si>
  <si>
    <t>Oxygen in Secondary Stream:</t>
  </si>
  <si>
    <r>
      <t xml:space="preserve">Secondary O</t>
    </r>
    <r>
      <rPr>
        <i val="true"/>
        <vertAlign val="subscript"/>
        <sz val="10"/>
        <color rgb="FF000000"/>
        <rFont val="Arial"/>
        <family val="2"/>
        <charset val="1"/>
      </rPr>
      <t xml:space="preserve">2</t>
    </r>
    <r>
      <rPr>
        <i val="true"/>
        <sz val="10"/>
        <color rgb="FF000000"/>
        <rFont val="Arial"/>
        <family val="2"/>
        <charset val="1"/>
      </rPr>
      <t xml:space="preserve"> Required</t>
    </r>
  </si>
  <si>
    <t>Acid Soluble Na2O</t>
  </si>
  <si>
    <t>Acid Soluble K2O</t>
  </si>
  <si>
    <t>Pyritic Sulfur</t>
  </si>
  <si>
    <t>Pyritic sulfur is assumed at 50% of total sulfur</t>
  </si>
  <si>
    <t>Flue Gas Composition:</t>
  </si>
  <si>
    <t>flue gas density (arches)</t>
  </si>
  <si>
    <t>(See FQA AUSC OxyFire.xls)</t>
  </si>
  <si>
    <t>lbm/100 lb</t>
  </si>
  <si>
    <t>Vol. % (wet)</t>
  </si>
  <si>
    <t>Vol. % (dry)</t>
  </si>
  <si>
    <t>lb/100 lb</t>
  </si>
  <si>
    <t>kg/m^3</t>
  </si>
  <si>
    <t>lbs/ft^3</t>
  </si>
  <si>
    <r>
      <t xml:space="preserve">CO</t>
    </r>
    <r>
      <rPr>
        <vertAlign val="subscript"/>
        <sz val="10"/>
        <color rgb="FF000000"/>
        <rFont val="Arial"/>
        <family val="2"/>
        <charset val="1"/>
      </rPr>
      <t xml:space="preserve">2</t>
    </r>
  </si>
  <si>
    <r>
      <t xml:space="preserve">O</t>
    </r>
    <r>
      <rPr>
        <vertAlign val="subscript"/>
        <sz val="10"/>
        <color rgb="FF000000"/>
        <rFont val="Arial"/>
        <family val="2"/>
        <charset val="1"/>
      </rPr>
      <t xml:space="preserve">2</t>
    </r>
  </si>
  <si>
    <r>
      <t xml:space="preserve">H</t>
    </r>
    <r>
      <rPr>
        <vertAlign val="subscript"/>
        <sz val="10"/>
        <color rgb="FF000000"/>
        <rFont val="Arial"/>
        <family val="2"/>
        <charset val="1"/>
      </rPr>
      <t xml:space="preserve">2</t>
    </r>
    <r>
      <rPr>
        <sz val="10"/>
        <color rgb="FF000000"/>
        <rFont val="Arial"/>
        <family val="2"/>
        <charset val="1"/>
      </rPr>
      <t xml:space="preserve">O</t>
    </r>
  </si>
  <si>
    <t>--</t>
  </si>
  <si>
    <r>
      <t xml:space="preserve">SO</t>
    </r>
    <r>
      <rPr>
        <vertAlign val="subscript"/>
        <sz val="10"/>
        <color rgb="FF000000"/>
        <rFont val="Arial"/>
        <family val="2"/>
        <charset val="1"/>
      </rPr>
      <t xml:space="preserve">2</t>
    </r>
    <r>
      <rPr>
        <sz val="10"/>
        <color rgb="FF000000"/>
        <rFont val="Arial"/>
        <family val="2"/>
        <charset val="1"/>
      </rPr>
      <t xml:space="preserve"> (ppm)</t>
    </r>
  </si>
  <si>
    <t>Boiler Dimensions:</t>
  </si>
  <si>
    <t>Width</t>
  </si>
  <si>
    <t>Height</t>
  </si>
  <si>
    <t>Depth*</t>
  </si>
  <si>
    <t>*from front wall to start</t>
  </si>
  <si>
    <t>of incline to convection pass</t>
  </si>
  <si>
    <t>Heat Release/Plan Area:</t>
  </si>
  <si>
    <r>
      <t xml:space="preserve">Btu/hr-ft</t>
    </r>
    <r>
      <rPr>
        <vertAlign val="superscript"/>
        <sz val="10"/>
        <color rgb="FF000000"/>
        <rFont val="Arial"/>
        <family val="2"/>
        <charset val="1"/>
      </rPr>
      <t xml:space="preserve">2</t>
    </r>
  </si>
  <si>
    <t>Volumetric Heat Release:</t>
  </si>
  <si>
    <r>
      <t xml:space="preserve">Btu/hr-ft</t>
    </r>
    <r>
      <rPr>
        <vertAlign val="superscript"/>
        <sz val="10"/>
        <color rgb="FF000000"/>
        <rFont val="Arial"/>
        <family val="2"/>
        <charset val="1"/>
      </rPr>
      <t xml:space="preserve">3</t>
    </r>
  </si>
  <si>
    <t>Total Flue Gas Flow Rate:</t>
  </si>
  <si>
    <t>Average Flue Gas Density:</t>
  </si>
  <si>
    <t>Given @</t>
  </si>
  <si>
    <t>F</t>
  </si>
  <si>
    <t>Flue Gas Volume:</t>
  </si>
  <si>
    <r>
      <t xml:space="preserve">ft</t>
    </r>
    <r>
      <rPr>
        <vertAlign val="superscript"/>
        <sz val="10"/>
        <color rgb="FF000000"/>
        <rFont val="Arial"/>
        <family val="2"/>
        <charset val="1"/>
      </rPr>
      <t xml:space="preserve">3</t>
    </r>
    <r>
      <rPr>
        <sz val="10"/>
        <color rgb="FF000000"/>
        <rFont val="Arial"/>
        <family val="2"/>
        <charset val="1"/>
      </rPr>
      <t xml:space="preserve">/hr</t>
    </r>
  </si>
  <si>
    <t>Average Velocity:</t>
  </si>
  <si>
    <t>ft/hr</t>
  </si>
  <si>
    <t>ft/s</t>
  </si>
  <si>
    <t>Furnace Residence Time:</t>
  </si>
  <si>
    <t>sec</t>
  </si>
  <si>
    <r>
      <t xml:space="preserve">Average O</t>
    </r>
    <r>
      <rPr>
        <i val="true"/>
        <vertAlign val="subscript"/>
        <sz val="10"/>
        <color rgb="FF000000"/>
        <rFont val="Arial"/>
        <family val="2"/>
        <charset val="1"/>
      </rPr>
      <t xml:space="preserve">2</t>
    </r>
    <r>
      <rPr>
        <i val="true"/>
        <sz val="10"/>
        <color rgb="FF000000"/>
        <rFont val="Arial"/>
        <family val="2"/>
        <charset val="1"/>
      </rPr>
      <t xml:space="preserve"> Density:</t>
    </r>
  </si>
  <si>
    <t>stan's flue gas density</t>
  </si>
</sst>
</file>

<file path=xl/styles.xml><?xml version="1.0" encoding="utf-8"?>
<styleSheet xmlns="http://schemas.openxmlformats.org/spreadsheetml/2006/main">
  <numFmts count="13">
    <numFmt numFmtId="164" formatCode="GENERAL"/>
    <numFmt numFmtId="165" formatCode="0.00"/>
    <numFmt numFmtId="166" formatCode="0"/>
    <numFmt numFmtId="167" formatCode="0%"/>
    <numFmt numFmtId="168" formatCode="0.000E+00"/>
    <numFmt numFmtId="169" formatCode="0.00E+00"/>
    <numFmt numFmtId="170" formatCode="#,##0"/>
    <numFmt numFmtId="171" formatCode="#,##0.000"/>
    <numFmt numFmtId="172" formatCode="#,##0.0"/>
    <numFmt numFmtId="173" formatCode="#,##0.00"/>
    <numFmt numFmtId="174" formatCode="0.0"/>
    <numFmt numFmtId="175" formatCode="0.0%"/>
    <numFmt numFmtId="176" formatCode="0.0000"/>
  </numFmts>
  <fonts count="1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i val="true"/>
      <sz val="10"/>
      <name val="Arial"/>
      <family val="2"/>
      <charset val="1"/>
    </font>
    <font>
      <i val="true"/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vertAlign val="superscript"/>
      <sz val="10"/>
      <color rgb="FF000000"/>
      <name val="Arial"/>
      <family val="2"/>
      <charset val="1"/>
    </font>
    <font>
      <b val="true"/>
      <sz val="10"/>
      <color rgb="FF000000"/>
      <name val="Arial"/>
      <family val="2"/>
    </font>
    <font>
      <b val="true"/>
      <vertAlign val="superscript"/>
      <sz val="10"/>
      <name val="Arial"/>
      <family val="2"/>
      <charset val="1"/>
    </font>
    <font>
      <b val="true"/>
      <i val="true"/>
      <sz val="10"/>
      <color rgb="FF000000"/>
      <name val="Arial"/>
      <family val="2"/>
      <charset val="1"/>
    </font>
    <font>
      <vertAlign val="subscript"/>
      <sz val="10"/>
      <color rgb="FF000000"/>
      <name val="Arial"/>
      <family val="2"/>
      <charset val="1"/>
    </font>
    <font>
      <i val="true"/>
      <vertAlign val="subscript"/>
      <sz val="10"/>
      <color rgb="FF00000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DEEBF7"/>
        <bgColor rgb="FFCCECFF"/>
      </patternFill>
    </fill>
    <fill>
      <patternFill patternType="solid">
        <fgColor rgb="FFCCECFF"/>
        <bgColor rgb="FFDEEBF7"/>
      </patternFill>
    </fill>
    <fill>
      <patternFill patternType="solid">
        <fgColor rgb="FF00CCCC"/>
        <bgColor rgb="FF33CCCC"/>
      </patternFill>
    </fill>
    <fill>
      <patternFill patternType="solid">
        <fgColor rgb="FF00FFFF"/>
        <bgColor rgb="FF00FFFF"/>
      </patternFill>
    </fill>
    <fill>
      <patternFill patternType="solid">
        <fgColor rgb="FFFFFFFF"/>
        <bgColor rgb="FFFFFFCC"/>
      </patternFill>
    </fill>
    <fill>
      <patternFill patternType="solid">
        <fgColor rgb="FFE2F0D9"/>
        <bgColor rgb="FFDEEBF7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4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9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3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7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0" fillId="7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5" fontId="7" fillId="0" borderId="0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5" fontId="0" fillId="0" borderId="0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7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1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EC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CC"/>
      <rgbColor rgb="FFDEEBF7"/>
      <rgbColor rgb="FFE2F0D9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82"/>
  <sheetViews>
    <sheetView windowProtection="false"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AB38" activeCellId="0" sqref="AB38"/>
    </sheetView>
  </sheetViews>
  <sheetFormatPr defaultRowHeight="13.2"/>
  <cols>
    <col collapsed="false" hidden="false" max="1" min="1" style="0" width="19.3316326530612"/>
    <col collapsed="false" hidden="false" max="2" min="2" style="1" width="12.3316326530612"/>
    <col collapsed="false" hidden="false" max="3" min="3" style="2" width="12.219387755102"/>
    <col collapsed="false" hidden="false" max="5" min="4" style="0" width="8.72959183673469"/>
    <col collapsed="false" hidden="false" max="6" min="6" style="0" width="25.2142857142857"/>
    <col collapsed="false" hidden="false" max="7" min="7" style="0" width="8.72959183673469"/>
    <col collapsed="false" hidden="false" max="8" min="8" style="0" width="13.8877551020408"/>
    <col collapsed="false" hidden="false" max="9" min="9" style="0" width="12.219387755102"/>
    <col collapsed="false" hidden="false" max="10" min="10" style="0" width="16.6683673469388"/>
    <col collapsed="false" hidden="false" max="11" min="11" style="0" width="11.7704081632653"/>
    <col collapsed="false" hidden="false" max="12" min="12" style="0" width="11.2244897959184"/>
    <col collapsed="false" hidden="false" max="13" min="13" style="0" width="9.43877551020408"/>
    <col collapsed="false" hidden="false" max="15" min="14" style="0" width="8.72959183673469"/>
    <col collapsed="false" hidden="false" max="16" min="16" style="0" width="9.89285714285714"/>
    <col collapsed="false" hidden="false" max="18" min="17" style="0" width="8.72959183673469"/>
    <col collapsed="false" hidden="false" max="19" min="19" style="0" width="15.8367346938776"/>
    <col collapsed="false" hidden="false" max="1025" min="20" style="0" width="8.72959183673469"/>
  </cols>
  <sheetData>
    <row r="1" customFormat="false" ht="13.2" hidden="false" customHeight="false" outlineLevel="0" collapsed="false">
      <c r="A1" s="3" t="s">
        <v>0</v>
      </c>
      <c r="B1" s="4" t="s">
        <v>1</v>
      </c>
      <c r="C1" s="5" t="s">
        <v>1</v>
      </c>
    </row>
    <row r="2" customFormat="false" ht="12.8" hidden="false" customHeight="false" outlineLevel="0" collapsed="false">
      <c r="A2" s="6"/>
      <c r="B2" s="7" t="s">
        <v>2</v>
      </c>
      <c r="C2" s="8" t="s">
        <v>3</v>
      </c>
      <c r="E2" s="9" t="s">
        <v>4</v>
      </c>
      <c r="H2" s="10" t="s">
        <v>5</v>
      </c>
      <c r="P2" s="10" t="s">
        <v>6</v>
      </c>
    </row>
    <row r="3" customFormat="false" ht="12.8" hidden="false" customHeight="false" outlineLevel="0" collapsed="false">
      <c r="A3" s="11" t="s">
        <v>7</v>
      </c>
      <c r="B3" s="12"/>
      <c r="C3" s="13"/>
      <c r="H3" s="14" t="s">
        <v>8</v>
      </c>
      <c r="I3" s="15" t="n">
        <v>53</v>
      </c>
      <c r="J3" s="0" t="s">
        <v>9</v>
      </c>
      <c r="K3" s="16" t="s">
        <v>10</v>
      </c>
      <c r="P3" s="14" t="s">
        <v>8</v>
      </c>
      <c r="Q3" s="15" t="n">
        <v>53</v>
      </c>
    </row>
    <row r="4" customFormat="false" ht="12.8" hidden="false" customHeight="false" outlineLevel="0" collapsed="false">
      <c r="A4" s="17" t="s">
        <v>11</v>
      </c>
      <c r="B4" s="18" t="n">
        <v>27.58</v>
      </c>
      <c r="C4" s="13" t="n">
        <v>15</v>
      </c>
    </row>
    <row r="5" customFormat="false" ht="12.8" hidden="false" customHeight="false" outlineLevel="0" collapsed="false">
      <c r="A5" s="17" t="s">
        <v>12</v>
      </c>
      <c r="B5" s="18" t="n">
        <v>30.3</v>
      </c>
      <c r="C5" s="13" t="n">
        <f aca="false">D5</f>
        <v>35.5633802816901</v>
      </c>
      <c r="D5" s="0" t="n">
        <f aca="false">E5*(1-$C$4/100)</f>
        <v>35.5633802816901</v>
      </c>
      <c r="E5" s="0" t="n">
        <f aca="false">B5/(1-$B$4/100)</f>
        <v>41.8392709196355</v>
      </c>
      <c r="H5" s="14" t="s">
        <v>13</v>
      </c>
      <c r="I5" s="19" t="n">
        <f aca="false">500*1000000/0.2931/(I3/100)</f>
        <v>3218683815.81404</v>
      </c>
      <c r="J5" s="0" t="s">
        <v>14</v>
      </c>
      <c r="P5" s="14" t="s">
        <v>13</v>
      </c>
      <c r="Z5" s="0" t="n">
        <f aca="false">(I18*I10+I26*I34)/2.20462/3600</f>
        <v>75.5204323601916</v>
      </c>
      <c r="AC5" s="0" t="s">
        <v>15</v>
      </c>
      <c r="AD5" s="0" t="s">
        <v>16</v>
      </c>
    </row>
    <row r="6" customFormat="false" ht="12.8" hidden="false" customHeight="false" outlineLevel="0" collapsed="false">
      <c r="A6" s="17" t="s">
        <v>17</v>
      </c>
      <c r="B6" s="18" t="n">
        <v>5.52</v>
      </c>
      <c r="C6" s="13" t="n">
        <f aca="false">D6</f>
        <v>6.47887323943662</v>
      </c>
      <c r="D6" s="0" t="n">
        <f aca="false">E6*(1-$C$4/100)</f>
        <v>6.47887323943662</v>
      </c>
      <c r="E6" s="0" t="n">
        <f aca="false">B6/(1-$B$4/100)</f>
        <v>7.62220381110191</v>
      </c>
      <c r="I6" s="19" t="n">
        <f aca="false">I5/C19</f>
        <v>316701.537252981</v>
      </c>
      <c r="J6" s="0" t="s">
        <v>18</v>
      </c>
      <c r="M6" s="20"/>
      <c r="AB6" s="0" t="n">
        <f aca="false">Y34/100</f>
        <v>59.9377880123732</v>
      </c>
      <c r="AC6" s="0" t="n">
        <f aca="false">AB6/3</f>
        <v>19.9792626707911</v>
      </c>
      <c r="AD6" s="0" t="n">
        <f aca="false">AB6/5</f>
        <v>11.9875576024746</v>
      </c>
    </row>
    <row r="7" customFormat="false" ht="12.8" hidden="false" customHeight="false" outlineLevel="0" collapsed="false">
      <c r="A7" s="17" t="s">
        <v>19</v>
      </c>
      <c r="B7" s="18" t="n">
        <f aca="false">100-SUM(B4:B6)</f>
        <v>36.6</v>
      </c>
      <c r="C7" s="13" t="n">
        <f aca="false">100-SUM(C4:C6)</f>
        <v>42.9577464788732</v>
      </c>
      <c r="I7" s="21" t="n">
        <f aca="false">I6/2000</f>
        <v>158.35076862649</v>
      </c>
      <c r="J7" s="0" t="s">
        <v>20</v>
      </c>
      <c r="AC7" s="0" t="n">
        <f aca="false">SQRT(AC6/PI())</f>
        <v>2.52182410702562</v>
      </c>
      <c r="AD7" s="0" t="n">
        <f aca="false">SQRT(AD6/PI())</f>
        <v>1.95339655371492</v>
      </c>
    </row>
    <row r="8" customFormat="false" ht="12.8" hidden="false" customHeight="false" outlineLevel="0" collapsed="false">
      <c r="A8" s="22"/>
      <c r="B8" s="18"/>
      <c r="C8" s="13"/>
      <c r="H8" s="14" t="s">
        <v>21</v>
      </c>
      <c r="P8" s="14" t="s">
        <v>21</v>
      </c>
      <c r="X8" s="14"/>
      <c r="AC8" s="0" t="n">
        <f aca="false">AC7/3.28084</f>
        <v>0.768651963224546</v>
      </c>
      <c r="AD8" s="0" t="n">
        <f aca="false">AD7/3.28084</f>
        <v>0.595395250519661</v>
      </c>
    </row>
    <row r="9" customFormat="false" ht="12.8" hidden="false" customHeight="false" outlineLevel="0" collapsed="false">
      <c r="A9" s="23" t="s">
        <v>22</v>
      </c>
      <c r="B9" s="18"/>
      <c r="C9" s="13"/>
      <c r="H9" s="24" t="s">
        <v>23</v>
      </c>
      <c r="I9" s="25" t="n">
        <v>150000000</v>
      </c>
      <c r="J9" s="0" t="s">
        <v>14</v>
      </c>
      <c r="K9" s="16" t="s">
        <v>10</v>
      </c>
      <c r="P9" s="24" t="s">
        <v>23</v>
      </c>
      <c r="X9" s="24"/>
    </row>
    <row r="10" customFormat="false" ht="12.8" hidden="false" customHeight="false" outlineLevel="0" collapsed="false">
      <c r="A10" s="17" t="s">
        <v>24</v>
      </c>
      <c r="B10" s="18" t="n">
        <v>69.81</v>
      </c>
      <c r="C10" s="13" t="n">
        <v>69.81</v>
      </c>
      <c r="D10" s="0" t="n">
        <f aca="false">B10/12</f>
        <v>5.8175</v>
      </c>
      <c r="E10" s="0" t="n">
        <f aca="false">D10</f>
        <v>5.8175</v>
      </c>
      <c r="H10" s="24" t="s">
        <v>25</v>
      </c>
      <c r="I10" s="26" t="n">
        <v>12</v>
      </c>
      <c r="P10" s="24" t="s">
        <v>25</v>
      </c>
      <c r="Q10" s="0" t="n">
        <f aca="false">I10</f>
        <v>12</v>
      </c>
    </row>
    <row r="11" customFormat="false" ht="12.8" hidden="false" customHeight="false" outlineLevel="0" collapsed="false">
      <c r="A11" s="17" t="s">
        <v>26</v>
      </c>
      <c r="B11" s="18" t="n">
        <v>4.91</v>
      </c>
      <c r="C11" s="13" t="n">
        <v>4.91</v>
      </c>
      <c r="D11" s="0" t="n">
        <f aca="false">B11/1.0011</f>
        <v>4.90460493457197</v>
      </c>
      <c r="E11" s="0" t="n">
        <f aca="false">D11/4</f>
        <v>1.22615123364299</v>
      </c>
      <c r="H11" s="24" t="s">
        <v>27</v>
      </c>
      <c r="I11" s="27" t="n">
        <f aca="false">I9/C19</f>
        <v>14759.2100704469</v>
      </c>
      <c r="J11" s="0" t="s">
        <v>18</v>
      </c>
      <c r="P11" s="24" t="s">
        <v>27</v>
      </c>
      <c r="Q11" s="0" t="n">
        <f aca="false">I11/3600/2.20462</f>
        <v>1.85963139911828</v>
      </c>
      <c r="R11" s="0" t="s">
        <v>28</v>
      </c>
      <c r="X11" s="24"/>
    </row>
    <row r="12" customFormat="false" ht="12.8" hidden="false" customHeight="false" outlineLevel="0" collapsed="false">
      <c r="A12" s="17" t="s">
        <v>29</v>
      </c>
      <c r="B12" s="18" t="n">
        <v>1.05</v>
      </c>
      <c r="C12" s="13" t="n">
        <v>1.05</v>
      </c>
      <c r="D12" s="0" t="n">
        <f aca="false">B12/14.08</f>
        <v>0.0745738636363636</v>
      </c>
      <c r="F12" s="0" t="n">
        <f aca="false">I18/I11</f>
        <v>1.79246095070131</v>
      </c>
      <c r="H12" s="24" t="s">
        <v>30</v>
      </c>
      <c r="I12" s="28" t="n">
        <v>60</v>
      </c>
      <c r="J12" s="0" t="s">
        <v>31</v>
      </c>
      <c r="K12" s="16" t="s">
        <v>10</v>
      </c>
      <c r="L12" s="0" t="n">
        <f aca="false">I11/I13/3600/I12</f>
        <v>0.874509193025021</v>
      </c>
      <c r="P12" s="24" t="s">
        <v>30</v>
      </c>
      <c r="X12" s="24"/>
    </row>
    <row r="13" customFormat="false" ht="12.8" hidden="false" customHeight="false" outlineLevel="0" collapsed="false">
      <c r="A13" s="17" t="s">
        <v>32</v>
      </c>
      <c r="B13" s="18" t="n">
        <v>0.59</v>
      </c>
      <c r="C13" s="13" t="n">
        <v>0.59</v>
      </c>
      <c r="D13" s="0" t="n">
        <f aca="false">B13/32</f>
        <v>0.0184375</v>
      </c>
      <c r="E13" s="0" t="n">
        <f aca="false">D13</f>
        <v>0.0184375</v>
      </c>
      <c r="H13" s="24" t="s">
        <v>33</v>
      </c>
      <c r="I13" s="29" t="n">
        <f aca="false">I71</f>
        <v>0.0781348861705038</v>
      </c>
      <c r="J13" s="0" t="s">
        <v>34</v>
      </c>
      <c r="K13" s="16" t="s">
        <v>10</v>
      </c>
      <c r="L13" s="0" t="n">
        <f aca="false">SQRT(L12*4/PI())</f>
        <v>1.05520599258813</v>
      </c>
      <c r="P13" s="24" t="s">
        <v>33</v>
      </c>
      <c r="S13" s="30" t="s">
        <v>35</v>
      </c>
      <c r="X13" s="24"/>
    </row>
    <row r="14" customFormat="false" ht="12.8" hidden="false" customHeight="false" outlineLevel="0" collapsed="false">
      <c r="A14" s="17" t="s">
        <v>36</v>
      </c>
      <c r="B14" s="18" t="n">
        <f aca="false">100-B10-B11-B12-B13-B15-B16</f>
        <v>16.0177961888981</v>
      </c>
      <c r="C14" s="13" t="n">
        <f aca="false">100-C10-C11-C12-C13-C15-C16</f>
        <v>16.0177961888981</v>
      </c>
      <c r="D14" s="0" t="n">
        <f aca="false">B14/15.9999</f>
        <v>1.00111851879687</v>
      </c>
      <c r="E14" s="0" t="n">
        <f aca="false">-D14*0.5</f>
        <v>-0.500559259398437</v>
      </c>
      <c r="F14" s="0" t="n">
        <f aca="false">F12*1.03</f>
        <v>1.84623477922235</v>
      </c>
      <c r="H14" s="24" t="s">
        <v>37</v>
      </c>
      <c r="I14" s="31" t="n">
        <v>1.5</v>
      </c>
      <c r="J14" s="0" t="s">
        <v>38</v>
      </c>
      <c r="K14" s="16" t="s">
        <v>10</v>
      </c>
      <c r="L14" s="0" t="n">
        <f aca="false">L13/3.28/2</f>
        <v>0.160854572040873</v>
      </c>
      <c r="P14" s="24" t="s">
        <v>37</v>
      </c>
      <c r="Q14" s="0" t="n">
        <f aca="false">I14/3.28084</f>
        <v>0.4571999853696</v>
      </c>
      <c r="R14" s="0" t="s">
        <v>39</v>
      </c>
      <c r="S14" s="32" t="n">
        <f aca="false">Q14/2</f>
        <v>0.2285999926848</v>
      </c>
      <c r="T14" s="0" t="s">
        <v>39</v>
      </c>
      <c r="X14" s="24"/>
    </row>
    <row r="15" customFormat="false" ht="12.8" hidden="false" customHeight="false" outlineLevel="0" collapsed="false">
      <c r="A15" s="17" t="s">
        <v>40</v>
      </c>
      <c r="B15" s="18" t="n">
        <v>0</v>
      </c>
      <c r="C15" s="13"/>
      <c r="E15" s="0" t="n">
        <f aca="false">SUM(E10:E14)</f>
        <v>6.56152947424456</v>
      </c>
      <c r="H15" s="24" t="s">
        <v>41</v>
      </c>
      <c r="I15" s="27" t="n">
        <f aca="false">I13*3.14159*I14^2*I12/4*3600</f>
        <v>29824.3349108938</v>
      </c>
      <c r="J15" s="0" t="s">
        <v>18</v>
      </c>
      <c r="P15" s="24" t="s">
        <v>41</v>
      </c>
      <c r="Q15" s="0" t="n">
        <f aca="false">I15/3600/2.20462</f>
        <v>3.75780745672645</v>
      </c>
      <c r="R15" s="0" t="s">
        <v>28</v>
      </c>
      <c r="S15" s="32" t="n">
        <f aca="false">Q15</f>
        <v>3.75780745672645</v>
      </c>
      <c r="T15" s="0" t="s">
        <v>28</v>
      </c>
      <c r="X15" s="24"/>
    </row>
    <row r="16" customFormat="false" ht="12.8" hidden="false" customHeight="false" outlineLevel="0" collapsed="false">
      <c r="A16" s="17" t="s">
        <v>17</v>
      </c>
      <c r="B16" s="18" t="n">
        <f aca="false">B6/(1-($B$4/100))</f>
        <v>7.62220381110191</v>
      </c>
      <c r="C16" s="13" t="n">
        <f aca="false">C6/(1-($C$4/100))</f>
        <v>7.6222038111019</v>
      </c>
      <c r="H16" s="24" t="s">
        <v>42</v>
      </c>
      <c r="I16" s="27" t="n">
        <f aca="false">I15/I13/3600</f>
        <v>106.0286625</v>
      </c>
      <c r="J16" s="0" t="s">
        <v>43</v>
      </c>
      <c r="P16" s="24" t="s">
        <v>42</v>
      </c>
      <c r="X16" s="10" t="s">
        <v>44</v>
      </c>
    </row>
    <row r="17" customFormat="false" ht="12.8" hidden="false" customHeight="false" outlineLevel="0" collapsed="false">
      <c r="A17" s="17"/>
      <c r="B17" s="18"/>
      <c r="C17" s="13"/>
      <c r="D17" s="0" t="n">
        <f aca="false">SUM(B10:B15)</f>
        <v>92.3777961888981</v>
      </c>
      <c r="E17" s="0" t="n">
        <f aca="false">E15*32</f>
        <v>209.968943175826</v>
      </c>
      <c r="F17" s="0" t="n">
        <f aca="false">E17/D17</f>
        <v>2.2729373489975</v>
      </c>
      <c r="H17" s="24" t="s">
        <v>45</v>
      </c>
      <c r="I17" s="33" t="n">
        <f aca="false">I15/I11</f>
        <v>2.0207270422021</v>
      </c>
      <c r="J17" s="34" t="s">
        <v>46</v>
      </c>
      <c r="P17" s="24" t="s">
        <v>45</v>
      </c>
      <c r="S17" s="10" t="s">
        <v>47</v>
      </c>
      <c r="X17" s="24" t="s">
        <v>25</v>
      </c>
      <c r="Y17" s="0" t="n">
        <v>3</v>
      </c>
      <c r="AB17" s="10" t="s">
        <v>48</v>
      </c>
    </row>
    <row r="18" customFormat="false" ht="12.8" hidden="false" customHeight="false" outlineLevel="0" collapsed="false">
      <c r="A18" s="11" t="s">
        <v>49</v>
      </c>
      <c r="B18" s="18"/>
      <c r="C18" s="13"/>
      <c r="H18" s="24" t="s">
        <v>50</v>
      </c>
      <c r="I18" s="27" t="n">
        <f aca="false">(I11*I45-(I15*K54))</f>
        <v>26455.3077144737</v>
      </c>
      <c r="J18" s="34" t="s">
        <v>51</v>
      </c>
      <c r="K18" s="0" t="n">
        <f aca="false">I18/2.20462/3600</f>
        <v>3.33331666561757</v>
      </c>
      <c r="P18" s="24" t="s">
        <v>50</v>
      </c>
      <c r="Q18" s="0" t="n">
        <f aca="false">I18/3600/2.20462</f>
        <v>3.33331666561757</v>
      </c>
      <c r="R18" s="0" t="s">
        <v>28</v>
      </c>
      <c r="S18" s="35" t="n">
        <f aca="false">Q18*0.9</f>
        <v>2.99998499905581</v>
      </c>
      <c r="T18" s="0" t="s">
        <v>28</v>
      </c>
      <c r="X18" s="24" t="s">
        <v>50</v>
      </c>
      <c r="Y18" s="0" t="n">
        <f aca="false">(I18*I10+I26*I34)*0.05/3</f>
        <v>9989.63133539553</v>
      </c>
      <c r="Z18" s="34" t="s">
        <v>51</v>
      </c>
      <c r="AB18" s="32" t="n">
        <f aca="false">Y18/3600/2.20462</f>
        <v>1.25867387266986</v>
      </c>
      <c r="AC18" s="0" t="s">
        <v>28</v>
      </c>
    </row>
    <row r="19" customFormat="false" ht="12.8" hidden="false" customHeight="false" outlineLevel="0" collapsed="false">
      <c r="A19" s="36" t="s">
        <v>52</v>
      </c>
      <c r="B19" s="37" t="n">
        <v>8659</v>
      </c>
      <c r="C19" s="38" t="n">
        <f aca="false">D19</f>
        <v>10163.1455399061</v>
      </c>
      <c r="D19" s="0" t="n">
        <f aca="false">E19*(1-$C$4/100)</f>
        <v>10163.1455399061</v>
      </c>
      <c r="E19" s="0" t="n">
        <f aca="false">B19/(1-$B$4/100)</f>
        <v>11956.6418116542</v>
      </c>
      <c r="H19" s="24" t="s">
        <v>53</v>
      </c>
      <c r="I19" s="27" t="n">
        <f aca="false">I18/I78/3600</f>
        <v>160.980547442572</v>
      </c>
      <c r="J19" s="34" t="s">
        <v>43</v>
      </c>
      <c r="P19" s="24" t="s">
        <v>53</v>
      </c>
      <c r="X19" s="24" t="s">
        <v>53</v>
      </c>
      <c r="Y19" s="0" t="n">
        <f aca="false">(I35*I26+I19*I10)*0.05/3</f>
        <v>60.7869066758818</v>
      </c>
      <c r="Z19" s="34" t="s">
        <v>43</v>
      </c>
    </row>
    <row r="20" customFormat="false" ht="12.8" hidden="false" customHeight="false" outlineLevel="0" collapsed="false">
      <c r="A20" s="17"/>
      <c r="B20" s="18"/>
      <c r="C20" s="13"/>
      <c r="H20" s="24" t="s">
        <v>54</v>
      </c>
      <c r="I20" s="28" t="n">
        <v>100</v>
      </c>
      <c r="J20" s="34" t="s">
        <v>31</v>
      </c>
      <c r="K20" s="16" t="s">
        <v>10</v>
      </c>
      <c r="P20" s="24" t="s">
        <v>54</v>
      </c>
      <c r="X20" s="24" t="s">
        <v>54</v>
      </c>
      <c r="Y20" s="0" t="n">
        <v>100</v>
      </c>
      <c r="Z20" s="34" t="s">
        <v>31</v>
      </c>
    </row>
    <row r="21" customFormat="false" ht="12.8" hidden="false" customHeight="false" outlineLevel="0" collapsed="false">
      <c r="A21" s="23" t="s">
        <v>55</v>
      </c>
      <c r="B21" s="18"/>
      <c r="C21" s="13"/>
      <c r="H21" s="24" t="s">
        <v>56</v>
      </c>
      <c r="I21" s="33" t="n">
        <f aca="false">I19/I20</f>
        <v>1.60980547442572</v>
      </c>
      <c r="J21" s="34" t="s">
        <v>57</v>
      </c>
      <c r="K21" s="0" t="n">
        <f aca="false">SQRT(I21*4/PI())</f>
        <v>1.43166615849156</v>
      </c>
      <c r="L21" s="0" t="n">
        <f aca="false">K21/3.28/2</f>
        <v>0.218241792452982</v>
      </c>
      <c r="P21" s="24" t="s">
        <v>56</v>
      </c>
      <c r="S21" s="10" t="s">
        <v>47</v>
      </c>
      <c r="X21" s="24" t="s">
        <v>56</v>
      </c>
      <c r="Y21" s="0" t="n">
        <f aca="false">Y19/Y20</f>
        <v>0.607869066758818</v>
      </c>
      <c r="Z21" s="34" t="s">
        <v>57</v>
      </c>
      <c r="AB21" s="10" t="s">
        <v>58</v>
      </c>
    </row>
    <row r="22" customFormat="false" ht="12.8" hidden="false" customHeight="false" outlineLevel="0" collapsed="false">
      <c r="A22" s="17" t="s">
        <v>59</v>
      </c>
      <c r="B22" s="18" t="n">
        <v>19.38</v>
      </c>
      <c r="C22" s="13" t="n">
        <v>19.38</v>
      </c>
      <c r="H22" s="24" t="s">
        <v>60</v>
      </c>
      <c r="I22" s="33" t="n">
        <f aca="false">(I14^2+4*I21/3.14159)^0.5</f>
        <v>2.07356449638103</v>
      </c>
      <c r="J22" s="34" t="s">
        <v>61</v>
      </c>
      <c r="K22" s="0" t="n">
        <f aca="false">(I21*4/PI()+I14^2)^0.5</f>
        <v>2.07356407891581</v>
      </c>
      <c r="L22" s="0" t="n">
        <f aca="false">K22/3.28/2</f>
        <v>0.316092085200581</v>
      </c>
      <c r="P22" s="24" t="s">
        <v>60</v>
      </c>
      <c r="Q22" s="0" t="n">
        <f aca="false">I22/3.28084</f>
        <v>0.632022438272221</v>
      </c>
      <c r="R22" s="0" t="s">
        <v>39</v>
      </c>
      <c r="S22" s="39" t="n">
        <f aca="false">(I14^2+4*I21*0.9/3.14159)^0.5/3.28084</f>
        <v>0.616774114967387</v>
      </c>
      <c r="T22" s="0" t="s">
        <v>39</v>
      </c>
      <c r="X22" s="24" t="s">
        <v>60</v>
      </c>
      <c r="Y22" s="0" t="n">
        <f aca="false">SQRT(Y21*4/PI())</f>
        <v>0.879751631893108</v>
      </c>
      <c r="Z22" s="34" t="s">
        <v>61</v>
      </c>
      <c r="AB22" s="32" t="n">
        <f aca="false">Y22/3.28084/2</f>
        <v>0.134074144410137</v>
      </c>
      <c r="AC22" s="0" t="s">
        <v>39</v>
      </c>
    </row>
    <row r="23" customFormat="false" ht="12.8" hidden="false" customHeight="false" outlineLevel="0" collapsed="false">
      <c r="A23" s="17" t="s">
        <v>62</v>
      </c>
      <c r="B23" s="18" t="n">
        <v>38.52</v>
      </c>
      <c r="C23" s="13" t="n">
        <v>38.52</v>
      </c>
      <c r="H23" s="24"/>
      <c r="I23" s="27"/>
      <c r="J23" s="34"/>
      <c r="P23" s="24"/>
      <c r="S23" s="30" t="s">
        <v>35</v>
      </c>
      <c r="X23" s="24"/>
    </row>
    <row r="24" customFormat="false" ht="12.8" hidden="false" customHeight="false" outlineLevel="0" collapsed="false">
      <c r="A24" s="17" t="s">
        <v>63</v>
      </c>
      <c r="B24" s="18" t="n">
        <v>1.4</v>
      </c>
      <c r="C24" s="13" t="n">
        <v>1.4</v>
      </c>
      <c r="H24" s="14" t="s">
        <v>64</v>
      </c>
      <c r="I24" s="20"/>
      <c r="P24" s="14" t="s">
        <v>64</v>
      </c>
      <c r="S24" s="40" t="n">
        <f aca="false">S22/2</f>
        <v>0.308387057483693</v>
      </c>
      <c r="T24" s="0" t="s">
        <v>39</v>
      </c>
      <c r="X24" s="14"/>
    </row>
    <row r="25" customFormat="false" ht="12.8" hidden="false" customHeight="false" outlineLevel="0" collapsed="false">
      <c r="A25" s="17"/>
      <c r="B25" s="18"/>
      <c r="C25" s="13"/>
      <c r="H25" s="24" t="s">
        <v>23</v>
      </c>
      <c r="I25" s="25" t="n">
        <v>100000000</v>
      </c>
      <c r="J25" s="0" t="s">
        <v>14</v>
      </c>
      <c r="K25" s="16" t="s">
        <v>10</v>
      </c>
      <c r="P25" s="24" t="s">
        <v>23</v>
      </c>
      <c r="S25" s="41"/>
      <c r="X25" s="24"/>
    </row>
    <row r="26" customFormat="false" ht="12.8" hidden="false" customHeight="false" outlineLevel="0" collapsed="false">
      <c r="A26" s="17" t="s">
        <v>65</v>
      </c>
      <c r="B26" s="18" t="n">
        <v>0.56</v>
      </c>
      <c r="C26" s="13" t="n">
        <v>0.56</v>
      </c>
      <c r="H26" s="24" t="s">
        <v>25</v>
      </c>
      <c r="I26" s="26" t="n">
        <v>16</v>
      </c>
      <c r="P26" s="24" t="s">
        <v>25</v>
      </c>
      <c r="Q26" s="0" t="n">
        <f aca="false">I26</f>
        <v>16</v>
      </c>
      <c r="S26" s="41"/>
    </row>
    <row r="27" customFormat="false" ht="12.8" hidden="false" customHeight="false" outlineLevel="0" collapsed="false">
      <c r="A27" s="17" t="s">
        <v>66</v>
      </c>
      <c r="B27" s="18" t="n">
        <v>1.05</v>
      </c>
      <c r="C27" s="13" t="n">
        <v>1.05</v>
      </c>
      <c r="H27" s="24" t="s">
        <v>27</v>
      </c>
      <c r="I27" s="27" t="n">
        <f aca="false">I25/C19</f>
        <v>9839.47338029796</v>
      </c>
      <c r="J27" s="0" t="s">
        <v>18</v>
      </c>
      <c r="P27" s="24" t="s">
        <v>27</v>
      </c>
      <c r="Q27" s="0" t="n">
        <f aca="false">I27/3600/2.20462</f>
        <v>1.23975426607886</v>
      </c>
      <c r="R27" s="0" t="s">
        <v>28</v>
      </c>
      <c r="S27" s="41"/>
      <c r="X27" s="24"/>
    </row>
    <row r="28" customFormat="false" ht="12.8" hidden="false" customHeight="false" outlineLevel="0" collapsed="false">
      <c r="A28" s="17" t="s">
        <v>67</v>
      </c>
      <c r="B28" s="18" t="n">
        <v>5.63</v>
      </c>
      <c r="C28" s="13" t="n">
        <v>5.63</v>
      </c>
      <c r="H28" s="24" t="s">
        <v>30</v>
      </c>
      <c r="I28" s="28" t="n">
        <v>60</v>
      </c>
      <c r="J28" s="0" t="s">
        <v>31</v>
      </c>
      <c r="K28" s="16" t="s">
        <v>10</v>
      </c>
      <c r="P28" s="24" t="s">
        <v>30</v>
      </c>
      <c r="S28" s="41"/>
      <c r="X28" s="24"/>
    </row>
    <row r="29" customFormat="false" ht="12.8" hidden="false" customHeight="false" outlineLevel="0" collapsed="false">
      <c r="A29" s="17" t="s">
        <v>68</v>
      </c>
      <c r="B29" s="18" t="n">
        <v>2.77</v>
      </c>
      <c r="C29" s="13" t="n">
        <v>2.77</v>
      </c>
      <c r="H29" s="24" t="s">
        <v>33</v>
      </c>
      <c r="I29" s="29" t="n">
        <f aca="false">I71</f>
        <v>0.0781348861705038</v>
      </c>
      <c r="J29" s="0" t="s">
        <v>34</v>
      </c>
      <c r="K29" s="16" t="s">
        <v>10</v>
      </c>
      <c r="P29" s="24" t="s">
        <v>33</v>
      </c>
      <c r="S29" s="30" t="s">
        <v>35</v>
      </c>
      <c r="X29" s="24"/>
    </row>
    <row r="30" customFormat="false" ht="12.8" hidden="false" customHeight="false" outlineLevel="0" collapsed="false">
      <c r="A30" s="17" t="s">
        <v>69</v>
      </c>
      <c r="B30" s="18" t="n">
        <v>13.27</v>
      </c>
      <c r="C30" s="13" t="n">
        <v>13.27</v>
      </c>
      <c r="H30" s="24" t="s">
        <v>37</v>
      </c>
      <c r="I30" s="42" t="n">
        <v>1.25</v>
      </c>
      <c r="J30" s="0" t="s">
        <v>38</v>
      </c>
      <c r="K30" s="16" t="s">
        <v>10</v>
      </c>
      <c r="P30" s="24" t="s">
        <v>37</v>
      </c>
      <c r="Q30" s="0" t="n">
        <f aca="false">I30/3.28084</f>
        <v>0.380999987808</v>
      </c>
      <c r="R30" s="0" t="s">
        <v>39</v>
      </c>
      <c r="S30" s="40" t="n">
        <f aca="false">Q30/2</f>
        <v>0.190499993904</v>
      </c>
      <c r="T30" s="0" t="s">
        <v>39</v>
      </c>
      <c r="X30" s="24"/>
    </row>
    <row r="31" customFormat="false" ht="12.8" hidden="false" customHeight="false" outlineLevel="0" collapsed="false">
      <c r="A31" s="22"/>
      <c r="B31" s="18"/>
      <c r="C31" s="13"/>
      <c r="F31" s="0" t="n">
        <f aca="false">I34/I27</f>
        <v>1.7907093236472</v>
      </c>
      <c r="H31" s="24" t="s">
        <v>41</v>
      </c>
      <c r="I31" s="27" t="n">
        <f aca="false">I29*3.14159*I30^2*I28/4*3600</f>
        <v>20711.3436881207</v>
      </c>
      <c r="J31" s="0" t="s">
        <v>18</v>
      </c>
      <c r="K31" s="16"/>
      <c r="P31" s="24" t="s">
        <v>41</v>
      </c>
      <c r="Q31" s="0" t="n">
        <f aca="false">I31/3600/2.20462</f>
        <v>2.60958851161559</v>
      </c>
      <c r="R31" s="0" t="s">
        <v>28</v>
      </c>
      <c r="S31" s="40" t="n">
        <f aca="false">Q31</f>
        <v>2.60958851161559</v>
      </c>
      <c r="T31" s="0" t="s">
        <v>28</v>
      </c>
      <c r="X31" s="24"/>
    </row>
    <row r="32" customFormat="false" ht="12.8" hidden="false" customHeight="false" outlineLevel="0" collapsed="false">
      <c r="A32" s="17" t="s">
        <v>70</v>
      </c>
      <c r="B32" s="18" t="n">
        <v>11.94</v>
      </c>
      <c r="C32" s="13" t="n">
        <v>11.94</v>
      </c>
      <c r="H32" s="24" t="s">
        <v>42</v>
      </c>
      <c r="I32" s="27" t="n">
        <f aca="false">I31/I29/3600</f>
        <v>73.631015625</v>
      </c>
      <c r="J32" s="0" t="s">
        <v>43</v>
      </c>
      <c r="P32" s="24" t="s">
        <v>42</v>
      </c>
      <c r="S32" s="41"/>
      <c r="X32" s="10" t="s">
        <v>71</v>
      </c>
    </row>
    <row r="33" customFormat="false" ht="12.8" hidden="false" customHeight="false" outlineLevel="0" collapsed="false">
      <c r="A33" s="17" t="s">
        <v>72</v>
      </c>
      <c r="B33" s="18" t="n">
        <v>0.61</v>
      </c>
      <c r="C33" s="13" t="n">
        <v>0.61</v>
      </c>
      <c r="H33" s="24" t="s">
        <v>45</v>
      </c>
      <c r="I33" s="33" t="n">
        <f aca="false">I31/I27</f>
        <v>2.10492400229386</v>
      </c>
      <c r="J33" s="34" t="s">
        <v>46</v>
      </c>
      <c r="P33" s="24" t="s">
        <v>45</v>
      </c>
      <c r="S33" s="10" t="s">
        <v>47</v>
      </c>
      <c r="X33" s="24" t="s">
        <v>25</v>
      </c>
      <c r="Y33" s="0" t="n">
        <v>5</v>
      </c>
      <c r="AB33" s="43" t="s">
        <v>73</v>
      </c>
    </row>
    <row r="34" customFormat="false" ht="12.8" hidden="false" customHeight="false" outlineLevel="0" collapsed="false">
      <c r="A34" s="17" t="s">
        <v>74</v>
      </c>
      <c r="B34" s="18" t="n">
        <v>0</v>
      </c>
      <c r="C34" s="13" t="n">
        <v>0</v>
      </c>
      <c r="H34" s="24" t="s">
        <v>50</v>
      </c>
      <c r="I34" s="27" t="n">
        <f aca="false">(I27*I45-(I31*K54))</f>
        <v>17619.636721878</v>
      </c>
      <c r="J34" s="34" t="s">
        <v>51</v>
      </c>
      <c r="M34" s="20"/>
      <c r="P34" s="24" t="s">
        <v>50</v>
      </c>
      <c r="Q34" s="0" t="n">
        <f aca="false">I34/3600/2.20462</f>
        <v>2.2200395232988</v>
      </c>
      <c r="R34" s="0" t="s">
        <v>28</v>
      </c>
      <c r="S34" s="32" t="n">
        <f aca="false">Q34*0.9</f>
        <v>1.99803557096892</v>
      </c>
      <c r="T34" s="0" t="s">
        <v>28</v>
      </c>
      <c r="X34" s="24" t="s">
        <v>50</v>
      </c>
      <c r="Y34" s="0" t="n">
        <f aca="false">(I18*I10+I26*I34)*0.05/5</f>
        <v>5993.77880123732</v>
      </c>
      <c r="Z34" s="34" t="s">
        <v>51</v>
      </c>
      <c r="AB34" s="32" t="n">
        <f aca="false">Y34/3600/2.20462</f>
        <v>0.755204323601916</v>
      </c>
      <c r="AC34" s="0" t="s">
        <v>28</v>
      </c>
    </row>
    <row r="35" customFormat="false" ht="12.8" hidden="false" customHeight="false" outlineLevel="0" collapsed="false">
      <c r="A35" s="17" t="s">
        <v>75</v>
      </c>
      <c r="B35" s="18" t="n">
        <v>4.87</v>
      </c>
      <c r="C35" s="13" t="n">
        <v>4.87</v>
      </c>
      <c r="H35" s="24" t="s">
        <v>53</v>
      </c>
      <c r="I35" s="27" t="n">
        <f aca="false">I34/I78/3600</f>
        <v>107.215489452628</v>
      </c>
      <c r="J35" s="34" t="s">
        <v>43</v>
      </c>
      <c r="M35" s="20"/>
      <c r="P35" s="24" t="s">
        <v>53</v>
      </c>
      <c r="S35" s="41"/>
      <c r="X35" s="24" t="s">
        <v>53</v>
      </c>
      <c r="Y35" s="0" t="n">
        <f aca="false">(I35*I26+I19*I10)*0.05/5</f>
        <v>36.4721440055291</v>
      </c>
      <c r="Z35" s="34" t="s">
        <v>43</v>
      </c>
    </row>
    <row r="36" customFormat="false" ht="12.8" hidden="false" customHeight="false" outlineLevel="0" collapsed="false">
      <c r="A36" s="22"/>
      <c r="B36" s="18"/>
      <c r="C36" s="13"/>
      <c r="H36" s="24" t="s">
        <v>54</v>
      </c>
      <c r="I36" s="28" t="n">
        <v>100</v>
      </c>
      <c r="J36" s="34" t="s">
        <v>31</v>
      </c>
      <c r="K36" s="16" t="s">
        <v>10</v>
      </c>
      <c r="M36" s="20"/>
      <c r="P36" s="24" t="s">
        <v>54</v>
      </c>
      <c r="S36" s="41"/>
      <c r="X36" s="24" t="s">
        <v>54</v>
      </c>
      <c r="Y36" s="0" t="n">
        <v>100</v>
      </c>
      <c r="Z36" s="34" t="s">
        <v>31</v>
      </c>
    </row>
    <row r="37" customFormat="false" ht="12.8" hidden="false" customHeight="false" outlineLevel="0" collapsed="false">
      <c r="A37" s="17" t="s">
        <v>76</v>
      </c>
      <c r="B37" s="44" t="n">
        <f aca="false">SUM(B22:B36)</f>
        <v>100</v>
      </c>
      <c r="C37" s="13" t="n">
        <f aca="false">SUM(C22:C36)</f>
        <v>100</v>
      </c>
      <c r="H37" s="24" t="s">
        <v>56</v>
      </c>
      <c r="I37" s="33" t="n">
        <f aca="false">I35/I36</f>
        <v>1.07215489452628</v>
      </c>
      <c r="J37" s="34" t="s">
        <v>57</v>
      </c>
      <c r="M37" s="20"/>
      <c r="P37" s="24" t="s">
        <v>56</v>
      </c>
      <c r="S37" s="10" t="s">
        <v>47</v>
      </c>
      <c r="X37" s="24" t="s">
        <v>56</v>
      </c>
      <c r="Y37" s="0" t="n">
        <f aca="false">Y35/Y36</f>
        <v>0.364721440055291</v>
      </c>
      <c r="Z37" s="34" t="s">
        <v>57</v>
      </c>
      <c r="AB37" s="10" t="s">
        <v>58</v>
      </c>
    </row>
    <row r="38" customFormat="false" ht="12.8" hidden="false" customHeight="false" outlineLevel="0" collapsed="false">
      <c r="A38" s="22"/>
      <c r="B38" s="45"/>
      <c r="C38" s="13"/>
      <c r="H38" s="24" t="s">
        <v>60</v>
      </c>
      <c r="I38" s="33" t="n">
        <f aca="false">(I30^2+4*I37/3.14159)^0.5</f>
        <v>1.71102634779605</v>
      </c>
      <c r="J38" s="34" t="s">
        <v>61</v>
      </c>
      <c r="M38" s="20"/>
      <c r="P38" s="24" t="s">
        <v>60</v>
      </c>
      <c r="Q38" s="0" t="n">
        <f aca="false">I38/3.28084</f>
        <v>0.521520814119569</v>
      </c>
      <c r="R38" s="0" t="s">
        <v>39</v>
      </c>
      <c r="S38" s="39" t="n">
        <f aca="false">(I30^2+4*I37*0.9/3.14159)^0.5/3.28084</f>
        <v>0.509216714842428</v>
      </c>
      <c r="T38" s="0" t="s">
        <v>39</v>
      </c>
      <c r="X38" s="24" t="s">
        <v>60</v>
      </c>
      <c r="Y38" s="0" t="n">
        <f aca="false">SQRT(Y37*4/PI())</f>
        <v>0.681452683824161</v>
      </c>
      <c r="Z38" s="34" t="s">
        <v>61</v>
      </c>
      <c r="AB38" s="32" t="n">
        <f aca="false">Y38/3.28084/2</f>
        <v>0.103853385691494</v>
      </c>
      <c r="AC38" s="0" t="s">
        <v>39</v>
      </c>
    </row>
    <row r="39" customFormat="false" ht="12.8" hidden="false" customHeight="false" outlineLevel="0" collapsed="false">
      <c r="A39" s="46" t="s">
        <v>77</v>
      </c>
      <c r="B39" s="47"/>
      <c r="C39" s="13"/>
      <c r="H39" s="24"/>
      <c r="I39" s="33"/>
      <c r="J39" s="34"/>
      <c r="M39" s="20"/>
      <c r="P39" s="24"/>
      <c r="S39" s="30" t="s">
        <v>35</v>
      </c>
      <c r="X39" s="24"/>
      <c r="AD39" s="0" t="n">
        <f aca="false">AB34*5+AB18*3+S34*16*S18*12</f>
        <v>1158.41477740946</v>
      </c>
    </row>
    <row r="40" customFormat="false" ht="12.8" hidden="false" customHeight="false" outlineLevel="0" collapsed="false">
      <c r="A40" s="17" t="s">
        <v>78</v>
      </c>
      <c r="B40" s="37" t="n">
        <v>2180</v>
      </c>
      <c r="C40" s="38" t="n">
        <v>2180</v>
      </c>
      <c r="H40" s="14" t="s">
        <v>79</v>
      </c>
      <c r="I40" s="19" t="n">
        <f aca="false">I10*I9+I26*I25</f>
        <v>3400000000</v>
      </c>
      <c r="J40" s="0" t="s">
        <v>14</v>
      </c>
      <c r="P40" s="14"/>
      <c r="S40" s="40" t="n">
        <f aca="false">S38/2</f>
        <v>0.254608357421214</v>
      </c>
      <c r="T40" s="0" t="s">
        <v>39</v>
      </c>
      <c r="X40" s="14"/>
      <c r="AD40" s="0" t="n">
        <f aca="false">Q27*Q26+Q11*Q10</f>
        <v>42.1516450466811</v>
      </c>
    </row>
    <row r="41" customFormat="false" ht="12.8" hidden="false" customHeight="false" outlineLevel="0" collapsed="false">
      <c r="A41" s="17" t="s">
        <v>80</v>
      </c>
      <c r="B41" s="37" t="n">
        <v>2220</v>
      </c>
      <c r="C41" s="38" t="n">
        <v>2220</v>
      </c>
      <c r="G41" s="48"/>
      <c r="H41" s="49" t="s">
        <v>81</v>
      </c>
      <c r="I41" s="50" t="n">
        <f aca="false">I40/I5</f>
        <v>1.0563324</v>
      </c>
      <c r="J41" s="48"/>
      <c r="K41" s="51" t="s">
        <v>82</v>
      </c>
      <c r="M41" s="21"/>
      <c r="P41" s="49"/>
      <c r="X41" s="49"/>
    </row>
    <row r="42" customFormat="false" ht="12.8" hidden="false" customHeight="false" outlineLevel="0" collapsed="false">
      <c r="A42" s="17" t="s">
        <v>83</v>
      </c>
      <c r="B42" s="37" t="n">
        <v>2250</v>
      </c>
      <c r="C42" s="38" t="n">
        <v>2250</v>
      </c>
      <c r="H42" s="14" t="s">
        <v>84</v>
      </c>
      <c r="I42" s="52" t="n">
        <f aca="false">I41*I6</f>
        <v>334542.09493013</v>
      </c>
      <c r="J42" s="0" t="s">
        <v>18</v>
      </c>
      <c r="P42" s="14"/>
      <c r="R42" s="10" t="s">
        <v>85</v>
      </c>
      <c r="W42" s="10" t="s">
        <v>86</v>
      </c>
      <c r="X42" s="14"/>
    </row>
    <row r="43" customFormat="false" ht="12.8" hidden="false" customHeight="false" outlineLevel="0" collapsed="false">
      <c r="A43" s="17" t="s">
        <v>87</v>
      </c>
      <c r="B43" s="37" t="n">
        <v>2290</v>
      </c>
      <c r="C43" s="38" t="n">
        <v>2290</v>
      </c>
      <c r="Q43" s="0" t="s">
        <v>88</v>
      </c>
      <c r="R43" s="0" t="n">
        <f aca="false">Q27*T51/(T51*Q27+S34)</f>
        <v>0.327598223916908</v>
      </c>
      <c r="W43" s="0" t="n">
        <f aca="false">(Q11*T51*12+Q26*Q27*T51)/(S18*12+S34*16+AB34*5+AB18*3+Q11*Q10*T51+Q26*Q27*T51)</f>
        <v>0.304714696714831</v>
      </c>
    </row>
    <row r="44" customFormat="false" ht="14.9" hidden="false" customHeight="false" outlineLevel="0" collapsed="false">
      <c r="A44" s="22"/>
      <c r="B44" s="37"/>
      <c r="C44" s="13"/>
      <c r="H44" s="14" t="s">
        <v>89</v>
      </c>
      <c r="I44" s="53" t="n">
        <v>3</v>
      </c>
      <c r="J44" s="0" t="s">
        <v>90</v>
      </c>
      <c r="K44" s="16" t="s">
        <v>10</v>
      </c>
      <c r="P44" s="14"/>
      <c r="Q44" s="0" t="s">
        <v>91</v>
      </c>
      <c r="R44" s="0" t="n">
        <f aca="false">Q11*T51/(T51*Q11+S18)</f>
        <v>0.327382895480508</v>
      </c>
    </row>
    <row r="45" customFormat="false" ht="15.6" hidden="false" customHeight="false" outlineLevel="0" collapsed="false">
      <c r="A45" s="11" t="s">
        <v>92</v>
      </c>
      <c r="B45" s="54"/>
      <c r="C45" s="55"/>
      <c r="H45" s="14"/>
      <c r="I45" s="53" t="n">
        <v>1.8345</v>
      </c>
      <c r="J45" s="0" t="s">
        <v>93</v>
      </c>
      <c r="K45" s="16" t="s">
        <v>94</v>
      </c>
    </row>
    <row r="46" customFormat="false" ht="15.6" hidden="false" customHeight="false" outlineLevel="0" collapsed="false">
      <c r="A46" s="17" t="s">
        <v>95</v>
      </c>
      <c r="B46" s="18"/>
      <c r="C46" s="13"/>
      <c r="H46" s="14"/>
      <c r="I46" s="19" t="n">
        <f aca="false">I45*I42</f>
        <v>613717.473149324</v>
      </c>
      <c r="J46" s="0" t="s">
        <v>96</v>
      </c>
      <c r="K46" s="16" t="s">
        <v>97</v>
      </c>
    </row>
    <row r="47" customFormat="false" ht="15.6" hidden="false" customHeight="false" outlineLevel="0" collapsed="false">
      <c r="A47" s="17"/>
      <c r="B47" s="18"/>
      <c r="C47" s="13"/>
      <c r="H47" s="14" t="s">
        <v>98</v>
      </c>
      <c r="I47" s="19" t="n">
        <f aca="false">K54*(I16*I10*I13+I32*I26*I29)*3600</f>
        <v>14339.5930255926</v>
      </c>
      <c r="J47" s="0" t="s">
        <v>96</v>
      </c>
      <c r="K47" s="16"/>
      <c r="M47" s="20"/>
    </row>
    <row r="48" customFormat="false" ht="15.6" hidden="false" customHeight="false" outlineLevel="0" collapsed="false">
      <c r="A48" s="11" t="s">
        <v>99</v>
      </c>
      <c r="B48" s="45"/>
      <c r="C48" s="13"/>
      <c r="H48" s="14" t="s">
        <v>100</v>
      </c>
      <c r="I48" s="19" t="n">
        <f aca="false">I46-I47</f>
        <v>599377.880123732</v>
      </c>
      <c r="J48" s="0" t="s">
        <v>96</v>
      </c>
      <c r="K48" s="16" t="s">
        <v>101</v>
      </c>
      <c r="M48" s="20"/>
    </row>
    <row r="49" customFormat="false" ht="13.2" hidden="false" customHeight="false" outlineLevel="0" collapsed="false">
      <c r="A49" s="56" t="s">
        <v>102</v>
      </c>
      <c r="B49" s="18" t="n">
        <f aca="false">0.5*B26*B16/100</f>
        <v>0.0213421706710853</v>
      </c>
      <c r="C49" s="13" t="n">
        <f aca="false">0.5*C26*C16/100</f>
        <v>0.0213421706710853</v>
      </c>
      <c r="H49" s="14"/>
      <c r="I49" s="19"/>
      <c r="K49" s="16"/>
      <c r="S49" s="0" t="n">
        <f aca="false">I11*T51/(I11*T51+I18)</f>
        <v>0.304617253788311</v>
      </c>
    </row>
    <row r="50" customFormat="false" ht="12.8" hidden="false" customHeight="false" outlineLevel="0" collapsed="false">
      <c r="A50" s="56" t="s">
        <v>103</v>
      </c>
      <c r="B50" s="18" t="n">
        <f aca="false">0.5*B27*B16/100</f>
        <v>0.040016570008285</v>
      </c>
      <c r="C50" s="13" t="n">
        <f aca="false">0.5*C27*C16/100</f>
        <v>0.040016570008285</v>
      </c>
      <c r="H50" s="14"/>
      <c r="K50" s="16"/>
      <c r="S50" s="0" t="n">
        <f aca="false">I27*T51/(I27*T51+I34)</f>
        <v>0.304824394551375</v>
      </c>
      <c r="U50" s="0" t="n">
        <f aca="false">I11*T51</f>
        <v>11588.9317473149</v>
      </c>
    </row>
    <row r="51" customFormat="false" ht="12.8" hidden="false" customHeight="false" outlineLevel="0" collapsed="false">
      <c r="A51" s="57" t="s">
        <v>104</v>
      </c>
      <c r="B51" s="58" t="n">
        <f aca="false">0.5*B13</f>
        <v>0.295</v>
      </c>
      <c r="C51" s="59" t="n">
        <f aca="false">0.5*C13</f>
        <v>0.295</v>
      </c>
      <c r="D51" s="10" t="s">
        <v>105</v>
      </c>
      <c r="H51" s="14" t="s">
        <v>106</v>
      </c>
      <c r="P51" s="0" t="s">
        <v>107</v>
      </c>
      <c r="T51" s="0" t="n">
        <f aca="false">1-(0.15+0.0648)</f>
        <v>0.7852</v>
      </c>
      <c r="U51" s="0" t="n">
        <f aca="false">U50/(I18+U50)</f>
        <v>0.304617253788311</v>
      </c>
    </row>
    <row r="52" customFormat="false" ht="12.8" hidden="false" customHeight="false" outlineLevel="0" collapsed="false">
      <c r="H52" s="14" t="s">
        <v>108</v>
      </c>
      <c r="J52" s="60" t="s">
        <v>109</v>
      </c>
      <c r="K52" s="61" t="s">
        <v>110</v>
      </c>
      <c r="L52" s="60" t="s">
        <v>111</v>
      </c>
      <c r="M52" s="60" t="s">
        <v>112</v>
      </c>
      <c r="O52" s="0" t="s">
        <v>113</v>
      </c>
      <c r="P52" s="0" t="s">
        <v>114</v>
      </c>
    </row>
    <row r="53" customFormat="false" ht="14.9" hidden="false" customHeight="false" outlineLevel="0" collapsed="false">
      <c r="H53" s="14"/>
      <c r="I53" s="1" t="s">
        <v>115</v>
      </c>
      <c r="J53" s="2" t="n">
        <v>4.94034634917992</v>
      </c>
      <c r="K53" s="62" t="n">
        <v>0.61554393173939</v>
      </c>
      <c r="L53" s="63" t="n">
        <v>0.964353716233998</v>
      </c>
      <c r="M53" s="64" t="n">
        <v>217.423654758138</v>
      </c>
      <c r="O53" s="0" t="n">
        <v>1.25326766307079</v>
      </c>
      <c r="P53" s="0" t="n">
        <f aca="false">O53*2.2/3.28/3.28/3.28</f>
        <v>0.0781348861705038</v>
      </c>
    </row>
    <row r="54" customFormat="false" ht="15.6" hidden="false" customHeight="false" outlineLevel="0" collapsed="false">
      <c r="H54" s="14"/>
      <c r="I54" s="1" t="s">
        <v>116</v>
      </c>
      <c r="J54" s="2" t="n">
        <v>0.166971971521331</v>
      </c>
      <c r="K54" s="62" t="n">
        <v>0.0208039227568687</v>
      </c>
      <c r="L54" s="63" t="n">
        <v>0.0325928649253997</v>
      </c>
      <c r="M54" s="64" t="n">
        <v>5.34290272231676</v>
      </c>
      <c r="T54" s="0" t="n">
        <f aca="false">T51/(T51+1.8)</f>
        <v>0.30372891845892</v>
      </c>
    </row>
    <row r="55" customFormat="false" ht="15.6" hidden="false" customHeight="false" outlineLevel="0" collapsed="false">
      <c r="I55" s="1" t="s">
        <v>117</v>
      </c>
      <c r="J55" s="2" t="n">
        <v>2.9030241116495</v>
      </c>
      <c r="K55" s="63" t="n">
        <v>0.361703157900176</v>
      </c>
      <c r="L55" s="1" t="s">
        <v>118</v>
      </c>
      <c r="M55" s="64" t="n">
        <v>52.2985599761881</v>
      </c>
    </row>
    <row r="56" customFormat="false" ht="15.6" hidden="false" customHeight="false" outlineLevel="0" collapsed="false">
      <c r="A56" s="65"/>
      <c r="I56" s="1" t="s">
        <v>119</v>
      </c>
      <c r="J56" s="2" t="n">
        <v>0.0156425452276981</v>
      </c>
      <c r="K56" s="66" t="n">
        <v>1948.98760356484</v>
      </c>
      <c r="L56" s="66" t="n">
        <v>3053.41884060276</v>
      </c>
      <c r="M56" s="64" t="n">
        <v>1.00204267623206</v>
      </c>
    </row>
    <row r="57" customFormat="false" ht="13.2" hidden="false" customHeight="false" outlineLevel="0" collapsed="false">
      <c r="A57" s="65"/>
      <c r="I57" s="1" t="s">
        <v>76</v>
      </c>
      <c r="J57" s="2" t="n">
        <v>8.02598497757845</v>
      </c>
      <c r="K57" s="67" t="n">
        <v>0.998051012396435</v>
      </c>
      <c r="L57" s="67" t="n">
        <v>0.996946581159398</v>
      </c>
      <c r="M57" s="64" t="n">
        <v>276.067160132875</v>
      </c>
    </row>
    <row r="59" customFormat="false" ht="13.2" hidden="false" customHeight="false" outlineLevel="0" collapsed="false">
      <c r="H59" s="14" t="s">
        <v>120</v>
      </c>
    </row>
    <row r="60" customFormat="false" ht="13.2" hidden="false" customHeight="false" outlineLevel="0" collapsed="false">
      <c r="H60" s="24" t="s">
        <v>121</v>
      </c>
      <c r="I60" s="0" t="n">
        <v>35</v>
      </c>
      <c r="J60" s="0" t="s">
        <v>61</v>
      </c>
    </row>
    <row r="61" customFormat="false" ht="13.2" hidden="false" customHeight="false" outlineLevel="0" collapsed="false">
      <c r="H61" s="24" t="s">
        <v>122</v>
      </c>
      <c r="I61" s="0" t="n">
        <v>50</v>
      </c>
      <c r="J61" s="0" t="s">
        <v>61</v>
      </c>
    </row>
    <row r="62" customFormat="false" ht="13.2" hidden="false" customHeight="false" outlineLevel="0" collapsed="false">
      <c r="H62" s="24" t="s">
        <v>123</v>
      </c>
      <c r="I62" s="0" t="n">
        <v>20</v>
      </c>
      <c r="J62" s="0" t="s">
        <v>61</v>
      </c>
      <c r="K62" s="0" t="s">
        <v>124</v>
      </c>
    </row>
    <row r="63" customFormat="false" ht="13.2" hidden="false" customHeight="false" outlineLevel="0" collapsed="false">
      <c r="K63" s="0" t="s">
        <v>125</v>
      </c>
    </row>
    <row r="65" customFormat="false" ht="15.6" hidden="false" customHeight="false" outlineLevel="0" collapsed="false">
      <c r="H65" s="14" t="s">
        <v>126</v>
      </c>
      <c r="I65" s="20" t="n">
        <f aca="false">I5/(I60*I61)</f>
        <v>1839247.89475088</v>
      </c>
      <c r="J65" s="0" t="s">
        <v>127</v>
      </c>
    </row>
    <row r="66" customFormat="false" ht="15.6" hidden="false" customHeight="false" outlineLevel="0" collapsed="false">
      <c r="H66" s="14" t="s">
        <v>128</v>
      </c>
      <c r="I66" s="27" t="n">
        <f aca="false">I5/(I60*I61*I62)</f>
        <v>91962.3947375439</v>
      </c>
      <c r="J66" s="0" t="s">
        <v>129</v>
      </c>
    </row>
    <row r="68" customFormat="false" ht="13.2" hidden="false" customHeight="false" outlineLevel="0" collapsed="false">
      <c r="H68" s="14" t="s">
        <v>45</v>
      </c>
      <c r="I68" s="0" t="n">
        <f aca="false">276.07/100</f>
        <v>2.7607</v>
      </c>
      <c r="J68" s="0" t="s">
        <v>46</v>
      </c>
      <c r="K68" s="68" t="s">
        <v>94</v>
      </c>
    </row>
    <row r="69" customFormat="false" ht="13.2" hidden="false" customHeight="false" outlineLevel="0" collapsed="false">
      <c r="H69" s="14" t="s">
        <v>130</v>
      </c>
      <c r="I69" s="20" t="n">
        <f aca="false">I68*I6</f>
        <v>874317.933894304</v>
      </c>
      <c r="J69" s="0" t="s">
        <v>18</v>
      </c>
    </row>
    <row r="70" customFormat="false" ht="15.6" hidden="false" customHeight="false" outlineLevel="0" collapsed="false">
      <c r="H70" s="14" t="s">
        <v>131</v>
      </c>
      <c r="I70" s="69" t="n">
        <f aca="false">34.4/(0.7302*(L70+460))</f>
        <v>0.013615716970408</v>
      </c>
      <c r="J70" s="0" t="s">
        <v>34</v>
      </c>
      <c r="K70" s="70" t="s">
        <v>132</v>
      </c>
      <c r="L70" s="0" t="n">
        <v>3000</v>
      </c>
      <c r="M70" s="0" t="s">
        <v>133</v>
      </c>
    </row>
    <row r="71" customFormat="false" ht="15.6" hidden="false" customHeight="false" outlineLevel="0" collapsed="false">
      <c r="H71" s="14" t="s">
        <v>131</v>
      </c>
      <c r="I71" s="69" t="n">
        <f aca="false">P53</f>
        <v>0.0781348861705038</v>
      </c>
      <c r="J71" s="0" t="s">
        <v>34</v>
      </c>
      <c r="K71" s="70" t="s">
        <v>132</v>
      </c>
      <c r="L71" s="0" t="n">
        <v>300</v>
      </c>
      <c r="M71" s="0" t="s">
        <v>133</v>
      </c>
    </row>
    <row r="72" customFormat="false" ht="15.6" hidden="false" customHeight="false" outlineLevel="0" collapsed="false">
      <c r="H72" s="14" t="s">
        <v>134</v>
      </c>
      <c r="I72" s="20" t="n">
        <f aca="false">I69/I70</f>
        <v>64213873.995363</v>
      </c>
      <c r="J72" s="0" t="s">
        <v>135</v>
      </c>
    </row>
    <row r="73" customFormat="false" ht="13.2" hidden="false" customHeight="false" outlineLevel="0" collapsed="false">
      <c r="H73" s="14" t="s">
        <v>136</v>
      </c>
      <c r="I73" s="20" t="n">
        <f aca="false">I72/I60/I61</f>
        <v>36693.6422830646</v>
      </c>
      <c r="J73" s="0" t="s">
        <v>137</v>
      </c>
    </row>
    <row r="74" customFormat="false" ht="13.2" hidden="false" customHeight="false" outlineLevel="0" collapsed="false">
      <c r="H74" s="16"/>
      <c r="I74" s="21" t="n">
        <f aca="false">I73/3600</f>
        <v>10.1926784119624</v>
      </c>
      <c r="J74" s="0" t="s">
        <v>138</v>
      </c>
    </row>
    <row r="75" customFormat="false" ht="13.2" hidden="false" customHeight="false" outlineLevel="0" collapsed="false">
      <c r="H75" s="16"/>
    </row>
    <row r="76" customFormat="false" ht="13.2" hidden="false" customHeight="false" outlineLevel="0" collapsed="false">
      <c r="H76" s="14" t="s">
        <v>139</v>
      </c>
      <c r="I76" s="21" t="n">
        <f aca="false">I62/I74</f>
        <v>1.96219278109741</v>
      </c>
      <c r="J76" s="0" t="s">
        <v>140</v>
      </c>
    </row>
    <row r="77" customFormat="false" ht="13.2" hidden="false" customHeight="false" outlineLevel="0" collapsed="false">
      <c r="I77" s="53"/>
    </row>
    <row r="78" customFormat="false" ht="16.8" hidden="false" customHeight="false" outlineLevel="0" collapsed="false">
      <c r="H78" s="14" t="s">
        <v>141</v>
      </c>
      <c r="I78" s="69" t="n">
        <f aca="false">32/(0.7302*(L78+460))</f>
        <v>0.0456495937186159</v>
      </c>
      <c r="J78" s="0" t="s">
        <v>34</v>
      </c>
      <c r="K78" s="70" t="s">
        <v>132</v>
      </c>
      <c r="L78" s="0" t="n">
        <v>500</v>
      </c>
      <c r="M78" s="0" t="s">
        <v>133</v>
      </c>
      <c r="N78" s="0" t="n">
        <f aca="false">101325/8.31447/((L78-32)/9*5+273.15)*32/1000</f>
        <v>0.731446568061518</v>
      </c>
    </row>
    <row r="79" customFormat="false" ht="13.2" hidden="false" customHeight="false" outlineLevel="0" collapsed="false">
      <c r="N79" s="0" t="n">
        <f aca="false">N78*2.2/3.28/3.28/3.28</f>
        <v>0.0456019859279368</v>
      </c>
    </row>
    <row r="81" customFormat="false" ht="13.2" hidden="false" customHeight="false" outlineLevel="0" collapsed="false">
      <c r="I81" s="0" t="s">
        <v>142</v>
      </c>
    </row>
    <row r="82" customFormat="false" ht="12.8" hidden="false" customHeight="false" outlineLevel="0" collapsed="false">
      <c r="I82" s="69" t="n">
        <f aca="false">34.4/(0.7302*(L71+460))</f>
        <v>0.061987343049489</v>
      </c>
    </row>
  </sheetData>
  <conditionalFormatting sqref="I41">
    <cfRule type="cellIs" priority="2" operator="lessThan" aboveAverage="0" equalAverage="0" bottom="0" percent="0" rank="0" text="" dxfId="0">
      <formula>1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2014-08-08T15:06:46Z</dcterms:created>
  <dc:creator>Stan Harding</dc:creator>
  <dc:language>en-US</dc:language>
  <cp:lastModifiedBy>Stan Harding</cp:lastModifiedBy>
  <cp:lastPrinted>2014-08-08T19:52:15Z</cp:lastPrinted>
  <dcterms:modified xsi:type="dcterms:W3CDTF">2014-08-21T19:53:43Z</dcterms:modified>
  <cp:revision>0</cp:revision>
</cp:coreProperties>
</file>