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DESA\03 PERENCANAAN\2020\7. ANALISA,RAB,PRONIS, DAN GAMBAR TEKNIS\"/>
    </mc:Choice>
  </mc:AlternateContent>
  <bookViews>
    <workbookView xWindow="225" yWindow="0" windowWidth="9270" windowHeight="7635" tabRatio="825"/>
  </bookViews>
  <sheets>
    <sheet name="1. DataSheet" sheetId="25" r:id="rId1"/>
    <sheet name="7. RAB" sheetId="23" r:id="rId2"/>
    <sheet name="2. TOS" sheetId="1" r:id="rId3"/>
    <sheet name="3. Analisa" sheetId="15" r:id="rId4"/>
    <sheet name="4. Rekap" sheetId="12" r:id="rId5"/>
    <sheet name="Rekapitulasi AB" sheetId="11" state="hidden" r:id="rId6"/>
    <sheet name="5. Rekap Bahan &amp; Upah" sheetId="5" r:id="rId7"/>
    <sheet name="6. Survei Harga" sheetId="14" r:id="rId8"/>
    <sheet name="RAB RKP" sheetId="20" state="hidden" r:id="rId9"/>
    <sheet name="8. Proposal Teknis" sheetId="26" r:id="rId10"/>
    <sheet name="9. Gambar Teknis" sheetId="17" r:id="rId11"/>
    <sheet name="Sheet1" sheetId="24" state="hidden" r:id="rId12"/>
  </sheets>
  <externalReferences>
    <externalReference r:id="rId13"/>
    <externalReference r:id="rId14"/>
  </externalReferences>
  <definedNames>
    <definedName name="_xlnm.Print_Area" localSheetId="2">'2. TOS'!$A$1:$U$138</definedName>
    <definedName name="_xlnm.Print_Area" localSheetId="3">'3. Analisa'!$A$1:$R$67</definedName>
    <definedName name="_xlnm.Print_Area" localSheetId="4">'4. Rekap'!$A$1:$J$244</definedName>
    <definedName name="_xlnm.Print_Area" localSheetId="6">'5. Rekap Bahan &amp; Upah'!$A$1:$I$57</definedName>
    <definedName name="_xlnm.Print_Area" localSheetId="7">'6. Survei Harga'!$A$2:$L$29</definedName>
    <definedName name="_xlnm.Print_Area" localSheetId="1">'7. RAB'!$A$1:$G$52</definedName>
    <definedName name="_xlnm.Print_Area" localSheetId="10">'9. Gambar Teknis'!$A$2:$AZ$83</definedName>
    <definedName name="_xlnm.Print_Area" localSheetId="5">'Rekapitulasi AB'!$A$1:$G$29</definedName>
  </definedNames>
  <calcPr calcId="152511"/>
</workbook>
</file>

<file path=xl/calcChain.xml><?xml version="1.0" encoding="utf-8"?>
<calcChain xmlns="http://schemas.openxmlformats.org/spreadsheetml/2006/main">
  <c r="H59" i="17" l="1"/>
  <c r="Y59" i="17" s="1"/>
  <c r="P12" i="1" l="1"/>
  <c r="P14" i="1"/>
  <c r="Y9" i="25"/>
  <c r="Z18" i="25"/>
  <c r="Y4" i="25"/>
  <c r="Y5" i="25"/>
  <c r="Y6" i="25"/>
  <c r="Y7" i="25"/>
  <c r="Y8" i="25"/>
  <c r="Y3" i="25"/>
  <c r="Y18" i="25" l="1"/>
  <c r="B22" i="25"/>
  <c r="Y23" i="25" l="1"/>
  <c r="B20" i="25" l="1"/>
  <c r="AC18" i="25"/>
  <c r="AB18" i="25"/>
  <c r="AA18" i="25" l="1"/>
  <c r="A1" i="25"/>
  <c r="F28" i="23" l="1"/>
  <c r="B21" i="25"/>
  <c r="M8" i="23" l="1"/>
  <c r="S3" i="1"/>
  <c r="F4" i="23"/>
  <c r="M8" i="1"/>
  <c r="B25" i="17" l="1"/>
  <c r="M10" i="1"/>
  <c r="M47" i="1" s="1"/>
  <c r="M9" i="1"/>
  <c r="M17" i="1" s="1"/>
  <c r="O59" i="17" s="1"/>
  <c r="I7" i="12"/>
  <c r="S4" i="1" l="1"/>
  <c r="F6" i="23" s="1"/>
  <c r="M16" i="1"/>
  <c r="M19" i="1" s="1"/>
  <c r="H6" i="5"/>
  <c r="M12" i="1"/>
  <c r="M13" i="1"/>
  <c r="J15" i="24"/>
  <c r="F2" i="24"/>
  <c r="F3" i="24"/>
  <c r="F1" i="24"/>
  <c r="G1" i="24"/>
  <c r="I2" i="24"/>
  <c r="S38" i="15"/>
  <c r="S39" i="15"/>
  <c r="S37" i="15"/>
  <c r="M20" i="1" l="1"/>
  <c r="K14" i="15" s="1"/>
  <c r="O14" i="15" s="1"/>
  <c r="M95" i="1"/>
  <c r="M75" i="1"/>
  <c r="K13" i="15" l="1"/>
  <c r="H228" i="12"/>
  <c r="G225" i="12"/>
  <c r="E225" i="12"/>
  <c r="J222" i="12"/>
  <c r="H222" i="12"/>
  <c r="J218" i="12"/>
  <c r="H218" i="12"/>
  <c r="D193" i="12"/>
  <c r="A193" i="12"/>
  <c r="H178" i="12"/>
  <c r="G175" i="12"/>
  <c r="E175" i="12"/>
  <c r="C175" i="12" s="1"/>
  <c r="J172" i="12"/>
  <c r="H172" i="12"/>
  <c r="J168" i="12"/>
  <c r="H168" i="12"/>
  <c r="E25" i="12"/>
  <c r="Q30" i="15"/>
  <c r="Q31" i="15"/>
  <c r="M112" i="1"/>
  <c r="M119" i="1" s="1"/>
  <c r="M123" i="1" s="1"/>
  <c r="M99" i="1"/>
  <c r="M98" i="1"/>
  <c r="M79" i="1"/>
  <c r="M78" i="1"/>
  <c r="M64" i="1"/>
  <c r="M66" i="1" s="1"/>
  <c r="M63" i="1"/>
  <c r="M31" i="1"/>
  <c r="M33" i="1" s="1"/>
  <c r="M30" i="1"/>
  <c r="J225" i="12" l="1"/>
  <c r="C225" i="12"/>
  <c r="M124" i="1"/>
  <c r="M101" i="1"/>
  <c r="K43" i="15"/>
  <c r="J175" i="12"/>
  <c r="M102" i="1"/>
  <c r="M106" i="1" s="1"/>
  <c r="M67" i="1"/>
  <c r="M34" i="1"/>
  <c r="M37" i="1" s="1"/>
  <c r="M49" i="1"/>
  <c r="M52" i="1" s="1"/>
  <c r="I55" i="12" s="1"/>
  <c r="K52" i="15" l="1"/>
  <c r="I210" i="12"/>
  <c r="M56" i="1"/>
  <c r="M55" i="1"/>
  <c r="M39" i="1"/>
  <c r="M40" i="1"/>
  <c r="M36" i="1"/>
  <c r="M105" i="1"/>
  <c r="M110" i="1"/>
  <c r="M109" i="1"/>
  <c r="M51" i="1"/>
  <c r="J39" i="15"/>
  <c r="T37" i="15"/>
  <c r="J37" i="15" s="1"/>
  <c r="J38" i="15"/>
  <c r="M59" i="1" l="1"/>
  <c r="M60" i="1"/>
  <c r="M42" i="1"/>
  <c r="M43" i="1"/>
  <c r="K18" i="15" s="1"/>
  <c r="O18" i="15" s="1"/>
  <c r="Q18" i="15" s="1"/>
  <c r="C19" i="1"/>
  <c r="C119" i="1"/>
  <c r="F121" i="1"/>
  <c r="A121" i="1" s="1"/>
  <c r="E123" i="1"/>
  <c r="B123" i="1" s="1"/>
  <c r="J28" i="5"/>
  <c r="K20" i="15" l="1"/>
  <c r="K19" i="15"/>
  <c r="K23" i="15" s="1"/>
  <c r="K39" i="5"/>
  <c r="D93" i="1"/>
  <c r="AQ39" i="17"/>
  <c r="AQ34" i="17"/>
  <c r="G29" i="14"/>
  <c r="A29" i="14"/>
  <c r="F51" i="23"/>
  <c r="AQ32" i="17" s="1"/>
  <c r="O5" i="15"/>
  <c r="J25" i="5" l="1"/>
  <c r="M126" i="1"/>
  <c r="M114" i="1"/>
  <c r="M113" i="1"/>
  <c r="M117" i="1" l="1"/>
  <c r="M116" i="1"/>
  <c r="H96" i="1"/>
  <c r="M82" i="1"/>
  <c r="M81" i="1"/>
  <c r="M128" i="1"/>
  <c r="E128" i="1" s="1"/>
  <c r="H51" i="5"/>
  <c r="A53" i="5"/>
  <c r="A24" i="14" s="1"/>
  <c r="C6" i="5"/>
  <c r="C7" i="23" s="1"/>
  <c r="A90" i="12"/>
  <c r="D43" i="12"/>
  <c r="D95" i="12" s="1"/>
  <c r="D149" i="12" s="1"/>
  <c r="A43" i="12"/>
  <c r="A95" i="12" s="1"/>
  <c r="A149" i="12" s="1"/>
  <c r="E3" i="15"/>
  <c r="E4" i="15"/>
  <c r="L56" i="15"/>
  <c r="I56" i="15"/>
  <c r="P56" i="15" s="1"/>
  <c r="R56" i="15" s="1"/>
  <c r="P52" i="15"/>
  <c r="R52" i="15" s="1"/>
  <c r="L52" i="15"/>
  <c r="E5" i="15"/>
  <c r="K37" i="15" l="1"/>
  <c r="O37" i="15" s="1"/>
  <c r="I107" i="12"/>
  <c r="M130" i="1"/>
  <c r="M131" i="1"/>
  <c r="I160" i="12" s="1"/>
  <c r="C107" i="12"/>
  <c r="C210" i="12"/>
  <c r="C160" i="12"/>
  <c r="C9" i="12"/>
  <c r="C8" i="5" s="1"/>
  <c r="C5" i="23" s="1"/>
  <c r="C209" i="12"/>
  <c r="C159" i="12"/>
  <c r="C105" i="12"/>
  <c r="C208" i="12"/>
  <c r="C158" i="12"/>
  <c r="M86" i="1"/>
  <c r="M85" i="1"/>
  <c r="H95" i="12"/>
  <c r="K29" i="14"/>
  <c r="C106" i="12"/>
  <c r="C8" i="12"/>
  <c r="C7" i="5" s="1"/>
  <c r="C6" i="23" s="1"/>
  <c r="C10" i="12"/>
  <c r="C9" i="5" s="1"/>
  <c r="C4" i="23" s="1"/>
  <c r="K56" i="15" l="1"/>
  <c r="O56" i="15" s="1"/>
  <c r="K28" i="15"/>
  <c r="K29" i="15"/>
  <c r="M90" i="1"/>
  <c r="K32" i="15" s="1"/>
  <c r="O32" i="15" s="1"/>
  <c r="Q32" i="15" s="1"/>
  <c r="M89" i="1"/>
  <c r="AQ25" i="17"/>
  <c r="G62" i="12"/>
  <c r="I19" i="14"/>
  <c r="AQ54" i="17" l="1"/>
  <c r="AQ76" i="17"/>
  <c r="AQ80" i="17"/>
  <c r="AQ74" i="17"/>
  <c r="AQ67" i="17"/>
  <c r="E62" i="12" l="1"/>
  <c r="E19" i="5" s="1"/>
  <c r="C22" i="23" s="1"/>
  <c r="F22" i="23" s="1"/>
  <c r="E32" i="23"/>
  <c r="C32" i="23"/>
  <c r="I29" i="5"/>
  <c r="C62" i="12" l="1"/>
  <c r="I19" i="5"/>
  <c r="C19" i="5"/>
  <c r="F32" i="23"/>
  <c r="D40" i="23"/>
  <c r="D39" i="23"/>
  <c r="B40" i="23"/>
  <c r="B39" i="23"/>
  <c r="D36" i="23"/>
  <c r="B36" i="23"/>
  <c r="B31" i="23"/>
  <c r="D20" i="23"/>
  <c r="D21" i="23"/>
  <c r="D23" i="23"/>
  <c r="D24" i="23"/>
  <c r="D25" i="23"/>
  <c r="D26" i="23"/>
  <c r="D27" i="23"/>
  <c r="D19" i="23"/>
  <c r="B20" i="23"/>
  <c r="B21" i="23"/>
  <c r="B23" i="23"/>
  <c r="B24" i="23"/>
  <c r="B25" i="23"/>
  <c r="B26" i="23"/>
  <c r="B27" i="23"/>
  <c r="B19" i="23"/>
  <c r="K14" i="20" l="1"/>
  <c r="E38" i="17" l="1"/>
  <c r="B100" i="1"/>
  <c r="G92" i="1"/>
  <c r="O43" i="15"/>
  <c r="Q43" i="15" s="1"/>
  <c r="E124" i="12" l="1"/>
  <c r="E28" i="5" s="1"/>
  <c r="C33" i="23" s="1"/>
  <c r="C28" i="5" l="1"/>
  <c r="I28" i="5"/>
  <c r="D74" i="1"/>
  <c r="E21" i="20" l="1"/>
  <c r="B21" i="20"/>
  <c r="G24" i="12" l="1"/>
  <c r="G76" i="12" s="1"/>
  <c r="I21" i="14"/>
  <c r="I20" i="14"/>
  <c r="F18" i="20" l="1"/>
  <c r="E40" i="23"/>
  <c r="F17" i="20"/>
  <c r="E39" i="23"/>
  <c r="I64" i="17" l="1"/>
  <c r="W64" i="17" s="1"/>
  <c r="P62" i="17"/>
  <c r="T20" i="17"/>
  <c r="AQ15" i="17"/>
  <c r="R5" i="17"/>
  <c r="B29" i="17" s="1"/>
  <c r="AQ53" i="17"/>
  <c r="AQ52" i="17"/>
  <c r="AQ51" i="17"/>
  <c r="AQ58" i="17" l="1"/>
  <c r="G25" i="20" l="1"/>
  <c r="G26" i="20"/>
  <c r="G24" i="20"/>
  <c r="E10" i="14" l="1"/>
  <c r="F10" i="14" s="1"/>
  <c r="I10" i="14" l="1"/>
  <c r="L10" i="14" s="1"/>
  <c r="H8" i="5"/>
  <c r="V49" i="5"/>
  <c r="H33" i="5"/>
  <c r="H32" i="5"/>
  <c r="O4" i="15"/>
  <c r="I18" i="14"/>
  <c r="L18" i="14" s="1"/>
  <c r="G23" i="5" s="1"/>
  <c r="E27" i="23" s="1"/>
  <c r="I17" i="14"/>
  <c r="L17" i="14" s="1"/>
  <c r="E36" i="23" s="1"/>
  <c r="E16" i="14"/>
  <c r="F16" i="14" s="1"/>
  <c r="E15" i="14"/>
  <c r="F15" i="14" s="1"/>
  <c r="E14" i="14"/>
  <c r="F14" i="14" s="1"/>
  <c r="E13" i="14"/>
  <c r="F13" i="14" s="1"/>
  <c r="I13" i="14" s="1"/>
  <c r="E12" i="14"/>
  <c r="F12" i="14" s="1"/>
  <c r="E11" i="14"/>
  <c r="F11" i="14" s="1"/>
  <c r="E9" i="14"/>
  <c r="F9" i="14" s="1"/>
  <c r="I9" i="14" s="1"/>
  <c r="I8" i="14"/>
  <c r="L8" i="14" s="1"/>
  <c r="I7" i="14"/>
  <c r="L7" i="14" s="1"/>
  <c r="E6" i="14"/>
  <c r="B10" i="11"/>
  <c r="H68" i="12"/>
  <c r="H74" i="12"/>
  <c r="H80" i="12"/>
  <c r="H121" i="12"/>
  <c r="H128" i="12"/>
  <c r="H134" i="12"/>
  <c r="E23" i="23" l="1"/>
  <c r="G61" i="12"/>
  <c r="L9" i="14"/>
  <c r="H34" i="5"/>
  <c r="H36" i="5" s="1"/>
  <c r="F21" i="20"/>
  <c r="I16" i="14"/>
  <c r="L16" i="14" s="1"/>
  <c r="I12" i="14"/>
  <c r="L12" i="14" s="1"/>
  <c r="I14" i="14"/>
  <c r="L14" i="14" s="1"/>
  <c r="F6" i="14"/>
  <c r="I6" i="14" s="1"/>
  <c r="L6" i="14" s="1"/>
  <c r="H9" i="5"/>
  <c r="H23" i="5"/>
  <c r="H18" i="5"/>
  <c r="F40" i="20"/>
  <c r="F35" i="20"/>
  <c r="H27" i="20"/>
  <c r="I11" i="14"/>
  <c r="L11" i="14" s="1"/>
  <c r="I15" i="14"/>
  <c r="L15" i="14" s="1"/>
  <c r="F29" i="20" l="1"/>
  <c r="H21" i="5"/>
  <c r="F37" i="20"/>
  <c r="G63" i="12"/>
  <c r="F39" i="20"/>
  <c r="E26" i="23"/>
  <c r="F38" i="20"/>
  <c r="H22" i="5"/>
  <c r="H17" i="5"/>
  <c r="F34" i="20"/>
  <c r="E20" i="23"/>
  <c r="H16" i="5"/>
  <c r="F33" i="20"/>
  <c r="G114" i="1"/>
  <c r="I10" i="12"/>
  <c r="H27" i="5" l="1"/>
  <c r="H30" i="5" s="1"/>
  <c r="H20" i="5"/>
  <c r="F36" i="20"/>
  <c r="E24" i="23"/>
  <c r="E19" i="23"/>
  <c r="F32" i="20"/>
  <c r="H15" i="5"/>
  <c r="C4" i="11"/>
  <c r="Q56" i="15"/>
  <c r="E174" i="12" s="1"/>
  <c r="G132" i="12"/>
  <c r="B11" i="11"/>
  <c r="B12" i="11"/>
  <c r="R48" i="15"/>
  <c r="L48" i="15"/>
  <c r="A144" i="12"/>
  <c r="B61" i="12"/>
  <c r="I53" i="12"/>
  <c r="I105" i="12" s="1"/>
  <c r="C53" i="12"/>
  <c r="C54" i="12"/>
  <c r="C55" i="12"/>
  <c r="C52" i="12"/>
  <c r="C104" i="12" s="1"/>
  <c r="A47" i="12"/>
  <c r="A99" i="12" s="1"/>
  <c r="A48" i="12"/>
  <c r="A100" i="12" s="1"/>
  <c r="A46" i="12"/>
  <c r="A98" i="12" s="1"/>
  <c r="B13" i="11"/>
  <c r="B117" i="12"/>
  <c r="B116" i="12"/>
  <c r="C124" i="12"/>
  <c r="B123" i="12"/>
  <c r="B114" i="12"/>
  <c r="B115" i="12"/>
  <c r="B113" i="12"/>
  <c r="B63" i="12"/>
  <c r="J74" i="12"/>
  <c r="F63" i="12"/>
  <c r="F61" i="12"/>
  <c r="L33" i="15"/>
  <c r="L32" i="15"/>
  <c r="L29" i="15"/>
  <c r="L28" i="15"/>
  <c r="L24" i="15"/>
  <c r="L23" i="15"/>
  <c r="L20" i="15"/>
  <c r="L19" i="15"/>
  <c r="O42" i="15"/>
  <c r="Q42" i="15" s="1"/>
  <c r="E123" i="12" s="1"/>
  <c r="C123" i="12" s="1"/>
  <c r="E27" i="5" s="1"/>
  <c r="L42" i="15"/>
  <c r="L43" i="15"/>
  <c r="P42" i="15"/>
  <c r="R42" i="15" s="1"/>
  <c r="F123" i="12" s="1"/>
  <c r="P43" i="15"/>
  <c r="L41" i="15"/>
  <c r="R47" i="15"/>
  <c r="L47" i="15"/>
  <c r="R46" i="15"/>
  <c r="L46" i="15"/>
  <c r="R39" i="15"/>
  <c r="F115" i="12" s="1"/>
  <c r="L39" i="15"/>
  <c r="F114" i="12"/>
  <c r="L38" i="15"/>
  <c r="F113" i="12"/>
  <c r="L37" i="15"/>
  <c r="R14" i="15"/>
  <c r="I37" i="11"/>
  <c r="I38" i="11" s="1"/>
  <c r="G131" i="12"/>
  <c r="G130" i="12"/>
  <c r="G123" i="12"/>
  <c r="G25" i="12"/>
  <c r="G77" i="12" s="1"/>
  <c r="J22" i="12"/>
  <c r="H22" i="12"/>
  <c r="J18" i="12"/>
  <c r="H18" i="12"/>
  <c r="C116" i="1"/>
  <c r="C174" i="12" l="1"/>
  <c r="J174" i="12"/>
  <c r="J178" i="12" s="1"/>
  <c r="H180" i="12" s="1"/>
  <c r="J182" i="12" s="1"/>
  <c r="J184" i="12" s="1"/>
  <c r="Q14" i="15"/>
  <c r="E24" i="12" s="1"/>
  <c r="H25" i="5"/>
  <c r="J123" i="12"/>
  <c r="C27" i="5"/>
  <c r="I27" i="5"/>
  <c r="C23" i="5"/>
  <c r="I23" i="5"/>
  <c r="G113" i="12"/>
  <c r="G116" i="12"/>
  <c r="G115" i="12"/>
  <c r="J124" i="12"/>
  <c r="G114" i="12"/>
  <c r="H28" i="12"/>
  <c r="C24" i="12" l="1"/>
  <c r="O29" i="15"/>
  <c r="O52" i="15"/>
  <c r="Q52" i="15" s="1"/>
  <c r="E224" i="12" s="1"/>
  <c r="Q37" i="15"/>
  <c r="E113" i="12" s="1"/>
  <c r="J113" i="12" s="1"/>
  <c r="K46" i="15"/>
  <c r="O46" i="15" s="1"/>
  <c r="J24" i="12"/>
  <c r="O28" i="15"/>
  <c r="D39" i="20"/>
  <c r="G39" i="20" s="1"/>
  <c r="F33" i="23"/>
  <c r="D40" i="20"/>
  <c r="G40" i="20" s="1"/>
  <c r="C27" i="23"/>
  <c r="F27" i="23" s="1"/>
  <c r="I30" i="5"/>
  <c r="D29" i="20"/>
  <c r="G29" i="20" s="1"/>
  <c r="H30" i="20" s="1"/>
  <c r="C31" i="23"/>
  <c r="F31" i="23" s="1"/>
  <c r="A3" i="20"/>
  <c r="G117" i="12"/>
  <c r="K38" i="15"/>
  <c r="O38" i="15" s="1"/>
  <c r="J128" i="12"/>
  <c r="C25" i="12"/>
  <c r="J25" i="12"/>
  <c r="F34" i="23" l="1"/>
  <c r="G34" i="23" s="1"/>
  <c r="J224" i="12"/>
  <c r="J228" i="12" s="1"/>
  <c r="H230" i="12" s="1"/>
  <c r="J232" i="12" s="1"/>
  <c r="J234" i="12" s="1"/>
  <c r="C224" i="12"/>
  <c r="J28" i="12"/>
  <c r="H30" i="12" s="1"/>
  <c r="J32" i="12" s="1"/>
  <c r="K24" i="15"/>
  <c r="O24" i="15" s="1"/>
  <c r="Q24" i="15" s="1"/>
  <c r="E76" i="12" s="1"/>
  <c r="O19" i="15"/>
  <c r="Q19" i="15" s="1"/>
  <c r="E61" i="12" s="1"/>
  <c r="C61" i="12" s="1"/>
  <c r="E18" i="5" s="1"/>
  <c r="Q28" i="15"/>
  <c r="E116" i="12" s="1"/>
  <c r="C116" i="12" s="1"/>
  <c r="E21" i="5" s="1"/>
  <c r="C21" i="5" s="1"/>
  <c r="Q29" i="15"/>
  <c r="E117" i="12" s="1"/>
  <c r="O20" i="15"/>
  <c r="Q20" i="15" s="1"/>
  <c r="E63" i="12" s="1"/>
  <c r="J63" i="12" s="1"/>
  <c r="Q38" i="15"/>
  <c r="E114" i="12" s="1"/>
  <c r="C113" i="12"/>
  <c r="E15" i="5" s="1"/>
  <c r="C15" i="5" s="1"/>
  <c r="K47" i="15"/>
  <c r="O47" i="15" s="1"/>
  <c r="Q47" i="15" s="1"/>
  <c r="E131" i="12" s="1"/>
  <c r="Q46" i="15"/>
  <c r="K39" i="15"/>
  <c r="O39" i="15" l="1"/>
  <c r="Q39" i="15" s="1"/>
  <c r="E115" i="12" s="1"/>
  <c r="J131" i="12"/>
  <c r="O23" i="15"/>
  <c r="Q23" i="15" s="1"/>
  <c r="E77" i="12" s="1"/>
  <c r="J61" i="12"/>
  <c r="J68" i="12" s="1"/>
  <c r="C63" i="12"/>
  <c r="E20" i="5" s="1"/>
  <c r="I20" i="5" s="1"/>
  <c r="K33" i="15"/>
  <c r="O33" i="15" s="1"/>
  <c r="Q33" i="15" s="1"/>
  <c r="E130" i="12" s="1"/>
  <c r="C117" i="12"/>
  <c r="E22" i="5" s="1"/>
  <c r="I22" i="5" s="1"/>
  <c r="J117" i="12"/>
  <c r="J116" i="12"/>
  <c r="C114" i="12"/>
  <c r="E16" i="5" s="1"/>
  <c r="J114" i="12"/>
  <c r="C131" i="12"/>
  <c r="C18" i="5"/>
  <c r="I18" i="5"/>
  <c r="C19" i="23"/>
  <c r="I15" i="5"/>
  <c r="K48" i="15"/>
  <c r="I21" i="5"/>
  <c r="J34" i="12"/>
  <c r="F10" i="11"/>
  <c r="E32" i="5" l="1"/>
  <c r="C32" i="5" s="1"/>
  <c r="C40" i="23" s="1"/>
  <c r="F40" i="23" s="1"/>
  <c r="J115" i="12"/>
  <c r="J121" i="12" s="1"/>
  <c r="C115" i="12"/>
  <c r="E17" i="5" s="1"/>
  <c r="C17" i="5" s="1"/>
  <c r="C21" i="23" s="1"/>
  <c r="F21" i="23" s="1"/>
  <c r="J77" i="12"/>
  <c r="F19" i="23"/>
  <c r="F13" i="11"/>
  <c r="C77" i="12"/>
  <c r="E33" i="5" s="1"/>
  <c r="C33" i="5" s="1"/>
  <c r="C39" i="23" s="1"/>
  <c r="F39" i="23" s="1"/>
  <c r="C130" i="12"/>
  <c r="C76" i="12"/>
  <c r="C20" i="5"/>
  <c r="C24" i="23" s="1"/>
  <c r="F24" i="23" s="1"/>
  <c r="D35" i="20"/>
  <c r="G35" i="20" s="1"/>
  <c r="C23" i="23"/>
  <c r="F23" i="23" s="1"/>
  <c r="D37" i="20"/>
  <c r="G37" i="20" s="1"/>
  <c r="C25" i="23"/>
  <c r="F25" i="23" s="1"/>
  <c r="C22" i="5"/>
  <c r="O48" i="15"/>
  <c r="Q48" i="15" s="1"/>
  <c r="E132" i="12" s="1"/>
  <c r="I16" i="5"/>
  <c r="C16" i="5"/>
  <c r="J130" i="12"/>
  <c r="J76" i="12"/>
  <c r="G18" i="20"/>
  <c r="D32" i="20"/>
  <c r="G32" i="20" s="1"/>
  <c r="K123" i="12"/>
  <c r="F41" i="23" l="1"/>
  <c r="G41" i="23" s="1"/>
  <c r="I9" i="23" s="1"/>
  <c r="I32" i="5"/>
  <c r="I17" i="5"/>
  <c r="I25" i="5" s="1"/>
  <c r="J26" i="5" s="1"/>
  <c r="J80" i="12"/>
  <c r="H82" i="12" s="1"/>
  <c r="J84" i="12" s="1"/>
  <c r="J86" i="12" s="1"/>
  <c r="D36" i="20"/>
  <c r="G36" i="20" s="1"/>
  <c r="D33" i="20"/>
  <c r="G33" i="20" s="1"/>
  <c r="C20" i="23"/>
  <c r="F20" i="23" s="1"/>
  <c r="D38" i="20"/>
  <c r="G38" i="20" s="1"/>
  <c r="C26" i="23"/>
  <c r="F26" i="23" s="1"/>
  <c r="J132" i="12"/>
  <c r="J134" i="12" s="1"/>
  <c r="H136" i="12" s="1"/>
  <c r="J138" i="12" s="1"/>
  <c r="K138" i="12" s="1"/>
  <c r="C132" i="12"/>
  <c r="E34" i="5" s="1"/>
  <c r="C34" i="5" s="1"/>
  <c r="I33" i="5"/>
  <c r="G17" i="20"/>
  <c r="H19" i="20" s="1"/>
  <c r="D34" i="20"/>
  <c r="G34" i="20" s="1"/>
  <c r="F29" i="23" l="1"/>
  <c r="I34" i="5"/>
  <c r="I36" i="5" s="1"/>
  <c r="H38" i="5" s="1"/>
  <c r="F11" i="11"/>
  <c r="K40" i="5"/>
  <c r="H41" i="20"/>
  <c r="J140" i="12"/>
  <c r="F12" i="11"/>
  <c r="D21" i="20" l="1"/>
  <c r="G21" i="20" s="1"/>
  <c r="H22" i="20" s="1"/>
  <c r="H42" i="20" s="1"/>
  <c r="I19" i="20" s="1"/>
  <c r="F15" i="11"/>
  <c r="F16" i="11" s="1"/>
  <c r="K42" i="5"/>
  <c r="I40" i="5"/>
  <c r="I42" i="5" s="1"/>
  <c r="J32" i="5" s="1"/>
  <c r="G29" i="23"/>
  <c r="J9" i="23" s="1"/>
  <c r="F36" i="23"/>
  <c r="F37" i="23" s="1"/>
  <c r="G37" i="23" s="1"/>
  <c r="K9" i="23" s="1"/>
  <c r="G12" i="11" l="1"/>
  <c r="I16" i="11"/>
  <c r="I17" i="11" s="1"/>
  <c r="G10" i="11"/>
  <c r="H10" i="11"/>
  <c r="G13" i="11"/>
  <c r="H12" i="11"/>
  <c r="H11" i="11"/>
  <c r="F17" i="11"/>
  <c r="K15" i="11"/>
  <c r="I10" i="11" l="1"/>
  <c r="I15" i="11" s="1"/>
  <c r="G11" i="11"/>
  <c r="G15" i="11" s="1"/>
  <c r="G16" i="11" s="1"/>
  <c r="H13" i="11"/>
  <c r="H15" i="11" s="1"/>
  <c r="H40" i="23" l="1"/>
  <c r="I7" i="23"/>
  <c r="C16" i="23" s="1"/>
  <c r="E15" i="23" l="1"/>
  <c r="F15" i="23" s="1"/>
  <c r="E14" i="23"/>
  <c r="F14" i="23" s="1"/>
  <c r="E16" i="23"/>
  <c r="F16" i="23" s="1"/>
  <c r="F17" i="23" l="1"/>
  <c r="G17" i="23" l="1"/>
  <c r="H9" i="23" s="1"/>
  <c r="F42" i="23"/>
  <c r="G42" i="23" s="1"/>
  <c r="I43" i="23" l="1"/>
  <c r="H41" i="23"/>
</calcChain>
</file>

<file path=xl/comments1.xml><?xml version="1.0" encoding="utf-8"?>
<comments xmlns="http://schemas.openxmlformats.org/spreadsheetml/2006/main">
  <authors>
    <author>Ujang Rahmat Hidayat</author>
    <author>Windows User</author>
  </authors>
  <commentList>
    <comment ref="H4" authorId="0" shapeId="0">
      <text>
        <r>
          <rPr>
            <b/>
            <sz val="9"/>
            <color indexed="81"/>
            <rFont val="Tahoma"/>
            <family val="2"/>
          </rPr>
          <t>Ujang Rahmat Hidayat:</t>
        </r>
        <r>
          <rPr>
            <sz val="9"/>
            <color indexed="81"/>
            <rFont val="Tahoma"/>
            <family val="2"/>
          </rPr>
          <t xml:space="preserve">
Masukan No. Kegiatan disini</t>
        </r>
      </text>
    </comment>
    <comment ref="F40" authorId="1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Ditambah dengan angka manual karena untuk menghabiskan sisa anggaran pertama</t>
        </r>
      </text>
    </comment>
  </commentList>
</comments>
</file>

<file path=xl/comments2.xml><?xml version="1.0" encoding="utf-8"?>
<comments xmlns="http://schemas.openxmlformats.org/spreadsheetml/2006/main">
  <authors>
    <author>Windows User</author>
    <author>very_andri</author>
    <author>Mekar Jaya</author>
  </authors>
  <commentList>
    <comment ref="J14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2013 Dekat G 144
</t>
        </r>
      </text>
    </comment>
    <comment ref="J37" authorId="1" shapeId="0">
      <text>
        <r>
          <rPr>
            <b/>
            <sz val="9"/>
            <color indexed="81"/>
            <rFont val="Tahoma"/>
            <family val="2"/>
          </rPr>
          <t>very_andri:</t>
        </r>
        <r>
          <rPr>
            <sz val="9"/>
            <color indexed="81"/>
            <rFont val="Tahoma"/>
            <family val="2"/>
          </rPr>
          <t xml:space="preserve">
k150 ; Indeks dibagi 50 kg</t>
        </r>
      </text>
    </comment>
    <comment ref="J3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K 150
</t>
        </r>
      </text>
    </comment>
    <comment ref="J39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K 150</t>
        </r>
      </text>
    </comment>
    <comment ref="J46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k 150 2013 dekat</t>
        </r>
      </text>
    </comment>
    <comment ref="J47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k150 2013 dekat - kepala tukang
</t>
        </r>
      </text>
    </comment>
    <comment ref="J52" authorId="2" shapeId="0">
      <text>
        <r>
          <rPr>
            <b/>
            <sz val="9"/>
            <color indexed="81"/>
            <rFont val="Tahoma"/>
            <family val="2"/>
          </rPr>
          <t>Mekar Jaya:</t>
        </r>
        <r>
          <rPr>
            <sz val="9"/>
            <color indexed="81"/>
            <rFont val="Tahoma"/>
            <family val="2"/>
          </rPr>
          <t xml:space="preserve">
Dari Urugan Tanah Kembali SNI 2013/ G172
SNI JAUH</t>
        </r>
      </text>
    </comment>
    <comment ref="J56" authorId="2" shapeId="0">
      <text>
        <r>
          <rPr>
            <b/>
            <sz val="9"/>
            <color indexed="81"/>
            <rFont val="Tahoma"/>
            <family val="2"/>
          </rPr>
          <t>Mekar Jaya:</t>
        </r>
        <r>
          <rPr>
            <sz val="9"/>
            <color indexed="81"/>
            <rFont val="Tahoma"/>
            <family val="2"/>
          </rPr>
          <t xml:space="preserve">
SNI JAUH G207</t>
        </r>
      </text>
    </comment>
  </commentList>
</comments>
</file>

<file path=xl/comments3.xml><?xml version="1.0" encoding="utf-8"?>
<comments xmlns="http://schemas.openxmlformats.org/spreadsheetml/2006/main">
  <authors>
    <author>Windows User</author>
  </authors>
  <commentList>
    <comment ref="C3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Dikalikan karena untuk memenuhi target PKT Minimal 30 %</t>
        </r>
      </text>
    </comment>
    <comment ref="C33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Dikalikan karena untuk memenuhi target PKT minimal 30 %</t>
        </r>
      </text>
    </comment>
  </commentList>
</comments>
</file>

<file path=xl/sharedStrings.xml><?xml version="1.0" encoding="utf-8"?>
<sst xmlns="http://schemas.openxmlformats.org/spreadsheetml/2006/main" count="1076" uniqueCount="430">
  <si>
    <t>Kabupaten</t>
  </si>
  <si>
    <t>Kecamatan</t>
  </si>
  <si>
    <t>Jenis Prasarana</t>
  </si>
  <si>
    <t>Lokasi</t>
  </si>
  <si>
    <t>Volume</t>
  </si>
  <si>
    <t>Take Of Sheet</t>
  </si>
  <si>
    <t>Tanggal Survei</t>
  </si>
  <si>
    <t>Dibuat Oleh</t>
  </si>
  <si>
    <t>M</t>
  </si>
  <si>
    <t>M3</t>
  </si>
  <si>
    <t>Satuan</t>
  </si>
  <si>
    <t>Bahan</t>
  </si>
  <si>
    <t>Upah</t>
  </si>
  <si>
    <t>Zak</t>
  </si>
  <si>
    <t>HOK</t>
  </si>
  <si>
    <t>Kg</t>
  </si>
  <si>
    <t>A</t>
  </si>
  <si>
    <t>C</t>
  </si>
  <si>
    <t>I</t>
  </si>
  <si>
    <t>Pasir</t>
  </si>
  <si>
    <t>Kerikil</t>
  </si>
  <si>
    <t>Paku</t>
  </si>
  <si>
    <t>II</t>
  </si>
  <si>
    <t>RENCANA ANGGARAN BIAYA</t>
  </si>
  <si>
    <t>Program</t>
  </si>
  <si>
    <t>Jenis Kegiatan</t>
  </si>
  <si>
    <t>Ukuran/dimensi</t>
  </si>
  <si>
    <t>:</t>
  </si>
  <si>
    <t>URAIAN</t>
  </si>
  <si>
    <t>TOTAL</t>
  </si>
  <si>
    <t>Dari Swadaya</t>
  </si>
  <si>
    <t>Harga Satuan (Rp.)</t>
  </si>
  <si>
    <t>No.RAB</t>
  </si>
  <si>
    <t>TOTAL BIAYA</t>
  </si>
  <si>
    <t>Sumber Dana</t>
  </si>
  <si>
    <t>Catatan :</t>
  </si>
  <si>
    <t>1. Sumbangan dalam bentuk bahan,Upah, dan alat ditulis dalam kolom volume dari swadaya</t>
  </si>
  <si>
    <t>2. Nilai dari RAB didapat dari kolom Volume dari Dana dikalikan dengan kolom harga satuan yang kemudian ditotalkan</t>
  </si>
  <si>
    <t>3. Sumbangan dalam bentuk uang dimasukkan pada baris terbawah ( sumber dana dari swadaya )</t>
  </si>
  <si>
    <t>4. Swadaya dalam bentuk lahan ditulis dalam format lain.</t>
  </si>
  <si>
    <t>REKAPITULASI ANGGARAN BIAYA</t>
  </si>
  <si>
    <t>III</t>
  </si>
  <si>
    <t>Sub Total II</t>
  </si>
  <si>
    <t>Sub Total I</t>
  </si>
  <si>
    <t>Sub Total III</t>
  </si>
  <si>
    <t>Jumlah Total ( Rp. )</t>
  </si>
  <si>
    <t>Desa</t>
  </si>
  <si>
    <t>1.</t>
  </si>
  <si>
    <t>=</t>
  </si>
  <si>
    <t>PERHITUNGAN VOLUME</t>
  </si>
  <si>
    <t xml:space="preserve">Volume </t>
  </si>
  <si>
    <t>Panjang jalan</t>
  </si>
  <si>
    <t>Lebar Jalan</t>
  </si>
  <si>
    <t>Bh</t>
  </si>
  <si>
    <t>II.</t>
  </si>
  <si>
    <t>Pekerjaaan Pembentukan Badan Jalan</t>
  </si>
  <si>
    <t xml:space="preserve"> Dibuat Oleh :</t>
  </si>
  <si>
    <t>2.</t>
  </si>
  <si>
    <t>Btg</t>
  </si>
  <si>
    <t>Glg</t>
  </si>
  <si>
    <t>Jenis Prasarana :</t>
  </si>
  <si>
    <t>Lokasi :</t>
  </si>
  <si>
    <t>Judul Gambar :</t>
  </si>
  <si>
    <t>No.</t>
  </si>
  <si>
    <t>RAB</t>
  </si>
  <si>
    <t>Bobot</t>
  </si>
  <si>
    <t>Data Data</t>
  </si>
  <si>
    <t xml:space="preserve">Kecamatan </t>
  </si>
  <si>
    <t>Papan Proyek</t>
  </si>
  <si>
    <t>Alat</t>
  </si>
  <si>
    <t>Ember Cor</t>
  </si>
  <si>
    <t>Tim Pengelola Kegiatan</t>
  </si>
  <si>
    <t>URAIAN PEKERJAAN</t>
  </si>
  <si>
    <t>NO</t>
  </si>
  <si>
    <t xml:space="preserve">Propinsi </t>
  </si>
  <si>
    <t xml:space="preserve">Desa        </t>
  </si>
  <si>
    <t>BAHAN</t>
  </si>
  <si>
    <t>ALAT</t>
  </si>
  <si>
    <t>UPAH</t>
  </si>
  <si>
    <t>DARI SWADAYA:</t>
  </si>
  <si>
    <t>ADD+SAWADAYA</t>
  </si>
  <si>
    <t>Semen 50 Kg</t>
  </si>
  <si>
    <t>Tukang</t>
  </si>
  <si>
    <t>Pekerja</t>
  </si>
  <si>
    <t>VOLUME</t>
  </si>
  <si>
    <t>DARI SWADAYA</t>
  </si>
  <si>
    <t>SATUAN</t>
  </si>
  <si>
    <t>HARGA SATUAN (Rp)</t>
  </si>
  <si>
    <t>JUMLAH TOTAL (Rp)</t>
  </si>
  <si>
    <t xml:space="preserve">Propinsi    </t>
  </si>
  <si>
    <t xml:space="preserve">Kabupaten  </t>
  </si>
  <si>
    <t xml:space="preserve">Desa       </t>
  </si>
  <si>
    <t>Semen</t>
  </si>
  <si>
    <t>Di Verifikasi Oleh</t>
  </si>
  <si>
    <t>Sekretaris Desa</t>
  </si>
  <si>
    <t>Di Setujui Oleh</t>
  </si>
  <si>
    <t>Mengetahui,</t>
  </si>
  <si>
    <t>HARGA TOKO</t>
  </si>
  <si>
    <t>PPN 10%</t>
  </si>
  <si>
    <t>HARGA RAB</t>
  </si>
  <si>
    <t>ZAK</t>
  </si>
  <si>
    <t>Unit</t>
  </si>
  <si>
    <t>pekerja</t>
  </si>
  <si>
    <t xml:space="preserve">DAFTAR HARGA SURVEY SATUAN MATERIAL DAN PAJAK </t>
  </si>
  <si>
    <t xml:space="preserve">Bh </t>
  </si>
  <si>
    <t>PEMBERSIHAN LOKASI</t>
  </si>
  <si>
    <t>M³</t>
  </si>
  <si>
    <t>B</t>
  </si>
  <si>
    <t>INDEKS SNI</t>
  </si>
  <si>
    <t>KETERANGAN</t>
  </si>
  <si>
    <t>Papan Klas III</t>
  </si>
  <si>
    <t>Kerkil</t>
  </si>
  <si>
    <t xml:space="preserve">DAFTAR ANALISA SATUAN KERJA </t>
  </si>
  <si>
    <t>PEKERJAAN JALAN RABAT</t>
  </si>
  <si>
    <t>III.</t>
  </si>
  <si>
    <t>DARI DANA APBN</t>
  </si>
  <si>
    <t>DARI DANA DD</t>
  </si>
  <si>
    <t>Dana DD</t>
  </si>
  <si>
    <t>TOTAL DD</t>
  </si>
  <si>
    <t>3.</t>
  </si>
  <si>
    <t>4.</t>
  </si>
  <si>
    <t>Panjang</t>
  </si>
  <si>
    <t>Tinggi</t>
  </si>
  <si>
    <t>Jumlah Titik</t>
  </si>
  <si>
    <t>+</t>
  </si>
  <si>
    <t xml:space="preserve">Jumlah </t>
  </si>
  <si>
    <t>Lebar</t>
  </si>
  <si>
    <t>PEMBESIAN</t>
  </si>
  <si>
    <t>Kawat Ikat</t>
  </si>
  <si>
    <t>Semen PCC 50 Kg</t>
  </si>
  <si>
    <t>KECAMATAN BAHAR SELATAN</t>
  </si>
  <si>
    <t>PEMERINTAH DAERAH KABUPATEN MUARO JAMBI</t>
  </si>
  <si>
    <t>Kepala Desa Tri Jaya</t>
  </si>
  <si>
    <t>ARBAI</t>
  </si>
  <si>
    <t>Kader Teknik</t>
  </si>
  <si>
    <t>Tim Pelaksana Kegiatan</t>
  </si>
  <si>
    <t>PEMERINTAH KABUPATEN MUARO JAMBI</t>
  </si>
  <si>
    <t>: Bahar Selatan</t>
  </si>
  <si>
    <t>: Tri Jaya</t>
  </si>
  <si>
    <t>Dibuat oleh :</t>
  </si>
  <si>
    <t>TPK</t>
  </si>
  <si>
    <t>Diperiksa oleh :</t>
  </si>
  <si>
    <t>Diketahui oleh :</t>
  </si>
  <si>
    <t>Lembar          dari           Lembar</t>
  </si>
  <si>
    <t>DENAH PEMBESIAN</t>
  </si>
  <si>
    <t xml:space="preserve">Sekretaris Desa </t>
  </si>
  <si>
    <t>Pekerjaan Pembesian</t>
  </si>
  <si>
    <t>PEMASANGAN PAPAN COR : 25 CM 2 X Pemakaian</t>
  </si>
  <si>
    <t>PEKERJAAN COR JALAN 1:2:3</t>
  </si>
  <si>
    <t>Pekerjaan Cetakan Rabat Beton</t>
  </si>
  <si>
    <t xml:space="preserve">Papan Klas III + Kayu </t>
  </si>
  <si>
    <t>Sewa Molen</t>
  </si>
  <si>
    <t>Hari</t>
  </si>
  <si>
    <t>Harian</t>
  </si>
  <si>
    <t>Pemb.Jalan Rabat Beton</t>
  </si>
  <si>
    <t xml:space="preserve">Pemb. Jalan Rabat Beton </t>
  </si>
  <si>
    <t>GAMBAR TAMPAK DEPAN</t>
  </si>
  <si>
    <t>: Muaro Jambi</t>
  </si>
  <si>
    <t xml:space="preserve">Cor Beton </t>
  </si>
  <si>
    <t xml:space="preserve">Tanah Dasar </t>
  </si>
  <si>
    <t>PEMBERSIHAN LOKASI DAN PENGECORAN</t>
  </si>
  <si>
    <t>Pengecoran Rabat Beton 1 : 2 : 3</t>
  </si>
  <si>
    <t>Tri Jaya ,                           2015</t>
  </si>
  <si>
    <t>Mengetahui</t>
  </si>
  <si>
    <t>Tim Penyusun RKP</t>
  </si>
  <si>
    <t>DEWI HASTUTI PRAMITA SARI</t>
  </si>
  <si>
    <t>FERI ANDRIYANTO</t>
  </si>
  <si>
    <t>IRFAN SAPUTRA</t>
  </si>
  <si>
    <t>Pembentukan Badan Jalan</t>
  </si>
  <si>
    <t>DDs Tahun Anggaran 2018</t>
  </si>
  <si>
    <t>02</t>
  </si>
  <si>
    <t>Pemasangan Papan Cor</t>
  </si>
  <si>
    <t>Pembesian dan Pengecoran</t>
  </si>
  <si>
    <t>04</t>
  </si>
  <si>
    <t>MAHFUD RENO P.</t>
  </si>
  <si>
    <t>Tri Jaya,</t>
  </si>
  <si>
    <t>PPh 21</t>
  </si>
  <si>
    <t>Pph 23</t>
  </si>
  <si>
    <t>PEMBULATAN</t>
  </si>
  <si>
    <t>5=100/110*4*10 %</t>
  </si>
  <si>
    <t>6=4-7 * 1,5 %</t>
  </si>
  <si>
    <t>7=4*6%</t>
  </si>
  <si>
    <t>8=4*2%</t>
  </si>
  <si>
    <t>sewa molen</t>
  </si>
  <si>
    <t>-</t>
  </si>
  <si>
    <t>Jln Rabat Beton</t>
  </si>
  <si>
    <t>RENCANA ANGGARAN BIAYA (RAB)</t>
  </si>
  <si>
    <t>No.RAB               :</t>
  </si>
  <si>
    <t>Bidang                :</t>
  </si>
  <si>
    <t>Pelaksanaan Pembangunan Desa</t>
  </si>
  <si>
    <t>Provinsi</t>
  </si>
  <si>
    <t>: Jambi</t>
  </si>
  <si>
    <t>Kegiatan             :</t>
  </si>
  <si>
    <t>Harga Satuan     Rp</t>
  </si>
  <si>
    <t>Jumlah Total
Rp</t>
  </si>
  <si>
    <t>a</t>
  </si>
  <si>
    <t>b</t>
  </si>
  <si>
    <t>c</t>
  </si>
  <si>
    <t>d</t>
  </si>
  <si>
    <t>e = b x d</t>
  </si>
  <si>
    <t>f</t>
  </si>
  <si>
    <t>Upah Tenaga Kerja</t>
  </si>
  <si>
    <t>1.1</t>
  </si>
  <si>
    <t>1.2</t>
  </si>
  <si>
    <t>Sub Total 1</t>
  </si>
  <si>
    <t>2.1</t>
  </si>
  <si>
    <t>Sub Total 2</t>
  </si>
  <si>
    <t>Honor TPK</t>
  </si>
  <si>
    <t>3.1</t>
  </si>
  <si>
    <t>Ketua</t>
  </si>
  <si>
    <t>Kegiatan</t>
  </si>
  <si>
    <t>3.2</t>
  </si>
  <si>
    <t>Sekertaris</t>
  </si>
  <si>
    <t>3.3</t>
  </si>
  <si>
    <t>Anggota</t>
  </si>
  <si>
    <t>Sub Total 3</t>
  </si>
  <si>
    <t>Bahan Bangunan / Material</t>
  </si>
  <si>
    <t>Besi Dia. 8</t>
  </si>
  <si>
    <t>Total Biaya</t>
  </si>
  <si>
    <t>Mengetahui :</t>
  </si>
  <si>
    <t>Kepala Desa,</t>
  </si>
  <si>
    <t>Tim Penyusun RKP Desa,</t>
  </si>
  <si>
    <t>DD Tahun 2018</t>
  </si>
  <si>
    <t>Besi 6</t>
  </si>
  <si>
    <t>Besi 8</t>
  </si>
  <si>
    <r>
      <t xml:space="preserve">Besi </t>
    </r>
    <r>
      <rPr>
        <sz val="11"/>
        <rFont val="Calibri"/>
        <family val="2"/>
      </rPr>
      <t>Ø</t>
    </r>
    <r>
      <rPr>
        <sz val="9.8000000000000007"/>
        <rFont val="Trebuchet MS"/>
        <family val="2"/>
      </rPr>
      <t xml:space="preserve"> 08</t>
    </r>
  </si>
  <si>
    <t>kg</t>
  </si>
  <si>
    <t>4.1</t>
  </si>
  <si>
    <t>Sub Total 4</t>
  </si>
  <si>
    <t>5.1</t>
  </si>
  <si>
    <t>5.2</t>
  </si>
  <si>
    <t>Sewa Alat</t>
  </si>
  <si>
    <t>IV.</t>
  </si>
  <si>
    <t>Plastik Cor</t>
  </si>
  <si>
    <t>m</t>
  </si>
  <si>
    <t>03</t>
  </si>
  <si>
    <t>5.3</t>
  </si>
  <si>
    <t>5.4</t>
  </si>
  <si>
    <t>5.5</t>
  </si>
  <si>
    <t>5.6</t>
  </si>
  <si>
    <t>5.7</t>
  </si>
  <si>
    <t>5.8</t>
  </si>
  <si>
    <t>5.9</t>
  </si>
  <si>
    <t>Sub Total 5</t>
  </si>
  <si>
    <t>Benang</t>
  </si>
  <si>
    <t xml:space="preserve">Rabat Beton Rt 03 </t>
  </si>
  <si>
    <r>
      <t xml:space="preserve">Besi </t>
    </r>
    <r>
      <rPr>
        <sz val="11"/>
        <color indexed="8"/>
        <rFont val="Times New Roman"/>
        <family val="1"/>
      </rPr>
      <t>Ø</t>
    </r>
    <r>
      <rPr>
        <sz val="9.8000000000000007"/>
        <color indexed="8"/>
        <rFont val="Times New Roman"/>
        <family val="1"/>
      </rPr>
      <t xml:space="preserve"> 08</t>
    </r>
  </si>
  <si>
    <t>MUJAHIDIN</t>
  </si>
  <si>
    <t>ALIF NUR HIDAYATI,S.Pd</t>
  </si>
  <si>
    <t>Bukit Jaya, 20 September 2017</t>
  </si>
  <si>
    <t xml:space="preserve">Bidang </t>
  </si>
  <si>
    <t>: Pembangunan  Desa</t>
  </si>
  <si>
    <t>Honorarium TPK</t>
  </si>
  <si>
    <t>ketua</t>
  </si>
  <si>
    <t>OB</t>
  </si>
  <si>
    <t>Sekretaris</t>
  </si>
  <si>
    <t>1.3</t>
  </si>
  <si>
    <t>Sub Total (1)</t>
  </si>
  <si>
    <t>Bahan Material</t>
  </si>
  <si>
    <t>2.2</t>
  </si>
  <si>
    <t>2.3</t>
  </si>
  <si>
    <t>2.4</t>
  </si>
  <si>
    <t>2.5</t>
  </si>
  <si>
    <t>2.6</t>
  </si>
  <si>
    <t>2.8</t>
  </si>
  <si>
    <t>2.9</t>
  </si>
  <si>
    <t>Sub Total (2)</t>
  </si>
  <si>
    <t>Glng</t>
  </si>
  <si>
    <t>Sub Total (3)</t>
  </si>
  <si>
    <t>Sub Total (4)</t>
  </si>
  <si>
    <t xml:space="preserve">Upah </t>
  </si>
  <si>
    <t>Sub Total (5)</t>
  </si>
  <si>
    <t>05</t>
  </si>
  <si>
    <t>KEBUUTUHAN</t>
  </si>
  <si>
    <t>ANALISIS (SNI)</t>
  </si>
  <si>
    <t>Papan Kelas III</t>
  </si>
  <si>
    <t>Kayu kasao</t>
  </si>
  <si>
    <t>m3</t>
  </si>
  <si>
    <t>Buah</t>
  </si>
  <si>
    <t>Plastik</t>
  </si>
  <si>
    <t>Panjang Patok</t>
  </si>
  <si>
    <t>Jumlah Patok</t>
  </si>
  <si>
    <t>Total Panjang Patok</t>
  </si>
  <si>
    <t>Asumsi Pemakaian</t>
  </si>
  <si>
    <t>Jarak Antar Patok</t>
  </si>
  <si>
    <t>plastik Cor</t>
  </si>
  <si>
    <t xml:space="preserve">Papan Klas III </t>
  </si>
  <si>
    <t>Kayu Kasao</t>
  </si>
  <si>
    <t>Panjang Jalan</t>
  </si>
  <si>
    <t>Tebal Cor</t>
  </si>
  <si>
    <t>Tebal Papan</t>
  </si>
  <si>
    <t>Jarak Antar Besi</t>
  </si>
  <si>
    <t>Tinggi Cor</t>
  </si>
  <si>
    <t>Panjang Cor</t>
  </si>
  <si>
    <t>Lebar Cor</t>
  </si>
  <si>
    <t>PEKERJAAN GALIAN PARIT</t>
  </si>
  <si>
    <t>A.</t>
  </si>
  <si>
    <t>Volume Cor Jalan</t>
  </si>
  <si>
    <t>A. Perhitungan Kayu Kasao</t>
  </si>
  <si>
    <t>B. Kebutuhan Bekisting</t>
  </si>
  <si>
    <t>No Rab</t>
  </si>
  <si>
    <t>Provinsi           : J a m b i</t>
  </si>
  <si>
    <t>Kabupaten      : Muaro Jambi</t>
  </si>
  <si>
    <t>Kecamatan     : Bahar Selatan</t>
  </si>
  <si>
    <t>5.</t>
  </si>
  <si>
    <t>MELINTANG</t>
  </si>
  <si>
    <t>V</t>
  </si>
  <si>
    <t>VI. PENIMBUNAN TANAH KEMBALI</t>
  </si>
  <si>
    <t>bei 8</t>
  </si>
  <si>
    <t>plastik cor</t>
  </si>
  <si>
    <t>6000/m</t>
  </si>
  <si>
    <t>20000/kg</t>
  </si>
  <si>
    <r>
      <t xml:space="preserve"> Besi </t>
    </r>
    <r>
      <rPr>
        <sz val="9.8000000000000007"/>
        <rFont val="Times New Roman"/>
        <family val="1"/>
      </rPr>
      <t>8 mm</t>
    </r>
  </si>
  <si>
    <t>: Tanjung Mulya</t>
  </si>
  <si>
    <t>SUPARNO</t>
  </si>
  <si>
    <t>TIRTO  NADI</t>
  </si>
  <si>
    <t>Tanjung Mulya,     ,              2018</t>
  </si>
  <si>
    <t>Kepala Desa Tanjung Mulya</t>
  </si>
  <si>
    <t>Kepala Desa Tanjung Mulya,</t>
  </si>
  <si>
    <t>Desa                : Tanjung Mulya</t>
  </si>
  <si>
    <t>Plastik cor</t>
  </si>
  <si>
    <t>UJANG RAHMAT HIDAYAT</t>
  </si>
  <si>
    <t>Kubikasi Kayu Kasao</t>
  </si>
  <si>
    <t xml:space="preserve">* Asumsi : </t>
  </si>
  <si>
    <t>Ukuran Kasau = 0,04 x 0,06 x 4</t>
  </si>
  <si>
    <t xml:space="preserve">((Panjang Cor / Jarak antar patok) + 1) x 2 </t>
  </si>
  <si>
    <t>Panjang Patok x Jumlah Patok</t>
  </si>
  <si>
    <t>Kebutuhan Kayu Kasau</t>
  </si>
  <si>
    <t>Total Panjang Patok / Panjang Kayu Kasau</t>
  </si>
  <si>
    <t>Volume 1 Kayu kasau x Jumlah Kebutuhan Kayu Kasau</t>
  </si>
  <si>
    <t>Kebutuhan Papan</t>
  </si>
  <si>
    <t>Kubikasi Papan</t>
  </si>
  <si>
    <t>Kebutuhan Papan x Tebal Papan</t>
  </si>
  <si>
    <t>Panjang Jalan x (lebar cor + 0.5)</t>
  </si>
  <si>
    <t>Berat Plastik</t>
  </si>
  <si>
    <t>Asumsi :</t>
  </si>
  <si>
    <t>1 Kg = 7 m2</t>
  </si>
  <si>
    <t>Kebutuhan Plastik / 7</t>
  </si>
  <si>
    <t>C. Kebutuhan Plastik Cor</t>
  </si>
  <si>
    <t>Panjang Besi Melintang</t>
  </si>
  <si>
    <t>(Panjang cor / jarak besi)+1</t>
  </si>
  <si>
    <t>Panjang Total Besi</t>
  </si>
  <si>
    <t>Panjang Besi Melintang x Jumlah Titik</t>
  </si>
  <si>
    <t xml:space="preserve">Panjang Besi </t>
  </si>
  <si>
    <t>Kebutuhan Besi</t>
  </si>
  <si>
    <t>Panjang total besi / panjang besi</t>
  </si>
  <si>
    <t>Berat 1 Besi</t>
  </si>
  <si>
    <t>Berat total besi melintang</t>
  </si>
  <si>
    <t>Berat 1 Besi x Jumlah Kebutuhan Besi</t>
  </si>
  <si>
    <t>MEMBUJUR</t>
  </si>
  <si>
    <t>Panjang Besi Membujur</t>
  </si>
  <si>
    <t>(Lebar cor / jarak besi)+1</t>
  </si>
  <si>
    <t>Panjang Besi Membujur x Jumlah Titik</t>
  </si>
  <si>
    <t>Panjang Cor x Lebar Cor x Tinggi Cor</t>
  </si>
  <si>
    <t>Volume Galian</t>
  </si>
  <si>
    <t>Panjang x Lebar x Tinggi</t>
  </si>
  <si>
    <t>(Panjang x Lebar x Tinggi) x 2</t>
  </si>
  <si>
    <t>6.               Pekerjaan Galian Parit (Saluran Air) Kanan Kiri</t>
  </si>
  <si>
    <t>7.               Penimbunan Bahu Jalan</t>
  </si>
  <si>
    <t>DESA TANJUNG MULYA</t>
  </si>
  <si>
    <t>Pembuatan Saluran kanan Kiri</t>
  </si>
  <si>
    <t>RONIMAN SINAMBELA</t>
  </si>
  <si>
    <t>Penimbunan Bahu Jalan</t>
  </si>
  <si>
    <t>Kayu Kasau</t>
  </si>
  <si>
    <t>2.7</t>
  </si>
  <si>
    <t>(Panjang Jalan x tabal Cor ) x 2</t>
  </si>
  <si>
    <t>Asumsi 2 Kali Pemakaian</t>
  </si>
  <si>
    <t>Kebutuhan Kayu Kasau / Asumsi Pemakaian</t>
  </si>
  <si>
    <t>Tebal cor</t>
  </si>
  <si>
    <t>Asumsi pemakaian</t>
  </si>
  <si>
    <t>Asumsi 2 kali pemakaian</t>
  </si>
  <si>
    <t>Kebutuhan Papan / Asumsi Pemakaian</t>
  </si>
  <si>
    <t>sewa + Upah</t>
  </si>
  <si>
    <t>Anggaran pertama</t>
  </si>
  <si>
    <t>Selisih Anggaran</t>
  </si>
  <si>
    <t>Koral</t>
  </si>
  <si>
    <t>m2</t>
  </si>
  <si>
    <t>TIRTO NADI</t>
  </si>
  <si>
    <t>No Kegiatan</t>
  </si>
  <si>
    <t>Volume Rabat Beton</t>
  </si>
  <si>
    <t>Panjang Jalan x Lebar Jalan</t>
  </si>
  <si>
    <t>Volume Pekerjaan</t>
  </si>
  <si>
    <t>P x L x T</t>
  </si>
  <si>
    <t>DESA TANJUNG MULIA</t>
  </si>
  <si>
    <t>Nama Kegiatan</t>
  </si>
  <si>
    <t>Usulan dari</t>
  </si>
  <si>
    <t>Lokasi Dan Titik Koordinat</t>
  </si>
  <si>
    <t>Pelaksana</t>
  </si>
  <si>
    <t>Pemanfaat Langsung Umum Laki2</t>
  </si>
  <si>
    <t>Pemanfaat Langsung Umum Perempuan</t>
  </si>
  <si>
    <t>Pemanfaat Langsung A-RTM Laki2</t>
  </si>
  <si>
    <t>Pemanfaat Langsung A-RTMPerempuan</t>
  </si>
  <si>
    <t>Pemanfaat Tidak Langsung  Laki2</t>
  </si>
  <si>
    <t>Pemanfaat Tidak Langsung Perempuan</t>
  </si>
  <si>
    <t>Jumlah A-RTM</t>
  </si>
  <si>
    <t>Latar Belakang</t>
  </si>
  <si>
    <t>Tujuan yang ingin di Capai</t>
  </si>
  <si>
    <t>Kegiatan yang akan dilakukan</t>
  </si>
  <si>
    <t>Manfaat yang akan diperoleh</t>
  </si>
  <si>
    <t>Potensi SDA</t>
  </si>
  <si>
    <t>Rencana Pelaksanaan Kegiatan</t>
  </si>
  <si>
    <t>Rencana Pelestarian Kegiatan</t>
  </si>
  <si>
    <t>LOKASI</t>
  </si>
  <si>
    <t>RT.04</t>
  </si>
  <si>
    <t>Kegiatan pengadaan, pembangunan, pengembangan dan pemeliharaan jalan pemukiman II (RT.04)</t>
  </si>
  <si>
    <t>RT.16</t>
  </si>
  <si>
    <t>RT.01</t>
  </si>
  <si>
    <t>Kegiatan pengadaan, pembangunan, pengembangan dan pemeliharaan jalan pemukiman I (RT.01)</t>
  </si>
  <si>
    <t>Tanjung Mulya,       September  2019</t>
  </si>
  <si>
    <t>RT.10/13</t>
  </si>
  <si>
    <t>RT.15</t>
  </si>
  <si>
    <t>RT.11</t>
  </si>
  <si>
    <t>Honor Tim (Ini Berkaitan Dengan Sub Kegiatan Honor Pada Dokumen APBDes)</t>
  </si>
  <si>
    <t>Anggaran Biaya (Jangan Lupa Salin Ulang dari RAB Kalau ada perubahan Volume)</t>
  </si>
  <si>
    <t>Tanah Urug</t>
  </si>
  <si>
    <t>Upah (Ini Berkaitan Dengan Sub Kegiatan Honor Pada Dokumen APBDes)</t>
  </si>
  <si>
    <t>z1</t>
  </si>
  <si>
    <t>Bahan Material (Ini Berkaitan Dengan Sub Kegiatan Honor Pada Dokumen APBDes)</t>
  </si>
  <si>
    <t>Sewa Peralatan (Ini Berkaitan Dengan Sub Kegiatan Honor Pada Dokumen APBDes)</t>
  </si>
  <si>
    <t>Honor Tim</t>
  </si>
  <si>
    <t>Material</t>
  </si>
  <si>
    <t>Sewa Peralatan</t>
  </si>
  <si>
    <t>Nilai Proyek (-TPK)</t>
  </si>
  <si>
    <t>RT.06</t>
  </si>
  <si>
    <t>Kegiatan pengadaan, pembangunan, pengembangan dan pemeliharaan jalan pemukiman III (RT.06)</t>
  </si>
  <si>
    <t>Kegiatan pengadaan, pembangunan, pengembangan dan pemeliharaan jalan pemukiman IV (RT.10/13 --&gt; Tanjakan Pak Su'id)</t>
  </si>
  <si>
    <t>Kegiatan pengadaan, pembangunan, pengembangan dan pemeliharaan jalan pemukiman V (RT.11 --&gt; Tanjakan Ari)</t>
  </si>
  <si>
    <t>Tanah Timbunan</t>
  </si>
  <si>
    <t>Kegiatan pengadaan, pembangunan, pengembangan dan pemeliharaan jalan pemukiman VI (RT.15 --&gt; Pak Suratni)</t>
  </si>
  <si>
    <t>Kegiatan pengadaan, pembangunan, pengembangan dan pemeliharaan jalan pemukiman VII (RT.16 --&gt; Tikungan Makam)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</si>
</sst>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7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(* #,##0.0_);_(* \(#,##0.0\);_(* &quot;-&quot;_);_(@_)"/>
    <numFmt numFmtId="167" formatCode="_(* #,##0.00_);_(* \(#,##0.00\);_(* &quot;-&quot;_);_(@_)"/>
    <numFmt numFmtId="168" formatCode="_(* #,##0.0000_);_(* \(#,##0.0000\);_(* &quot;-&quot;_);_(@_)"/>
    <numFmt numFmtId="169" formatCode="0.000"/>
    <numFmt numFmtId="170" formatCode="0.00\ \ &quot;M&quot;"/>
    <numFmt numFmtId="171" formatCode="0\ \ &quot;M&quot;"/>
    <numFmt numFmtId="172" formatCode="0.000%"/>
    <numFmt numFmtId="173" formatCode="_([$Rp-421]* #,##0_);_([$Rp-421]* \(#,##0\);_([$Rp-421]* &quot;-&quot;_);_(@_)"/>
    <numFmt numFmtId="174" formatCode="_(* #,##0_);_(* \(#,##0\);_(* &quot;-&quot;?_);_(@_)"/>
    <numFmt numFmtId="175" formatCode="_(* #,##0.0000_);_(* \(#,##0.0000\);_(* &quot;-&quot;????_);_(@_)"/>
    <numFmt numFmtId="176" formatCode="0.0\ \ &quot;M&quot;"/>
    <numFmt numFmtId="177" formatCode="0.0\ \ &quot;M3&quot;"/>
    <numFmt numFmtId="178" formatCode="0.0\ \ &quot;M2&quot;"/>
    <numFmt numFmtId="179" formatCode="0\ \ &quot;Kali&quot;"/>
    <numFmt numFmtId="180" formatCode="0\ \ &quot;Buah&quot;"/>
    <numFmt numFmtId="181" formatCode="0.00\ \ &quot;Batang&quot;"/>
    <numFmt numFmtId="182" formatCode="0.00\ \ &quot;M3&quot;"/>
    <numFmt numFmtId="183" formatCode="0.000\ \ &quot;M3&quot;"/>
    <numFmt numFmtId="184" formatCode="0.00\ \ &quot;M2&quot;"/>
    <numFmt numFmtId="185" formatCode="0.00\ \ &quot;Kg&quot;"/>
    <numFmt numFmtId="186" formatCode="0.0\ \ &quot;Titik&quot;"/>
    <numFmt numFmtId="187" formatCode="_-[$Rp-421]* #,##0_-;\-[$Rp-421]* #,##0_-;_-[$Rp-421]* &quot;-&quot;_-;_-@_-"/>
    <numFmt numFmtId="188" formatCode="_-[$Rp-421]* #,##0.00_-;\-[$Rp-421]* #,##0.00_-;_-[$Rp-421]* &quot;-&quot;??_-;_-@_-"/>
  </numFmts>
  <fonts count="68" x14ac:knownFonts="1">
    <font>
      <sz val="10"/>
      <name val="Arial"/>
      <charset val="1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20"/>
      <name val="Tahoma"/>
      <family val="2"/>
    </font>
    <font>
      <sz val="12"/>
      <name val="Tahoma"/>
      <family val="2"/>
    </font>
    <font>
      <b/>
      <sz val="12"/>
      <name val="Tahoma"/>
      <family val="2"/>
    </font>
    <font>
      <sz val="11"/>
      <name val="Tahoma"/>
      <family val="2"/>
    </font>
    <font>
      <b/>
      <sz val="14"/>
      <name val="Tahoma"/>
      <family val="2"/>
    </font>
    <font>
      <sz val="10"/>
      <name val="Tahoma"/>
      <family val="2"/>
    </font>
    <font>
      <b/>
      <sz val="18"/>
      <name val="Times New Roman"/>
      <family val="1"/>
    </font>
    <font>
      <sz val="11"/>
      <name val="Times New Roman"/>
      <family val="1"/>
    </font>
    <font>
      <b/>
      <sz val="12"/>
      <name val="Times New Roman"/>
      <family val="1"/>
    </font>
    <font>
      <b/>
      <sz val="11"/>
      <name val="Times New Roman"/>
      <family val="1"/>
    </font>
    <font>
      <b/>
      <u/>
      <sz val="11"/>
      <name val="Times New Roman"/>
      <family val="1"/>
    </font>
    <font>
      <sz val="12"/>
      <name val="Times New Roman"/>
      <family val="1"/>
    </font>
    <font>
      <b/>
      <u/>
      <sz val="12"/>
      <name val="Times New Roman"/>
      <family val="1"/>
    </font>
    <font>
      <sz val="18"/>
      <name val="Times New Roman"/>
      <family val="1"/>
    </font>
    <font>
      <sz val="16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sz val="10"/>
      <name val="Times New Roman"/>
      <family val="1"/>
    </font>
    <font>
      <sz val="11"/>
      <color rgb="FFFF0000"/>
      <name val="Times New Roman"/>
      <family val="1"/>
    </font>
    <font>
      <sz val="9"/>
      <color rgb="FF000000"/>
      <name val="Arial"/>
      <family val="2"/>
    </font>
    <font>
      <u/>
      <sz val="9"/>
      <color rgb="FF000000"/>
      <name val="Arial"/>
      <family val="2"/>
    </font>
    <font>
      <u/>
      <sz val="9"/>
      <color rgb="FF000000"/>
      <name val="Times New Roman"/>
      <family val="1"/>
    </font>
    <font>
      <b/>
      <sz val="9"/>
      <color rgb="FF000000"/>
      <name val="Arial"/>
      <family val="2"/>
    </font>
    <font>
      <sz val="11"/>
      <color theme="0"/>
      <name val="Times New Roman"/>
      <family val="1"/>
    </font>
    <font>
      <sz val="14"/>
      <color theme="1"/>
      <name val="Calibri"/>
      <family val="2"/>
      <charset val="1"/>
      <scheme val="minor"/>
    </font>
    <font>
      <b/>
      <sz val="14"/>
      <color theme="1"/>
      <name val="Bookman Old Style"/>
      <family val="1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2"/>
      <name val="Bookman Old Style"/>
      <family val="1"/>
    </font>
    <font>
      <sz val="11"/>
      <color theme="1"/>
      <name val="Calibri"/>
      <family val="2"/>
      <scheme val="minor"/>
    </font>
    <font>
      <b/>
      <sz val="12"/>
      <color rgb="FF000000"/>
      <name val="Bookman Old Style"/>
      <family val="1"/>
    </font>
    <font>
      <b/>
      <sz val="18"/>
      <name val="Bookman Old Style"/>
      <family val="1"/>
    </font>
    <font>
      <sz val="11"/>
      <name val="Bookman Old Style"/>
      <family val="1"/>
    </font>
    <font>
      <i/>
      <sz val="11"/>
      <name val="Tahoma"/>
      <family val="2"/>
    </font>
    <font>
      <i/>
      <sz val="11"/>
      <color theme="1"/>
      <name val="Calibri"/>
      <family val="2"/>
      <charset val="1"/>
      <scheme val="minor"/>
    </font>
    <font>
      <sz val="11"/>
      <name val="Trebuchet MS"/>
      <family val="2"/>
    </font>
    <font>
      <sz val="11"/>
      <name val="Calibri"/>
      <family val="2"/>
    </font>
    <font>
      <sz val="9.8000000000000007"/>
      <name val="Trebuchet MS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u/>
      <sz val="11"/>
      <color theme="1"/>
      <name val="Times New Roman"/>
      <family val="1"/>
    </font>
    <font>
      <sz val="7"/>
      <color theme="1"/>
      <name val="Times New Roman"/>
      <family val="1"/>
    </font>
    <font>
      <sz val="11"/>
      <color indexed="8"/>
      <name val="Times New Roman"/>
      <family val="1"/>
    </font>
    <font>
      <sz val="9.8000000000000007"/>
      <color indexed="8"/>
      <name val="Times New Roman"/>
      <family val="1"/>
    </font>
    <font>
      <sz val="8"/>
      <color theme="1"/>
      <name val="Times New Roman"/>
      <family val="1"/>
    </font>
    <font>
      <u/>
      <sz val="11"/>
      <color theme="1"/>
      <name val="Times New Roman"/>
      <family val="1"/>
    </font>
    <font>
      <b/>
      <sz val="12"/>
      <name val="Bookman Old Style"/>
      <family val="1"/>
    </font>
    <font>
      <sz val="12"/>
      <color theme="1"/>
      <name val="Times New Roman"/>
      <family val="1"/>
    </font>
    <font>
      <b/>
      <u/>
      <sz val="9"/>
      <color rgb="FF000000"/>
      <name val="Arial"/>
      <family val="2"/>
    </font>
    <font>
      <sz val="28"/>
      <name val="Times New Roman"/>
      <family val="1"/>
    </font>
    <font>
      <sz val="12"/>
      <color rgb="FFFF0000"/>
      <name val="Times New Roman"/>
      <family val="1"/>
    </font>
    <font>
      <sz val="28"/>
      <color rgb="FFFF0000"/>
      <name val="Times New Roman"/>
      <family val="1"/>
    </font>
    <font>
      <sz val="9.8000000000000007"/>
      <name val="Times New Roman"/>
      <family val="1"/>
    </font>
    <font>
      <i/>
      <sz val="11"/>
      <color theme="1"/>
      <name val="Times New Roman"/>
      <family val="1"/>
    </font>
    <font>
      <i/>
      <sz val="11"/>
      <name val="Times New Roman"/>
      <family val="1"/>
    </font>
    <font>
      <b/>
      <sz val="10"/>
      <name val="Times New Roman"/>
      <family val="1"/>
    </font>
    <font>
      <b/>
      <sz val="10"/>
      <name val="Arial"/>
      <family val="2"/>
    </font>
    <font>
      <sz val="48"/>
      <color theme="0"/>
      <name val="Times New Roman"/>
      <family val="1"/>
    </font>
    <font>
      <sz val="10"/>
      <name val="Bookman Old Style"/>
      <family val="1"/>
    </font>
    <font>
      <sz val="11"/>
      <color theme="0"/>
      <name val="Arial"/>
      <family val="2"/>
    </font>
    <font>
      <sz val="9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</fills>
  <borders count="1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medium">
        <color auto="1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auto="1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3" fillId="0" borderId="0"/>
    <xf numFmtId="0" fontId="4" fillId="0" borderId="0"/>
    <xf numFmtId="9" fontId="1" fillId="0" borderId="0" applyFont="0" applyFill="0" applyBorder="0" applyAlignment="0" applyProtection="0"/>
    <xf numFmtId="0" fontId="3" fillId="0" borderId="0"/>
    <xf numFmtId="41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4" fillId="0" borderId="0"/>
  </cellStyleXfs>
  <cellXfs count="932">
    <xf numFmtId="0" fontId="0" fillId="0" borderId="0" xfId="0"/>
    <xf numFmtId="0" fontId="6" fillId="3" borderId="0" xfId="0" applyFont="1" applyFill="1"/>
    <xf numFmtId="0" fontId="6" fillId="3" borderId="0" xfId="0" applyFont="1" applyFill="1" applyAlignment="1">
      <alignment horizontal="left"/>
    </xf>
    <xf numFmtId="0" fontId="6" fillId="3" borderId="0" xfId="0" applyFont="1" applyFill="1" applyAlignment="1">
      <alignment horizontal="center"/>
    </xf>
    <xf numFmtId="0" fontId="10" fillId="0" borderId="0" xfId="0" applyFont="1"/>
    <xf numFmtId="0" fontId="10" fillId="0" borderId="0" xfId="0" applyFont="1" applyAlignment="1">
      <alignment horizontal="center"/>
    </xf>
    <xf numFmtId="41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0" xfId="0" applyFont="1" applyBorder="1" applyAlignment="1">
      <alignment horizontal="center" vertical="center"/>
    </xf>
    <xf numFmtId="41" fontId="6" fillId="0" borderId="10" xfId="2" applyFont="1" applyBorder="1" applyAlignment="1">
      <alignment vertical="center"/>
    </xf>
    <xf numFmtId="41" fontId="6" fillId="0" borderId="11" xfId="2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 applyAlignment="1">
      <alignment horizontal="center" vertical="center"/>
    </xf>
    <xf numFmtId="41" fontId="6" fillId="0" borderId="12" xfId="2" applyFont="1" applyBorder="1" applyAlignment="1">
      <alignment vertical="center"/>
    </xf>
    <xf numFmtId="0" fontId="6" fillId="0" borderId="13" xfId="0" applyFont="1" applyBorder="1" applyAlignment="1">
      <alignment horizontal="center" vertical="center"/>
    </xf>
    <xf numFmtId="41" fontId="6" fillId="0" borderId="13" xfId="2" applyFont="1" applyBorder="1" applyAlignment="1">
      <alignment vertical="center"/>
    </xf>
    <xf numFmtId="0" fontId="8" fillId="3" borderId="0" xfId="0" applyFont="1" applyFill="1"/>
    <xf numFmtId="0" fontId="8" fillId="3" borderId="0" xfId="0" applyFont="1" applyFill="1" applyAlignment="1"/>
    <xf numFmtId="0" fontId="6" fillId="0" borderId="0" xfId="0" applyFont="1"/>
    <xf numFmtId="0" fontId="7" fillId="2" borderId="0" xfId="0" applyFont="1" applyFill="1" applyAlignment="1">
      <alignment horizontal="center"/>
    </xf>
    <xf numFmtId="0" fontId="7" fillId="2" borderId="15" xfId="0" applyFont="1" applyFill="1" applyBorder="1" applyAlignment="1">
      <alignment horizontal="center" vertical="center"/>
    </xf>
    <xf numFmtId="0" fontId="6" fillId="2" borderId="0" xfId="0" applyFont="1" applyFill="1" applyBorder="1"/>
    <xf numFmtId="1" fontId="6" fillId="2" borderId="16" xfId="0" quotePrefix="1" applyNumberFormat="1" applyFont="1" applyFill="1" applyBorder="1" applyAlignment="1">
      <alignment horizontal="center"/>
    </xf>
    <xf numFmtId="1" fontId="6" fillId="2" borderId="17" xfId="0" quotePrefix="1" applyNumberFormat="1" applyFont="1" applyFill="1" applyBorder="1" applyAlignment="1">
      <alignment horizontal="center"/>
    </xf>
    <xf numFmtId="4" fontId="6" fillId="2" borderId="18" xfId="0" applyNumberFormat="1" applyFont="1" applyFill="1" applyBorder="1"/>
    <xf numFmtId="2" fontId="6" fillId="2" borderId="0" xfId="0" applyNumberFormat="1" applyFont="1" applyFill="1"/>
    <xf numFmtId="0" fontId="7" fillId="2" borderId="19" xfId="0" applyFont="1" applyFill="1" applyBorder="1" applyAlignment="1">
      <alignment horizontal="right"/>
    </xf>
    <xf numFmtId="4" fontId="7" fillId="2" borderId="20" xfId="0" applyNumberFormat="1" applyFont="1" applyFill="1" applyBorder="1"/>
    <xf numFmtId="172" fontId="6" fillId="0" borderId="0" xfId="5" applyNumberFormat="1" applyFont="1"/>
    <xf numFmtId="164" fontId="6" fillId="2" borderId="0" xfId="1" applyNumberFormat="1" applyFont="1" applyFill="1"/>
    <xf numFmtId="4" fontId="7" fillId="2" borderId="20" xfId="0" applyNumberFormat="1" applyFont="1" applyFill="1" applyBorder="1" applyAlignment="1">
      <alignment horizontal="right"/>
    </xf>
    <xf numFmtId="0" fontId="7" fillId="2" borderId="0" xfId="0" applyFont="1" applyFill="1" applyBorder="1"/>
    <xf numFmtId="164" fontId="6" fillId="0" borderId="0" xfId="1" applyNumberFormat="1" applyFont="1"/>
    <xf numFmtId="0" fontId="6" fillId="2" borderId="0" xfId="0" applyFont="1" applyFill="1" applyBorder="1" applyAlignment="1">
      <alignment vertical="center"/>
    </xf>
    <xf numFmtId="1" fontId="6" fillId="2" borderId="16" xfId="0" quotePrefix="1" applyNumberFormat="1" applyFont="1" applyFill="1" applyBorder="1" applyAlignment="1">
      <alignment horizontal="center" vertical="center"/>
    </xf>
    <xf numFmtId="1" fontId="6" fillId="2" borderId="17" xfId="0" quotePrefix="1" applyNumberFormat="1" applyFont="1" applyFill="1" applyBorder="1" applyAlignment="1">
      <alignment horizontal="center" vertical="center"/>
    </xf>
    <xf numFmtId="4" fontId="6" fillId="2" borderId="18" xfId="0" applyNumberFormat="1" applyFont="1" applyFill="1" applyBorder="1" applyAlignment="1">
      <alignment vertical="center"/>
    </xf>
    <xf numFmtId="2" fontId="6" fillId="2" borderId="0" xfId="0" applyNumberFormat="1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4" fontId="6" fillId="0" borderId="0" xfId="0" applyNumberFormat="1" applyFont="1" applyAlignment="1">
      <alignment vertical="center"/>
    </xf>
    <xf numFmtId="41" fontId="6" fillId="3" borderId="0" xfId="2" applyFont="1" applyFill="1"/>
    <xf numFmtId="43" fontId="6" fillId="3" borderId="0" xfId="0" applyNumberFormat="1" applyFont="1" applyFill="1"/>
    <xf numFmtId="0" fontId="16" fillId="3" borderId="0" xfId="0" applyFont="1" applyFill="1"/>
    <xf numFmtId="0" fontId="16" fillId="3" borderId="0" xfId="0" applyFont="1" applyFill="1" applyAlignment="1">
      <alignment horizontal="center"/>
    </xf>
    <xf numFmtId="0" fontId="16" fillId="3" borderId="0" xfId="0" applyFont="1" applyFill="1" applyAlignment="1"/>
    <xf numFmtId="0" fontId="12" fillId="3" borderId="0" xfId="0" applyFont="1" applyFill="1"/>
    <xf numFmtId="0" fontId="12" fillId="3" borderId="0" xfId="0" applyFont="1" applyFill="1" applyAlignment="1">
      <alignment horizontal="center"/>
    </xf>
    <xf numFmtId="0" fontId="12" fillId="3" borderId="0" xfId="0" applyFont="1" applyFill="1" applyAlignment="1"/>
    <xf numFmtId="0" fontId="16" fillId="3" borderId="0" xfId="0" applyFont="1" applyFill="1" applyAlignment="1">
      <alignment horizontal="left"/>
    </xf>
    <xf numFmtId="0" fontId="13" fillId="3" borderId="32" xfId="0" applyFont="1" applyFill="1" applyBorder="1" applyAlignment="1">
      <alignment horizontal="center"/>
    </xf>
    <xf numFmtId="0" fontId="17" fillId="3" borderId="33" xfId="0" applyFont="1" applyFill="1" applyBorder="1" applyAlignment="1">
      <alignment vertical="center"/>
    </xf>
    <xf numFmtId="0" fontId="16" fillId="3" borderId="33" xfId="0" applyFont="1" applyFill="1" applyBorder="1" applyAlignment="1">
      <alignment vertical="center"/>
    </xf>
    <xf numFmtId="0" fontId="16" fillId="3" borderId="40" xfId="0" applyFont="1" applyFill="1" applyBorder="1"/>
    <xf numFmtId="3" fontId="16" fillId="3" borderId="10" xfId="0" applyNumberFormat="1" applyFont="1" applyFill="1" applyBorder="1" applyAlignment="1">
      <alignment vertical="center"/>
    </xf>
    <xf numFmtId="43" fontId="16" fillId="3" borderId="10" xfId="1" applyFont="1" applyFill="1" applyBorder="1" applyAlignment="1">
      <alignment horizontal="right" vertical="center"/>
    </xf>
    <xf numFmtId="43" fontId="16" fillId="3" borderId="10" xfId="1" applyFont="1" applyFill="1" applyBorder="1" applyAlignment="1">
      <alignment horizontal="center" vertical="center"/>
    </xf>
    <xf numFmtId="43" fontId="16" fillId="3" borderId="10" xfId="1" applyFont="1" applyFill="1" applyBorder="1" applyAlignment="1">
      <alignment vertical="center"/>
    </xf>
    <xf numFmtId="43" fontId="16" fillId="3" borderId="10" xfId="1" applyFont="1" applyFill="1" applyBorder="1"/>
    <xf numFmtId="0" fontId="16" fillId="3" borderId="37" xfId="0" applyFont="1" applyFill="1" applyBorder="1"/>
    <xf numFmtId="3" fontId="16" fillId="3" borderId="35" xfId="0" applyNumberFormat="1" applyFont="1" applyFill="1" applyBorder="1" applyAlignment="1">
      <alignment vertical="center"/>
    </xf>
    <xf numFmtId="3" fontId="16" fillId="3" borderId="35" xfId="0" applyNumberFormat="1" applyFont="1" applyFill="1" applyBorder="1" applyAlignment="1">
      <alignment horizontal="center" vertical="center"/>
    </xf>
    <xf numFmtId="4" fontId="16" fillId="3" borderId="35" xfId="0" applyNumberFormat="1" applyFont="1" applyFill="1" applyBorder="1" applyAlignment="1">
      <alignment horizontal="center" vertical="center"/>
    </xf>
    <xf numFmtId="3" fontId="17" fillId="3" borderId="33" xfId="0" applyNumberFormat="1" applyFont="1" applyFill="1" applyBorder="1" applyAlignment="1">
      <alignment horizontal="left" vertical="center"/>
    </xf>
    <xf numFmtId="3" fontId="16" fillId="3" borderId="33" xfId="0" applyNumberFormat="1" applyFont="1" applyFill="1" applyBorder="1" applyAlignment="1">
      <alignment vertical="center"/>
    </xf>
    <xf numFmtId="3" fontId="16" fillId="3" borderId="10" xfId="0" applyNumberFormat="1" applyFont="1" applyFill="1" applyBorder="1" applyAlignment="1">
      <alignment horizontal="center" vertical="center"/>
    </xf>
    <xf numFmtId="4" fontId="16" fillId="3" borderId="10" xfId="0" applyNumberFormat="1" applyFont="1" applyFill="1" applyBorder="1" applyAlignment="1">
      <alignment horizontal="right" vertical="center"/>
    </xf>
    <xf numFmtId="3" fontId="17" fillId="3" borderId="33" xfId="0" applyNumberFormat="1" applyFont="1" applyFill="1" applyBorder="1" applyAlignment="1">
      <alignment vertical="center"/>
    </xf>
    <xf numFmtId="0" fontId="16" fillId="3" borderId="40" xfId="0" applyFont="1" applyFill="1" applyBorder="1" applyAlignment="1">
      <alignment horizontal="center"/>
    </xf>
    <xf numFmtId="164" fontId="16" fillId="3" borderId="10" xfId="1" applyNumberFormat="1" applyFont="1" applyFill="1" applyBorder="1" applyAlignment="1">
      <alignment vertical="center"/>
    </xf>
    <xf numFmtId="3" fontId="16" fillId="3" borderId="0" xfId="0" applyNumberFormat="1" applyFont="1" applyFill="1" applyAlignment="1">
      <alignment vertical="center"/>
    </xf>
    <xf numFmtId="3" fontId="16" fillId="3" borderId="0" xfId="0" applyNumberFormat="1" applyFont="1" applyFill="1"/>
    <xf numFmtId="164" fontId="16" fillId="3" borderId="0" xfId="0" applyNumberFormat="1" applyFont="1" applyFill="1"/>
    <xf numFmtId="3" fontId="16" fillId="3" borderId="0" xfId="0" applyNumberFormat="1" applyFont="1" applyFill="1" applyBorder="1" applyAlignment="1">
      <alignment horizontal="center" vertical="center" wrapText="1"/>
    </xf>
    <xf numFmtId="3" fontId="16" fillId="3" borderId="0" xfId="0" applyNumberFormat="1" applyFont="1" applyFill="1" applyBorder="1" applyAlignment="1">
      <alignment horizontal="right" vertical="center"/>
    </xf>
    <xf numFmtId="0" fontId="13" fillId="3" borderId="50" xfId="0" applyFont="1" applyFill="1" applyBorder="1" applyAlignment="1">
      <alignment horizontal="center"/>
    </xf>
    <xf numFmtId="164" fontId="17" fillId="3" borderId="11" xfId="1" applyNumberFormat="1" applyFont="1" applyFill="1" applyBorder="1" applyAlignment="1">
      <alignment vertical="center"/>
    </xf>
    <xf numFmtId="164" fontId="16" fillId="3" borderId="11" xfId="1" applyNumberFormat="1" applyFont="1" applyFill="1" applyBorder="1" applyAlignment="1">
      <alignment vertical="center"/>
    </xf>
    <xf numFmtId="164" fontId="16" fillId="3" borderId="10" xfId="1" applyNumberFormat="1" applyFont="1" applyFill="1" applyBorder="1" applyAlignment="1">
      <alignment horizontal="center" vertical="center"/>
    </xf>
    <xf numFmtId="0" fontId="16" fillId="3" borderId="51" xfId="0" applyFont="1" applyFill="1" applyBorder="1"/>
    <xf numFmtId="164" fontId="16" fillId="3" borderId="12" xfId="1" applyNumberFormat="1" applyFont="1" applyFill="1" applyBorder="1" applyAlignment="1">
      <alignment vertical="center"/>
    </xf>
    <xf numFmtId="43" fontId="16" fillId="3" borderId="12" xfId="1" applyFont="1" applyFill="1" applyBorder="1" applyAlignment="1">
      <alignment horizontal="center" vertical="center"/>
    </xf>
    <xf numFmtId="164" fontId="16" fillId="3" borderId="12" xfId="1" applyNumberFormat="1" applyFont="1" applyFill="1" applyBorder="1" applyAlignment="1">
      <alignment horizontal="center" vertical="center"/>
    </xf>
    <xf numFmtId="0" fontId="16" fillId="3" borderId="52" xfId="0" applyFont="1" applyFill="1" applyBorder="1"/>
    <xf numFmtId="41" fontId="16" fillId="3" borderId="0" xfId="0" applyNumberFormat="1" applyFont="1" applyFill="1"/>
    <xf numFmtId="164" fontId="16" fillId="3" borderId="10" xfId="1" applyNumberFormat="1" applyFont="1" applyFill="1" applyBorder="1" applyAlignment="1">
      <alignment horizontal="right" vertical="center"/>
    </xf>
    <xf numFmtId="43" fontId="16" fillId="3" borderId="35" xfId="1" applyFont="1" applyFill="1" applyBorder="1" applyAlignment="1">
      <alignment horizontal="right" vertical="center"/>
    </xf>
    <xf numFmtId="164" fontId="16" fillId="3" borderId="35" xfId="1" applyNumberFormat="1" applyFont="1" applyFill="1" applyBorder="1" applyAlignment="1">
      <alignment horizontal="right" vertical="center"/>
    </xf>
    <xf numFmtId="164" fontId="16" fillId="3" borderId="35" xfId="1" applyNumberFormat="1" applyFont="1" applyFill="1" applyBorder="1" applyAlignment="1">
      <alignment vertical="center"/>
    </xf>
    <xf numFmtId="0" fontId="13" fillId="3" borderId="40" xfId="0" applyFont="1" applyFill="1" applyBorder="1" applyAlignment="1">
      <alignment horizontal="center"/>
    </xf>
    <xf numFmtId="164" fontId="17" fillId="3" borderId="10" xfId="1" applyNumberFormat="1" applyFont="1" applyFill="1" applyBorder="1" applyAlignment="1">
      <alignment horizontal="left" vertical="center"/>
    </xf>
    <xf numFmtId="167" fontId="16" fillId="3" borderId="10" xfId="2" applyNumberFormat="1" applyFont="1" applyFill="1" applyBorder="1" applyAlignment="1">
      <alignment horizontal="right" vertical="center"/>
    </xf>
    <xf numFmtId="164" fontId="16" fillId="3" borderId="0" xfId="1" applyNumberFormat="1" applyFont="1" applyFill="1" applyAlignment="1">
      <alignment vertical="center"/>
    </xf>
    <xf numFmtId="164" fontId="16" fillId="3" borderId="0" xfId="1" applyNumberFormat="1" applyFont="1" applyFill="1" applyBorder="1" applyAlignment="1">
      <alignment horizontal="center" vertical="center" wrapText="1"/>
    </xf>
    <xf numFmtId="164" fontId="16" fillId="3" borderId="0" xfId="1" applyNumberFormat="1" applyFont="1" applyFill="1" applyBorder="1" applyAlignment="1">
      <alignment horizontal="right" vertical="center"/>
    </xf>
    <xf numFmtId="41" fontId="16" fillId="3" borderId="0" xfId="2" applyFont="1" applyFill="1"/>
    <xf numFmtId="0" fontId="18" fillId="3" borderId="0" xfId="0" applyFont="1" applyFill="1" applyBorder="1" applyAlignment="1">
      <alignment horizontal="center"/>
    </xf>
    <xf numFmtId="0" fontId="12" fillId="3" borderId="0" xfId="0" applyFont="1" applyFill="1" applyBorder="1" applyAlignment="1">
      <alignment horizontal="left"/>
    </xf>
    <xf numFmtId="0" fontId="12" fillId="3" borderId="0" xfId="0" applyFont="1" applyFill="1" applyBorder="1" applyAlignment="1">
      <alignment horizontal="center"/>
    </xf>
    <xf numFmtId="0" fontId="12" fillId="3" borderId="0" xfId="0" applyFont="1" applyFill="1" applyBorder="1"/>
    <xf numFmtId="0" fontId="12" fillId="3" borderId="0" xfId="0" applyFont="1" applyFill="1" applyBorder="1" applyAlignment="1">
      <alignment vertical="center"/>
    </xf>
    <xf numFmtId="0" fontId="12" fillId="3" borderId="0" xfId="0" applyFont="1" applyFill="1" applyBorder="1" applyAlignment="1">
      <alignment horizontal="center" vertical="center"/>
    </xf>
    <xf numFmtId="43" fontId="12" fillId="3" borderId="0" xfId="1" applyFont="1" applyFill="1" applyBorder="1"/>
    <xf numFmtId="0" fontId="12" fillId="3" borderId="5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left"/>
    </xf>
    <xf numFmtId="0" fontId="12" fillId="3" borderId="5" xfId="0" applyFont="1" applyFill="1" applyBorder="1"/>
    <xf numFmtId="0" fontId="12" fillId="3" borderId="4" xfId="0" applyFont="1" applyFill="1" applyBorder="1"/>
    <xf numFmtId="2" fontId="12" fillId="3" borderId="4" xfId="0" applyNumberFormat="1" applyFont="1" applyFill="1" applyBorder="1" applyAlignment="1">
      <alignment horizontal="center"/>
    </xf>
    <xf numFmtId="2" fontId="12" fillId="3" borderId="4" xfId="0" applyNumberFormat="1" applyFont="1" applyFill="1" applyBorder="1" applyAlignment="1">
      <alignment horizontal="right"/>
    </xf>
    <xf numFmtId="0" fontId="12" fillId="3" borderId="5" xfId="0" applyFont="1" applyFill="1" applyBorder="1" applyAlignment="1"/>
    <xf numFmtId="0" fontId="14" fillId="3" borderId="0" xfId="0" applyFont="1" applyFill="1" applyBorder="1"/>
    <xf numFmtId="169" fontId="12" fillId="3" borderId="5" xfId="0" applyNumberFormat="1" applyFont="1" applyFill="1" applyBorder="1" applyAlignment="1">
      <alignment horizontal="center"/>
    </xf>
    <xf numFmtId="0" fontId="12" fillId="3" borderId="4" xfId="0" applyFont="1" applyFill="1" applyBorder="1" applyAlignment="1">
      <alignment horizontal="left"/>
    </xf>
    <xf numFmtId="167" fontId="12" fillId="3" borderId="0" xfId="2" applyNumberFormat="1" applyFont="1" applyFill="1" applyBorder="1"/>
    <xf numFmtId="41" fontId="12" fillId="3" borderId="0" xfId="0" applyNumberFormat="1" applyFont="1" applyFill="1" applyBorder="1"/>
    <xf numFmtId="2" fontId="12" fillId="3" borderId="5" xfId="0" applyNumberFormat="1" applyFont="1" applyFill="1" applyBorder="1" applyAlignment="1">
      <alignment horizontal="center" vertical="center"/>
    </xf>
    <xf numFmtId="2" fontId="12" fillId="3" borderId="4" xfId="0" applyNumberFormat="1" applyFont="1" applyFill="1" applyBorder="1"/>
    <xf numFmtId="0" fontId="14" fillId="3" borderId="0" xfId="0" applyFont="1" applyFill="1" applyBorder="1" applyAlignment="1">
      <alignment horizontal="center"/>
    </xf>
    <xf numFmtId="2" fontId="12" fillId="3" borderId="0" xfId="0" applyNumberFormat="1" applyFont="1" applyFill="1" applyBorder="1"/>
    <xf numFmtId="164" fontId="12" fillId="3" borderId="0" xfId="1" applyNumberFormat="1" applyFont="1" applyFill="1" applyBorder="1"/>
    <xf numFmtId="164" fontId="12" fillId="3" borderId="4" xfId="1" applyNumberFormat="1" applyFont="1" applyFill="1" applyBorder="1" applyAlignment="1">
      <alignment horizontal="right"/>
    </xf>
    <xf numFmtId="0" fontId="12" fillId="3" borderId="4" xfId="0" applyNumberFormat="1" applyFont="1" applyFill="1" applyBorder="1" applyAlignment="1">
      <alignment horizontal="left"/>
    </xf>
    <xf numFmtId="43" fontId="12" fillId="3" borderId="4" xfId="1" applyFont="1" applyFill="1" applyBorder="1" applyAlignment="1">
      <alignment horizontal="right"/>
    </xf>
    <xf numFmtId="0" fontId="15" fillId="3" borderId="0" xfId="0" applyFont="1" applyFill="1" applyAlignment="1"/>
    <xf numFmtId="0" fontId="19" fillId="3" borderId="0" xfId="0" applyFont="1" applyFill="1"/>
    <xf numFmtId="0" fontId="21" fillId="3" borderId="0" xfId="0" applyFont="1" applyFill="1"/>
    <xf numFmtId="9" fontId="6" fillId="2" borderId="0" xfId="5" applyFont="1" applyFill="1" applyAlignment="1">
      <alignment vertical="center"/>
    </xf>
    <xf numFmtId="0" fontId="7" fillId="2" borderId="55" xfId="0" applyFont="1" applyFill="1" applyBorder="1" applyAlignment="1">
      <alignment horizontal="center" vertical="center"/>
    </xf>
    <xf numFmtId="0" fontId="6" fillId="3" borderId="56" xfId="0" applyFont="1" applyFill="1" applyBorder="1" applyAlignment="1">
      <alignment horizontal="center" vertical="center"/>
    </xf>
    <xf numFmtId="167" fontId="6" fillId="2" borderId="5" xfId="2" applyNumberFormat="1" applyFont="1" applyFill="1" applyBorder="1" applyAlignment="1">
      <alignment vertical="center"/>
    </xf>
    <xf numFmtId="0" fontId="6" fillId="2" borderId="56" xfId="0" applyFont="1" applyFill="1" applyBorder="1" applyAlignment="1">
      <alignment horizontal="center"/>
    </xf>
    <xf numFmtId="167" fontId="6" fillId="2" borderId="5" xfId="2" applyNumberFormat="1" applyFont="1" applyFill="1" applyBorder="1"/>
    <xf numFmtId="0" fontId="6" fillId="3" borderId="57" xfId="0" applyFont="1" applyFill="1" applyBorder="1"/>
    <xf numFmtId="41" fontId="6" fillId="2" borderId="58" xfId="2" applyFont="1" applyFill="1" applyBorder="1"/>
    <xf numFmtId="4" fontId="6" fillId="2" borderId="58" xfId="0" applyNumberFormat="1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16" fillId="3" borderId="2" xfId="0" applyFont="1" applyFill="1" applyBorder="1"/>
    <xf numFmtId="0" fontId="16" fillId="3" borderId="2" xfId="0" applyFont="1" applyFill="1" applyBorder="1" applyAlignment="1"/>
    <xf numFmtId="0" fontId="13" fillId="3" borderId="0" xfId="0" applyFont="1" applyFill="1"/>
    <xf numFmtId="0" fontId="16" fillId="3" borderId="0" xfId="0" applyFont="1" applyFill="1" applyBorder="1"/>
    <xf numFmtId="0" fontId="16" fillId="3" borderId="0" xfId="0" applyFont="1" applyFill="1" applyBorder="1" applyAlignment="1"/>
    <xf numFmtId="0" fontId="22" fillId="3" borderId="0" xfId="0" applyFont="1" applyFill="1"/>
    <xf numFmtId="164" fontId="17" fillId="3" borderId="0" xfId="0" applyNumberFormat="1" applyFont="1" applyFill="1" applyBorder="1" applyAlignment="1"/>
    <xf numFmtId="0" fontId="17" fillId="3" borderId="0" xfId="0" applyFont="1" applyFill="1" applyBorder="1" applyAlignment="1"/>
    <xf numFmtId="0" fontId="17" fillId="3" borderId="0" xfId="0" applyFont="1" applyFill="1" applyBorder="1"/>
    <xf numFmtId="0" fontId="14" fillId="3" borderId="60" xfId="0" applyFont="1" applyFill="1" applyBorder="1" applyAlignment="1">
      <alignment horizontal="center" vertical="center" wrapText="1"/>
    </xf>
    <xf numFmtId="0" fontId="12" fillId="3" borderId="0" xfId="0" applyFont="1" applyFill="1" applyAlignment="1">
      <alignment horizontal="center"/>
    </xf>
    <xf numFmtId="0" fontId="15" fillId="3" borderId="0" xfId="0" applyFont="1" applyFill="1" applyAlignment="1">
      <alignment horizontal="center"/>
    </xf>
    <xf numFmtId="0" fontId="16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41" fontId="12" fillId="3" borderId="0" xfId="2" applyFont="1" applyFill="1"/>
    <xf numFmtId="164" fontId="12" fillId="3" borderId="0" xfId="0" applyNumberFormat="1" applyFont="1" applyFill="1"/>
    <xf numFmtId="0" fontId="12" fillId="3" borderId="0" xfId="1" applyNumberFormat="1" applyFont="1" applyFill="1" applyBorder="1" applyAlignment="1">
      <alignment horizontal="left" vertical="center"/>
    </xf>
    <xf numFmtId="0" fontId="12" fillId="3" borderId="0" xfId="0" applyFont="1" applyFill="1" applyAlignment="1">
      <alignment vertical="center"/>
    </xf>
    <xf numFmtId="0" fontId="12" fillId="3" borderId="0" xfId="0" applyFont="1" applyFill="1" applyAlignment="1">
      <alignment horizontal="center" vertical="center"/>
    </xf>
    <xf numFmtId="0" fontId="10" fillId="3" borderId="0" xfId="0" applyFont="1" applyFill="1"/>
    <xf numFmtId="0" fontId="7" fillId="0" borderId="61" xfId="0" applyFont="1" applyBorder="1" applyAlignment="1">
      <alignment horizontal="center" vertical="center" wrapText="1"/>
    </xf>
    <xf numFmtId="0" fontId="7" fillId="0" borderId="55" xfId="0" applyFont="1" applyBorder="1" applyAlignment="1">
      <alignment horizontal="center" vertical="center" wrapText="1"/>
    </xf>
    <xf numFmtId="0" fontId="7" fillId="0" borderId="55" xfId="0" applyFont="1" applyBorder="1" applyAlignment="1">
      <alignment horizontal="center" vertical="center"/>
    </xf>
    <xf numFmtId="0" fontId="7" fillId="0" borderId="53" xfId="0" applyFont="1" applyBorder="1" applyAlignment="1">
      <alignment horizontal="center" vertical="center" wrapText="1"/>
    </xf>
    <xf numFmtId="0" fontId="7" fillId="0" borderId="62" xfId="0" applyFont="1" applyBorder="1" applyAlignment="1">
      <alignment horizontal="center" vertical="center"/>
    </xf>
    <xf numFmtId="0" fontId="7" fillId="0" borderId="64" xfId="0" applyFont="1" applyFill="1" applyBorder="1" applyAlignment="1">
      <alignment horizontal="center" vertical="center" wrapText="1"/>
    </xf>
    <xf numFmtId="0" fontId="6" fillId="0" borderId="100" xfId="0" applyFont="1" applyBorder="1" applyAlignment="1">
      <alignment horizontal="center" vertical="center"/>
    </xf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horizontal="center" vertical="center"/>
    </xf>
    <xf numFmtId="41" fontId="6" fillId="0" borderId="101" xfId="2" applyFont="1" applyBorder="1" applyAlignment="1">
      <alignment vertical="center"/>
    </xf>
    <xf numFmtId="167" fontId="6" fillId="0" borderId="102" xfId="2" applyNumberFormat="1" applyFont="1" applyBorder="1" applyAlignment="1">
      <alignment vertical="center"/>
    </xf>
    <xf numFmtId="0" fontId="6" fillId="0" borderId="104" xfId="0" applyFont="1" applyBorder="1" applyAlignment="1">
      <alignment horizontal="center" vertical="center"/>
    </xf>
    <xf numFmtId="41" fontId="6" fillId="0" borderId="16" xfId="2" applyFont="1" applyBorder="1" applyAlignment="1">
      <alignment vertical="center"/>
    </xf>
    <xf numFmtId="41" fontId="6" fillId="0" borderId="17" xfId="2" applyFont="1" applyBorder="1" applyAlignment="1">
      <alignment vertical="center"/>
    </xf>
    <xf numFmtId="164" fontId="6" fillId="0" borderId="10" xfId="0" applyNumberFormat="1" applyFont="1" applyBorder="1" applyAlignment="1">
      <alignment vertical="center"/>
    </xf>
    <xf numFmtId="164" fontId="6" fillId="0" borderId="10" xfId="0" applyNumberFormat="1" applyFont="1" applyBorder="1" applyAlignment="1">
      <alignment horizontal="center" vertical="center"/>
    </xf>
    <xf numFmtId="164" fontId="6" fillId="0" borderId="10" xfId="2" applyNumberFormat="1" applyFont="1" applyBorder="1" applyAlignment="1">
      <alignment vertical="center"/>
    </xf>
    <xf numFmtId="41" fontId="6" fillId="0" borderId="92" xfId="2" applyFont="1" applyBorder="1" applyAlignment="1">
      <alignment vertical="center"/>
    </xf>
    <xf numFmtId="41" fontId="6" fillId="0" borderId="105" xfId="2" applyFont="1" applyBorder="1" applyAlignment="1">
      <alignment vertical="center"/>
    </xf>
    <xf numFmtId="167" fontId="6" fillId="0" borderId="14" xfId="2" applyNumberFormat="1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167" fontId="6" fillId="0" borderId="108" xfId="2" applyNumberFormat="1" applyFont="1" applyBorder="1" applyAlignment="1">
      <alignment vertical="center"/>
    </xf>
    <xf numFmtId="167" fontId="6" fillId="0" borderId="8" xfId="2" applyNumberFormat="1" applyFont="1" applyBorder="1" applyAlignment="1">
      <alignment vertical="center"/>
    </xf>
    <xf numFmtId="0" fontId="0" fillId="3" borderId="0" xfId="0" applyFill="1" applyAlignment="1">
      <alignment vertical="center"/>
    </xf>
    <xf numFmtId="0" fontId="0" fillId="0" borderId="0" xfId="0" applyAlignment="1">
      <alignment vertical="center"/>
    </xf>
    <xf numFmtId="0" fontId="30" fillId="3" borderId="0" xfId="8" applyFont="1" applyFill="1"/>
    <xf numFmtId="0" fontId="31" fillId="3" borderId="0" xfId="8" applyFont="1" applyFill="1" applyAlignment="1">
      <alignment horizontal="left"/>
    </xf>
    <xf numFmtId="0" fontId="31" fillId="3" borderId="0" xfId="8" applyFont="1" applyFill="1"/>
    <xf numFmtId="0" fontId="31" fillId="3" borderId="0" xfId="8" applyFont="1" applyFill="1" applyAlignment="1"/>
    <xf numFmtId="0" fontId="31" fillId="3" borderId="0" xfId="9" applyFont="1" applyFill="1" applyAlignment="1">
      <alignment horizontal="left"/>
    </xf>
    <xf numFmtId="0" fontId="31" fillId="3" borderId="0" xfId="0" applyFont="1" applyFill="1" applyAlignment="1"/>
    <xf numFmtId="0" fontId="31" fillId="3" borderId="0" xfId="8" quotePrefix="1" applyFont="1" applyFill="1" applyAlignment="1">
      <alignment horizontal="left"/>
    </xf>
    <xf numFmtId="0" fontId="31" fillId="3" borderId="0" xfId="0" applyFont="1" applyFill="1"/>
    <xf numFmtId="0" fontId="31" fillId="3" borderId="0" xfId="8" applyFont="1" applyFill="1" applyAlignment="1">
      <alignment horizontal="left" vertical="center"/>
    </xf>
    <xf numFmtId="0" fontId="31" fillId="3" borderId="0" xfId="9" applyFont="1" applyFill="1" applyAlignment="1">
      <alignment horizontal="left" vertical="top"/>
    </xf>
    <xf numFmtId="0" fontId="31" fillId="3" borderId="0" xfId="8" applyFont="1" applyFill="1" applyAlignment="1">
      <alignment horizontal="left" vertical="top"/>
    </xf>
    <xf numFmtId="0" fontId="31" fillId="3" borderId="0" xfId="8" quotePrefix="1" applyFont="1" applyFill="1"/>
    <xf numFmtId="0" fontId="32" fillId="3" borderId="59" xfId="8" applyFont="1" applyFill="1" applyBorder="1" applyAlignment="1">
      <alignment horizontal="center" vertical="center"/>
    </xf>
    <xf numFmtId="173" fontId="31" fillId="3" borderId="0" xfId="8" applyNumberFormat="1" applyFont="1" applyFill="1" applyBorder="1" applyAlignment="1">
      <alignment vertical="center"/>
    </xf>
    <xf numFmtId="0" fontId="31" fillId="3" borderId="0" xfId="8" applyFont="1" applyFill="1" applyAlignment="1">
      <alignment vertical="center"/>
    </xf>
    <xf numFmtId="0" fontId="31" fillId="3" borderId="110" xfId="8" applyFont="1" applyFill="1" applyBorder="1" applyAlignment="1">
      <alignment horizontal="left" vertical="center"/>
    </xf>
    <xf numFmtId="0" fontId="32" fillId="3" borderId="111" xfId="10" applyFont="1" applyFill="1" applyBorder="1" applyAlignment="1"/>
    <xf numFmtId="0" fontId="32" fillId="3" borderId="112" xfId="10" applyFont="1" applyFill="1" applyBorder="1" applyAlignment="1"/>
    <xf numFmtId="0" fontId="32" fillId="3" borderId="113" xfId="8" applyFont="1" applyFill="1" applyBorder="1" applyAlignment="1">
      <alignment horizontal="center"/>
    </xf>
    <xf numFmtId="0" fontId="32" fillId="3" borderId="113" xfId="8" applyNumberFormat="1" applyFont="1" applyFill="1" applyBorder="1" applyAlignment="1">
      <alignment horizontal="center"/>
    </xf>
    <xf numFmtId="41" fontId="32" fillId="3" borderId="113" xfId="8" applyNumberFormat="1" applyFont="1" applyFill="1" applyBorder="1"/>
    <xf numFmtId="173" fontId="32" fillId="3" borderId="113" xfId="8" applyNumberFormat="1" applyFont="1" applyFill="1" applyBorder="1"/>
    <xf numFmtId="0" fontId="31" fillId="3" borderId="114" xfId="8" applyFont="1" applyFill="1" applyBorder="1" applyAlignment="1">
      <alignment horizontal="left"/>
    </xf>
    <xf numFmtId="0" fontId="31" fillId="3" borderId="115" xfId="10" applyFont="1" applyFill="1" applyBorder="1"/>
    <xf numFmtId="0" fontId="31" fillId="3" borderId="108" xfId="10" applyFont="1" applyFill="1" applyBorder="1"/>
    <xf numFmtId="0" fontId="31" fillId="3" borderId="109" xfId="10" applyFont="1" applyFill="1" applyBorder="1" applyAlignment="1">
      <alignment horizontal="center"/>
    </xf>
    <xf numFmtId="41" fontId="31" fillId="3" borderId="108" xfId="2" applyFont="1" applyFill="1" applyBorder="1" applyAlignment="1">
      <alignment vertical="center"/>
    </xf>
    <xf numFmtId="41" fontId="31" fillId="3" borderId="109" xfId="2" applyFont="1" applyFill="1" applyBorder="1"/>
    <xf numFmtId="173" fontId="31" fillId="3" borderId="109" xfId="8" applyNumberFormat="1" applyFont="1" applyFill="1" applyBorder="1"/>
    <xf numFmtId="0" fontId="31" fillId="3" borderId="4" xfId="8" applyFont="1" applyFill="1" applyBorder="1" applyAlignment="1">
      <alignment horizontal="left"/>
    </xf>
    <xf numFmtId="0" fontId="31" fillId="3" borderId="116" xfId="10" applyFont="1" applyFill="1" applyBorder="1"/>
    <xf numFmtId="0" fontId="31" fillId="3" borderId="5" xfId="10" applyFont="1" applyFill="1" applyBorder="1"/>
    <xf numFmtId="0" fontId="31" fillId="3" borderId="54" xfId="10" applyFont="1" applyFill="1" applyBorder="1" applyAlignment="1">
      <alignment horizontal="center"/>
    </xf>
    <xf numFmtId="41" fontId="31" fillId="3" borderId="5" xfId="2" applyFont="1" applyFill="1" applyBorder="1" applyAlignment="1">
      <alignment vertical="center"/>
    </xf>
    <xf numFmtId="41" fontId="31" fillId="3" borderId="117" xfId="2" applyFont="1" applyFill="1" applyBorder="1"/>
    <xf numFmtId="173" fontId="31" fillId="3" borderId="54" xfId="8" applyNumberFormat="1" applyFont="1" applyFill="1" applyBorder="1"/>
    <xf numFmtId="0" fontId="31" fillId="3" borderId="65" xfId="8" applyFont="1" applyFill="1" applyBorder="1" applyAlignment="1">
      <alignment horizontal="left"/>
    </xf>
    <xf numFmtId="0" fontId="31" fillId="3" borderId="66" xfId="10" quotePrefix="1" applyFont="1" applyFill="1" applyBorder="1"/>
    <xf numFmtId="0" fontId="31" fillId="3" borderId="66" xfId="10" applyFont="1" applyFill="1" applyBorder="1"/>
    <xf numFmtId="0" fontId="31" fillId="3" borderId="66" xfId="10" applyFont="1" applyFill="1" applyBorder="1" applyAlignment="1">
      <alignment horizontal="center"/>
    </xf>
    <xf numFmtId="41" fontId="32" fillId="3" borderId="66" xfId="8" applyNumberFormat="1" applyFont="1" applyFill="1" applyBorder="1" applyAlignment="1">
      <alignment horizontal="right" vertical="center"/>
    </xf>
    <xf numFmtId="41" fontId="31" fillId="3" borderId="66" xfId="2" applyFont="1" applyFill="1" applyBorder="1"/>
    <xf numFmtId="41" fontId="32" fillId="3" borderId="60" xfId="2" applyFont="1" applyFill="1" applyBorder="1"/>
    <xf numFmtId="0" fontId="31" fillId="3" borderId="118" xfId="8" applyFont="1" applyFill="1" applyBorder="1" applyAlignment="1">
      <alignment horizontal="left"/>
    </xf>
    <xf numFmtId="0" fontId="31" fillId="3" borderId="119" xfId="10" applyFont="1" applyFill="1" applyBorder="1"/>
    <xf numFmtId="0" fontId="31" fillId="3" borderId="120" xfId="10" applyFont="1" applyFill="1" applyBorder="1"/>
    <xf numFmtId="0" fontId="31" fillId="3" borderId="103" xfId="10" applyFont="1" applyFill="1" applyBorder="1" applyAlignment="1">
      <alignment horizontal="center"/>
    </xf>
    <xf numFmtId="41" fontId="31" fillId="3" borderId="120" xfId="2" applyFont="1" applyFill="1" applyBorder="1" applyAlignment="1">
      <alignment vertical="center"/>
    </xf>
    <xf numFmtId="41" fontId="31" fillId="3" borderId="103" xfId="2" applyFont="1" applyFill="1" applyBorder="1"/>
    <xf numFmtId="173" fontId="31" fillId="3" borderId="103" xfId="8" applyNumberFormat="1" applyFont="1" applyFill="1" applyBorder="1"/>
    <xf numFmtId="41" fontId="31" fillId="3" borderId="103" xfId="2" applyFont="1" applyFill="1" applyBorder="1" applyAlignment="1">
      <alignment vertical="center"/>
    </xf>
    <xf numFmtId="173" fontId="31" fillId="3" borderId="103" xfId="8" applyNumberFormat="1" applyFont="1" applyFill="1" applyBorder="1" applyAlignment="1">
      <alignment vertical="center"/>
    </xf>
    <xf numFmtId="173" fontId="32" fillId="3" borderId="66" xfId="8" applyNumberFormat="1" applyFont="1" applyFill="1" applyBorder="1" applyAlignment="1">
      <alignment vertical="center"/>
    </xf>
    <xf numFmtId="0" fontId="32" fillId="3" borderId="110" xfId="8" applyFont="1" applyFill="1" applyBorder="1" applyAlignment="1">
      <alignment horizontal="left" vertical="center"/>
    </xf>
    <xf numFmtId="0" fontId="32" fillId="3" borderId="111" xfId="8" applyFont="1" applyFill="1" applyBorder="1" applyAlignment="1">
      <alignment vertical="center"/>
    </xf>
    <xf numFmtId="0" fontId="32" fillId="3" borderId="111" xfId="8" applyFont="1" applyFill="1" applyBorder="1" applyAlignment="1">
      <alignment vertical="center" wrapText="1"/>
    </xf>
    <xf numFmtId="0" fontId="32" fillId="3" borderId="113" xfId="8" applyFont="1" applyFill="1" applyBorder="1" applyAlignment="1">
      <alignment horizontal="center" vertical="center" wrapText="1"/>
    </xf>
    <xf numFmtId="0" fontId="32" fillId="3" borderId="113" xfId="8" applyFont="1" applyFill="1" applyBorder="1" applyAlignment="1">
      <alignment horizontal="center" vertical="center"/>
    </xf>
    <xf numFmtId="41" fontId="32" fillId="3" borderId="113" xfId="2" applyFont="1" applyFill="1" applyBorder="1" applyAlignment="1">
      <alignment horizontal="center" vertical="center"/>
    </xf>
    <xf numFmtId="0" fontId="31" fillId="3" borderId="121" xfId="8" applyFont="1" applyFill="1" applyBorder="1" applyAlignment="1">
      <alignment horizontal="left"/>
    </xf>
    <xf numFmtId="164" fontId="33" fillId="0" borderId="115" xfId="11" applyNumberFormat="1" applyFont="1" applyBorder="1" applyAlignment="1">
      <alignment horizontal="left" vertical="center"/>
    </xf>
    <xf numFmtId="164" fontId="31" fillId="3" borderId="109" xfId="10" applyNumberFormat="1" applyFont="1" applyFill="1" applyBorder="1" applyAlignment="1">
      <alignment horizontal="center"/>
    </xf>
    <xf numFmtId="41" fontId="31" fillId="3" borderId="109" xfId="8" applyNumberFormat="1" applyFont="1" applyFill="1" applyBorder="1"/>
    <xf numFmtId="41" fontId="31" fillId="3" borderId="108" xfId="2" applyFont="1" applyFill="1" applyBorder="1"/>
    <xf numFmtId="164" fontId="33" fillId="0" borderId="119" xfId="11" applyNumberFormat="1" applyFont="1" applyBorder="1" applyAlignment="1">
      <alignment horizontal="left" vertical="center"/>
    </xf>
    <xf numFmtId="164" fontId="31" fillId="3" borderId="103" xfId="10" applyNumberFormat="1" applyFont="1" applyFill="1" applyBorder="1" applyAlignment="1">
      <alignment horizontal="center"/>
    </xf>
    <xf numFmtId="41" fontId="31" fillId="3" borderId="103" xfId="8" applyNumberFormat="1" applyFont="1" applyFill="1" applyBorder="1"/>
    <xf numFmtId="41" fontId="31" fillId="3" borderId="120" xfId="2" applyFont="1" applyFill="1" applyBorder="1"/>
    <xf numFmtId="41" fontId="31" fillId="3" borderId="122" xfId="2" applyFont="1" applyFill="1" applyBorder="1"/>
    <xf numFmtId="164" fontId="33" fillId="0" borderId="115" xfId="11" applyNumberFormat="1" applyFont="1" applyBorder="1" applyAlignment="1">
      <alignment vertical="center"/>
    </xf>
    <xf numFmtId="41" fontId="31" fillId="3" borderId="0" xfId="8" applyNumberFormat="1" applyFont="1" applyFill="1"/>
    <xf numFmtId="173" fontId="32" fillId="3" borderId="66" xfId="8" applyNumberFormat="1" applyFont="1" applyFill="1" applyBorder="1"/>
    <xf numFmtId="41" fontId="32" fillId="3" borderId="60" xfId="2" applyFont="1" applyFill="1" applyBorder="1" applyAlignment="1">
      <alignment vertical="center"/>
    </xf>
    <xf numFmtId="0" fontId="32" fillId="3" borderId="0" xfId="8" applyFont="1" applyFill="1"/>
    <xf numFmtId="0" fontId="35" fillId="3" borderId="0" xfId="12" applyFont="1" applyFill="1" applyAlignment="1">
      <alignment vertical="center" readingOrder="1"/>
    </xf>
    <xf numFmtId="0" fontId="32" fillId="3" borderId="0" xfId="8" applyFont="1" applyFill="1" applyAlignment="1"/>
    <xf numFmtId="0" fontId="32" fillId="3" borderId="0" xfId="8" applyFont="1" applyFill="1" applyAlignment="1">
      <alignment vertical="center"/>
    </xf>
    <xf numFmtId="41" fontId="31" fillId="3" borderId="0" xfId="2" applyFont="1" applyFill="1"/>
    <xf numFmtId="0" fontId="32" fillId="3" borderId="0" xfId="8" applyFont="1" applyFill="1" applyAlignment="1">
      <alignment horizontal="left"/>
    </xf>
    <xf numFmtId="0" fontId="32" fillId="3" borderId="0" xfId="8" applyFont="1" applyFill="1" applyAlignment="1">
      <alignment horizontal="center"/>
    </xf>
    <xf numFmtId="0" fontId="30" fillId="3" borderId="0" xfId="8" applyFont="1" applyFill="1" applyBorder="1"/>
    <xf numFmtId="0" fontId="31" fillId="3" borderId="0" xfId="8" applyFont="1" applyFill="1" applyBorder="1"/>
    <xf numFmtId="0" fontId="36" fillId="3" borderId="0" xfId="0" applyFont="1" applyFill="1" applyAlignment="1"/>
    <xf numFmtId="0" fontId="37" fillId="3" borderId="0" xfId="0" applyFont="1" applyFill="1"/>
    <xf numFmtId="0" fontId="36" fillId="3" borderId="0" xfId="0" applyFont="1" applyFill="1" applyBorder="1" applyAlignment="1"/>
    <xf numFmtId="0" fontId="31" fillId="3" borderId="109" xfId="2" applyNumberFormat="1" applyFont="1" applyFill="1" applyBorder="1" applyAlignment="1">
      <alignment horizontal="center" vertical="center"/>
    </xf>
    <xf numFmtId="0" fontId="31" fillId="3" borderId="66" xfId="2" applyNumberFormat="1" applyFont="1" applyFill="1" applyBorder="1" applyAlignment="1">
      <alignment horizontal="center" vertical="center"/>
    </xf>
    <xf numFmtId="0" fontId="31" fillId="3" borderId="103" xfId="10" applyNumberFormat="1" applyFont="1" applyFill="1" applyBorder="1" applyAlignment="1">
      <alignment horizontal="center" vertical="center"/>
    </xf>
    <xf numFmtId="173" fontId="32" fillId="3" borderId="66" xfId="8" applyNumberFormat="1" applyFont="1" applyFill="1" applyBorder="1" applyAlignment="1">
      <alignment horizontal="center" vertical="center"/>
    </xf>
    <xf numFmtId="0" fontId="14" fillId="3" borderId="0" xfId="0" applyFont="1" applyFill="1" applyAlignment="1"/>
    <xf numFmtId="0" fontId="12" fillId="3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right" vertical="center"/>
    </xf>
    <xf numFmtId="0" fontId="12" fillId="3" borderId="0" xfId="0" quotePrefix="1" applyFont="1" applyFill="1" applyAlignment="1">
      <alignment vertical="center"/>
    </xf>
    <xf numFmtId="0" fontId="14" fillId="3" borderId="32" xfId="0" applyFont="1" applyFill="1" applyBorder="1" applyAlignment="1">
      <alignment horizontal="center" vertical="center"/>
    </xf>
    <xf numFmtId="0" fontId="15" fillId="3" borderId="33" xfId="0" applyFont="1" applyFill="1" applyBorder="1" applyAlignment="1">
      <alignment horizontal="left" vertical="center"/>
    </xf>
    <xf numFmtId="0" fontId="12" fillId="3" borderId="33" xfId="0" applyFont="1" applyFill="1" applyBorder="1" applyAlignment="1">
      <alignment vertical="center"/>
    </xf>
    <xf numFmtId="0" fontId="12" fillId="3" borderId="39" xfId="0" applyFont="1" applyFill="1" applyBorder="1" applyAlignment="1">
      <alignment vertical="center"/>
    </xf>
    <xf numFmtId="0" fontId="12" fillId="3" borderId="40" xfId="0" applyFont="1" applyFill="1" applyBorder="1" applyAlignment="1">
      <alignment horizontal="center" vertical="center"/>
    </xf>
    <xf numFmtId="164" fontId="12" fillId="3" borderId="10" xfId="1" applyNumberFormat="1" applyFont="1" applyFill="1" applyBorder="1" applyAlignment="1">
      <alignment horizontal="left" vertical="center"/>
    </xf>
    <xf numFmtId="43" fontId="12" fillId="3" borderId="10" xfId="1" applyFont="1" applyFill="1" applyBorder="1" applyAlignment="1">
      <alignment horizontal="right" vertical="center"/>
    </xf>
    <xf numFmtId="164" fontId="12" fillId="3" borderId="10" xfId="1" applyNumberFormat="1" applyFont="1" applyFill="1" applyBorder="1" applyAlignment="1">
      <alignment horizontal="center" vertical="center"/>
    </xf>
    <xf numFmtId="164" fontId="12" fillId="3" borderId="10" xfId="1" applyNumberFormat="1" applyFont="1" applyFill="1" applyBorder="1" applyAlignment="1">
      <alignment vertical="center"/>
    </xf>
    <xf numFmtId="164" fontId="12" fillId="3" borderId="36" xfId="1" applyNumberFormat="1" applyFont="1" applyFill="1" applyBorder="1" applyAlignment="1">
      <alignment vertical="center"/>
    </xf>
    <xf numFmtId="164" fontId="12" fillId="3" borderId="0" xfId="1" applyNumberFormat="1" applyFont="1" applyFill="1" applyAlignment="1">
      <alignment vertical="center"/>
    </xf>
    <xf numFmtId="164" fontId="12" fillId="3" borderId="0" xfId="0" applyNumberFormat="1" applyFont="1" applyFill="1" applyAlignment="1">
      <alignment vertical="center"/>
    </xf>
    <xf numFmtId="41" fontId="12" fillId="3" borderId="0" xfId="2" applyFont="1" applyFill="1" applyAlignment="1">
      <alignment vertical="center"/>
    </xf>
    <xf numFmtId="43" fontId="12" fillId="3" borderId="10" xfId="1" applyFont="1" applyFill="1" applyBorder="1" applyAlignment="1">
      <alignment vertical="center"/>
    </xf>
    <xf numFmtId="165" fontId="12" fillId="3" borderId="0" xfId="0" applyNumberFormat="1" applyFont="1" applyFill="1" applyAlignment="1">
      <alignment vertical="center"/>
    </xf>
    <xf numFmtId="0" fontId="12" fillId="3" borderId="37" xfId="0" applyFont="1" applyFill="1" applyBorder="1" applyAlignment="1">
      <alignment vertical="center"/>
    </xf>
    <xf numFmtId="164" fontId="12" fillId="3" borderId="35" xfId="1" applyNumberFormat="1" applyFont="1" applyFill="1" applyBorder="1" applyAlignment="1">
      <alignment vertical="center"/>
    </xf>
    <xf numFmtId="164" fontId="12" fillId="3" borderId="35" xfId="1" applyNumberFormat="1" applyFont="1" applyFill="1" applyBorder="1" applyAlignment="1">
      <alignment horizontal="center" vertical="center"/>
    </xf>
    <xf numFmtId="164" fontId="12" fillId="3" borderId="43" xfId="1" applyNumberFormat="1" applyFont="1" applyFill="1" applyBorder="1" applyAlignment="1">
      <alignment vertical="center"/>
    </xf>
    <xf numFmtId="41" fontId="12" fillId="3" borderId="0" xfId="0" applyNumberFormat="1" applyFont="1" applyFill="1" applyAlignment="1">
      <alignment vertical="center"/>
    </xf>
    <xf numFmtId="164" fontId="14" fillId="3" borderId="0" xfId="1" applyNumberFormat="1" applyFont="1" applyFill="1" applyBorder="1" applyAlignment="1">
      <alignment horizontal="right" vertical="center"/>
    </xf>
    <xf numFmtId="164" fontId="14" fillId="3" borderId="44" xfId="1" applyNumberFormat="1" applyFont="1" applyFill="1" applyBorder="1" applyAlignment="1">
      <alignment vertical="center"/>
    </xf>
    <xf numFmtId="3" fontId="12" fillId="3" borderId="0" xfId="0" applyNumberFormat="1" applyFont="1" applyFill="1" applyAlignment="1">
      <alignment vertical="center"/>
    </xf>
    <xf numFmtId="169" fontId="12" fillId="3" borderId="0" xfId="0" applyNumberFormat="1" applyFont="1" applyFill="1" applyAlignment="1">
      <alignment vertical="center"/>
    </xf>
    <xf numFmtId="164" fontId="12" fillId="3" borderId="33" xfId="1" applyNumberFormat="1" applyFont="1" applyFill="1" applyBorder="1" applyAlignment="1">
      <alignment vertical="center"/>
    </xf>
    <xf numFmtId="164" fontId="12" fillId="3" borderId="39" xfId="1" applyNumberFormat="1" applyFont="1" applyFill="1" applyBorder="1" applyAlignment="1">
      <alignment vertical="center"/>
    </xf>
    <xf numFmtId="164" fontId="12" fillId="3" borderId="12" xfId="1" applyNumberFormat="1" applyFont="1" applyFill="1" applyBorder="1" applyAlignment="1">
      <alignment vertical="center"/>
    </xf>
    <xf numFmtId="43" fontId="12" fillId="3" borderId="12" xfId="1" applyFont="1" applyFill="1" applyBorder="1" applyAlignment="1">
      <alignment horizontal="right" vertical="center"/>
    </xf>
    <xf numFmtId="164" fontId="12" fillId="3" borderId="12" xfId="1" applyNumberFormat="1" applyFont="1" applyFill="1" applyBorder="1" applyAlignment="1">
      <alignment horizontal="center" vertical="center"/>
    </xf>
    <xf numFmtId="164" fontId="14" fillId="3" borderId="10" xfId="1" applyNumberFormat="1" applyFont="1" applyFill="1" applyBorder="1" applyAlignment="1">
      <alignment vertical="center"/>
    </xf>
    <xf numFmtId="43" fontId="12" fillId="3" borderId="0" xfId="0" applyNumberFormat="1" applyFont="1" applyFill="1" applyAlignment="1">
      <alignment vertical="center"/>
    </xf>
    <xf numFmtId="164" fontId="14" fillId="3" borderId="45" xfId="1" applyNumberFormat="1" applyFont="1" applyFill="1" applyBorder="1" applyAlignment="1">
      <alignment horizontal="right" vertical="center"/>
    </xf>
    <xf numFmtId="164" fontId="14" fillId="3" borderId="38" xfId="1" applyNumberFormat="1" applyFont="1" applyFill="1" applyBorder="1" applyAlignment="1">
      <alignment vertical="center"/>
    </xf>
    <xf numFmtId="0" fontId="12" fillId="3" borderId="46" xfId="0" applyFont="1" applyFill="1" applyBorder="1" applyAlignment="1">
      <alignment vertical="center"/>
    </xf>
    <xf numFmtId="0" fontId="12" fillId="3" borderId="47" xfId="0" applyFont="1" applyFill="1" applyBorder="1" applyAlignment="1">
      <alignment vertical="center"/>
    </xf>
    <xf numFmtId="0" fontId="12" fillId="3" borderId="41" xfId="0" applyFont="1" applyFill="1" applyBorder="1" applyAlignment="1">
      <alignment vertical="center"/>
    </xf>
    <xf numFmtId="164" fontId="14" fillId="3" borderId="48" xfId="1" applyNumberFormat="1" applyFont="1" applyFill="1" applyBorder="1" applyAlignment="1">
      <alignment vertical="center"/>
    </xf>
    <xf numFmtId="164" fontId="14" fillId="3" borderId="49" xfId="1" applyNumberFormat="1" applyFont="1" applyFill="1" applyBorder="1" applyAlignment="1">
      <alignment vertical="center"/>
    </xf>
    <xf numFmtId="3" fontId="14" fillId="3" borderId="0" xfId="0" applyNumberFormat="1" applyFont="1" applyFill="1" applyBorder="1" applyAlignment="1">
      <alignment horizontal="center" vertical="center" wrapText="1"/>
    </xf>
    <xf numFmtId="3" fontId="14" fillId="3" borderId="0" xfId="0" applyNumberFormat="1" applyFont="1" applyFill="1" applyBorder="1" applyAlignment="1">
      <alignment horizontal="right" vertical="center"/>
    </xf>
    <xf numFmtId="3" fontId="14" fillId="3" borderId="0" xfId="0" applyNumberFormat="1" applyFont="1" applyFill="1" applyBorder="1" applyAlignment="1">
      <alignment vertical="center"/>
    </xf>
    <xf numFmtId="41" fontId="12" fillId="3" borderId="0" xfId="0" applyNumberFormat="1" applyFont="1" applyFill="1"/>
    <xf numFmtId="3" fontId="12" fillId="3" borderId="0" xfId="0" applyNumberFormat="1" applyFont="1" applyFill="1"/>
    <xf numFmtId="41" fontId="28" fillId="3" borderId="0" xfId="2" applyFont="1" applyFill="1"/>
    <xf numFmtId="168" fontId="12" fillId="3" borderId="0" xfId="2" applyNumberFormat="1" applyFont="1" applyFill="1"/>
    <xf numFmtId="0" fontId="0" fillId="3" borderId="0" xfId="0" applyFill="1"/>
    <xf numFmtId="0" fontId="24" fillId="3" borderId="1" xfId="0" applyFont="1" applyFill="1" applyBorder="1"/>
    <xf numFmtId="0" fontId="24" fillId="3" borderId="2" xfId="0" applyFont="1" applyFill="1" applyBorder="1"/>
    <xf numFmtId="0" fontId="24" fillId="3" borderId="53" xfId="0" applyFont="1" applyFill="1" applyBorder="1"/>
    <xf numFmtId="0" fontId="24" fillId="3" borderId="3" xfId="0" applyFont="1" applyFill="1" applyBorder="1"/>
    <xf numFmtId="0" fontId="24" fillId="3" borderId="4" xfId="0" applyFont="1" applyFill="1" applyBorder="1"/>
    <xf numFmtId="0" fontId="24" fillId="3" borderId="0" xfId="0" applyFont="1" applyFill="1" applyBorder="1"/>
    <xf numFmtId="0" fontId="24" fillId="3" borderId="17" xfId="0" applyFont="1" applyFill="1" applyBorder="1"/>
    <xf numFmtId="0" fontId="24" fillId="3" borderId="5" xfId="0" applyFont="1" applyFill="1" applyBorder="1"/>
    <xf numFmtId="0" fontId="24" fillId="3" borderId="17" xfId="0" applyFont="1" applyFill="1" applyBorder="1" applyAlignment="1"/>
    <xf numFmtId="0" fontId="24" fillId="3" borderId="0" xfId="0" applyFont="1" applyFill="1" applyBorder="1" applyAlignment="1"/>
    <xf numFmtId="0" fontId="24" fillId="3" borderId="5" xfId="0" applyFont="1" applyFill="1" applyBorder="1" applyAlignment="1"/>
    <xf numFmtId="0" fontId="25" fillId="3" borderId="17" xfId="0" applyFont="1" applyFill="1" applyBorder="1" applyAlignment="1"/>
    <xf numFmtId="0" fontId="25" fillId="3" borderId="0" xfId="0" applyFont="1" applyFill="1" applyBorder="1" applyAlignment="1"/>
    <xf numFmtId="0" fontId="25" fillId="3" borderId="5" xfId="0" applyFont="1" applyFill="1" applyBorder="1" applyAlignment="1"/>
    <xf numFmtId="0" fontId="26" fillId="3" borderId="4" xfId="0" applyFont="1" applyFill="1" applyBorder="1" applyAlignment="1"/>
    <xf numFmtId="0" fontId="26" fillId="3" borderId="0" xfId="0" applyFont="1" applyFill="1" applyBorder="1" applyAlignment="1"/>
    <xf numFmtId="0" fontId="24" fillId="3" borderId="6" xfId="0" applyFont="1" applyFill="1" applyBorder="1"/>
    <xf numFmtId="0" fontId="24" fillId="3" borderId="7" xfId="0" applyFont="1" applyFill="1" applyBorder="1"/>
    <xf numFmtId="0" fontId="38" fillId="0" borderId="96" xfId="0" applyFont="1" applyBorder="1" applyAlignment="1">
      <alignment horizontal="center" vertical="center"/>
    </xf>
    <xf numFmtId="0" fontId="38" fillId="0" borderId="71" xfId="0" applyFont="1" applyBorder="1" applyAlignment="1">
      <alignment horizontal="center" vertical="center"/>
    </xf>
    <xf numFmtId="0" fontId="38" fillId="0" borderId="71" xfId="0" applyFont="1" applyBorder="1" applyAlignment="1">
      <alignment horizontal="center" vertical="center" wrapText="1"/>
    </xf>
    <xf numFmtId="0" fontId="38" fillId="0" borderId="97" xfId="0" applyNumberFormat="1" applyFont="1" applyBorder="1" applyAlignment="1">
      <alignment horizontal="center" vertical="center" wrapText="1"/>
    </xf>
    <xf numFmtId="0" fontId="38" fillId="0" borderId="97" xfId="0" applyFont="1" applyBorder="1" applyAlignment="1">
      <alignment horizontal="center" vertical="center" wrapText="1"/>
    </xf>
    <xf numFmtId="0" fontId="38" fillId="0" borderId="98" xfId="0" applyFont="1" applyBorder="1" applyAlignment="1">
      <alignment horizontal="center" vertical="center"/>
    </xf>
    <xf numFmtId="0" fontId="38" fillId="0" borderId="107" xfId="0" applyFont="1" applyBorder="1" applyAlignment="1">
      <alignment horizontal="center" vertical="center"/>
    </xf>
    <xf numFmtId="0" fontId="39" fillId="0" borderId="99" xfId="0" applyFont="1" applyBorder="1" applyAlignment="1">
      <alignment horizontal="center" vertical="center"/>
    </xf>
    <xf numFmtId="0" fontId="39" fillId="0" borderId="0" xfId="0" applyFont="1"/>
    <xf numFmtId="0" fontId="16" fillId="3" borderId="0" xfId="0" applyFont="1" applyFill="1" applyBorder="1" applyAlignment="1">
      <alignment horizontal="center"/>
    </xf>
    <xf numFmtId="0" fontId="23" fillId="3" borderId="0" xfId="0" applyFont="1" applyFill="1"/>
    <xf numFmtId="41" fontId="29" fillId="3" borderId="103" xfId="0" applyNumberFormat="1" applyFont="1" applyFill="1" applyBorder="1" applyAlignment="1">
      <alignment vertical="center"/>
    </xf>
    <xf numFmtId="165" fontId="24" fillId="3" borderId="0" xfId="0" applyNumberFormat="1" applyFont="1" applyFill="1" applyBorder="1"/>
    <xf numFmtId="165" fontId="24" fillId="3" borderId="0" xfId="2" applyNumberFormat="1" applyFont="1" applyFill="1" applyBorder="1"/>
    <xf numFmtId="0" fontId="24" fillId="3" borderId="0" xfId="0" applyFont="1" applyFill="1" applyBorder="1" applyAlignment="1">
      <alignment textRotation="90"/>
    </xf>
    <xf numFmtId="0" fontId="24" fillId="3" borderId="0" xfId="0" applyFont="1" applyFill="1" applyBorder="1" applyAlignment="1">
      <alignment vertical="center" textRotation="90"/>
    </xf>
    <xf numFmtId="0" fontId="24" fillId="3" borderId="0" xfId="0" applyFont="1" applyFill="1" applyBorder="1" applyAlignment="1">
      <alignment vertical="center"/>
    </xf>
    <xf numFmtId="41" fontId="31" fillId="3" borderId="0" xfId="8" applyNumberFormat="1" applyFont="1" applyFill="1" applyAlignment="1">
      <alignment vertical="center"/>
    </xf>
    <xf numFmtId="41" fontId="6" fillId="0" borderId="123" xfId="2" applyFont="1" applyBorder="1" applyAlignment="1">
      <alignment vertical="center"/>
    </xf>
    <xf numFmtId="167" fontId="6" fillId="0" borderId="124" xfId="2" applyNumberFormat="1" applyFont="1" applyBorder="1" applyAlignment="1">
      <alignment vertical="center"/>
    </xf>
    <xf numFmtId="167" fontId="6" fillId="0" borderId="5" xfId="2" applyNumberFormat="1" applyFont="1" applyBorder="1" applyAlignment="1">
      <alignment vertical="center"/>
    </xf>
    <xf numFmtId="0" fontId="40" fillId="3" borderId="0" xfId="0" applyFont="1" applyFill="1" applyBorder="1"/>
    <xf numFmtId="41" fontId="16" fillId="3" borderId="0" xfId="2" quotePrefix="1" applyFont="1" applyFill="1" applyAlignment="1">
      <alignment horizontal="left"/>
    </xf>
    <xf numFmtId="41" fontId="16" fillId="3" borderId="0" xfId="2" applyFont="1" applyFill="1" applyAlignment="1">
      <alignment horizontal="left"/>
    </xf>
    <xf numFmtId="41" fontId="16" fillId="3" borderId="0" xfId="2" applyFont="1" applyFill="1" applyAlignment="1">
      <alignment vertical="center"/>
    </xf>
    <xf numFmtId="41" fontId="16" fillId="3" borderId="0" xfId="2" applyFont="1" applyFill="1" applyBorder="1" applyAlignment="1">
      <alignment horizontal="right" vertical="center"/>
    </xf>
    <xf numFmtId="41" fontId="16" fillId="3" borderId="0" xfId="2" applyFont="1" applyFill="1" applyAlignment="1">
      <alignment horizontal="center"/>
    </xf>
    <xf numFmtId="41" fontId="16" fillId="3" borderId="0" xfId="2" quotePrefix="1" applyFont="1" applyFill="1"/>
    <xf numFmtId="41" fontId="16" fillId="3" borderId="0" xfId="2" applyFont="1" applyFill="1" applyAlignment="1"/>
    <xf numFmtId="41" fontId="16" fillId="3" borderId="39" xfId="2" applyFont="1" applyFill="1" applyBorder="1" applyAlignment="1">
      <alignment vertical="center"/>
    </xf>
    <xf numFmtId="41" fontId="16" fillId="3" borderId="36" xfId="2" applyFont="1" applyFill="1" applyBorder="1" applyAlignment="1">
      <alignment vertical="center"/>
    </xf>
    <xf numFmtId="41" fontId="16" fillId="3" borderId="43" xfId="2" applyFont="1" applyFill="1" applyBorder="1" applyAlignment="1">
      <alignment vertical="center"/>
    </xf>
    <xf numFmtId="41" fontId="16" fillId="3" borderId="38" xfId="2" applyFont="1" applyFill="1" applyBorder="1" applyAlignment="1">
      <alignment vertical="center"/>
    </xf>
    <xf numFmtId="41" fontId="13" fillId="3" borderId="38" xfId="2" applyFont="1" applyFill="1" applyBorder="1" applyAlignment="1">
      <alignment vertical="center"/>
    </xf>
    <xf numFmtId="41" fontId="13" fillId="3" borderId="48" xfId="2" applyFont="1" applyFill="1" applyBorder="1" applyAlignment="1">
      <alignment vertical="center"/>
    </xf>
    <xf numFmtId="41" fontId="13" fillId="3" borderId="44" xfId="2" applyFont="1" applyFill="1" applyBorder="1" applyAlignment="1">
      <alignment vertical="center"/>
    </xf>
    <xf numFmtId="41" fontId="13" fillId="3" borderId="49" xfId="2" applyFont="1" applyFill="1" applyBorder="1" applyAlignment="1">
      <alignment vertical="center"/>
    </xf>
    <xf numFmtId="41" fontId="16" fillId="3" borderId="0" xfId="2" applyFont="1" applyFill="1" applyBorder="1" applyAlignment="1">
      <alignment vertical="center"/>
    </xf>
    <xf numFmtId="41" fontId="16" fillId="3" borderId="34" xfId="2" applyFont="1" applyFill="1" applyBorder="1" applyAlignment="1">
      <alignment vertical="center"/>
    </xf>
    <xf numFmtId="41" fontId="16" fillId="3" borderId="42" xfId="2" applyFont="1" applyFill="1" applyBorder="1" applyAlignment="1">
      <alignment vertical="center"/>
    </xf>
    <xf numFmtId="9" fontId="31" fillId="3" borderId="0" xfId="5" applyFont="1" applyFill="1"/>
    <xf numFmtId="49" fontId="12" fillId="3" borderId="5" xfId="2" applyNumberFormat="1" applyFont="1" applyFill="1" applyBorder="1" applyAlignment="1">
      <alignment horizontal="center"/>
    </xf>
    <xf numFmtId="41" fontId="12" fillId="3" borderId="0" xfId="2" applyFont="1" applyFill="1" applyBorder="1"/>
    <xf numFmtId="41" fontId="12" fillId="3" borderId="4" xfId="2" applyFont="1" applyFill="1" applyBorder="1" applyAlignment="1">
      <alignment horizontal="center"/>
    </xf>
    <xf numFmtId="175" fontId="12" fillId="3" borderId="5" xfId="0" applyNumberFormat="1" applyFont="1" applyFill="1" applyBorder="1" applyAlignment="1">
      <alignment horizontal="center"/>
    </xf>
    <xf numFmtId="0" fontId="14" fillId="3" borderId="2" xfId="0" applyFont="1" applyFill="1" applyBorder="1" applyAlignment="1">
      <alignment horizontal="left" vertical="center"/>
    </xf>
    <xf numFmtId="0" fontId="14" fillId="3" borderId="2" xfId="0" applyFont="1" applyFill="1" applyBorder="1"/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164" fontId="33" fillId="0" borderId="119" xfId="11" applyNumberFormat="1" applyFont="1" applyBorder="1" applyAlignment="1">
      <alignment vertical="center"/>
    </xf>
    <xf numFmtId="164" fontId="31" fillId="0" borderId="120" xfId="11" applyNumberFormat="1" applyFont="1" applyBorder="1" applyAlignment="1">
      <alignment vertical="center"/>
    </xf>
    <xf numFmtId="0" fontId="32" fillId="3" borderId="119" xfId="10" applyFont="1" applyFill="1" applyBorder="1"/>
    <xf numFmtId="0" fontId="45" fillId="3" borderId="0" xfId="0" applyFont="1" applyFill="1"/>
    <xf numFmtId="0" fontId="45" fillId="3" borderId="1" xfId="0" applyFont="1" applyFill="1" applyBorder="1" applyAlignment="1">
      <alignment vertical="center"/>
    </xf>
    <xf numFmtId="0" fontId="45" fillId="3" borderId="2" xfId="0" applyFont="1" applyFill="1" applyBorder="1" applyAlignment="1">
      <alignment vertical="center"/>
    </xf>
    <xf numFmtId="0" fontId="45" fillId="3" borderId="2" xfId="0" applyFont="1" applyFill="1" applyBorder="1"/>
    <xf numFmtId="0" fontId="46" fillId="3" borderId="2" xfId="0" applyFont="1" applyFill="1" applyBorder="1" applyAlignment="1">
      <alignment vertical="center"/>
    </xf>
    <xf numFmtId="0" fontId="45" fillId="3" borderId="2" xfId="0" applyFont="1" applyFill="1" applyBorder="1" applyAlignment="1">
      <alignment horizontal="left" vertical="center"/>
    </xf>
    <xf numFmtId="0" fontId="45" fillId="3" borderId="3" xfId="0" applyFont="1" applyFill="1" applyBorder="1"/>
    <xf numFmtId="0" fontId="45" fillId="3" borderId="4" xfId="0" applyFont="1" applyFill="1" applyBorder="1" applyAlignment="1">
      <alignment vertical="center"/>
    </xf>
    <xf numFmtId="0" fontId="45" fillId="3" borderId="0" xfId="0" applyFont="1" applyFill="1" applyBorder="1" applyAlignment="1">
      <alignment vertical="center"/>
    </xf>
    <xf numFmtId="0" fontId="45" fillId="3" borderId="0" xfId="0" applyFont="1" applyFill="1" applyBorder="1"/>
    <xf numFmtId="0" fontId="46" fillId="3" borderId="0" xfId="0" applyFont="1" applyFill="1" applyBorder="1" applyAlignment="1">
      <alignment vertical="center"/>
    </xf>
    <xf numFmtId="0" fontId="45" fillId="3" borderId="5" xfId="0" applyFont="1" applyFill="1" applyBorder="1"/>
    <xf numFmtId="0" fontId="45" fillId="3" borderId="6" xfId="0" applyFont="1" applyFill="1" applyBorder="1" applyAlignment="1">
      <alignment vertical="center"/>
    </xf>
    <xf numFmtId="0" fontId="45" fillId="3" borderId="7" xfId="0" applyFont="1" applyFill="1" applyBorder="1" applyAlignment="1">
      <alignment vertical="center"/>
    </xf>
    <xf numFmtId="0" fontId="45" fillId="3" borderId="7" xfId="0" applyFont="1" applyFill="1" applyBorder="1"/>
    <xf numFmtId="0" fontId="46" fillId="3" borderId="7" xfId="0" applyFont="1" applyFill="1" applyBorder="1" applyAlignment="1">
      <alignment vertical="center"/>
    </xf>
    <xf numFmtId="0" fontId="45" fillId="3" borderId="8" xfId="0" applyFont="1" applyFill="1" applyBorder="1"/>
    <xf numFmtId="0" fontId="46" fillId="3" borderId="0" xfId="0" applyFont="1" applyFill="1" applyBorder="1" applyAlignment="1"/>
    <xf numFmtId="0" fontId="45" fillId="3" borderId="0" xfId="0" applyFont="1" applyFill="1" applyBorder="1" applyAlignment="1"/>
    <xf numFmtId="0" fontId="45" fillId="3" borderId="0" xfId="0" applyFont="1" applyFill="1" applyBorder="1" applyAlignment="1">
      <alignment horizontal="center"/>
    </xf>
    <xf numFmtId="0" fontId="45" fillId="3" borderId="5" xfId="0" applyFont="1" applyFill="1" applyBorder="1" applyAlignment="1"/>
    <xf numFmtId="3" fontId="45" fillId="3" borderId="0" xfId="0" applyNumberFormat="1" applyFont="1" applyFill="1" applyBorder="1" applyAlignment="1"/>
    <xf numFmtId="0" fontId="46" fillId="3" borderId="0" xfId="0" applyFont="1" applyFill="1" applyBorder="1"/>
    <xf numFmtId="170" fontId="45" fillId="3" borderId="0" xfId="4" quotePrefix="1" applyNumberFormat="1" applyFont="1" applyFill="1" applyBorder="1" applyAlignment="1">
      <alignment horizontal="center"/>
    </xf>
    <xf numFmtId="167" fontId="45" fillId="3" borderId="0" xfId="0" applyNumberFormat="1" applyFont="1" applyFill="1" applyBorder="1"/>
    <xf numFmtId="41" fontId="45" fillId="3" borderId="0" xfId="2" applyFont="1" applyFill="1" applyBorder="1" applyAlignment="1">
      <alignment horizontal="center"/>
    </xf>
    <xf numFmtId="41" fontId="45" fillId="3" borderId="0" xfId="2" applyFont="1" applyFill="1" applyBorder="1"/>
    <xf numFmtId="166" fontId="45" fillId="3" borderId="0" xfId="2" applyNumberFormat="1" applyFont="1" applyFill="1" applyBorder="1" applyAlignment="1"/>
    <xf numFmtId="0" fontId="22" fillId="3" borderId="0" xfId="0" applyFont="1" applyFill="1" applyBorder="1"/>
    <xf numFmtId="167" fontId="45" fillId="3" borderId="0" xfId="2" applyNumberFormat="1" applyFont="1" applyFill="1" applyBorder="1" applyAlignment="1">
      <alignment horizontal="center"/>
    </xf>
    <xf numFmtId="165" fontId="22" fillId="3" borderId="0" xfId="0" applyNumberFormat="1" applyFont="1" applyFill="1" applyBorder="1" applyAlignment="1"/>
    <xf numFmtId="0" fontId="48" fillId="3" borderId="0" xfId="0" applyFont="1" applyFill="1" applyBorder="1" applyAlignment="1">
      <alignment horizontal="left"/>
    </xf>
    <xf numFmtId="2" fontId="45" fillId="3" borderId="0" xfId="0" applyNumberFormat="1" applyFont="1" applyFill="1" applyBorder="1" applyAlignment="1">
      <alignment horizontal="center"/>
    </xf>
    <xf numFmtId="0" fontId="45" fillId="3" borderId="0" xfId="0" applyFont="1" applyFill="1" applyBorder="1" applyAlignment="1">
      <alignment vertical="center" wrapText="1"/>
    </xf>
    <xf numFmtId="0" fontId="51" fillId="3" borderId="0" xfId="0" applyFont="1" applyFill="1" applyBorder="1" applyAlignment="1">
      <alignment vertical="center" textRotation="90" wrapText="1"/>
    </xf>
    <xf numFmtId="2" fontId="51" fillId="3" borderId="0" xfId="0" applyNumberFormat="1" applyFont="1" applyFill="1" applyBorder="1" applyAlignment="1">
      <alignment vertical="center" textRotation="90" wrapText="1"/>
    </xf>
    <xf numFmtId="2" fontId="48" fillId="3" borderId="0" xfId="0" applyNumberFormat="1" applyFont="1" applyFill="1" applyBorder="1"/>
    <xf numFmtId="0" fontId="48" fillId="3" borderId="0" xfId="0" applyFont="1" applyFill="1" applyBorder="1"/>
    <xf numFmtId="165" fontId="45" fillId="3" borderId="0" xfId="0" applyNumberFormat="1" applyFont="1" applyFill="1" applyBorder="1" applyAlignment="1">
      <alignment horizontal="center"/>
    </xf>
    <xf numFmtId="2" fontId="48" fillId="3" borderId="0" xfId="0" applyNumberFormat="1" applyFont="1" applyFill="1" applyBorder="1" applyAlignment="1">
      <alignment horizontal="left" vertical="top"/>
    </xf>
    <xf numFmtId="0" fontId="48" fillId="3" borderId="0" xfId="0" applyFont="1" applyFill="1" applyBorder="1" applyAlignment="1">
      <alignment horizontal="left" vertical="top"/>
    </xf>
    <xf numFmtId="0" fontId="23" fillId="3" borderId="0" xfId="0" applyFont="1" applyFill="1" applyBorder="1"/>
    <xf numFmtId="165" fontId="45" fillId="3" borderId="0" xfId="0" applyNumberFormat="1" applyFont="1" applyFill="1" applyBorder="1"/>
    <xf numFmtId="165" fontId="45" fillId="3" borderId="0" xfId="0" applyNumberFormat="1" applyFont="1" applyFill="1" applyBorder="1" applyAlignment="1">
      <alignment horizontal="center" vertical="center"/>
    </xf>
    <xf numFmtId="0" fontId="45" fillId="3" borderId="0" xfId="0" applyFont="1" applyFill="1" applyBorder="1" applyAlignment="1">
      <alignment vertical="top"/>
    </xf>
    <xf numFmtId="166" fontId="45" fillId="3" borderId="5" xfId="2" applyNumberFormat="1" applyFont="1" applyFill="1" applyBorder="1" applyAlignment="1"/>
    <xf numFmtId="166" fontId="45" fillId="3" borderId="0" xfId="2" applyNumberFormat="1" applyFont="1" applyFill="1" applyBorder="1" applyAlignment="1">
      <alignment horizontal="center"/>
    </xf>
    <xf numFmtId="3" fontId="45" fillId="3" borderId="0" xfId="0" applyNumberFormat="1" applyFont="1" applyFill="1" applyBorder="1" applyAlignment="1">
      <alignment horizontal="center"/>
    </xf>
    <xf numFmtId="167" fontId="45" fillId="3" borderId="0" xfId="2" applyNumberFormat="1" applyFont="1" applyFill="1" applyBorder="1"/>
    <xf numFmtId="1" fontId="45" fillId="3" borderId="0" xfId="1" applyNumberFormat="1" applyFont="1" applyFill="1" applyBorder="1" applyAlignment="1">
      <alignment horizontal="center"/>
    </xf>
    <xf numFmtId="0" fontId="45" fillId="3" borderId="1" xfId="0" applyFont="1" applyFill="1" applyBorder="1" applyAlignment="1"/>
    <xf numFmtId="0" fontId="45" fillId="3" borderId="2" xfId="0" applyFont="1" applyFill="1" applyBorder="1" applyAlignment="1"/>
    <xf numFmtId="0" fontId="45" fillId="3" borderId="6" xfId="0" applyFont="1" applyFill="1" applyBorder="1"/>
    <xf numFmtId="41" fontId="29" fillId="3" borderId="109" xfId="0" applyNumberFormat="1" applyFont="1" applyFill="1" applyBorder="1" applyAlignment="1">
      <alignment vertical="center"/>
    </xf>
    <xf numFmtId="41" fontId="29" fillId="3" borderId="106" xfId="0" applyNumberFormat="1" applyFont="1" applyFill="1" applyBorder="1" applyAlignment="1">
      <alignment vertical="center"/>
    </xf>
    <xf numFmtId="0" fontId="33" fillId="0" borderId="0" xfId="8" applyFont="1" applyAlignment="1">
      <alignment horizontal="left"/>
    </xf>
    <xf numFmtId="0" fontId="33" fillId="0" borderId="0" xfId="8" applyFont="1"/>
    <xf numFmtId="0" fontId="33" fillId="0" borderId="0" xfId="8" applyFont="1" applyAlignment="1"/>
    <xf numFmtId="173" fontId="33" fillId="0" borderId="0" xfId="8" applyNumberFormat="1" applyFont="1" applyBorder="1" applyAlignment="1">
      <alignment vertical="center"/>
    </xf>
    <xf numFmtId="0" fontId="33" fillId="0" borderId="0" xfId="8" applyFont="1" applyAlignment="1">
      <alignment vertical="center"/>
    </xf>
    <xf numFmtId="173" fontId="33" fillId="0" borderId="7" xfId="8" applyNumberFormat="1" applyFont="1" applyBorder="1" applyAlignment="1">
      <alignment vertical="center"/>
    </xf>
    <xf numFmtId="0" fontId="33" fillId="0" borderId="7" xfId="8" applyFont="1" applyBorder="1" applyAlignment="1">
      <alignment vertical="center"/>
    </xf>
    <xf numFmtId="173" fontId="53" fillId="0" borderId="0" xfId="8" applyNumberFormat="1" applyFont="1" applyBorder="1" applyAlignment="1">
      <alignment vertical="center"/>
    </xf>
    <xf numFmtId="0" fontId="53" fillId="0" borderId="0" xfId="8" applyFont="1" applyAlignment="1">
      <alignment vertical="center"/>
    </xf>
    <xf numFmtId="173" fontId="33" fillId="0" borderId="128" xfId="8" applyNumberFormat="1" applyFont="1" applyBorder="1" applyAlignment="1">
      <alignment vertical="center"/>
    </xf>
    <xf numFmtId="0" fontId="33" fillId="0" borderId="128" xfId="8" applyFont="1" applyBorder="1" applyAlignment="1">
      <alignment vertical="center"/>
    </xf>
    <xf numFmtId="0" fontId="16" fillId="0" borderId="0" xfId="8" applyFont="1"/>
    <xf numFmtId="0" fontId="16" fillId="0" borderId="59" xfId="8" applyFont="1" applyBorder="1" applyAlignment="1">
      <alignment horizontal="center" vertical="center"/>
    </xf>
    <xf numFmtId="173" fontId="16" fillId="0" borderId="0" xfId="8" applyNumberFormat="1" applyFont="1" applyBorder="1" applyAlignment="1">
      <alignment vertical="center"/>
    </xf>
    <xf numFmtId="0" fontId="13" fillId="0" borderId="65" xfId="8" applyFont="1" applyBorder="1" applyAlignment="1">
      <alignment horizontal="left" vertical="center"/>
    </xf>
    <xf numFmtId="0" fontId="12" fillId="0" borderId="60" xfId="9" applyFont="1" applyBorder="1" applyAlignment="1">
      <alignment vertical="distributed"/>
    </xf>
    <xf numFmtId="0" fontId="12" fillId="0" borderId="59" xfId="9" applyFont="1" applyBorder="1"/>
    <xf numFmtId="173" fontId="16" fillId="0" borderId="7" xfId="8" applyNumberFormat="1" applyFont="1" applyBorder="1" applyAlignment="1">
      <alignment vertical="center"/>
    </xf>
    <xf numFmtId="0" fontId="16" fillId="0" borderId="114" xfId="8" quotePrefix="1" applyFont="1" applyBorder="1" applyAlignment="1">
      <alignment horizontal="left" vertical="center"/>
    </xf>
    <xf numFmtId="0" fontId="12" fillId="0" borderId="108" xfId="9" applyFont="1" applyBorder="1" applyAlignment="1">
      <alignment vertical="center"/>
    </xf>
    <xf numFmtId="0" fontId="12" fillId="0" borderId="109" xfId="9" applyFont="1" applyBorder="1" applyAlignment="1">
      <alignment horizontal="center" vertical="center"/>
    </xf>
    <xf numFmtId="0" fontId="16" fillId="0" borderId="109" xfId="8" applyFont="1" applyBorder="1" applyAlignment="1">
      <alignment horizontal="center" vertical="center"/>
    </xf>
    <xf numFmtId="164" fontId="12" fillId="0" borderId="109" xfId="1" applyNumberFormat="1" applyFont="1" applyBorder="1" applyAlignment="1">
      <alignment vertical="center"/>
    </xf>
    <xf numFmtId="41" fontId="16" fillId="0" borderId="109" xfId="2" applyFont="1" applyBorder="1" applyAlignment="1">
      <alignment horizontal="center" vertical="center"/>
    </xf>
    <xf numFmtId="0" fontId="16" fillId="0" borderId="118" xfId="8" quotePrefix="1" applyFont="1" applyBorder="1" applyAlignment="1">
      <alignment horizontal="left" vertical="center"/>
    </xf>
    <xf numFmtId="0" fontId="12" fillId="0" borderId="120" xfId="9" applyFont="1" applyBorder="1" applyAlignment="1">
      <alignment vertical="center"/>
    </xf>
    <xf numFmtId="0" fontId="12" fillId="0" borderId="103" xfId="9" applyFont="1" applyBorder="1" applyAlignment="1">
      <alignment horizontal="center" vertical="center"/>
    </xf>
    <xf numFmtId="0" fontId="16" fillId="0" borderId="103" xfId="8" applyFont="1" applyBorder="1" applyAlignment="1">
      <alignment horizontal="center" vertical="center"/>
    </xf>
    <xf numFmtId="164" fontId="12" fillId="0" borderId="103" xfId="1" applyNumberFormat="1" applyFont="1" applyBorder="1" applyAlignment="1">
      <alignment vertical="center"/>
    </xf>
    <xf numFmtId="41" fontId="16" fillId="0" borderId="103" xfId="2" applyFont="1" applyBorder="1" applyAlignment="1">
      <alignment horizontal="center" vertical="center"/>
    </xf>
    <xf numFmtId="0" fontId="16" fillId="0" borderId="125" xfId="8" quotePrefix="1" applyFont="1" applyBorder="1" applyAlignment="1">
      <alignment horizontal="left" vertical="center"/>
    </xf>
    <xf numFmtId="0" fontId="12" fillId="0" borderId="126" xfId="9" applyFont="1" applyBorder="1" applyAlignment="1">
      <alignment vertical="center"/>
    </xf>
    <xf numFmtId="0" fontId="12" fillId="0" borderId="106" xfId="9" applyFont="1" applyBorder="1" applyAlignment="1">
      <alignment horizontal="center" vertical="center"/>
    </xf>
    <xf numFmtId="0" fontId="16" fillId="0" borderId="106" xfId="8" applyFont="1" applyBorder="1" applyAlignment="1">
      <alignment horizontal="center" vertical="center"/>
    </xf>
    <xf numFmtId="164" fontId="12" fillId="0" borderId="106" xfId="1" applyNumberFormat="1" applyFont="1" applyBorder="1" applyAlignment="1">
      <alignment vertical="center"/>
    </xf>
    <xf numFmtId="41" fontId="16" fillId="0" borderId="106" xfId="2" applyFont="1" applyBorder="1" applyAlignment="1">
      <alignment horizontal="center" vertical="center"/>
    </xf>
    <xf numFmtId="41" fontId="16" fillId="0" borderId="59" xfId="2" applyFont="1" applyBorder="1" applyAlignment="1">
      <alignment horizontal="center" vertical="center"/>
    </xf>
    <xf numFmtId="41" fontId="16" fillId="0" borderId="59" xfId="8" applyNumberFormat="1" applyFont="1" applyBorder="1" applyAlignment="1">
      <alignment horizontal="center" vertical="center"/>
    </xf>
    <xf numFmtId="173" fontId="13" fillId="0" borderId="0" xfId="8" applyNumberFormat="1" applyFont="1" applyBorder="1" applyAlignment="1">
      <alignment vertical="center"/>
    </xf>
    <xf numFmtId="0" fontId="13" fillId="0" borderId="65" xfId="8" quotePrefix="1" applyFont="1" applyBorder="1" applyAlignment="1">
      <alignment horizontal="left" vertical="center"/>
    </xf>
    <xf numFmtId="0" fontId="12" fillId="0" borderId="66" xfId="9" applyFont="1" applyBorder="1" applyAlignment="1">
      <alignment vertical="center"/>
    </xf>
    <xf numFmtId="0" fontId="12" fillId="0" borderId="59" xfId="9" applyFont="1" applyBorder="1" applyAlignment="1">
      <alignment horizontal="center" vertical="center"/>
    </xf>
    <xf numFmtId="164" fontId="12" fillId="0" borderId="59" xfId="1" applyNumberFormat="1" applyFont="1" applyBorder="1" applyAlignment="1">
      <alignment vertical="center"/>
    </xf>
    <xf numFmtId="0" fontId="16" fillId="0" borderId="60" xfId="8" applyFont="1" applyBorder="1" applyAlignment="1">
      <alignment horizontal="center" vertical="center"/>
    </xf>
    <xf numFmtId="0" fontId="12" fillId="0" borderId="115" xfId="9" applyFont="1" applyBorder="1" applyAlignment="1">
      <alignment vertical="center"/>
    </xf>
    <xf numFmtId="0" fontId="12" fillId="0" borderId="109" xfId="9" applyNumberFormat="1" applyFont="1" applyBorder="1" applyAlignment="1">
      <alignment horizontal="center" vertical="center"/>
    </xf>
    <xf numFmtId="0" fontId="16" fillId="0" borderId="108" xfId="8" applyFont="1" applyBorder="1" applyAlignment="1">
      <alignment horizontal="center" vertical="center"/>
    </xf>
    <xf numFmtId="0" fontId="16" fillId="0" borderId="120" xfId="8" applyFont="1" applyBorder="1" applyAlignment="1">
      <alignment horizontal="center" vertical="center"/>
    </xf>
    <xf numFmtId="0" fontId="16" fillId="0" borderId="127" xfId="8" quotePrefix="1" applyFont="1" applyBorder="1" applyAlignment="1">
      <alignment horizontal="left" vertical="center"/>
    </xf>
    <xf numFmtId="41" fontId="16" fillId="0" borderId="117" xfId="2" applyFont="1" applyBorder="1" applyAlignment="1">
      <alignment horizontal="center" vertical="center"/>
    </xf>
    <xf numFmtId="0" fontId="16" fillId="0" borderId="122" xfId="8" applyFont="1" applyBorder="1" applyAlignment="1">
      <alignment horizontal="center" vertical="center"/>
    </xf>
    <xf numFmtId="173" fontId="16" fillId="0" borderId="128" xfId="8" applyNumberFormat="1" applyFont="1" applyBorder="1" applyAlignment="1">
      <alignment vertical="center"/>
    </xf>
    <xf numFmtId="164" fontId="16" fillId="0" borderId="59" xfId="8" applyNumberFormat="1" applyFont="1" applyBorder="1" applyAlignment="1">
      <alignment horizontal="center" vertical="center"/>
    </xf>
    <xf numFmtId="0" fontId="12" fillId="0" borderId="60" xfId="9" applyFont="1" applyBorder="1" applyAlignment="1">
      <alignment vertical="center"/>
    </xf>
    <xf numFmtId="43" fontId="12" fillId="0" borderId="109" xfId="9" applyNumberFormat="1" applyFont="1" applyBorder="1" applyAlignment="1">
      <alignment horizontal="center" vertical="center"/>
    </xf>
    <xf numFmtId="0" fontId="12" fillId="0" borderId="122" xfId="9" applyFont="1" applyBorder="1" applyAlignment="1">
      <alignment vertical="center"/>
    </xf>
    <xf numFmtId="43" fontId="12" fillId="0" borderId="117" xfId="9" applyNumberFormat="1" applyFont="1" applyBorder="1" applyAlignment="1">
      <alignment horizontal="center" vertical="center"/>
    </xf>
    <xf numFmtId="164" fontId="12" fillId="0" borderId="117" xfId="1" applyNumberFormat="1" applyFont="1" applyBorder="1" applyAlignment="1">
      <alignment vertical="center"/>
    </xf>
    <xf numFmtId="0" fontId="16" fillId="0" borderId="117" xfId="8" applyFont="1" applyBorder="1" applyAlignment="1">
      <alignment horizontal="center" vertical="center"/>
    </xf>
    <xf numFmtId="9" fontId="13" fillId="0" borderId="0" xfId="5" applyFont="1" applyBorder="1" applyAlignment="1">
      <alignment vertical="center"/>
    </xf>
    <xf numFmtId="0" fontId="16" fillId="0" borderId="0" xfId="8" applyFont="1" applyAlignment="1">
      <alignment horizontal="left"/>
    </xf>
    <xf numFmtId="0" fontId="16" fillId="0" borderId="0" xfId="8" applyFont="1" applyAlignment="1">
      <alignment horizontal="center"/>
    </xf>
    <xf numFmtId="0" fontId="16" fillId="0" borderId="0" xfId="8" applyFont="1" applyAlignment="1"/>
    <xf numFmtId="0" fontId="54" fillId="0" borderId="0" xfId="0" applyFont="1" applyAlignment="1"/>
    <xf numFmtId="0" fontId="16" fillId="0" borderId="0" xfId="8" applyFont="1" applyAlignment="1">
      <alignment horizontal="left" vertical="center"/>
    </xf>
    <xf numFmtId="0" fontId="16" fillId="0" borderId="0" xfId="8" quotePrefix="1" applyFont="1"/>
    <xf numFmtId="0" fontId="54" fillId="0" borderId="0" xfId="0" applyFont="1"/>
    <xf numFmtId="0" fontId="16" fillId="3" borderId="0" xfId="0" applyFont="1" applyFill="1" applyBorder="1" applyAlignment="1">
      <alignment horizontal="center"/>
    </xf>
    <xf numFmtId="0" fontId="16" fillId="0" borderId="0" xfId="8" applyFont="1" applyAlignment="1">
      <alignment horizontal="left" vertical="top"/>
    </xf>
    <xf numFmtId="173" fontId="13" fillId="4" borderId="59" xfId="8" applyNumberFormat="1" applyFont="1" applyFill="1" applyBorder="1" applyAlignment="1">
      <alignment vertical="center"/>
    </xf>
    <xf numFmtId="173" fontId="13" fillId="4" borderId="60" xfId="8" applyNumberFormat="1" applyFont="1" applyFill="1" applyBorder="1" applyAlignment="1">
      <alignment vertical="center"/>
    </xf>
    <xf numFmtId="0" fontId="17" fillId="3" borderId="0" xfId="0" applyFont="1" applyFill="1" applyBorder="1" applyAlignment="1">
      <alignment horizontal="center"/>
    </xf>
    <xf numFmtId="0" fontId="12" fillId="3" borderId="4" xfId="0" applyFont="1" applyFill="1" applyBorder="1" applyAlignment="1">
      <alignment horizontal="center"/>
    </xf>
    <xf numFmtId="0" fontId="12" fillId="3" borderId="5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6" fillId="3" borderId="0" xfId="0" applyFont="1" applyFill="1" applyBorder="1" applyAlignment="1">
      <alignment horizontal="center"/>
    </xf>
    <xf numFmtId="0" fontId="12" fillId="3" borderId="0" xfId="0" applyFont="1" applyFill="1" applyAlignment="1">
      <alignment horizontal="center"/>
    </xf>
    <xf numFmtId="41" fontId="45" fillId="3" borderId="0" xfId="0" applyNumberFormat="1" applyFont="1" applyFill="1" applyBorder="1"/>
    <xf numFmtId="168" fontId="45" fillId="3" borderId="0" xfId="0" applyNumberFormat="1" applyFont="1" applyFill="1" applyBorder="1"/>
    <xf numFmtId="0" fontId="14" fillId="3" borderId="65" xfId="0" applyFont="1" applyFill="1" applyBorder="1" applyAlignment="1">
      <alignment horizontal="center" vertical="center" wrapText="1"/>
    </xf>
    <xf numFmtId="0" fontId="45" fillId="3" borderId="0" xfId="0" applyFont="1" applyFill="1" applyBorder="1" applyAlignment="1">
      <alignment horizontal="left"/>
    </xf>
    <xf numFmtId="41" fontId="16" fillId="3" borderId="92" xfId="2" applyFont="1" applyFill="1" applyBorder="1" applyAlignment="1">
      <alignment horizontal="center" vertical="center"/>
    </xf>
    <xf numFmtId="41" fontId="16" fillId="3" borderId="93" xfId="2" applyFont="1" applyFill="1" applyBorder="1" applyAlignment="1">
      <alignment horizontal="center" vertical="center"/>
    </xf>
    <xf numFmtId="1" fontId="45" fillId="3" borderId="0" xfId="0" applyNumberFormat="1" applyFont="1" applyFill="1" applyBorder="1" applyAlignment="1">
      <alignment horizontal="center"/>
    </xf>
    <xf numFmtId="165" fontId="22" fillId="3" borderId="0" xfId="0" applyNumberFormat="1" applyFont="1" applyFill="1" applyBorder="1"/>
    <xf numFmtId="3" fontId="10" fillId="0" borderId="0" xfId="0" applyNumberFormat="1" applyFont="1" applyAlignment="1">
      <alignment vertical="center"/>
    </xf>
    <xf numFmtId="164" fontId="6" fillId="0" borderId="115" xfId="0" applyNumberFormat="1" applyFont="1" applyBorder="1" applyAlignment="1">
      <alignment vertical="center"/>
    </xf>
    <xf numFmtId="1" fontId="45" fillId="3" borderId="0" xfId="0" applyNumberFormat="1" applyFont="1" applyFill="1" applyBorder="1" applyAlignment="1">
      <alignment horizontal="center" vertical="center"/>
    </xf>
    <xf numFmtId="0" fontId="16" fillId="3" borderId="0" xfId="0" applyFont="1" applyFill="1" applyAlignment="1">
      <alignment horizontal="center"/>
    </xf>
    <xf numFmtId="0" fontId="17" fillId="3" borderId="0" xfId="0" applyFont="1" applyFill="1" applyBorder="1" applyAlignment="1">
      <alignment horizontal="center"/>
    </xf>
    <xf numFmtId="0" fontId="16" fillId="3" borderId="0" xfId="0" applyFont="1" applyFill="1" applyBorder="1" applyAlignment="1">
      <alignment horizontal="center"/>
    </xf>
    <xf numFmtId="41" fontId="45" fillId="3" borderId="0" xfId="2" applyNumberFormat="1" applyFont="1" applyFill="1" applyBorder="1" applyAlignment="1">
      <alignment horizontal="center"/>
    </xf>
    <xf numFmtId="171" fontId="45" fillId="3" borderId="0" xfId="4" applyNumberFormat="1" applyFont="1" applyFill="1" applyBorder="1" applyAlignment="1">
      <alignment horizontal="center"/>
    </xf>
    <xf numFmtId="176" fontId="45" fillId="3" borderId="0" xfId="0" applyNumberFormat="1" applyFont="1" applyFill="1" applyBorder="1" applyAlignment="1">
      <alignment horizontal="center"/>
    </xf>
    <xf numFmtId="171" fontId="23" fillId="3" borderId="0" xfId="4" quotePrefix="1" applyNumberFormat="1" applyFont="1" applyFill="1" applyBorder="1" applyAlignment="1">
      <alignment horizontal="center"/>
    </xf>
    <xf numFmtId="1" fontId="12" fillId="3" borderId="0" xfId="0" applyNumberFormat="1" applyFont="1" applyFill="1" applyBorder="1"/>
    <xf numFmtId="0" fontId="56" fillId="3" borderId="0" xfId="0" applyFont="1" applyFill="1" applyAlignment="1">
      <alignment vertical="center"/>
    </xf>
    <xf numFmtId="41" fontId="56" fillId="3" borderId="0" xfId="2" applyFont="1" applyFill="1" applyAlignment="1">
      <alignment vertical="center"/>
    </xf>
    <xf numFmtId="0" fontId="16" fillId="3" borderId="0" xfId="0" applyFont="1" applyFill="1" applyBorder="1" applyAlignment="1">
      <alignment horizontal="center"/>
    </xf>
    <xf numFmtId="0" fontId="17" fillId="3" borderId="0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left"/>
    </xf>
    <xf numFmtId="0" fontId="14" fillId="3" borderId="4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0" fontId="12" fillId="3" borderId="0" xfId="0" applyFont="1" applyFill="1" applyAlignment="1">
      <alignment horizontal="center"/>
    </xf>
    <xf numFmtId="43" fontId="57" fillId="3" borderId="10" xfId="1" applyFont="1" applyFill="1" applyBorder="1" applyAlignment="1">
      <alignment horizontal="right" vertical="center"/>
    </xf>
    <xf numFmtId="0" fontId="47" fillId="3" borderId="0" xfId="0" applyFont="1" applyFill="1" applyBorder="1" applyAlignment="1">
      <alignment horizontal="center"/>
    </xf>
    <xf numFmtId="0" fontId="22" fillId="3" borderId="0" xfId="0" applyFont="1" applyFill="1" applyBorder="1" applyAlignment="1"/>
    <xf numFmtId="0" fontId="12" fillId="3" borderId="124" xfId="0" applyFont="1" applyFill="1" applyBorder="1" applyAlignment="1">
      <alignment horizontal="center"/>
    </xf>
    <xf numFmtId="0" fontId="12" fillId="3" borderId="17" xfId="0" applyFont="1" applyFill="1" applyBorder="1" applyAlignment="1">
      <alignment horizontal="center"/>
    </xf>
    <xf numFmtId="0" fontId="16" fillId="3" borderId="2" xfId="0" applyFont="1" applyFill="1" applyBorder="1" applyAlignment="1">
      <alignment horizontal="center"/>
    </xf>
    <xf numFmtId="0" fontId="14" fillId="3" borderId="17" xfId="0" applyFont="1" applyFill="1" applyBorder="1" applyAlignment="1">
      <alignment horizontal="center"/>
    </xf>
    <xf numFmtId="0" fontId="12" fillId="3" borderId="17" xfId="0" applyFont="1" applyFill="1" applyBorder="1" applyAlignment="1">
      <alignment horizontal="left"/>
    </xf>
    <xf numFmtId="0" fontId="14" fillId="3" borderId="4" xfId="0" applyFont="1" applyFill="1" applyBorder="1" applyAlignment="1">
      <alignment horizontal="center" vertical="center"/>
    </xf>
    <xf numFmtId="0" fontId="14" fillId="3" borderId="0" xfId="0" applyFont="1" applyFill="1" applyBorder="1" applyAlignment="1">
      <alignment horizontal="left" vertical="center"/>
    </xf>
    <xf numFmtId="0" fontId="14" fillId="3" borderId="0" xfId="0" applyFont="1" applyFill="1" applyBorder="1" applyAlignment="1">
      <alignment horizontal="center" vertical="center"/>
    </xf>
    <xf numFmtId="0" fontId="12" fillId="3" borderId="5" xfId="0" applyFont="1" applyFill="1" applyBorder="1" applyAlignment="1">
      <alignment horizontal="center" vertical="center" wrapText="1"/>
    </xf>
    <xf numFmtId="0" fontId="12" fillId="3" borderId="4" xfId="0" applyFont="1" applyFill="1" applyBorder="1" applyAlignment="1">
      <alignment horizontal="center" vertical="center" wrapText="1"/>
    </xf>
    <xf numFmtId="0" fontId="12" fillId="3" borderId="4" xfId="0" applyFont="1" applyFill="1" applyBorder="1" applyAlignment="1">
      <alignment horizontal="center" vertical="center"/>
    </xf>
    <xf numFmtId="170" fontId="45" fillId="3" borderId="0" xfId="4" quotePrefix="1" applyNumberFormat="1" applyFont="1" applyFill="1" applyBorder="1" applyAlignment="1"/>
    <xf numFmtId="170" fontId="45" fillId="3" borderId="0" xfId="4" applyNumberFormat="1" applyFont="1" applyFill="1" applyBorder="1" applyAlignment="1">
      <alignment horizontal="center"/>
    </xf>
    <xf numFmtId="170" fontId="45" fillId="3" borderId="0" xfId="0" applyNumberFormat="1" applyFont="1" applyFill="1" applyBorder="1"/>
    <xf numFmtId="43" fontId="12" fillId="0" borderId="108" xfId="9" applyNumberFormat="1" applyFont="1" applyBorder="1" applyAlignment="1">
      <alignment horizontal="center" vertical="center"/>
    </xf>
    <xf numFmtId="0" fontId="54" fillId="0" borderId="0" xfId="0" applyFont="1" applyAlignment="1">
      <alignment vertical="top"/>
    </xf>
    <xf numFmtId="171" fontId="45" fillId="3" borderId="0" xfId="4" quotePrefix="1" applyNumberFormat="1" applyFont="1" applyFill="1" applyBorder="1" applyAlignment="1">
      <alignment horizontal="center"/>
    </xf>
    <xf numFmtId="0" fontId="45" fillId="3" borderId="0" xfId="0" applyFont="1" applyFill="1" applyBorder="1" applyAlignment="1">
      <alignment horizontal="center"/>
    </xf>
    <xf numFmtId="0" fontId="22" fillId="3" borderId="0" xfId="0" applyFont="1" applyFill="1" applyBorder="1" applyAlignment="1">
      <alignment horizontal="center"/>
    </xf>
    <xf numFmtId="2" fontId="22" fillId="3" borderId="0" xfId="0" applyNumberFormat="1" applyFont="1" applyFill="1" applyBorder="1" applyAlignment="1">
      <alignment horizontal="center"/>
    </xf>
    <xf numFmtId="0" fontId="45" fillId="3" borderId="0" xfId="0" applyFont="1" applyFill="1" applyBorder="1" applyAlignment="1">
      <alignment horizontal="left"/>
    </xf>
    <xf numFmtId="0" fontId="45" fillId="3" borderId="4" xfId="0" applyFont="1" applyFill="1" applyBorder="1" applyAlignment="1">
      <alignment horizontal="center"/>
    </xf>
    <xf numFmtId="0" fontId="45" fillId="3" borderId="5" xfId="0" applyFont="1" applyFill="1" applyBorder="1" applyAlignment="1">
      <alignment horizontal="center"/>
    </xf>
    <xf numFmtId="0" fontId="16" fillId="3" borderId="0" xfId="0" applyFont="1" applyFill="1" applyAlignment="1">
      <alignment horizontal="center"/>
    </xf>
    <xf numFmtId="0" fontId="46" fillId="3" borderId="0" xfId="0" applyFont="1" applyFill="1" applyBorder="1" applyAlignment="1">
      <alignment horizontal="left"/>
    </xf>
    <xf numFmtId="1" fontId="12" fillId="3" borderId="0" xfId="1" applyNumberFormat="1" applyFont="1" applyFill="1" applyBorder="1" applyAlignment="1">
      <alignment horizontal="center"/>
    </xf>
    <xf numFmtId="165" fontId="12" fillId="3" borderId="0" xfId="0" applyNumberFormat="1" applyFont="1" applyFill="1" applyBorder="1" applyAlignment="1"/>
    <xf numFmtId="165" fontId="12" fillId="3" borderId="0" xfId="1" applyNumberFormat="1" applyFont="1" applyFill="1" applyBorder="1" applyAlignment="1">
      <alignment horizontal="left"/>
    </xf>
    <xf numFmtId="169" fontId="12" fillId="3" borderId="0" xfId="0" applyNumberFormat="1" applyFont="1" applyFill="1" applyBorder="1"/>
    <xf numFmtId="1" fontId="12" fillId="3" borderId="0" xfId="0" applyNumberFormat="1" applyFont="1" applyFill="1" applyBorder="1" applyAlignment="1"/>
    <xf numFmtId="0" fontId="61" fillId="3" borderId="0" xfId="0" applyFont="1" applyFill="1" applyBorder="1" applyAlignment="1">
      <alignment horizontal="center"/>
    </xf>
    <xf numFmtId="169" fontId="12" fillId="3" borderId="0" xfId="1" applyNumberFormat="1" applyFont="1" applyFill="1" applyBorder="1" applyAlignment="1">
      <alignment horizontal="left"/>
    </xf>
    <xf numFmtId="2" fontId="12" fillId="3" borderId="0" xfId="1" applyNumberFormat="1" applyFont="1" applyFill="1" applyBorder="1" applyAlignment="1">
      <alignment horizontal="left"/>
    </xf>
    <xf numFmtId="0" fontId="45" fillId="3" borderId="0" xfId="0" applyFont="1" applyFill="1" applyBorder="1" applyAlignment="1">
      <alignment horizontal="right"/>
    </xf>
    <xf numFmtId="0" fontId="46" fillId="3" borderId="0" xfId="0" applyFont="1" applyFill="1"/>
    <xf numFmtId="168" fontId="46" fillId="3" borderId="0" xfId="0" applyNumberFormat="1" applyFont="1" applyFill="1" applyBorder="1"/>
    <xf numFmtId="0" fontId="46" fillId="3" borderId="5" xfId="0" applyFont="1" applyFill="1" applyBorder="1"/>
    <xf numFmtId="165" fontId="12" fillId="3" borderId="0" xfId="1" applyNumberFormat="1" applyFont="1" applyFill="1" applyBorder="1" applyAlignment="1">
      <alignment horizontal="center"/>
    </xf>
    <xf numFmtId="2" fontId="12" fillId="3" borderId="0" xfId="0" applyNumberFormat="1" applyFont="1" applyFill="1" applyBorder="1" applyAlignment="1">
      <alignment horizontal="left"/>
    </xf>
    <xf numFmtId="2" fontId="12" fillId="3" borderId="0" xfId="0" applyNumberFormat="1" applyFont="1" applyFill="1" applyBorder="1" applyAlignment="1">
      <alignment horizontal="center"/>
    </xf>
    <xf numFmtId="174" fontId="45" fillId="3" borderId="0" xfId="0" applyNumberFormat="1" applyFont="1" applyFill="1" applyBorder="1" applyAlignment="1">
      <alignment horizontal="left"/>
    </xf>
    <xf numFmtId="2" fontId="45" fillId="3" borderId="0" xfId="0" applyNumberFormat="1" applyFont="1" applyFill="1" applyBorder="1" applyAlignment="1">
      <alignment horizontal="left"/>
    </xf>
    <xf numFmtId="164" fontId="45" fillId="3" borderId="0" xfId="0" applyNumberFormat="1" applyFont="1" applyFill="1" applyBorder="1" applyAlignment="1">
      <alignment horizontal="left"/>
    </xf>
    <xf numFmtId="1" fontId="45" fillId="3" borderId="0" xfId="0" applyNumberFormat="1" applyFont="1" applyFill="1" applyBorder="1" applyAlignment="1">
      <alignment horizontal="left" vertical="center"/>
    </xf>
    <xf numFmtId="171" fontId="45" fillId="3" borderId="0" xfId="4" quotePrefix="1" applyNumberFormat="1" applyFont="1" applyFill="1" applyBorder="1" applyAlignment="1">
      <alignment horizontal="left"/>
    </xf>
    <xf numFmtId="165" fontId="45" fillId="3" borderId="0" xfId="0" applyNumberFormat="1" applyFont="1" applyFill="1" applyBorder="1" applyAlignment="1">
      <alignment horizontal="left" vertical="center"/>
    </xf>
    <xf numFmtId="171" fontId="45" fillId="3" borderId="0" xfId="0" applyNumberFormat="1" applyFont="1" applyFill="1" applyBorder="1" applyAlignment="1">
      <alignment horizontal="left"/>
    </xf>
    <xf numFmtId="0" fontId="60" fillId="3" borderId="0" xfId="0" applyFont="1" applyFill="1" applyBorder="1"/>
    <xf numFmtId="0" fontId="45" fillId="3" borderId="4" xfId="0" applyFont="1" applyFill="1" applyBorder="1"/>
    <xf numFmtId="0" fontId="46" fillId="3" borderId="4" xfId="0" applyFont="1" applyFill="1" applyBorder="1"/>
    <xf numFmtId="0" fontId="46" fillId="3" borderId="4" xfId="0" applyFont="1" applyFill="1" applyBorder="1" applyAlignment="1">
      <alignment horizontal="left"/>
    </xf>
    <xf numFmtId="0" fontId="52" fillId="3" borderId="4" xfId="0" quotePrefix="1" applyFont="1" applyFill="1" applyBorder="1"/>
    <xf numFmtId="170" fontId="45" fillId="3" borderId="4" xfId="0" applyNumberFormat="1" applyFont="1" applyFill="1" applyBorder="1"/>
    <xf numFmtId="0" fontId="45" fillId="3" borderId="4" xfId="0" quotePrefix="1" applyFont="1" applyFill="1" applyBorder="1" applyAlignment="1">
      <alignment horizontal="center"/>
    </xf>
    <xf numFmtId="169" fontId="12" fillId="3" borderId="4" xfId="0" applyNumberFormat="1" applyFont="1" applyFill="1" applyBorder="1" applyAlignment="1">
      <alignment horizontal="center"/>
    </xf>
    <xf numFmtId="167" fontId="16" fillId="3" borderId="0" xfId="2" applyNumberFormat="1" applyFont="1" applyFill="1" applyAlignment="1">
      <alignment horizontal="left"/>
    </xf>
    <xf numFmtId="43" fontId="12" fillId="0" borderId="103" xfId="9" applyNumberFormat="1" applyFont="1" applyBorder="1" applyAlignment="1">
      <alignment horizontal="center" vertical="center"/>
    </xf>
    <xf numFmtId="0" fontId="45" fillId="3" borderId="0" xfId="0" applyFont="1" applyFill="1" applyBorder="1" applyAlignment="1">
      <alignment horizontal="center"/>
    </xf>
    <xf numFmtId="0" fontId="46" fillId="3" borderId="4" xfId="0" applyFont="1" applyFill="1" applyBorder="1" applyAlignment="1">
      <alignment horizontal="left"/>
    </xf>
    <xf numFmtId="0" fontId="46" fillId="3" borderId="0" xfId="0" applyFont="1" applyFill="1" applyBorder="1" applyAlignment="1">
      <alignment horizontal="left"/>
    </xf>
    <xf numFmtId="0" fontId="0" fillId="0" borderId="0" xfId="0" applyNumberFormat="1"/>
    <xf numFmtId="0" fontId="1" fillId="0" borderId="0" xfId="0" applyFont="1"/>
    <xf numFmtId="166" fontId="12" fillId="3" borderId="0" xfId="0" applyNumberFormat="1" applyFont="1" applyFill="1" applyBorder="1" applyAlignment="1">
      <alignment horizontal="center"/>
    </xf>
    <xf numFmtId="0" fontId="45" fillId="3" borderId="0" xfId="0" applyFont="1" applyFill="1" applyBorder="1" applyAlignment="1">
      <alignment horizontal="center"/>
    </xf>
    <xf numFmtId="165" fontId="45" fillId="3" borderId="0" xfId="2" applyNumberFormat="1" applyFont="1" applyFill="1" applyBorder="1" applyAlignment="1">
      <alignment horizontal="left" vertical="center"/>
    </xf>
    <xf numFmtId="165" fontId="45" fillId="0" borderId="0" xfId="2" applyNumberFormat="1" applyFont="1" applyFill="1" applyBorder="1" applyAlignment="1">
      <alignment horizontal="right" vertical="center"/>
    </xf>
    <xf numFmtId="41" fontId="23" fillId="3" borderId="0" xfId="2" applyFont="1" applyFill="1" applyBorder="1" applyAlignment="1">
      <alignment horizontal="center"/>
    </xf>
    <xf numFmtId="167" fontId="23" fillId="3" borderId="0" xfId="2" applyNumberFormat="1" applyFont="1" applyFill="1" applyBorder="1" applyAlignment="1">
      <alignment horizontal="right"/>
    </xf>
    <xf numFmtId="0" fontId="23" fillId="3" borderId="0" xfId="0" applyFont="1" applyFill="1" applyBorder="1" applyAlignment="1">
      <alignment horizontal="center"/>
    </xf>
    <xf numFmtId="0" fontId="45" fillId="3" borderId="0" xfId="0" applyFont="1" applyFill="1" applyAlignment="1">
      <alignment horizontal="center"/>
    </xf>
    <xf numFmtId="174" fontId="45" fillId="3" borderId="0" xfId="0" applyNumberFormat="1" applyFont="1" applyFill="1" applyBorder="1" applyAlignment="1">
      <alignment horizontal="center"/>
    </xf>
    <xf numFmtId="171" fontId="45" fillId="3" borderId="0" xfId="4" applyNumberFormat="1" applyFont="1" applyFill="1" applyBorder="1" applyAlignment="1">
      <alignment horizontal="right"/>
    </xf>
    <xf numFmtId="176" fontId="45" fillId="3" borderId="0" xfId="4" applyNumberFormat="1" applyFont="1" applyFill="1" applyBorder="1" applyAlignment="1">
      <alignment horizontal="right"/>
    </xf>
    <xf numFmtId="177" fontId="45" fillId="3" borderId="0" xfId="4" applyNumberFormat="1" applyFont="1" applyFill="1" applyBorder="1" applyAlignment="1">
      <alignment horizontal="right"/>
    </xf>
    <xf numFmtId="178" fontId="45" fillId="3" borderId="0" xfId="4" applyNumberFormat="1" applyFont="1" applyFill="1" applyBorder="1" applyAlignment="1">
      <alignment horizontal="right"/>
    </xf>
    <xf numFmtId="179" fontId="45" fillId="3" borderId="0" xfId="4" applyNumberFormat="1" applyFont="1" applyFill="1" applyBorder="1" applyAlignment="1">
      <alignment horizontal="right"/>
    </xf>
    <xf numFmtId="180" fontId="45" fillId="3" borderId="0" xfId="4" applyNumberFormat="1" applyFont="1" applyFill="1" applyBorder="1" applyAlignment="1">
      <alignment horizontal="right"/>
    </xf>
    <xf numFmtId="181" fontId="45" fillId="3" borderId="0" xfId="4" applyNumberFormat="1" applyFont="1" applyFill="1" applyBorder="1" applyAlignment="1">
      <alignment horizontal="right"/>
    </xf>
    <xf numFmtId="165" fontId="12" fillId="3" borderId="0" xfId="1" applyNumberFormat="1" applyFont="1" applyFill="1" applyBorder="1" applyAlignment="1">
      <alignment horizontal="right"/>
    </xf>
    <xf numFmtId="183" fontId="45" fillId="3" borderId="0" xfId="4" applyNumberFormat="1" applyFont="1" applyFill="1" applyBorder="1" applyAlignment="1">
      <alignment horizontal="right"/>
    </xf>
    <xf numFmtId="2" fontId="12" fillId="3" borderId="0" xfId="1" applyNumberFormat="1" applyFont="1" applyFill="1" applyBorder="1" applyAlignment="1">
      <alignment horizontal="right"/>
    </xf>
    <xf numFmtId="1" fontId="12" fillId="3" borderId="0" xfId="0" applyNumberFormat="1" applyFont="1" applyFill="1" applyBorder="1" applyAlignment="1">
      <alignment horizontal="right"/>
    </xf>
    <xf numFmtId="2" fontId="12" fillId="3" borderId="0" xfId="0" applyNumberFormat="1" applyFont="1" applyFill="1" applyBorder="1" applyAlignment="1">
      <alignment horizontal="right"/>
    </xf>
    <xf numFmtId="185" fontId="45" fillId="3" borderId="0" xfId="4" applyNumberFormat="1" applyFont="1" applyFill="1" applyBorder="1" applyAlignment="1">
      <alignment horizontal="right"/>
    </xf>
    <xf numFmtId="186" fontId="45" fillId="3" borderId="0" xfId="4" applyNumberFormat="1" applyFont="1" applyFill="1" applyBorder="1" applyAlignment="1">
      <alignment horizontal="right"/>
    </xf>
    <xf numFmtId="185" fontId="45" fillId="3" borderId="0" xfId="0" applyNumberFormat="1" applyFont="1" applyFill="1" applyBorder="1" applyAlignment="1">
      <alignment horizontal="center"/>
    </xf>
    <xf numFmtId="164" fontId="45" fillId="3" borderId="0" xfId="0" applyNumberFormat="1" applyFont="1" applyFill="1" applyBorder="1" applyAlignment="1">
      <alignment horizontal="right"/>
    </xf>
    <xf numFmtId="185" fontId="45" fillId="3" borderId="0" xfId="0" applyNumberFormat="1" applyFont="1" applyFill="1" applyBorder="1" applyAlignment="1">
      <alignment horizontal="right"/>
    </xf>
    <xf numFmtId="181" fontId="45" fillId="3" borderId="0" xfId="0" applyNumberFormat="1" applyFont="1" applyFill="1" applyBorder="1" applyAlignment="1">
      <alignment horizontal="right"/>
    </xf>
    <xf numFmtId="174" fontId="45" fillId="3" borderId="0" xfId="0" applyNumberFormat="1" applyFont="1" applyFill="1" applyBorder="1" applyAlignment="1">
      <alignment horizontal="right"/>
    </xf>
    <xf numFmtId="186" fontId="45" fillId="3" borderId="0" xfId="0" applyNumberFormat="1" applyFont="1" applyFill="1" applyBorder="1" applyAlignment="1">
      <alignment horizontal="right"/>
    </xf>
    <xf numFmtId="183" fontId="45" fillId="3" borderId="0" xfId="0" applyNumberFormat="1" applyFont="1" applyFill="1" applyBorder="1" applyAlignment="1">
      <alignment horizontal="left"/>
    </xf>
    <xf numFmtId="170" fontId="45" fillId="3" borderId="0" xfId="0" applyNumberFormat="1" applyFont="1" applyFill="1" applyBorder="1" applyAlignment="1">
      <alignment horizontal="left"/>
    </xf>
    <xf numFmtId="182" fontId="45" fillId="3" borderId="0" xfId="0" applyNumberFormat="1" applyFont="1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21" xfId="0" applyBorder="1" applyAlignment="1">
      <alignment horizontal="center"/>
    </xf>
    <xf numFmtId="0" fontId="0" fillId="0" borderId="21" xfId="0" applyBorder="1"/>
    <xf numFmtId="0" fontId="63" fillId="6" borderId="21" xfId="0" applyFont="1" applyFill="1" applyBorder="1" applyAlignment="1">
      <alignment horizontal="center" vertical="center" wrapText="1"/>
    </xf>
    <xf numFmtId="184" fontId="16" fillId="3" borderId="0" xfId="2" applyNumberFormat="1" applyFont="1" applyFill="1" applyAlignment="1">
      <alignment horizontal="left"/>
    </xf>
    <xf numFmtId="0" fontId="63" fillId="0" borderId="0" xfId="0" applyFont="1"/>
    <xf numFmtId="0" fontId="63" fillId="0" borderId="21" xfId="0" applyFont="1" applyBorder="1"/>
    <xf numFmtId="0" fontId="1" fillId="0" borderId="21" xfId="0" applyFont="1" applyBorder="1"/>
    <xf numFmtId="0" fontId="33" fillId="5" borderId="0" xfId="8" applyFont="1" applyFill="1"/>
    <xf numFmtId="0" fontId="0" fillId="5" borderId="21" xfId="0" applyFill="1" applyBorder="1" applyAlignment="1">
      <alignment horizontal="center" vertical="center" wrapText="1"/>
    </xf>
    <xf numFmtId="187" fontId="0" fillId="0" borderId="21" xfId="0" applyNumberFormat="1" applyBorder="1"/>
    <xf numFmtId="0" fontId="33" fillId="0" borderId="0" xfId="8" applyFont="1" applyBorder="1" applyAlignment="1">
      <alignment vertical="center"/>
    </xf>
    <xf numFmtId="0" fontId="0" fillId="0" borderId="0" xfId="0" applyFill="1"/>
    <xf numFmtId="187" fontId="0" fillId="0" borderId="0" xfId="0" applyNumberFormat="1" applyFill="1"/>
    <xf numFmtId="0" fontId="1" fillId="0" borderId="0" xfId="0" applyFont="1" applyFill="1"/>
    <xf numFmtId="187" fontId="63" fillId="0" borderId="0" xfId="0" applyNumberFormat="1" applyFont="1"/>
    <xf numFmtId="0" fontId="1" fillId="5" borderId="21" xfId="0" applyFont="1" applyFill="1" applyBorder="1" applyAlignment="1">
      <alignment horizontal="center" vertical="center" wrapText="1"/>
    </xf>
    <xf numFmtId="0" fontId="1" fillId="0" borderId="21" xfId="0" applyFont="1" applyFill="1" applyBorder="1"/>
    <xf numFmtId="0" fontId="0" fillId="0" borderId="21" xfId="0" applyFill="1" applyBorder="1"/>
    <xf numFmtId="0" fontId="63" fillId="0" borderId="21" xfId="0" applyFont="1" applyFill="1" applyBorder="1"/>
    <xf numFmtId="173" fontId="13" fillId="5" borderId="0" xfId="8" applyNumberFormat="1" applyFont="1" applyFill="1" applyBorder="1" applyAlignment="1">
      <alignment vertical="center"/>
    </xf>
    <xf numFmtId="41" fontId="65" fillId="0" borderId="0" xfId="8" applyNumberFormat="1" applyFont="1"/>
    <xf numFmtId="0" fontId="63" fillId="5" borderId="21" xfId="0" applyFont="1" applyFill="1" applyBorder="1" applyAlignment="1">
      <alignment horizontal="center" vertical="center" wrapText="1"/>
    </xf>
    <xf numFmtId="0" fontId="53" fillId="5" borderId="0" xfId="8" applyFont="1" applyFill="1"/>
    <xf numFmtId="41" fontId="0" fillId="0" borderId="0" xfId="0" applyNumberFormat="1"/>
    <xf numFmtId="0" fontId="0" fillId="5" borderId="21" xfId="0" applyFill="1" applyBorder="1"/>
    <xf numFmtId="187" fontId="0" fillId="0" borderId="0" xfId="0" applyNumberFormat="1"/>
    <xf numFmtId="188" fontId="1" fillId="0" borderId="21" xfId="0" applyNumberFormat="1" applyFont="1" applyBorder="1"/>
    <xf numFmtId="170" fontId="45" fillId="3" borderId="0" xfId="4" applyNumberFormat="1" applyFont="1" applyFill="1" applyBorder="1" applyAlignment="1">
      <alignment horizontal="right"/>
    </xf>
    <xf numFmtId="0" fontId="67" fillId="3" borderId="0" xfId="0" applyFont="1" applyFill="1" applyBorder="1"/>
    <xf numFmtId="0" fontId="66" fillId="3" borderId="0" xfId="0" applyFont="1" applyFill="1" applyBorder="1" applyAlignment="1"/>
    <xf numFmtId="0" fontId="28" fillId="3" borderId="0" xfId="0" applyFont="1" applyFill="1" applyBorder="1"/>
    <xf numFmtId="43" fontId="28" fillId="3" borderId="0" xfId="1" applyFont="1" applyFill="1" applyBorder="1"/>
    <xf numFmtId="0" fontId="28" fillId="3" borderId="0" xfId="0" applyFont="1" applyFill="1" applyBorder="1" applyAlignment="1">
      <alignment horizontal="center"/>
    </xf>
    <xf numFmtId="0" fontId="28" fillId="3" borderId="0" xfId="0" applyFont="1" applyFill="1" applyBorder="1" applyAlignment="1"/>
    <xf numFmtId="164" fontId="33" fillId="0" borderId="0" xfId="8" applyNumberFormat="1" applyFont="1" applyAlignment="1">
      <alignment vertical="center"/>
    </xf>
    <xf numFmtId="0" fontId="1" fillId="7" borderId="21" xfId="0" applyFont="1" applyFill="1" applyBorder="1"/>
    <xf numFmtId="0" fontId="64" fillId="0" borderId="130" xfId="8" applyFont="1" applyBorder="1" applyAlignment="1">
      <alignment horizontal="center" vertical="center"/>
    </xf>
    <xf numFmtId="0" fontId="64" fillId="0" borderId="16" xfId="8" applyFont="1" applyBorder="1" applyAlignment="1">
      <alignment horizontal="center" vertical="center"/>
    </xf>
    <xf numFmtId="0" fontId="64" fillId="0" borderId="131" xfId="8" applyFont="1" applyBorder="1" applyAlignment="1">
      <alignment horizontal="center" vertical="center"/>
    </xf>
    <xf numFmtId="0" fontId="33" fillId="0" borderId="0" xfId="8" applyFont="1" applyAlignment="1">
      <alignment horizontal="center"/>
    </xf>
    <xf numFmtId="0" fontId="13" fillId="4" borderId="65" xfId="8" applyFont="1" applyFill="1" applyBorder="1" applyAlignment="1">
      <alignment horizontal="center" vertical="center"/>
    </xf>
    <xf numFmtId="0" fontId="13" fillId="4" borderId="66" xfId="8" applyFont="1" applyFill="1" applyBorder="1" applyAlignment="1">
      <alignment horizontal="center" vertical="center"/>
    </xf>
    <xf numFmtId="0" fontId="13" fillId="4" borderId="60" xfId="8" applyFont="1" applyFill="1" applyBorder="1" applyAlignment="1">
      <alignment horizontal="center" vertical="center"/>
    </xf>
    <xf numFmtId="0" fontId="16" fillId="0" borderId="0" xfId="8" applyFont="1" applyAlignment="1">
      <alignment horizontal="center"/>
    </xf>
    <xf numFmtId="0" fontId="17" fillId="0" borderId="0" xfId="8" applyFont="1" applyAlignment="1">
      <alignment horizontal="center"/>
    </xf>
    <xf numFmtId="0" fontId="16" fillId="4" borderId="59" xfId="8" applyFont="1" applyFill="1" applyBorder="1" applyAlignment="1">
      <alignment horizontal="center" vertical="center" wrapText="1"/>
    </xf>
    <xf numFmtId="0" fontId="16" fillId="0" borderId="59" xfId="8" applyFont="1" applyBorder="1" applyAlignment="1">
      <alignment horizontal="center" vertical="center"/>
    </xf>
    <xf numFmtId="0" fontId="16" fillId="0" borderId="65" xfId="8" applyFont="1" applyBorder="1" applyAlignment="1">
      <alignment horizontal="center" vertical="center"/>
    </xf>
    <xf numFmtId="0" fontId="16" fillId="0" borderId="66" xfId="8" quotePrefix="1" applyFont="1" applyBorder="1" applyAlignment="1">
      <alignment horizontal="center" vertical="center"/>
    </xf>
    <xf numFmtId="0" fontId="16" fillId="0" borderId="60" xfId="8" quotePrefix="1" applyFont="1" applyBorder="1" applyAlignment="1">
      <alignment horizontal="center" vertical="center"/>
    </xf>
    <xf numFmtId="0" fontId="16" fillId="0" borderId="66" xfId="8" applyFont="1" applyBorder="1" applyAlignment="1">
      <alignment horizontal="center" vertical="center"/>
    </xf>
    <xf numFmtId="0" fontId="16" fillId="0" borderId="60" xfId="8" applyFont="1" applyBorder="1" applyAlignment="1">
      <alignment horizontal="center" vertical="center"/>
    </xf>
    <xf numFmtId="0" fontId="13" fillId="0" borderId="0" xfId="8" applyFont="1" applyAlignment="1">
      <alignment horizontal="center"/>
    </xf>
    <xf numFmtId="0" fontId="54" fillId="0" borderId="0" xfId="0" applyFont="1" applyAlignment="1">
      <alignment horizontal="left" vertical="center"/>
    </xf>
    <xf numFmtId="0" fontId="54" fillId="0" borderId="0" xfId="0" applyFont="1" applyAlignment="1">
      <alignment horizontal="left" vertical="top"/>
    </xf>
    <xf numFmtId="0" fontId="16" fillId="0" borderId="0" xfId="8" applyFont="1" applyAlignment="1">
      <alignment horizontal="left" wrapText="1"/>
    </xf>
    <xf numFmtId="0" fontId="54" fillId="3" borderId="7" xfId="0" applyFont="1" applyFill="1" applyBorder="1" applyAlignment="1">
      <alignment horizontal="left"/>
    </xf>
    <xf numFmtId="0" fontId="54" fillId="3" borderId="8" xfId="0" applyFont="1" applyFill="1" applyBorder="1" applyAlignment="1">
      <alignment horizontal="left"/>
    </xf>
    <xf numFmtId="0" fontId="45" fillId="3" borderId="0" xfId="0" applyFont="1" applyFill="1" applyBorder="1" applyAlignment="1">
      <alignment horizontal="left" vertical="center"/>
    </xf>
    <xf numFmtId="0" fontId="45" fillId="3" borderId="5" xfId="0" applyFont="1" applyFill="1" applyBorder="1" applyAlignment="1">
      <alignment horizontal="left" vertical="center"/>
    </xf>
    <xf numFmtId="0" fontId="46" fillId="3" borderId="1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4" xfId="0" applyFont="1" applyFill="1" applyBorder="1" applyAlignment="1">
      <alignment horizontal="center" vertical="center"/>
    </xf>
    <xf numFmtId="0" fontId="46" fillId="3" borderId="0" xfId="0" applyFont="1" applyFill="1" applyBorder="1" applyAlignment="1">
      <alignment horizontal="center" vertical="center"/>
    </xf>
    <xf numFmtId="0" fontId="46" fillId="3" borderId="6" xfId="0" applyFont="1" applyFill="1" applyBorder="1" applyAlignment="1">
      <alignment horizontal="center" vertical="center"/>
    </xf>
    <xf numFmtId="0" fontId="46" fillId="3" borderId="7" xfId="0" applyFont="1" applyFill="1" applyBorder="1" applyAlignment="1">
      <alignment horizontal="center" vertical="center"/>
    </xf>
    <xf numFmtId="0" fontId="45" fillId="3" borderId="0" xfId="0" applyFont="1" applyFill="1" applyBorder="1" applyAlignment="1">
      <alignment horizontal="center"/>
    </xf>
    <xf numFmtId="171" fontId="45" fillId="3" borderId="0" xfId="4" quotePrefix="1" applyNumberFormat="1" applyFont="1" applyFill="1" applyBorder="1" applyAlignment="1">
      <alignment horizontal="center"/>
    </xf>
    <xf numFmtId="2" fontId="48" fillId="3" borderId="0" xfId="0" applyNumberFormat="1" applyFont="1" applyFill="1" applyBorder="1" applyAlignment="1">
      <alignment horizontal="center"/>
    </xf>
    <xf numFmtId="1" fontId="48" fillId="3" borderId="0" xfId="0" applyNumberFormat="1" applyFont="1" applyFill="1" applyBorder="1" applyAlignment="1">
      <alignment horizontal="center"/>
    </xf>
    <xf numFmtId="0" fontId="62" fillId="3" borderId="0" xfId="0" applyFont="1" applyFill="1" applyBorder="1" applyAlignment="1">
      <alignment horizontal="center"/>
    </xf>
    <xf numFmtId="0" fontId="46" fillId="3" borderId="4" xfId="0" applyFont="1" applyFill="1" applyBorder="1" applyAlignment="1">
      <alignment horizontal="left"/>
    </xf>
    <xf numFmtId="0" fontId="46" fillId="3" borderId="0" xfId="0" applyFont="1" applyFill="1" applyBorder="1" applyAlignment="1">
      <alignment horizontal="left"/>
    </xf>
    <xf numFmtId="0" fontId="47" fillId="3" borderId="1" xfId="0" applyFont="1" applyFill="1" applyBorder="1" applyAlignment="1">
      <alignment horizontal="center"/>
    </xf>
    <xf numFmtId="0" fontId="47" fillId="3" borderId="2" xfId="0" applyFont="1" applyFill="1" applyBorder="1" applyAlignment="1">
      <alignment horizontal="center"/>
    </xf>
    <xf numFmtId="0" fontId="47" fillId="3" borderId="0" xfId="0" applyFont="1" applyFill="1" applyBorder="1" applyAlignment="1">
      <alignment horizontal="left"/>
    </xf>
    <xf numFmtId="0" fontId="47" fillId="3" borderId="6" xfId="0" applyFont="1" applyFill="1" applyBorder="1" applyAlignment="1">
      <alignment horizontal="center"/>
    </xf>
    <xf numFmtId="0" fontId="47" fillId="3" borderId="7" xfId="0" applyFont="1" applyFill="1" applyBorder="1" applyAlignment="1">
      <alignment horizontal="center"/>
    </xf>
    <xf numFmtId="0" fontId="47" fillId="3" borderId="8" xfId="0" applyFont="1" applyFill="1" applyBorder="1" applyAlignment="1">
      <alignment horizontal="center"/>
    </xf>
    <xf numFmtId="0" fontId="45" fillId="3" borderId="4" xfId="0" applyFont="1" applyFill="1" applyBorder="1" applyAlignment="1">
      <alignment horizontal="center"/>
    </xf>
    <xf numFmtId="0" fontId="45" fillId="3" borderId="5" xfId="0" applyFont="1" applyFill="1" applyBorder="1" applyAlignment="1">
      <alignment horizontal="center"/>
    </xf>
    <xf numFmtId="0" fontId="45" fillId="3" borderId="1" xfId="0" applyFont="1" applyFill="1" applyBorder="1" applyAlignment="1">
      <alignment horizontal="center"/>
    </xf>
    <xf numFmtId="0" fontId="45" fillId="3" borderId="2" xfId="0" applyFont="1" applyFill="1" applyBorder="1" applyAlignment="1">
      <alignment horizontal="center"/>
    </xf>
    <xf numFmtId="0" fontId="45" fillId="3" borderId="3" xfId="0" applyFont="1" applyFill="1" applyBorder="1" applyAlignment="1">
      <alignment horizontal="center"/>
    </xf>
    <xf numFmtId="0" fontId="16" fillId="3" borderId="0" xfId="0" applyFont="1" applyFill="1" applyBorder="1" applyAlignment="1">
      <alignment horizontal="center"/>
    </xf>
    <xf numFmtId="0" fontId="17" fillId="3" borderId="0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left"/>
    </xf>
    <xf numFmtId="0" fontId="14" fillId="3" borderId="17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  <xf numFmtId="0" fontId="14" fillId="3" borderId="6" xfId="0" applyFont="1" applyFill="1" applyBorder="1" applyAlignment="1">
      <alignment horizontal="center" vertical="center" wrapText="1"/>
    </xf>
    <xf numFmtId="0" fontId="14" fillId="3" borderId="8" xfId="0" applyFont="1" applyFill="1" applyBorder="1" applyAlignment="1">
      <alignment horizontal="center" vertical="center" wrapText="1"/>
    </xf>
    <xf numFmtId="0" fontId="14" fillId="3" borderId="65" xfId="0" applyFont="1" applyFill="1" applyBorder="1" applyAlignment="1">
      <alignment horizontal="center" vertical="center"/>
    </xf>
    <xf numFmtId="0" fontId="14" fillId="3" borderId="6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/>
    </xf>
    <xf numFmtId="164" fontId="13" fillId="3" borderId="67" xfId="1" applyNumberFormat="1" applyFont="1" applyFill="1" applyBorder="1" applyAlignment="1">
      <alignment horizontal="center" vertical="center" wrapText="1"/>
    </xf>
    <xf numFmtId="164" fontId="13" fillId="3" borderId="68" xfId="1" applyNumberFormat="1" applyFont="1" applyFill="1" applyBorder="1" applyAlignment="1">
      <alignment horizontal="center" vertical="center" wrapText="1"/>
    </xf>
    <xf numFmtId="164" fontId="13" fillId="3" borderId="69" xfId="1" applyNumberFormat="1" applyFont="1" applyFill="1" applyBorder="1" applyAlignment="1">
      <alignment horizontal="center" vertical="center" wrapText="1"/>
    </xf>
    <xf numFmtId="164" fontId="13" fillId="3" borderId="16" xfId="1" applyNumberFormat="1" applyFont="1" applyFill="1" applyBorder="1" applyAlignment="1">
      <alignment horizontal="center" vertical="center" wrapText="1"/>
    </xf>
    <xf numFmtId="164" fontId="13" fillId="3" borderId="70" xfId="1" applyNumberFormat="1" applyFont="1" applyFill="1" applyBorder="1" applyAlignment="1">
      <alignment horizontal="center" vertical="center" wrapText="1"/>
    </xf>
    <xf numFmtId="164" fontId="13" fillId="3" borderId="71" xfId="1" applyNumberFormat="1" applyFont="1" applyFill="1" applyBorder="1" applyAlignment="1">
      <alignment horizontal="center" vertical="center" wrapText="1"/>
    </xf>
    <xf numFmtId="164" fontId="13" fillId="3" borderId="68" xfId="1" applyNumberFormat="1" applyFont="1" applyFill="1" applyBorder="1" applyAlignment="1">
      <alignment horizontal="right" vertical="center"/>
    </xf>
    <xf numFmtId="164" fontId="13" fillId="3" borderId="22" xfId="1" applyNumberFormat="1" applyFont="1" applyFill="1" applyBorder="1" applyAlignment="1">
      <alignment horizontal="right" vertical="center"/>
    </xf>
    <xf numFmtId="164" fontId="13" fillId="3" borderId="23" xfId="1" applyNumberFormat="1" applyFont="1" applyFill="1" applyBorder="1" applyAlignment="1">
      <alignment horizontal="right" vertical="center"/>
    </xf>
    <xf numFmtId="164" fontId="13" fillId="3" borderId="24" xfId="1" applyNumberFormat="1" applyFont="1" applyFill="1" applyBorder="1" applyAlignment="1">
      <alignment horizontal="right" vertical="center"/>
    </xf>
    <xf numFmtId="164" fontId="13" fillId="3" borderId="71" xfId="1" applyNumberFormat="1" applyFont="1" applyFill="1" applyBorder="1" applyAlignment="1">
      <alignment horizontal="right" vertical="center"/>
    </xf>
    <xf numFmtId="0" fontId="16" fillId="3" borderId="0" xfId="0" applyFont="1" applyFill="1" applyAlignment="1">
      <alignment horizontal="center"/>
    </xf>
    <xf numFmtId="41" fontId="16" fillId="3" borderId="92" xfId="2" applyFont="1" applyFill="1" applyBorder="1" applyAlignment="1">
      <alignment horizontal="center" vertical="center"/>
    </xf>
    <xf numFmtId="41" fontId="16" fillId="3" borderId="93" xfId="2" applyFont="1" applyFill="1" applyBorder="1" applyAlignment="1">
      <alignment horizontal="center" vertical="center"/>
    </xf>
    <xf numFmtId="3" fontId="13" fillId="3" borderId="46" xfId="0" applyNumberFormat="1" applyFont="1" applyFill="1" applyBorder="1" applyAlignment="1">
      <alignment horizontal="right" vertical="center"/>
    </xf>
    <xf numFmtId="3" fontId="13" fillId="3" borderId="47" xfId="0" applyNumberFormat="1" applyFont="1" applyFill="1" applyBorder="1" applyAlignment="1">
      <alignment horizontal="right" vertical="center"/>
    </xf>
    <xf numFmtId="3" fontId="13" fillId="3" borderId="20" xfId="0" applyNumberFormat="1" applyFont="1" applyFill="1" applyBorder="1" applyAlignment="1">
      <alignment horizontal="right" vertical="center"/>
    </xf>
    <xf numFmtId="41" fontId="13" fillId="3" borderId="19" xfId="2" applyFont="1" applyFill="1" applyBorder="1" applyAlignment="1">
      <alignment horizontal="center" vertical="center"/>
    </xf>
    <xf numFmtId="41" fontId="13" fillId="3" borderId="20" xfId="2" applyFont="1" applyFill="1" applyBorder="1" applyAlignment="1">
      <alignment horizontal="center" vertical="center"/>
    </xf>
    <xf numFmtId="0" fontId="16" fillId="3" borderId="46" xfId="0" applyFont="1" applyFill="1" applyBorder="1" applyAlignment="1">
      <alignment horizontal="center"/>
    </xf>
    <xf numFmtId="0" fontId="16" fillId="3" borderId="47" xfId="0" applyFont="1" applyFill="1" applyBorder="1" applyAlignment="1">
      <alignment horizontal="center"/>
    </xf>
    <xf numFmtId="0" fontId="16" fillId="3" borderId="41" xfId="0" applyFont="1" applyFill="1" applyBorder="1" applyAlignment="1">
      <alignment horizontal="center"/>
    </xf>
    <xf numFmtId="3" fontId="16" fillId="3" borderId="46" xfId="0" applyNumberFormat="1" applyFont="1" applyFill="1" applyBorder="1" applyAlignment="1">
      <alignment horizontal="right" vertical="center"/>
    </xf>
    <xf numFmtId="3" fontId="16" fillId="3" borderId="47" xfId="0" applyNumberFormat="1" applyFont="1" applyFill="1" applyBorder="1" applyAlignment="1">
      <alignment horizontal="right" vertical="center"/>
    </xf>
    <xf numFmtId="3" fontId="16" fillId="3" borderId="20" xfId="0" applyNumberFormat="1" applyFont="1" applyFill="1" applyBorder="1" applyAlignment="1">
      <alignment horizontal="right" vertical="center"/>
    </xf>
    <xf numFmtId="3" fontId="13" fillId="3" borderId="19" xfId="0" applyNumberFormat="1" applyFont="1" applyFill="1" applyBorder="1" applyAlignment="1">
      <alignment horizontal="center" vertical="center"/>
    </xf>
    <xf numFmtId="3" fontId="13" fillId="3" borderId="47" xfId="0" applyNumberFormat="1" applyFont="1" applyFill="1" applyBorder="1" applyAlignment="1">
      <alignment horizontal="center" vertical="center"/>
    </xf>
    <xf numFmtId="3" fontId="13" fillId="3" borderId="41" xfId="0" applyNumberFormat="1" applyFont="1" applyFill="1" applyBorder="1" applyAlignment="1">
      <alignment horizontal="center" vertical="center"/>
    </xf>
    <xf numFmtId="41" fontId="16" fillId="3" borderId="90" xfId="2" applyFont="1" applyFill="1" applyBorder="1" applyAlignment="1">
      <alignment horizontal="center" vertical="center"/>
    </xf>
    <xf numFmtId="41" fontId="16" fillId="3" borderId="91" xfId="2" applyFont="1" applyFill="1" applyBorder="1" applyAlignment="1">
      <alignment horizontal="center" vertical="center"/>
    </xf>
    <xf numFmtId="41" fontId="16" fillId="3" borderId="94" xfId="2" applyFont="1" applyFill="1" applyBorder="1" applyAlignment="1">
      <alignment horizontal="center" vertical="center"/>
    </xf>
    <xf numFmtId="41" fontId="16" fillId="3" borderId="95" xfId="2" applyFont="1" applyFill="1" applyBorder="1" applyAlignment="1">
      <alignment horizontal="center" vertical="center"/>
    </xf>
    <xf numFmtId="3" fontId="13" fillId="3" borderId="52" xfId="0" applyNumberFormat="1" applyFont="1" applyFill="1" applyBorder="1" applyAlignment="1">
      <alignment horizontal="right" vertical="center"/>
    </xf>
    <xf numFmtId="3" fontId="13" fillId="3" borderId="45" xfId="0" applyNumberFormat="1" applyFont="1" applyFill="1" applyBorder="1" applyAlignment="1">
      <alignment horizontal="right" vertical="center"/>
    </xf>
    <xf numFmtId="41" fontId="16" fillId="3" borderId="19" xfId="2" applyFont="1" applyFill="1" applyBorder="1" applyAlignment="1">
      <alignment horizontal="center" vertical="center"/>
    </xf>
    <xf numFmtId="41" fontId="16" fillId="3" borderId="20" xfId="2" applyFont="1" applyFill="1" applyBorder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0" fillId="3" borderId="76" xfId="0" applyFont="1" applyFill="1" applyBorder="1" applyAlignment="1">
      <alignment horizontal="center" vertical="center"/>
    </xf>
    <xf numFmtId="0" fontId="16" fillId="3" borderId="73" xfId="0" applyFont="1" applyFill="1" applyBorder="1" applyAlignment="1">
      <alignment horizontal="center" vertical="center"/>
    </xf>
    <xf numFmtId="0" fontId="16" fillId="3" borderId="69" xfId="0" applyFont="1" applyFill="1" applyBorder="1" applyAlignment="1">
      <alignment horizontal="center" vertical="center"/>
    </xf>
    <xf numFmtId="0" fontId="16" fillId="3" borderId="74" xfId="0" applyFont="1" applyFill="1" applyBorder="1" applyAlignment="1">
      <alignment horizontal="center" vertical="center"/>
    </xf>
    <xf numFmtId="0" fontId="13" fillId="3" borderId="68" xfId="0" applyFont="1" applyFill="1" applyBorder="1" applyAlignment="1">
      <alignment horizontal="center" vertical="center" wrapText="1"/>
    </xf>
    <xf numFmtId="0" fontId="13" fillId="3" borderId="21" xfId="0" applyFont="1" applyFill="1" applyBorder="1" applyAlignment="1">
      <alignment horizontal="center" vertical="center" wrapText="1"/>
    </xf>
    <xf numFmtId="0" fontId="13" fillId="3" borderId="71" xfId="0" applyFont="1" applyFill="1" applyBorder="1" applyAlignment="1">
      <alignment horizontal="center" vertical="center" wrapText="1"/>
    </xf>
    <xf numFmtId="0" fontId="13" fillId="3" borderId="68" xfId="0" applyFont="1" applyFill="1" applyBorder="1" applyAlignment="1">
      <alignment horizontal="center" vertical="center"/>
    </xf>
    <xf numFmtId="0" fontId="13" fillId="3" borderId="87" xfId="0" applyFont="1" applyFill="1" applyBorder="1" applyAlignment="1">
      <alignment horizontal="center" vertical="center" wrapText="1"/>
    </xf>
    <xf numFmtId="0" fontId="13" fillId="3" borderId="89" xfId="0" applyFont="1" applyFill="1" applyBorder="1" applyAlignment="1">
      <alignment horizontal="center" vertical="center" wrapText="1"/>
    </xf>
    <xf numFmtId="0" fontId="13" fillId="3" borderId="88" xfId="0" applyFont="1" applyFill="1" applyBorder="1" applyAlignment="1">
      <alignment horizontal="center" vertical="center" wrapText="1"/>
    </xf>
    <xf numFmtId="41" fontId="13" fillId="3" borderId="25" xfId="2" applyFont="1" applyFill="1" applyBorder="1" applyAlignment="1">
      <alignment horizontal="center" vertical="center" wrapText="1"/>
    </xf>
    <xf numFmtId="41" fontId="13" fillId="3" borderId="27" xfId="2" applyFont="1" applyFill="1" applyBorder="1" applyAlignment="1">
      <alignment horizontal="center" vertical="center" wrapText="1"/>
    </xf>
    <xf numFmtId="41" fontId="13" fillId="3" borderId="81" xfId="2" applyFont="1" applyFill="1" applyBorder="1" applyAlignment="1">
      <alignment horizontal="center" vertical="center" wrapText="1"/>
    </xf>
    <xf numFmtId="41" fontId="13" fillId="3" borderId="82" xfId="2" applyFont="1" applyFill="1" applyBorder="1" applyAlignment="1">
      <alignment horizontal="center" vertical="center" wrapText="1"/>
    </xf>
    <xf numFmtId="41" fontId="13" fillId="3" borderId="72" xfId="2" applyFont="1" applyFill="1" applyBorder="1" applyAlignment="1">
      <alignment horizontal="center" vertical="center" wrapText="1"/>
    </xf>
    <xf numFmtId="41" fontId="13" fillId="3" borderId="49" xfId="2" applyFont="1" applyFill="1" applyBorder="1" applyAlignment="1">
      <alignment horizontal="center" vertical="center" wrapText="1"/>
    </xf>
    <xf numFmtId="164" fontId="16" fillId="3" borderId="45" xfId="1" applyNumberFormat="1" applyFont="1" applyFill="1" applyBorder="1" applyAlignment="1">
      <alignment horizontal="right" vertical="center"/>
    </xf>
    <xf numFmtId="0" fontId="20" fillId="3" borderId="7" xfId="0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/>
    </xf>
    <xf numFmtId="0" fontId="7" fillId="2" borderId="4" xfId="0" applyFont="1" applyFill="1" applyBorder="1" applyAlignment="1">
      <alignment horizontal="left"/>
    </xf>
    <xf numFmtId="0" fontId="7" fillId="2" borderId="0" xfId="0" applyFont="1" applyFill="1" applyBorder="1" applyAlignment="1">
      <alignment horizontal="left"/>
    </xf>
    <xf numFmtId="0" fontId="7" fillId="2" borderId="5" xfId="0" applyFont="1" applyFill="1" applyBorder="1" applyAlignment="1">
      <alignment horizontal="left"/>
    </xf>
    <xf numFmtId="0" fontId="12" fillId="3" borderId="0" xfId="0" applyFont="1" applyFill="1" applyAlignment="1">
      <alignment horizontal="center"/>
    </xf>
    <xf numFmtId="0" fontId="7" fillId="2" borderId="45" xfId="0" applyFont="1" applyFill="1" applyBorder="1" applyAlignment="1">
      <alignment horizontal="right"/>
    </xf>
    <xf numFmtId="0" fontId="12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/>
    </xf>
    <xf numFmtId="0" fontId="7" fillId="2" borderId="61" xfId="0" applyFont="1" applyFill="1" applyBorder="1" applyAlignment="1">
      <alignment horizontal="center" vertical="center" wrapText="1"/>
    </xf>
    <xf numFmtId="0" fontId="7" fillId="2" borderId="83" xfId="0" applyFont="1" applyFill="1" applyBorder="1" applyAlignment="1">
      <alignment horizontal="center" vertical="center" wrapText="1"/>
    </xf>
    <xf numFmtId="0" fontId="7" fillId="2" borderId="53" xfId="0" applyFont="1" applyFill="1" applyBorder="1" applyAlignment="1">
      <alignment horizontal="center" vertical="center"/>
    </xf>
    <xf numFmtId="0" fontId="7" fillId="0" borderId="63" xfId="0" applyFont="1" applyBorder="1" applyAlignment="1">
      <alignment horizontal="center" vertical="center"/>
    </xf>
    <xf numFmtId="0" fontId="7" fillId="0" borderId="81" xfId="0" applyFont="1" applyBorder="1" applyAlignment="1">
      <alignment horizontal="center" vertical="center"/>
    </xf>
    <xf numFmtId="0" fontId="7" fillId="0" borderId="82" xfId="0" applyFont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7" fillId="2" borderId="84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right"/>
    </xf>
    <xf numFmtId="0" fontId="7" fillId="2" borderId="53" xfId="0" applyFont="1" applyFill="1" applyBorder="1" applyAlignment="1">
      <alignment horizontal="center" vertical="center" wrapText="1"/>
    </xf>
    <xf numFmtId="0" fontId="7" fillId="2" borderId="63" xfId="0" applyFont="1" applyFill="1" applyBorder="1" applyAlignment="1">
      <alignment horizontal="center" vertical="center" wrapText="1"/>
    </xf>
    <xf numFmtId="0" fontId="7" fillId="2" borderId="81" xfId="0" applyFont="1" applyFill="1" applyBorder="1" applyAlignment="1">
      <alignment horizontal="center" vertical="center" wrapText="1"/>
    </xf>
    <xf numFmtId="0" fontId="7" fillId="2" borderId="82" xfId="0" applyFont="1" applyFill="1" applyBorder="1" applyAlignment="1">
      <alignment horizontal="center" vertical="center" wrapText="1"/>
    </xf>
    <xf numFmtId="164" fontId="56" fillId="3" borderId="0" xfId="0" applyNumberFormat="1" applyFont="1" applyFill="1" applyAlignment="1">
      <alignment horizontal="center" vertical="center"/>
    </xf>
    <xf numFmtId="0" fontId="11" fillId="3" borderId="0" xfId="0" applyFont="1" applyFill="1" applyAlignment="1">
      <alignment horizontal="center"/>
    </xf>
    <xf numFmtId="0" fontId="11" fillId="3" borderId="75" xfId="0" applyFont="1" applyFill="1" applyBorder="1" applyAlignment="1">
      <alignment horizontal="center"/>
    </xf>
    <xf numFmtId="0" fontId="14" fillId="3" borderId="0" xfId="0" applyFont="1" applyFill="1" applyAlignment="1">
      <alignment horizontal="center"/>
    </xf>
    <xf numFmtId="0" fontId="14" fillId="3" borderId="72" xfId="0" applyFont="1" applyFill="1" applyBorder="1" applyAlignment="1">
      <alignment horizontal="center" vertical="center" wrapText="1"/>
    </xf>
    <xf numFmtId="0" fontId="14" fillId="3" borderId="49" xfId="0" applyFont="1" applyFill="1" applyBorder="1" applyAlignment="1">
      <alignment horizontal="center" vertical="center" wrapText="1"/>
    </xf>
    <xf numFmtId="0" fontId="14" fillId="3" borderId="21" xfId="0" applyFont="1" applyFill="1" applyBorder="1" applyAlignment="1">
      <alignment horizontal="center" vertical="center" wrapText="1"/>
    </xf>
    <xf numFmtId="0" fontId="14" fillId="3" borderId="71" xfId="0" applyFont="1" applyFill="1" applyBorder="1" applyAlignment="1">
      <alignment horizontal="center" vertical="center" wrapText="1"/>
    </xf>
    <xf numFmtId="0" fontId="14" fillId="3" borderId="68" xfId="0" applyFont="1" applyFill="1" applyBorder="1" applyAlignment="1">
      <alignment horizontal="center" vertical="center" wrapText="1"/>
    </xf>
    <xf numFmtId="0" fontId="14" fillId="3" borderId="68" xfId="0" applyFont="1" applyFill="1" applyBorder="1" applyAlignment="1">
      <alignment horizontal="center" vertical="center"/>
    </xf>
    <xf numFmtId="9" fontId="58" fillId="5" borderId="129" xfId="5" applyFont="1" applyFill="1" applyBorder="1" applyAlignment="1">
      <alignment horizontal="center" vertical="center"/>
    </xf>
    <xf numFmtId="164" fontId="14" fillId="3" borderId="67" xfId="1" applyNumberFormat="1" applyFont="1" applyFill="1" applyBorder="1" applyAlignment="1">
      <alignment horizontal="center" vertical="center" wrapText="1"/>
    </xf>
    <xf numFmtId="164" fontId="14" fillId="3" borderId="68" xfId="1" applyNumberFormat="1" applyFont="1" applyFill="1" applyBorder="1" applyAlignment="1">
      <alignment horizontal="center" vertical="center" wrapText="1"/>
    </xf>
    <xf numFmtId="164" fontId="14" fillId="3" borderId="69" xfId="1" applyNumberFormat="1" applyFont="1" applyFill="1" applyBorder="1" applyAlignment="1">
      <alignment horizontal="center" vertical="center" wrapText="1"/>
    </xf>
    <xf numFmtId="164" fontId="14" fillId="3" borderId="16" xfId="1" applyNumberFormat="1" applyFont="1" applyFill="1" applyBorder="1" applyAlignment="1">
      <alignment horizontal="center" vertical="center" wrapText="1"/>
    </xf>
    <xf numFmtId="164" fontId="14" fillId="3" borderId="70" xfId="1" applyNumberFormat="1" applyFont="1" applyFill="1" applyBorder="1" applyAlignment="1">
      <alignment horizontal="center" vertical="center" wrapText="1"/>
    </xf>
    <xf numFmtId="164" fontId="14" fillId="3" borderId="71" xfId="1" applyNumberFormat="1" applyFont="1" applyFill="1" applyBorder="1" applyAlignment="1">
      <alignment horizontal="center" vertical="center" wrapText="1"/>
    </xf>
    <xf numFmtId="164" fontId="14" fillId="3" borderId="68" xfId="1" applyNumberFormat="1" applyFont="1" applyFill="1" applyBorder="1" applyAlignment="1">
      <alignment horizontal="right" vertical="center"/>
    </xf>
    <xf numFmtId="164" fontId="14" fillId="3" borderId="22" xfId="1" applyNumberFormat="1" applyFont="1" applyFill="1" applyBorder="1" applyAlignment="1">
      <alignment horizontal="right" vertical="center"/>
    </xf>
    <xf numFmtId="164" fontId="14" fillId="3" borderId="23" xfId="1" applyNumberFormat="1" applyFont="1" applyFill="1" applyBorder="1" applyAlignment="1">
      <alignment horizontal="right" vertical="center"/>
    </xf>
    <xf numFmtId="164" fontId="14" fillId="3" borderId="24" xfId="1" applyNumberFormat="1" applyFont="1" applyFill="1" applyBorder="1" applyAlignment="1">
      <alignment horizontal="right" vertical="center"/>
    </xf>
    <xf numFmtId="164" fontId="14" fillId="3" borderId="71" xfId="1" applyNumberFormat="1" applyFont="1" applyFill="1" applyBorder="1" applyAlignment="1">
      <alignment horizontal="right" vertical="center"/>
    </xf>
    <xf numFmtId="164" fontId="14" fillId="3" borderId="45" xfId="1" applyNumberFormat="1" applyFont="1" applyFill="1" applyBorder="1" applyAlignment="1">
      <alignment horizontal="center" vertical="center"/>
    </xf>
    <xf numFmtId="164" fontId="14" fillId="3" borderId="38" xfId="1" applyNumberFormat="1" applyFont="1" applyFill="1" applyBorder="1" applyAlignment="1">
      <alignment horizontal="center" vertical="center"/>
    </xf>
    <xf numFmtId="164" fontId="14" fillId="3" borderId="46" xfId="1" applyNumberFormat="1" applyFont="1" applyFill="1" applyBorder="1" applyAlignment="1">
      <alignment horizontal="right" vertical="center"/>
    </xf>
    <xf numFmtId="164" fontId="14" fillId="3" borderId="47" xfId="1" applyNumberFormat="1" applyFont="1" applyFill="1" applyBorder="1" applyAlignment="1">
      <alignment horizontal="right" vertical="center"/>
    </xf>
    <xf numFmtId="164" fontId="14" fillId="3" borderId="20" xfId="1" applyNumberFormat="1" applyFont="1" applyFill="1" applyBorder="1" applyAlignment="1">
      <alignment horizontal="right" vertical="center"/>
    </xf>
    <xf numFmtId="0" fontId="14" fillId="3" borderId="48" xfId="0" applyFont="1" applyFill="1" applyBorder="1" applyAlignment="1">
      <alignment horizontal="center" vertical="center" wrapText="1"/>
    </xf>
    <xf numFmtId="0" fontId="14" fillId="3" borderId="67" xfId="0" applyFont="1" applyFill="1" applyBorder="1" applyAlignment="1">
      <alignment horizontal="center" vertical="center"/>
    </xf>
    <xf numFmtId="0" fontId="14" fillId="3" borderId="77" xfId="0" applyFont="1" applyFill="1" applyBorder="1" applyAlignment="1">
      <alignment horizontal="center" vertical="center"/>
    </xf>
    <xf numFmtId="0" fontId="14" fillId="3" borderId="70" xfId="0" applyFont="1" applyFill="1" applyBorder="1" applyAlignment="1">
      <alignment horizontal="center" vertical="center"/>
    </xf>
    <xf numFmtId="164" fontId="14" fillId="3" borderId="78" xfId="1" applyNumberFormat="1" applyFont="1" applyFill="1" applyBorder="1" applyAlignment="1">
      <alignment horizontal="right" vertical="center"/>
    </xf>
    <xf numFmtId="164" fontId="14" fillId="3" borderId="79" xfId="1" applyNumberFormat="1" applyFont="1" applyFill="1" applyBorder="1" applyAlignment="1">
      <alignment horizontal="right" vertical="center"/>
    </xf>
    <xf numFmtId="164" fontId="14" fillId="3" borderId="80" xfId="1" applyNumberFormat="1" applyFont="1" applyFill="1" applyBorder="1" applyAlignment="1">
      <alignment horizontal="right" vertical="center"/>
    </xf>
    <xf numFmtId="0" fontId="9" fillId="3" borderId="0" xfId="0" applyFont="1" applyFill="1" applyAlignment="1">
      <alignment horizontal="center" vertical="center"/>
    </xf>
    <xf numFmtId="0" fontId="36" fillId="3" borderId="0" xfId="0" applyFont="1" applyFill="1" applyAlignment="1">
      <alignment horizontal="center"/>
    </xf>
    <xf numFmtId="0" fontId="30" fillId="3" borderId="79" xfId="8" applyFont="1" applyFill="1" applyBorder="1" applyAlignment="1">
      <alignment horizontal="center" vertical="center"/>
    </xf>
    <xf numFmtId="0" fontId="30" fillId="3" borderId="0" xfId="8" applyFont="1" applyFill="1" applyBorder="1" applyAlignment="1">
      <alignment horizontal="center" vertical="center"/>
    </xf>
    <xf numFmtId="0" fontId="32" fillId="3" borderId="59" xfId="8" applyFont="1" applyFill="1" applyBorder="1" applyAlignment="1">
      <alignment horizontal="center" vertical="center"/>
    </xf>
    <xf numFmtId="0" fontId="32" fillId="3" borderId="65" xfId="8" applyFont="1" applyFill="1" applyBorder="1" applyAlignment="1">
      <alignment horizontal="center" vertical="center"/>
    </xf>
    <xf numFmtId="0" fontId="32" fillId="3" borderId="66" xfId="8" applyFont="1" applyFill="1" applyBorder="1" applyAlignment="1">
      <alignment horizontal="center" vertical="center"/>
    </xf>
    <xf numFmtId="0" fontId="32" fillId="3" borderId="59" xfId="8" applyFont="1" applyFill="1" applyBorder="1" applyAlignment="1">
      <alignment horizontal="center" vertical="center" wrapText="1"/>
    </xf>
    <xf numFmtId="0" fontId="31" fillId="3" borderId="0" xfId="9" applyFont="1" applyFill="1" applyAlignment="1">
      <alignment horizontal="left"/>
    </xf>
    <xf numFmtId="0" fontId="31" fillId="3" borderId="0" xfId="9" applyFont="1" applyFill="1" applyAlignment="1">
      <alignment horizontal="left" vertical="top"/>
    </xf>
    <xf numFmtId="0" fontId="31" fillId="3" borderId="0" xfId="8" applyFont="1" applyFill="1" applyAlignment="1">
      <alignment horizontal="left" vertical="top" wrapText="1"/>
    </xf>
    <xf numFmtId="0" fontId="32" fillId="3" borderId="0" xfId="8" applyFont="1" applyFill="1" applyAlignment="1">
      <alignment horizontal="center"/>
    </xf>
    <xf numFmtId="0" fontId="31" fillId="3" borderId="0" xfId="8" applyFont="1" applyFill="1" applyAlignment="1">
      <alignment horizontal="center"/>
    </xf>
    <xf numFmtId="0" fontId="36" fillId="3" borderId="0" xfId="0" applyFont="1" applyFill="1" applyBorder="1" applyAlignment="1">
      <alignment horizontal="center"/>
    </xf>
    <xf numFmtId="41" fontId="32" fillId="3" borderId="65" xfId="8" applyNumberFormat="1" applyFont="1" applyFill="1" applyBorder="1" applyAlignment="1">
      <alignment horizontal="center"/>
    </xf>
    <xf numFmtId="0" fontId="32" fillId="3" borderId="66" xfId="8" applyFont="1" applyFill="1" applyBorder="1" applyAlignment="1">
      <alignment horizontal="center"/>
    </xf>
    <xf numFmtId="0" fontId="24" fillId="3" borderId="0" xfId="0" applyFont="1" applyFill="1" applyBorder="1" applyAlignment="1">
      <alignment horizontal="center"/>
    </xf>
    <xf numFmtId="176" fontId="66" fillId="3" borderId="0" xfId="0" applyNumberFormat="1" applyFont="1" applyFill="1" applyBorder="1" applyAlignment="1">
      <alignment horizontal="center"/>
    </xf>
    <xf numFmtId="2" fontId="24" fillId="3" borderId="0" xfId="2" applyNumberFormat="1" applyFont="1" applyFill="1" applyBorder="1" applyAlignment="1">
      <alignment horizontal="center" vertical="center" textRotation="90"/>
    </xf>
    <xf numFmtId="0" fontId="24" fillId="3" borderId="0" xfId="0" applyFont="1" applyFill="1" applyBorder="1" applyAlignment="1">
      <alignment horizontal="center" vertical="center" textRotation="90"/>
    </xf>
    <xf numFmtId="0" fontId="66" fillId="3" borderId="0" xfId="0" applyFont="1" applyFill="1" applyBorder="1" applyAlignment="1">
      <alignment horizontal="right"/>
    </xf>
    <xf numFmtId="0" fontId="24" fillId="3" borderId="0" xfId="0" applyFont="1" applyFill="1" applyBorder="1" applyAlignment="1">
      <alignment horizontal="right" vertical="center"/>
    </xf>
    <xf numFmtId="0" fontId="27" fillId="3" borderId="0" xfId="0" applyFont="1" applyFill="1" applyBorder="1" applyAlignment="1">
      <alignment horizontal="center" vertical="center"/>
    </xf>
    <xf numFmtId="2" fontId="24" fillId="3" borderId="0" xfId="0" applyNumberFormat="1" applyFont="1" applyFill="1" applyBorder="1" applyAlignment="1">
      <alignment horizontal="center"/>
    </xf>
    <xf numFmtId="0" fontId="24" fillId="3" borderId="22" xfId="0" applyFont="1" applyFill="1" applyBorder="1" applyAlignment="1">
      <alignment horizontal="left"/>
    </xf>
    <xf numFmtId="0" fontId="24" fillId="3" borderId="23" xfId="0" applyFont="1" applyFill="1" applyBorder="1" applyAlignment="1">
      <alignment horizontal="left"/>
    </xf>
    <xf numFmtId="0" fontId="24" fillId="3" borderId="30" xfId="0" applyFont="1" applyFill="1" applyBorder="1" applyAlignment="1">
      <alignment horizontal="left"/>
    </xf>
    <xf numFmtId="0" fontId="24" fillId="3" borderId="28" xfId="0" applyFont="1" applyFill="1" applyBorder="1" applyAlignment="1">
      <alignment horizontal="center"/>
    </xf>
    <xf numFmtId="0" fontId="24" fillId="3" borderId="29" xfId="0" applyFont="1" applyFill="1" applyBorder="1" applyAlignment="1">
      <alignment horizontal="center"/>
    </xf>
    <xf numFmtId="0" fontId="24" fillId="3" borderId="86" xfId="0" applyFont="1" applyFill="1" applyBorder="1" applyAlignment="1">
      <alignment horizontal="center"/>
    </xf>
    <xf numFmtId="0" fontId="24" fillId="3" borderId="17" xfId="0" applyFont="1" applyFill="1" applyBorder="1" applyAlignment="1">
      <alignment horizontal="center" vertical="center"/>
    </xf>
    <xf numFmtId="0" fontId="24" fillId="3" borderId="0" xfId="0" applyFont="1" applyFill="1" applyBorder="1" applyAlignment="1">
      <alignment horizontal="center" vertical="center"/>
    </xf>
    <xf numFmtId="0" fontId="24" fillId="3" borderId="5" xfId="0" applyFont="1" applyFill="1" applyBorder="1" applyAlignment="1">
      <alignment horizontal="center" vertical="center"/>
    </xf>
    <xf numFmtId="0" fontId="24" fillId="3" borderId="28" xfId="0" applyFont="1" applyFill="1" applyBorder="1" applyAlignment="1">
      <alignment horizontal="center" vertical="center"/>
    </xf>
    <xf numFmtId="0" fontId="24" fillId="3" borderId="29" xfId="0" applyFont="1" applyFill="1" applyBorder="1" applyAlignment="1">
      <alignment horizontal="center" vertical="center"/>
    </xf>
    <xf numFmtId="0" fontId="24" fillId="3" borderId="86" xfId="0" applyFont="1" applyFill="1" applyBorder="1" applyAlignment="1">
      <alignment horizontal="center" vertical="center"/>
    </xf>
    <xf numFmtId="0" fontId="24" fillId="3" borderId="17" xfId="0" applyFont="1" applyFill="1" applyBorder="1" applyAlignment="1">
      <alignment horizontal="center"/>
    </xf>
    <xf numFmtId="0" fontId="24" fillId="3" borderId="5" xfId="0" applyFont="1" applyFill="1" applyBorder="1" applyAlignment="1">
      <alignment horizontal="center"/>
    </xf>
    <xf numFmtId="0" fontId="24" fillId="3" borderId="25" xfId="0" applyFont="1" applyFill="1" applyBorder="1" applyAlignment="1">
      <alignment horizontal="center"/>
    </xf>
    <xf numFmtId="0" fontId="24" fillId="3" borderId="26" xfId="0" applyFont="1" applyFill="1" applyBorder="1" applyAlignment="1">
      <alignment horizontal="center"/>
    </xf>
    <xf numFmtId="0" fontId="24" fillId="3" borderId="31" xfId="0" applyFont="1" applyFill="1" applyBorder="1" applyAlignment="1">
      <alignment horizontal="center"/>
    </xf>
    <xf numFmtId="0" fontId="55" fillId="3" borderId="28" xfId="0" applyFont="1" applyFill="1" applyBorder="1" applyAlignment="1">
      <alignment horizontal="center"/>
    </xf>
    <xf numFmtId="0" fontId="55" fillId="3" borderId="29" xfId="0" applyFont="1" applyFill="1" applyBorder="1" applyAlignment="1">
      <alignment horizontal="center"/>
    </xf>
    <xf numFmtId="0" fontId="55" fillId="3" borderId="86" xfId="0" applyFont="1" applyFill="1" applyBorder="1" applyAlignment="1">
      <alignment horizontal="center"/>
    </xf>
    <xf numFmtId="0" fontId="55" fillId="3" borderId="17" xfId="0" applyFont="1" applyFill="1" applyBorder="1" applyAlignment="1">
      <alignment horizontal="center"/>
    </xf>
    <xf numFmtId="0" fontId="55" fillId="3" borderId="0" xfId="0" applyFont="1" applyFill="1" applyBorder="1" applyAlignment="1">
      <alignment horizontal="center"/>
    </xf>
    <xf numFmtId="0" fontId="55" fillId="3" borderId="5" xfId="0" applyFont="1" applyFill="1" applyBorder="1" applyAlignment="1">
      <alignment horizontal="center"/>
    </xf>
    <xf numFmtId="0" fontId="24" fillId="3" borderId="25" xfId="0" applyFont="1" applyFill="1" applyBorder="1" applyAlignment="1">
      <alignment horizontal="center" vertical="center"/>
    </xf>
    <xf numFmtId="0" fontId="24" fillId="3" borderId="26" xfId="0" applyFont="1" applyFill="1" applyBorder="1" applyAlignment="1">
      <alignment horizontal="center" vertical="center"/>
    </xf>
    <xf numFmtId="0" fontId="24" fillId="3" borderId="31" xfId="0" applyFont="1" applyFill="1" applyBorder="1" applyAlignment="1">
      <alignment horizontal="center" vertical="center"/>
    </xf>
    <xf numFmtId="0" fontId="24" fillId="3" borderId="85" xfId="0" applyFont="1" applyFill="1" applyBorder="1" applyAlignment="1">
      <alignment horizontal="center" vertical="center"/>
    </xf>
    <xf numFmtId="0" fontId="24" fillId="3" borderId="7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 vertical="center"/>
    </xf>
    <xf numFmtId="0" fontId="24" fillId="3" borderId="17" xfId="0" applyFont="1" applyFill="1" applyBorder="1" applyAlignment="1">
      <alignment horizontal="center" vertical="center" wrapText="1"/>
    </xf>
    <xf numFmtId="0" fontId="24" fillId="3" borderId="0" xfId="0" applyFont="1" applyFill="1" applyBorder="1" applyAlignment="1">
      <alignment horizontal="center" vertical="center" wrapText="1"/>
    </xf>
    <xf numFmtId="0" fontId="24" fillId="3" borderId="5" xfId="0" applyFont="1" applyFill="1" applyBorder="1" applyAlignment="1">
      <alignment horizontal="center" vertical="center" wrapText="1"/>
    </xf>
    <xf numFmtId="0" fontId="24" fillId="3" borderId="28" xfId="0" applyFont="1" applyFill="1" applyBorder="1" applyAlignment="1">
      <alignment horizontal="center" vertical="center" wrapText="1"/>
    </xf>
    <xf numFmtId="0" fontId="24" fillId="3" borderId="29" xfId="0" applyFont="1" applyFill="1" applyBorder="1" applyAlignment="1">
      <alignment horizontal="center" vertical="center" wrapText="1"/>
    </xf>
    <xf numFmtId="0" fontId="24" fillId="3" borderId="86" xfId="0" applyFont="1" applyFill="1" applyBorder="1" applyAlignment="1">
      <alignment horizontal="center" vertical="center" wrapText="1"/>
    </xf>
  </cellXfs>
  <cellStyles count="13">
    <cellStyle name="Comma" xfId="1" builtinId="3"/>
    <cellStyle name="Comma [0]" xfId="2" builtinId="6"/>
    <cellStyle name="Comma [0] 4" xfId="7"/>
    <cellStyle name="Comma 2" xfId="11"/>
    <cellStyle name="Normal" xfId="0" builtinId="0"/>
    <cellStyle name="Normal 2" xfId="3"/>
    <cellStyle name="Normal 2 2" xfId="4"/>
    <cellStyle name="Normal 2 3 2" xfId="9"/>
    <cellStyle name="Normal 3" xfId="12"/>
    <cellStyle name="Normal 3 4" xfId="8"/>
    <cellStyle name="Normal 5" xfId="6"/>
    <cellStyle name="Normal 8" xfId="10"/>
    <cellStyle name="Percent" xfId="5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Spin" dx="22" fmlaLink="$H$4" max="30" min="1" page="10" val="1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NUL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174172</xdr:colOff>
      <xdr:row>0</xdr:row>
      <xdr:rowOff>0</xdr:rowOff>
    </xdr:from>
    <xdr:to>
      <xdr:col>12</xdr:col>
      <xdr:colOff>371790</xdr:colOff>
      <xdr:row>2</xdr:row>
      <xdr:rowOff>72223</xdr:rowOff>
    </xdr:to>
    <xdr:pic>
      <xdr:nvPicPr>
        <xdr:cNvPr id="2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461297" y="0"/>
          <a:ext cx="807219" cy="548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509337</xdr:colOff>
      <xdr:row>0</xdr:row>
      <xdr:rowOff>0</xdr:rowOff>
    </xdr:from>
    <xdr:to>
      <xdr:col>14</xdr:col>
      <xdr:colOff>1672</xdr:colOff>
      <xdr:row>2</xdr:row>
      <xdr:rowOff>120486</xdr:rowOff>
    </xdr:to>
    <xdr:pic>
      <xdr:nvPicPr>
        <xdr:cNvPr id="3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06062" y="289259"/>
          <a:ext cx="711534" cy="5609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174172</xdr:colOff>
      <xdr:row>0</xdr:row>
      <xdr:rowOff>0</xdr:rowOff>
    </xdr:from>
    <xdr:to>
      <xdr:col>12</xdr:col>
      <xdr:colOff>371790</xdr:colOff>
      <xdr:row>2</xdr:row>
      <xdr:rowOff>72223</xdr:rowOff>
    </xdr:to>
    <xdr:pic>
      <xdr:nvPicPr>
        <xdr:cNvPr id="4" name="Picture 3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461297" y="0"/>
          <a:ext cx="807219" cy="548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0</xdr:colOff>
          <xdr:row>2</xdr:row>
          <xdr:rowOff>190500</xdr:rowOff>
        </xdr:from>
        <xdr:to>
          <xdr:col>8</xdr:col>
          <xdr:colOff>914400</xdr:colOff>
          <xdr:row>6</xdr:row>
          <xdr:rowOff>9525</xdr:rowOff>
        </xdr:to>
        <xdr:sp macro="" textlink="">
          <xdr:nvSpPr>
            <xdr:cNvPr id="2107" name="Spinner 59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0</xdr:row>
          <xdr:rowOff>28575</xdr:rowOff>
        </xdr:from>
        <xdr:to>
          <xdr:col>7</xdr:col>
          <xdr:colOff>962025</xdr:colOff>
          <xdr:row>1</xdr:row>
          <xdr:rowOff>171450</xdr:rowOff>
        </xdr:to>
        <xdr:sp macro="" textlink="">
          <xdr:nvSpPr>
            <xdr:cNvPr id="2109" name="CommandButton1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14</xdr:row>
      <xdr:rowOff>0</xdr:rowOff>
    </xdr:from>
    <xdr:to>
      <xdr:col>8</xdr:col>
      <xdr:colOff>9525</xdr:colOff>
      <xdr:row>14</xdr:row>
      <xdr:rowOff>0</xdr:rowOff>
    </xdr:to>
    <xdr:sp macro="" textlink="">
      <xdr:nvSpPr>
        <xdr:cNvPr id="229925" name="Line 15"/>
        <xdr:cNvSpPr>
          <a:spLocks noChangeShapeType="1"/>
        </xdr:cNvSpPr>
      </xdr:nvSpPr>
      <xdr:spPr bwMode="auto">
        <a:xfrm>
          <a:off x="299085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228600</xdr:colOff>
      <xdr:row>14</xdr:row>
      <xdr:rowOff>0</xdr:rowOff>
    </xdr:from>
    <xdr:to>
      <xdr:col>2</xdr:col>
      <xdr:colOff>209550</xdr:colOff>
      <xdr:row>14</xdr:row>
      <xdr:rowOff>0</xdr:rowOff>
    </xdr:to>
    <xdr:sp macro="" textlink="">
      <xdr:nvSpPr>
        <xdr:cNvPr id="229926" name="Line 2003"/>
        <xdr:cNvSpPr>
          <a:spLocks noChangeShapeType="1"/>
        </xdr:cNvSpPr>
      </xdr:nvSpPr>
      <xdr:spPr bwMode="auto">
        <a:xfrm>
          <a:off x="9239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0</xdr:colOff>
      <xdr:row>14</xdr:row>
      <xdr:rowOff>0</xdr:rowOff>
    </xdr:to>
    <xdr:sp macro="" textlink="">
      <xdr:nvSpPr>
        <xdr:cNvPr id="229927" name="Line 2011"/>
        <xdr:cNvSpPr>
          <a:spLocks noChangeShapeType="1"/>
        </xdr:cNvSpPr>
      </xdr:nvSpPr>
      <xdr:spPr bwMode="auto">
        <a:xfrm>
          <a:off x="695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14</xdr:row>
      <xdr:rowOff>0</xdr:rowOff>
    </xdr:from>
    <xdr:to>
      <xdr:col>7</xdr:col>
      <xdr:colOff>0</xdr:colOff>
      <xdr:row>14</xdr:row>
      <xdr:rowOff>0</xdr:rowOff>
    </xdr:to>
    <xdr:sp macro="" textlink="">
      <xdr:nvSpPr>
        <xdr:cNvPr id="229928" name="Line 2012"/>
        <xdr:cNvSpPr>
          <a:spLocks noChangeShapeType="1"/>
        </xdr:cNvSpPr>
      </xdr:nvSpPr>
      <xdr:spPr bwMode="auto">
        <a:xfrm>
          <a:off x="2600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228600</xdr:colOff>
      <xdr:row>14</xdr:row>
      <xdr:rowOff>0</xdr:rowOff>
    </xdr:from>
    <xdr:to>
      <xdr:col>1</xdr:col>
      <xdr:colOff>228600</xdr:colOff>
      <xdr:row>14</xdr:row>
      <xdr:rowOff>0</xdr:rowOff>
    </xdr:to>
    <xdr:sp macro="" textlink="">
      <xdr:nvSpPr>
        <xdr:cNvPr id="229929" name="Line 2021"/>
        <xdr:cNvSpPr>
          <a:spLocks noChangeShapeType="1"/>
        </xdr:cNvSpPr>
      </xdr:nvSpPr>
      <xdr:spPr bwMode="auto">
        <a:xfrm>
          <a:off x="5429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14</xdr:row>
      <xdr:rowOff>0</xdr:rowOff>
    </xdr:from>
    <xdr:to>
      <xdr:col>7</xdr:col>
      <xdr:colOff>0</xdr:colOff>
      <xdr:row>14</xdr:row>
      <xdr:rowOff>0</xdr:rowOff>
    </xdr:to>
    <xdr:sp macro="" textlink="">
      <xdr:nvSpPr>
        <xdr:cNvPr id="229930" name="Line 2022"/>
        <xdr:cNvSpPr>
          <a:spLocks noChangeShapeType="1"/>
        </xdr:cNvSpPr>
      </xdr:nvSpPr>
      <xdr:spPr bwMode="auto">
        <a:xfrm>
          <a:off x="2600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0</xdr:colOff>
      <xdr:row>14</xdr:row>
      <xdr:rowOff>0</xdr:rowOff>
    </xdr:to>
    <xdr:sp macro="" textlink="">
      <xdr:nvSpPr>
        <xdr:cNvPr id="229931" name="Line 2023"/>
        <xdr:cNvSpPr>
          <a:spLocks noChangeShapeType="1"/>
        </xdr:cNvSpPr>
      </xdr:nvSpPr>
      <xdr:spPr bwMode="auto">
        <a:xfrm>
          <a:off x="695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14</xdr:row>
      <xdr:rowOff>0</xdr:rowOff>
    </xdr:from>
    <xdr:to>
      <xdr:col>3</xdr:col>
      <xdr:colOff>0</xdr:colOff>
      <xdr:row>14</xdr:row>
      <xdr:rowOff>0</xdr:rowOff>
    </xdr:to>
    <xdr:sp macro="" textlink="">
      <xdr:nvSpPr>
        <xdr:cNvPr id="229932" name="Line 2024"/>
        <xdr:cNvSpPr>
          <a:spLocks noChangeShapeType="1"/>
        </xdr:cNvSpPr>
      </xdr:nvSpPr>
      <xdr:spPr bwMode="auto">
        <a:xfrm>
          <a:off x="11430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142875</xdr:colOff>
      <xdr:row>14</xdr:row>
      <xdr:rowOff>0</xdr:rowOff>
    </xdr:from>
    <xdr:to>
      <xdr:col>4</xdr:col>
      <xdr:colOff>142875</xdr:colOff>
      <xdr:row>14</xdr:row>
      <xdr:rowOff>0</xdr:rowOff>
    </xdr:to>
    <xdr:sp macro="" textlink="">
      <xdr:nvSpPr>
        <xdr:cNvPr id="229933" name="Line 2025"/>
        <xdr:cNvSpPr>
          <a:spLocks noChangeShapeType="1"/>
        </xdr:cNvSpPr>
      </xdr:nvSpPr>
      <xdr:spPr bwMode="auto">
        <a:xfrm>
          <a:off x="16002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14</xdr:row>
      <xdr:rowOff>0</xdr:rowOff>
    </xdr:from>
    <xdr:to>
      <xdr:col>6</xdr:col>
      <xdr:colOff>0</xdr:colOff>
      <xdr:row>14</xdr:row>
      <xdr:rowOff>0</xdr:rowOff>
    </xdr:to>
    <xdr:sp macro="" textlink="">
      <xdr:nvSpPr>
        <xdr:cNvPr id="229934" name="Line 2026"/>
        <xdr:cNvSpPr>
          <a:spLocks noChangeShapeType="1"/>
        </xdr:cNvSpPr>
      </xdr:nvSpPr>
      <xdr:spPr bwMode="auto">
        <a:xfrm>
          <a:off x="21717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228600</xdr:colOff>
      <xdr:row>14</xdr:row>
      <xdr:rowOff>0</xdr:rowOff>
    </xdr:from>
    <xdr:to>
      <xdr:col>6</xdr:col>
      <xdr:colOff>228600</xdr:colOff>
      <xdr:row>14</xdr:row>
      <xdr:rowOff>0</xdr:rowOff>
    </xdr:to>
    <xdr:sp macro="" textlink="">
      <xdr:nvSpPr>
        <xdr:cNvPr id="229935" name="Line 2027"/>
        <xdr:cNvSpPr>
          <a:spLocks noChangeShapeType="1"/>
        </xdr:cNvSpPr>
      </xdr:nvSpPr>
      <xdr:spPr bwMode="auto">
        <a:xfrm>
          <a:off x="24003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114300</xdr:colOff>
      <xdr:row>14</xdr:row>
      <xdr:rowOff>0</xdr:rowOff>
    </xdr:from>
    <xdr:to>
      <xdr:col>8</xdr:col>
      <xdr:colOff>114300</xdr:colOff>
      <xdr:row>14</xdr:row>
      <xdr:rowOff>0</xdr:rowOff>
    </xdr:to>
    <xdr:sp macro="" textlink="">
      <xdr:nvSpPr>
        <xdr:cNvPr id="229936" name="Line 2031"/>
        <xdr:cNvSpPr>
          <a:spLocks noChangeShapeType="1"/>
        </xdr:cNvSpPr>
      </xdr:nvSpPr>
      <xdr:spPr bwMode="auto">
        <a:xfrm>
          <a:off x="30956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104775</xdr:colOff>
      <xdr:row>14</xdr:row>
      <xdr:rowOff>0</xdr:rowOff>
    </xdr:from>
    <xdr:to>
      <xdr:col>8</xdr:col>
      <xdr:colOff>104775</xdr:colOff>
      <xdr:row>14</xdr:row>
      <xdr:rowOff>0</xdr:rowOff>
    </xdr:to>
    <xdr:sp macro="" textlink="">
      <xdr:nvSpPr>
        <xdr:cNvPr id="229937" name="Line 2032"/>
        <xdr:cNvSpPr>
          <a:spLocks noChangeShapeType="1"/>
        </xdr:cNvSpPr>
      </xdr:nvSpPr>
      <xdr:spPr bwMode="auto">
        <a:xfrm>
          <a:off x="30861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104775</xdr:colOff>
      <xdr:row>14</xdr:row>
      <xdr:rowOff>0</xdr:rowOff>
    </xdr:from>
    <xdr:to>
      <xdr:col>8</xdr:col>
      <xdr:colOff>104775</xdr:colOff>
      <xdr:row>14</xdr:row>
      <xdr:rowOff>0</xdr:rowOff>
    </xdr:to>
    <xdr:sp macro="" textlink="">
      <xdr:nvSpPr>
        <xdr:cNvPr id="229938" name="Line 2033"/>
        <xdr:cNvSpPr>
          <a:spLocks noChangeShapeType="1"/>
        </xdr:cNvSpPr>
      </xdr:nvSpPr>
      <xdr:spPr bwMode="auto">
        <a:xfrm>
          <a:off x="30861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76200</xdr:colOff>
      <xdr:row>14</xdr:row>
      <xdr:rowOff>0</xdr:rowOff>
    </xdr:from>
    <xdr:to>
      <xdr:col>2</xdr:col>
      <xdr:colOff>76200</xdr:colOff>
      <xdr:row>14</xdr:row>
      <xdr:rowOff>0</xdr:rowOff>
    </xdr:to>
    <xdr:sp macro="" textlink="">
      <xdr:nvSpPr>
        <xdr:cNvPr id="229939" name="Line 2046"/>
        <xdr:cNvSpPr>
          <a:spLocks noChangeShapeType="1"/>
        </xdr:cNvSpPr>
      </xdr:nvSpPr>
      <xdr:spPr bwMode="auto">
        <a:xfrm>
          <a:off x="7715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14</xdr:row>
      <xdr:rowOff>0</xdr:rowOff>
    </xdr:from>
    <xdr:to>
      <xdr:col>3</xdr:col>
      <xdr:colOff>0</xdr:colOff>
      <xdr:row>14</xdr:row>
      <xdr:rowOff>0</xdr:rowOff>
    </xdr:to>
    <xdr:sp macro="" textlink="">
      <xdr:nvSpPr>
        <xdr:cNvPr id="229940" name="Line 2047"/>
        <xdr:cNvSpPr>
          <a:spLocks noChangeShapeType="1"/>
        </xdr:cNvSpPr>
      </xdr:nvSpPr>
      <xdr:spPr bwMode="auto">
        <a:xfrm>
          <a:off x="11430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14</xdr:row>
      <xdr:rowOff>0</xdr:rowOff>
    </xdr:from>
    <xdr:to>
      <xdr:col>5</xdr:col>
      <xdr:colOff>228600</xdr:colOff>
      <xdr:row>14</xdr:row>
      <xdr:rowOff>0</xdr:rowOff>
    </xdr:to>
    <xdr:sp macro="" textlink="">
      <xdr:nvSpPr>
        <xdr:cNvPr id="229941" name="Line 2048"/>
        <xdr:cNvSpPr>
          <a:spLocks noChangeShapeType="1"/>
        </xdr:cNvSpPr>
      </xdr:nvSpPr>
      <xdr:spPr bwMode="auto">
        <a:xfrm>
          <a:off x="200025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142875</xdr:colOff>
      <xdr:row>14</xdr:row>
      <xdr:rowOff>0</xdr:rowOff>
    </xdr:from>
    <xdr:to>
      <xdr:col>6</xdr:col>
      <xdr:colOff>142875</xdr:colOff>
      <xdr:row>14</xdr:row>
      <xdr:rowOff>0</xdr:rowOff>
    </xdr:to>
    <xdr:sp macro="" textlink="">
      <xdr:nvSpPr>
        <xdr:cNvPr id="229942" name="Line 2049"/>
        <xdr:cNvSpPr>
          <a:spLocks noChangeShapeType="1"/>
        </xdr:cNvSpPr>
      </xdr:nvSpPr>
      <xdr:spPr bwMode="auto">
        <a:xfrm>
          <a:off x="231457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161925</xdr:colOff>
      <xdr:row>14</xdr:row>
      <xdr:rowOff>0</xdr:rowOff>
    </xdr:from>
    <xdr:to>
      <xdr:col>3</xdr:col>
      <xdr:colOff>161925</xdr:colOff>
      <xdr:row>14</xdr:row>
      <xdr:rowOff>0</xdr:rowOff>
    </xdr:to>
    <xdr:sp macro="" textlink="">
      <xdr:nvSpPr>
        <xdr:cNvPr id="229943" name="Line 2052"/>
        <xdr:cNvSpPr>
          <a:spLocks noChangeShapeType="1"/>
        </xdr:cNvSpPr>
      </xdr:nvSpPr>
      <xdr:spPr bwMode="auto">
        <a:xfrm>
          <a:off x="13049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66675</xdr:colOff>
      <xdr:row>14</xdr:row>
      <xdr:rowOff>0</xdr:rowOff>
    </xdr:from>
    <xdr:to>
      <xdr:col>5</xdr:col>
      <xdr:colOff>66675</xdr:colOff>
      <xdr:row>14</xdr:row>
      <xdr:rowOff>0</xdr:rowOff>
    </xdr:to>
    <xdr:sp macro="" textlink="">
      <xdr:nvSpPr>
        <xdr:cNvPr id="229944" name="Line 2053"/>
        <xdr:cNvSpPr>
          <a:spLocks noChangeShapeType="1"/>
        </xdr:cNvSpPr>
      </xdr:nvSpPr>
      <xdr:spPr bwMode="auto">
        <a:xfrm>
          <a:off x="1838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114300</xdr:colOff>
      <xdr:row>14</xdr:row>
      <xdr:rowOff>0</xdr:rowOff>
    </xdr:from>
    <xdr:to>
      <xdr:col>7</xdr:col>
      <xdr:colOff>114300</xdr:colOff>
      <xdr:row>14</xdr:row>
      <xdr:rowOff>0</xdr:rowOff>
    </xdr:to>
    <xdr:sp macro="" textlink="">
      <xdr:nvSpPr>
        <xdr:cNvPr id="229945" name="Line 2054"/>
        <xdr:cNvSpPr>
          <a:spLocks noChangeShapeType="1"/>
        </xdr:cNvSpPr>
      </xdr:nvSpPr>
      <xdr:spPr bwMode="auto">
        <a:xfrm>
          <a:off x="27146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104775</xdr:colOff>
      <xdr:row>14</xdr:row>
      <xdr:rowOff>0</xdr:rowOff>
    </xdr:from>
    <xdr:to>
      <xdr:col>7</xdr:col>
      <xdr:colOff>104775</xdr:colOff>
      <xdr:row>14</xdr:row>
      <xdr:rowOff>0</xdr:rowOff>
    </xdr:to>
    <xdr:sp macro="" textlink="">
      <xdr:nvSpPr>
        <xdr:cNvPr id="229946" name="Line 2055"/>
        <xdr:cNvSpPr>
          <a:spLocks noChangeShapeType="1"/>
        </xdr:cNvSpPr>
      </xdr:nvSpPr>
      <xdr:spPr bwMode="auto">
        <a:xfrm>
          <a:off x="27051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9525</xdr:colOff>
      <xdr:row>14</xdr:row>
      <xdr:rowOff>0</xdr:rowOff>
    </xdr:from>
    <xdr:to>
      <xdr:col>8</xdr:col>
      <xdr:colOff>9525</xdr:colOff>
      <xdr:row>14</xdr:row>
      <xdr:rowOff>0</xdr:rowOff>
    </xdr:to>
    <xdr:sp macro="" textlink="">
      <xdr:nvSpPr>
        <xdr:cNvPr id="229947" name="Line 2058"/>
        <xdr:cNvSpPr>
          <a:spLocks noChangeShapeType="1"/>
        </xdr:cNvSpPr>
      </xdr:nvSpPr>
      <xdr:spPr bwMode="auto">
        <a:xfrm>
          <a:off x="299085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228600</xdr:colOff>
      <xdr:row>14</xdr:row>
      <xdr:rowOff>0</xdr:rowOff>
    </xdr:from>
    <xdr:to>
      <xdr:col>2</xdr:col>
      <xdr:colOff>209550</xdr:colOff>
      <xdr:row>14</xdr:row>
      <xdr:rowOff>0</xdr:rowOff>
    </xdr:to>
    <xdr:sp macro="" textlink="">
      <xdr:nvSpPr>
        <xdr:cNvPr id="229948" name="Line 2060"/>
        <xdr:cNvSpPr>
          <a:spLocks noChangeShapeType="1"/>
        </xdr:cNvSpPr>
      </xdr:nvSpPr>
      <xdr:spPr bwMode="auto">
        <a:xfrm>
          <a:off x="9239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14</xdr:row>
      <xdr:rowOff>0</xdr:rowOff>
    </xdr:from>
    <xdr:to>
      <xdr:col>7</xdr:col>
      <xdr:colOff>0</xdr:colOff>
      <xdr:row>14</xdr:row>
      <xdr:rowOff>0</xdr:rowOff>
    </xdr:to>
    <xdr:sp macro="" textlink="">
      <xdr:nvSpPr>
        <xdr:cNvPr id="229949" name="Line 2065"/>
        <xdr:cNvSpPr>
          <a:spLocks noChangeShapeType="1"/>
        </xdr:cNvSpPr>
      </xdr:nvSpPr>
      <xdr:spPr bwMode="auto">
        <a:xfrm>
          <a:off x="2600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14</xdr:row>
      <xdr:rowOff>0</xdr:rowOff>
    </xdr:from>
    <xdr:to>
      <xdr:col>7</xdr:col>
      <xdr:colOff>0</xdr:colOff>
      <xdr:row>14</xdr:row>
      <xdr:rowOff>0</xdr:rowOff>
    </xdr:to>
    <xdr:sp macro="" textlink="">
      <xdr:nvSpPr>
        <xdr:cNvPr id="229950" name="Line 2073"/>
        <xdr:cNvSpPr>
          <a:spLocks noChangeShapeType="1"/>
        </xdr:cNvSpPr>
      </xdr:nvSpPr>
      <xdr:spPr bwMode="auto">
        <a:xfrm>
          <a:off x="2600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14</xdr:row>
      <xdr:rowOff>0</xdr:rowOff>
    </xdr:from>
    <xdr:to>
      <xdr:col>3</xdr:col>
      <xdr:colOff>0</xdr:colOff>
      <xdr:row>14</xdr:row>
      <xdr:rowOff>0</xdr:rowOff>
    </xdr:to>
    <xdr:sp macro="" textlink="">
      <xdr:nvSpPr>
        <xdr:cNvPr id="229951" name="Line 2074"/>
        <xdr:cNvSpPr>
          <a:spLocks noChangeShapeType="1"/>
        </xdr:cNvSpPr>
      </xdr:nvSpPr>
      <xdr:spPr bwMode="auto">
        <a:xfrm>
          <a:off x="11430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142875</xdr:colOff>
      <xdr:row>14</xdr:row>
      <xdr:rowOff>0</xdr:rowOff>
    </xdr:from>
    <xdr:to>
      <xdr:col>4</xdr:col>
      <xdr:colOff>142875</xdr:colOff>
      <xdr:row>14</xdr:row>
      <xdr:rowOff>0</xdr:rowOff>
    </xdr:to>
    <xdr:sp macro="" textlink="">
      <xdr:nvSpPr>
        <xdr:cNvPr id="229952" name="Line 2075"/>
        <xdr:cNvSpPr>
          <a:spLocks noChangeShapeType="1"/>
        </xdr:cNvSpPr>
      </xdr:nvSpPr>
      <xdr:spPr bwMode="auto">
        <a:xfrm>
          <a:off x="16002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14</xdr:row>
      <xdr:rowOff>0</xdr:rowOff>
    </xdr:from>
    <xdr:to>
      <xdr:col>6</xdr:col>
      <xdr:colOff>0</xdr:colOff>
      <xdr:row>14</xdr:row>
      <xdr:rowOff>0</xdr:rowOff>
    </xdr:to>
    <xdr:sp macro="" textlink="">
      <xdr:nvSpPr>
        <xdr:cNvPr id="229953" name="Line 2076"/>
        <xdr:cNvSpPr>
          <a:spLocks noChangeShapeType="1"/>
        </xdr:cNvSpPr>
      </xdr:nvSpPr>
      <xdr:spPr bwMode="auto">
        <a:xfrm>
          <a:off x="21717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228600</xdr:colOff>
      <xdr:row>14</xdr:row>
      <xdr:rowOff>0</xdr:rowOff>
    </xdr:from>
    <xdr:to>
      <xdr:col>6</xdr:col>
      <xdr:colOff>228600</xdr:colOff>
      <xdr:row>14</xdr:row>
      <xdr:rowOff>0</xdr:rowOff>
    </xdr:to>
    <xdr:sp macro="" textlink="">
      <xdr:nvSpPr>
        <xdr:cNvPr id="229954" name="Line 2077"/>
        <xdr:cNvSpPr>
          <a:spLocks noChangeShapeType="1"/>
        </xdr:cNvSpPr>
      </xdr:nvSpPr>
      <xdr:spPr bwMode="auto">
        <a:xfrm>
          <a:off x="24003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114300</xdr:colOff>
      <xdr:row>14</xdr:row>
      <xdr:rowOff>0</xdr:rowOff>
    </xdr:from>
    <xdr:to>
      <xdr:col>8</xdr:col>
      <xdr:colOff>114300</xdr:colOff>
      <xdr:row>14</xdr:row>
      <xdr:rowOff>0</xdr:rowOff>
    </xdr:to>
    <xdr:sp macro="" textlink="">
      <xdr:nvSpPr>
        <xdr:cNvPr id="229955" name="Line 2081"/>
        <xdr:cNvSpPr>
          <a:spLocks noChangeShapeType="1"/>
        </xdr:cNvSpPr>
      </xdr:nvSpPr>
      <xdr:spPr bwMode="auto">
        <a:xfrm>
          <a:off x="30956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104775</xdr:colOff>
      <xdr:row>14</xdr:row>
      <xdr:rowOff>0</xdr:rowOff>
    </xdr:from>
    <xdr:to>
      <xdr:col>8</xdr:col>
      <xdr:colOff>104775</xdr:colOff>
      <xdr:row>14</xdr:row>
      <xdr:rowOff>0</xdr:rowOff>
    </xdr:to>
    <xdr:sp macro="" textlink="">
      <xdr:nvSpPr>
        <xdr:cNvPr id="229956" name="Line 2082"/>
        <xdr:cNvSpPr>
          <a:spLocks noChangeShapeType="1"/>
        </xdr:cNvSpPr>
      </xdr:nvSpPr>
      <xdr:spPr bwMode="auto">
        <a:xfrm>
          <a:off x="30861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104775</xdr:colOff>
      <xdr:row>14</xdr:row>
      <xdr:rowOff>0</xdr:rowOff>
    </xdr:from>
    <xdr:to>
      <xdr:col>8</xdr:col>
      <xdr:colOff>104775</xdr:colOff>
      <xdr:row>14</xdr:row>
      <xdr:rowOff>0</xdr:rowOff>
    </xdr:to>
    <xdr:sp macro="" textlink="">
      <xdr:nvSpPr>
        <xdr:cNvPr id="229957" name="Line 2083"/>
        <xdr:cNvSpPr>
          <a:spLocks noChangeShapeType="1"/>
        </xdr:cNvSpPr>
      </xdr:nvSpPr>
      <xdr:spPr bwMode="auto">
        <a:xfrm>
          <a:off x="30861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0</xdr:colOff>
      <xdr:row>14</xdr:row>
      <xdr:rowOff>0</xdr:rowOff>
    </xdr:to>
    <xdr:sp macro="" textlink="">
      <xdr:nvSpPr>
        <xdr:cNvPr id="229958" name="Line 2084"/>
        <xdr:cNvSpPr>
          <a:spLocks noChangeShapeType="1"/>
        </xdr:cNvSpPr>
      </xdr:nvSpPr>
      <xdr:spPr bwMode="auto">
        <a:xfrm>
          <a:off x="695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9525</xdr:colOff>
      <xdr:row>14</xdr:row>
      <xdr:rowOff>0</xdr:rowOff>
    </xdr:from>
    <xdr:to>
      <xdr:col>2</xdr:col>
      <xdr:colOff>9525</xdr:colOff>
      <xdr:row>14</xdr:row>
      <xdr:rowOff>0</xdr:rowOff>
    </xdr:to>
    <xdr:sp macro="" textlink="">
      <xdr:nvSpPr>
        <xdr:cNvPr id="229959" name="Line 2085"/>
        <xdr:cNvSpPr>
          <a:spLocks noChangeShapeType="1"/>
        </xdr:cNvSpPr>
      </xdr:nvSpPr>
      <xdr:spPr bwMode="auto">
        <a:xfrm>
          <a:off x="70485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0</xdr:colOff>
      <xdr:row>14</xdr:row>
      <xdr:rowOff>0</xdr:rowOff>
    </xdr:to>
    <xdr:sp macro="" textlink="">
      <xdr:nvSpPr>
        <xdr:cNvPr id="229960" name="Line 2088"/>
        <xdr:cNvSpPr>
          <a:spLocks noChangeShapeType="1"/>
        </xdr:cNvSpPr>
      </xdr:nvSpPr>
      <xdr:spPr bwMode="auto">
        <a:xfrm>
          <a:off x="695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14</xdr:row>
      <xdr:rowOff>0</xdr:rowOff>
    </xdr:from>
    <xdr:to>
      <xdr:col>7</xdr:col>
      <xdr:colOff>0</xdr:colOff>
      <xdr:row>14</xdr:row>
      <xdr:rowOff>0</xdr:rowOff>
    </xdr:to>
    <xdr:sp macro="" textlink="">
      <xdr:nvSpPr>
        <xdr:cNvPr id="229961" name="Line 2089"/>
        <xdr:cNvSpPr>
          <a:spLocks noChangeShapeType="1"/>
        </xdr:cNvSpPr>
      </xdr:nvSpPr>
      <xdr:spPr bwMode="auto">
        <a:xfrm>
          <a:off x="2600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228600</xdr:colOff>
      <xdr:row>14</xdr:row>
      <xdr:rowOff>0</xdr:rowOff>
    </xdr:from>
    <xdr:to>
      <xdr:col>1</xdr:col>
      <xdr:colOff>228600</xdr:colOff>
      <xdr:row>14</xdr:row>
      <xdr:rowOff>0</xdr:rowOff>
    </xdr:to>
    <xdr:sp macro="" textlink="">
      <xdr:nvSpPr>
        <xdr:cNvPr id="229962" name="Line 2092"/>
        <xdr:cNvSpPr>
          <a:spLocks noChangeShapeType="1"/>
        </xdr:cNvSpPr>
      </xdr:nvSpPr>
      <xdr:spPr bwMode="auto">
        <a:xfrm>
          <a:off x="5429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14</xdr:row>
      <xdr:rowOff>0</xdr:rowOff>
    </xdr:from>
    <xdr:to>
      <xdr:col>7</xdr:col>
      <xdr:colOff>0</xdr:colOff>
      <xdr:row>14</xdr:row>
      <xdr:rowOff>0</xdr:rowOff>
    </xdr:to>
    <xdr:sp macro="" textlink="">
      <xdr:nvSpPr>
        <xdr:cNvPr id="229963" name="Line 2095"/>
        <xdr:cNvSpPr>
          <a:spLocks noChangeShapeType="1"/>
        </xdr:cNvSpPr>
      </xdr:nvSpPr>
      <xdr:spPr bwMode="auto">
        <a:xfrm>
          <a:off x="2600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114300</xdr:colOff>
      <xdr:row>14</xdr:row>
      <xdr:rowOff>0</xdr:rowOff>
    </xdr:from>
    <xdr:to>
      <xdr:col>8</xdr:col>
      <xdr:colOff>114300</xdr:colOff>
      <xdr:row>14</xdr:row>
      <xdr:rowOff>0</xdr:rowOff>
    </xdr:to>
    <xdr:sp macro="" textlink="">
      <xdr:nvSpPr>
        <xdr:cNvPr id="229964" name="Line 2096"/>
        <xdr:cNvSpPr>
          <a:spLocks noChangeShapeType="1"/>
        </xdr:cNvSpPr>
      </xdr:nvSpPr>
      <xdr:spPr bwMode="auto">
        <a:xfrm>
          <a:off x="30956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114300</xdr:colOff>
      <xdr:row>14</xdr:row>
      <xdr:rowOff>0</xdr:rowOff>
    </xdr:from>
    <xdr:to>
      <xdr:col>8</xdr:col>
      <xdr:colOff>114300</xdr:colOff>
      <xdr:row>14</xdr:row>
      <xdr:rowOff>0</xdr:rowOff>
    </xdr:to>
    <xdr:sp macro="" textlink="">
      <xdr:nvSpPr>
        <xdr:cNvPr id="229965" name="Line 2097"/>
        <xdr:cNvSpPr>
          <a:spLocks noChangeShapeType="1"/>
        </xdr:cNvSpPr>
      </xdr:nvSpPr>
      <xdr:spPr bwMode="auto">
        <a:xfrm>
          <a:off x="30956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17</xdr:row>
      <xdr:rowOff>95250</xdr:rowOff>
    </xdr:from>
    <xdr:to>
      <xdr:col>6</xdr:col>
      <xdr:colOff>304800</xdr:colOff>
      <xdr:row>18</xdr:row>
      <xdr:rowOff>152400</xdr:rowOff>
    </xdr:to>
    <xdr:sp macro="" textlink="">
      <xdr:nvSpPr>
        <xdr:cNvPr id="229966" name="Freeform 18"/>
        <xdr:cNvSpPr>
          <a:spLocks/>
        </xdr:cNvSpPr>
      </xdr:nvSpPr>
      <xdr:spPr bwMode="auto">
        <a:xfrm>
          <a:off x="333375" y="2428875"/>
          <a:ext cx="2143125" cy="266700"/>
        </a:xfrm>
        <a:custGeom>
          <a:avLst/>
          <a:gdLst>
            <a:gd name="T0" fmla="*/ 0 w 247"/>
            <a:gd name="T1" fmla="*/ 2147483647 h 18"/>
            <a:gd name="T2" fmla="*/ 2147483647 w 247"/>
            <a:gd name="T3" fmla="*/ 2147483647 h 18"/>
            <a:gd name="T4" fmla="*/ 2147483647 w 247"/>
            <a:gd name="T5" fmla="*/ 0 h 18"/>
            <a:gd name="T6" fmla="*/ 2147483647 w 247"/>
            <a:gd name="T7" fmla="*/ 0 h 18"/>
            <a:gd name="T8" fmla="*/ 2147483647 w 247"/>
            <a:gd name="T9" fmla="*/ 2147483647 h 18"/>
            <a:gd name="T10" fmla="*/ 2147483647 w 247"/>
            <a:gd name="T11" fmla="*/ 2147483647 h 18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247"/>
            <a:gd name="T19" fmla="*/ 0 h 18"/>
            <a:gd name="T20" fmla="*/ 247 w 247"/>
            <a:gd name="T21" fmla="*/ 18 h 18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47" h="18">
              <a:moveTo>
                <a:pt x="0" y="13"/>
              </a:moveTo>
              <a:lnTo>
                <a:pt x="17" y="13"/>
              </a:lnTo>
              <a:lnTo>
                <a:pt x="39" y="0"/>
              </a:lnTo>
              <a:lnTo>
                <a:pt x="210" y="0"/>
              </a:lnTo>
              <a:lnTo>
                <a:pt x="228" y="18"/>
              </a:lnTo>
              <a:lnTo>
                <a:pt x="247" y="18"/>
              </a:lnTo>
            </a:path>
          </a:pathLst>
        </a:cu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133350</xdr:colOff>
      <xdr:row>112</xdr:row>
      <xdr:rowOff>95250</xdr:rowOff>
    </xdr:from>
    <xdr:to>
      <xdr:col>6</xdr:col>
      <xdr:colOff>295275</xdr:colOff>
      <xdr:row>115</xdr:row>
      <xdr:rowOff>9525</xdr:rowOff>
    </xdr:to>
    <xdr:grpSp>
      <xdr:nvGrpSpPr>
        <xdr:cNvPr id="229967" name="Group 16"/>
        <xdr:cNvGrpSpPr>
          <a:grpSpLocks/>
        </xdr:cNvGrpSpPr>
      </xdr:nvGrpSpPr>
      <xdr:grpSpPr bwMode="auto">
        <a:xfrm>
          <a:off x="133350" y="21553714"/>
          <a:ext cx="4502604" cy="485775"/>
          <a:chOff x="7" y="165"/>
          <a:chExt cx="248" cy="28"/>
        </a:xfrm>
      </xdr:grpSpPr>
      <xdr:sp macro="" textlink="">
        <xdr:nvSpPr>
          <xdr:cNvPr id="230179" name="Rectangle 17"/>
          <xdr:cNvSpPr>
            <a:spLocks noChangeArrowheads="1"/>
          </xdr:cNvSpPr>
        </xdr:nvSpPr>
        <xdr:spPr bwMode="auto">
          <a:xfrm>
            <a:off x="68" y="165"/>
            <a:ext cx="126" cy="15"/>
          </a:xfrm>
          <a:prstGeom prst="rect">
            <a:avLst/>
          </a:prstGeom>
          <a:blipFill dpi="0" rotWithShape="1">
            <a:blip xmlns:r="http://schemas.openxmlformats.org/officeDocument/2006/relationships" r:embed="rId1"/>
            <a:srcRect/>
            <a:tile tx="0" ty="0" sx="100000" sy="100000" flip="none" algn="tl"/>
          </a:blip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30180" name="Freeform 18"/>
          <xdr:cNvSpPr>
            <a:spLocks/>
          </xdr:cNvSpPr>
        </xdr:nvSpPr>
        <xdr:spPr bwMode="auto">
          <a:xfrm>
            <a:off x="7" y="180"/>
            <a:ext cx="248" cy="13"/>
          </a:xfrm>
          <a:custGeom>
            <a:avLst/>
            <a:gdLst>
              <a:gd name="T0" fmla="*/ 0 w 247"/>
              <a:gd name="T1" fmla="*/ 1 h 18"/>
              <a:gd name="T2" fmla="*/ 17 w 247"/>
              <a:gd name="T3" fmla="*/ 1 h 18"/>
              <a:gd name="T4" fmla="*/ 39 w 247"/>
              <a:gd name="T5" fmla="*/ 0 h 18"/>
              <a:gd name="T6" fmla="*/ 233 w 247"/>
              <a:gd name="T7" fmla="*/ 0 h 18"/>
              <a:gd name="T8" fmla="*/ 251 w 247"/>
              <a:gd name="T9" fmla="*/ 1 h 18"/>
              <a:gd name="T10" fmla="*/ 270 w 247"/>
              <a:gd name="T11" fmla="*/ 1 h 18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47"/>
              <a:gd name="T19" fmla="*/ 0 h 18"/>
              <a:gd name="T20" fmla="*/ 247 w 247"/>
              <a:gd name="T21" fmla="*/ 18 h 18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47" h="18">
                <a:moveTo>
                  <a:pt x="0" y="13"/>
                </a:moveTo>
                <a:lnTo>
                  <a:pt x="17" y="13"/>
                </a:lnTo>
                <a:lnTo>
                  <a:pt x="39" y="0"/>
                </a:lnTo>
                <a:lnTo>
                  <a:pt x="210" y="0"/>
                </a:lnTo>
                <a:lnTo>
                  <a:pt x="228" y="18"/>
                </a:lnTo>
                <a:lnTo>
                  <a:pt x="247" y="18"/>
                </a:lnTo>
              </a:path>
            </a:pathLst>
          </a:custGeom>
          <a:noFill/>
          <a:ln w="6350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0</xdr:col>
      <xdr:colOff>190500</xdr:colOff>
      <xdr:row>73</xdr:row>
      <xdr:rowOff>190499</xdr:rowOff>
    </xdr:from>
    <xdr:to>
      <xdr:col>7</xdr:col>
      <xdr:colOff>62109</xdr:colOff>
      <xdr:row>78</xdr:row>
      <xdr:rowOff>156883</xdr:rowOff>
    </xdr:to>
    <xdr:grpSp>
      <xdr:nvGrpSpPr>
        <xdr:cNvPr id="229968" name="Group 390"/>
        <xdr:cNvGrpSpPr>
          <a:grpSpLocks/>
        </xdr:cNvGrpSpPr>
      </xdr:nvGrpSpPr>
      <xdr:grpSpPr bwMode="auto">
        <a:xfrm>
          <a:off x="190500" y="14219463"/>
          <a:ext cx="4906252" cy="918884"/>
          <a:chOff x="3004576" y="644337"/>
          <a:chExt cx="5154752" cy="1479714"/>
        </a:xfrm>
      </xdr:grpSpPr>
      <xdr:grpSp>
        <xdr:nvGrpSpPr>
          <xdr:cNvPr id="230147" name="Group 7"/>
          <xdr:cNvGrpSpPr>
            <a:grpSpLocks/>
          </xdr:cNvGrpSpPr>
        </xdr:nvGrpSpPr>
        <xdr:grpSpPr bwMode="auto">
          <a:xfrm>
            <a:off x="3004576" y="644337"/>
            <a:ext cx="5154752" cy="1479714"/>
            <a:chOff x="2902857" y="1034141"/>
            <a:chExt cx="3935446" cy="475689"/>
          </a:xfrm>
        </xdr:grpSpPr>
        <xdr:cxnSp macro="">
          <xdr:nvCxnSpPr>
            <xdr:cNvPr id="233" name="Straight Connector 232"/>
            <xdr:cNvCxnSpPr/>
          </xdr:nvCxnSpPr>
          <xdr:spPr>
            <a:xfrm>
              <a:off x="2902857" y="1208677"/>
              <a:ext cx="3935446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6" name="Oval 235"/>
            <xdr:cNvSpPr/>
          </xdr:nvSpPr>
          <xdr:spPr>
            <a:xfrm flipH="1" flipV="1">
              <a:off x="2918111" y="1208677"/>
              <a:ext cx="61015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37" name="Oval 236"/>
            <xdr:cNvSpPr/>
          </xdr:nvSpPr>
          <xdr:spPr>
            <a:xfrm flipH="1" flipV="1">
              <a:off x="4229926" y="1213270"/>
              <a:ext cx="61015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38" name="Oval 237"/>
            <xdr:cNvSpPr/>
          </xdr:nvSpPr>
          <xdr:spPr>
            <a:xfrm flipH="1" flipV="1">
              <a:off x="5984098" y="1217863"/>
              <a:ext cx="45761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39" name="Oval 238"/>
            <xdr:cNvSpPr/>
          </xdr:nvSpPr>
          <xdr:spPr>
            <a:xfrm flipH="1" flipV="1">
              <a:off x="6411201" y="1208677"/>
              <a:ext cx="45761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40" name="Oval 239"/>
            <xdr:cNvSpPr/>
          </xdr:nvSpPr>
          <xdr:spPr>
            <a:xfrm flipH="1" flipV="1">
              <a:off x="6762035" y="1208677"/>
              <a:ext cx="45761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41" name="Oval 240"/>
            <xdr:cNvSpPr/>
          </xdr:nvSpPr>
          <xdr:spPr>
            <a:xfrm flipH="1" flipV="1">
              <a:off x="3772316" y="1213270"/>
              <a:ext cx="45761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55" name="Oval 254"/>
            <xdr:cNvSpPr/>
          </xdr:nvSpPr>
          <xdr:spPr>
            <a:xfrm flipH="1" flipV="1">
              <a:off x="5099385" y="1208677"/>
              <a:ext cx="61015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56" name="Oval 255"/>
            <xdr:cNvSpPr/>
          </xdr:nvSpPr>
          <xdr:spPr>
            <a:xfrm flipH="1" flipV="1">
              <a:off x="3329960" y="1213270"/>
              <a:ext cx="61015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57" name="Oval 256"/>
            <xdr:cNvSpPr/>
          </xdr:nvSpPr>
          <xdr:spPr>
            <a:xfrm flipH="1" flipV="1">
              <a:off x="4672282" y="1213270"/>
              <a:ext cx="45761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58" name="Oval 257"/>
            <xdr:cNvSpPr/>
          </xdr:nvSpPr>
          <xdr:spPr>
            <a:xfrm flipH="1" flipV="1">
              <a:off x="5541742" y="1213270"/>
              <a:ext cx="45761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cxnSp macro="">
          <xdr:nvCxnSpPr>
            <xdr:cNvPr id="260" name="Straight Connector 259"/>
            <xdr:cNvCxnSpPr/>
          </xdr:nvCxnSpPr>
          <xdr:spPr>
            <a:xfrm>
              <a:off x="2902857" y="1034141"/>
              <a:ext cx="0" cy="119420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1" name="Straight Connector 260"/>
            <xdr:cNvCxnSpPr/>
          </xdr:nvCxnSpPr>
          <xdr:spPr>
            <a:xfrm>
              <a:off x="2902857" y="1098444"/>
              <a:ext cx="1784679" cy="0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2" name="Straight Connector 261"/>
            <xdr:cNvCxnSpPr/>
          </xdr:nvCxnSpPr>
          <xdr:spPr>
            <a:xfrm>
              <a:off x="5053624" y="1093851"/>
              <a:ext cx="1784679" cy="0"/>
            </a:xfrm>
            <a:prstGeom prst="line">
              <a:avLst/>
            </a:prstGeom>
            <a:ln w="31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3" name="Straight Connector 262"/>
            <xdr:cNvCxnSpPr/>
          </xdr:nvCxnSpPr>
          <xdr:spPr>
            <a:xfrm>
              <a:off x="6838303" y="1034141"/>
              <a:ext cx="0" cy="119420"/>
            </a:xfrm>
            <a:prstGeom prst="line">
              <a:avLst/>
            </a:prstGeom>
            <a:ln w="31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3" name="Rectangle 272"/>
            <xdr:cNvSpPr/>
          </xdr:nvSpPr>
          <xdr:spPr>
            <a:xfrm>
              <a:off x="3551254" y="1434351"/>
              <a:ext cx="676403" cy="75479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id-ID" sz="700">
                  <a:solidFill>
                    <a:schemeClr val="tx1"/>
                  </a:solidFill>
                </a:rPr>
                <a:t>Ø 8-12</a:t>
              </a:r>
            </a:p>
          </xdr:txBody>
        </xdr:sp>
        <xdr:cxnSp macro="">
          <xdr:nvCxnSpPr>
            <xdr:cNvPr id="274" name="Straight Connector 273"/>
            <xdr:cNvCxnSpPr/>
          </xdr:nvCxnSpPr>
          <xdr:spPr>
            <a:xfrm>
              <a:off x="5129893" y="1291352"/>
              <a:ext cx="0" cy="78082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/>
            <xdr:cNvCxnSpPr/>
          </xdr:nvCxnSpPr>
          <xdr:spPr>
            <a:xfrm>
              <a:off x="5572249" y="1291352"/>
              <a:ext cx="0" cy="78082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285"/>
            <xdr:cNvCxnSpPr/>
          </xdr:nvCxnSpPr>
          <xdr:spPr>
            <a:xfrm>
              <a:off x="5129893" y="1328097"/>
              <a:ext cx="442356" cy="0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25" name="Rectangle 224"/>
          <xdr:cNvSpPr/>
        </xdr:nvSpPr>
        <xdr:spPr>
          <a:xfrm>
            <a:off x="5682260" y="1892237"/>
            <a:ext cx="1017221" cy="22860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id-ID" sz="700">
                <a:solidFill>
                  <a:schemeClr val="tx1"/>
                </a:solidFill>
              </a:rPr>
              <a:t>0,20</a:t>
            </a:r>
            <a:r>
              <a:rPr lang="id-ID" sz="700" baseline="0">
                <a:solidFill>
                  <a:schemeClr val="tx1"/>
                </a:solidFill>
              </a:rPr>
              <a:t> M</a:t>
            </a:r>
            <a:endParaRPr lang="id-ID" sz="7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0</xdr:col>
      <xdr:colOff>113179</xdr:colOff>
      <xdr:row>92</xdr:row>
      <xdr:rowOff>161398</xdr:rowOff>
    </xdr:from>
    <xdr:to>
      <xdr:col>7</xdr:col>
      <xdr:colOff>91990</xdr:colOff>
      <xdr:row>98</xdr:row>
      <xdr:rowOff>101839</xdr:rowOff>
    </xdr:to>
    <xdr:grpSp>
      <xdr:nvGrpSpPr>
        <xdr:cNvPr id="229969" name="Group 215"/>
        <xdr:cNvGrpSpPr>
          <a:grpSpLocks/>
        </xdr:cNvGrpSpPr>
      </xdr:nvGrpSpPr>
      <xdr:grpSpPr bwMode="auto">
        <a:xfrm>
          <a:off x="113179" y="17809862"/>
          <a:ext cx="5013454" cy="1083441"/>
          <a:chOff x="2657189" y="223631"/>
          <a:chExt cx="4429350" cy="1464059"/>
        </a:xfrm>
      </xdr:grpSpPr>
      <xdr:grpSp>
        <xdr:nvGrpSpPr>
          <xdr:cNvPr id="229977" name="Group 223"/>
          <xdr:cNvGrpSpPr>
            <a:grpSpLocks/>
          </xdr:cNvGrpSpPr>
        </xdr:nvGrpSpPr>
        <xdr:grpSpPr bwMode="auto">
          <a:xfrm>
            <a:off x="2657189" y="223631"/>
            <a:ext cx="4429350" cy="1371103"/>
            <a:chOff x="2466689" y="0"/>
            <a:chExt cx="4429350" cy="1371103"/>
          </a:xfrm>
        </xdr:grpSpPr>
        <xdr:cxnSp macro="">
          <xdr:nvCxnSpPr>
            <xdr:cNvPr id="555" name="Straight Connector 554"/>
            <xdr:cNvCxnSpPr/>
          </xdr:nvCxnSpPr>
          <xdr:spPr bwMode="auto">
            <a:xfrm>
              <a:off x="2861624" y="580976"/>
              <a:ext cx="3980436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2" name="Straight Connector 551"/>
            <xdr:cNvCxnSpPr/>
          </xdr:nvCxnSpPr>
          <xdr:spPr bwMode="auto">
            <a:xfrm flipV="1">
              <a:off x="2846015" y="973971"/>
              <a:ext cx="4050024" cy="2069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29980" name="Group 226"/>
            <xdr:cNvGrpSpPr>
              <a:grpSpLocks/>
            </xdr:cNvGrpSpPr>
          </xdr:nvGrpSpPr>
          <xdr:grpSpPr bwMode="auto">
            <a:xfrm>
              <a:off x="2466689" y="0"/>
              <a:ext cx="4406591" cy="1371103"/>
              <a:chOff x="2466689" y="0"/>
              <a:chExt cx="4406591" cy="1371103"/>
            </a:xfrm>
          </xdr:grpSpPr>
          <xdr:cxnSp macro="">
            <xdr:nvCxnSpPr>
              <xdr:cNvPr id="549" name="Straight Connector 548"/>
              <xdr:cNvCxnSpPr/>
            </xdr:nvCxnSpPr>
            <xdr:spPr bwMode="auto">
              <a:xfrm>
                <a:off x="2877234" y="1313006"/>
                <a:ext cx="3996046" cy="0"/>
              </a:xfrm>
              <a:prstGeom prst="line">
                <a:avLst/>
              </a:prstGeom>
              <a:ln w="12700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29982" name="Group 228"/>
              <xdr:cNvGrpSpPr>
                <a:grpSpLocks/>
              </xdr:cNvGrpSpPr>
            </xdr:nvGrpSpPr>
            <xdr:grpSpPr bwMode="auto">
              <a:xfrm>
                <a:off x="2466689" y="0"/>
                <a:ext cx="4390982" cy="1371103"/>
                <a:chOff x="2466689" y="0"/>
                <a:chExt cx="4390982" cy="1371103"/>
              </a:xfrm>
            </xdr:grpSpPr>
            <xdr:cxnSp macro="">
              <xdr:nvCxnSpPr>
                <xdr:cNvPr id="547" name="Straight Connector 546"/>
                <xdr:cNvCxnSpPr/>
              </xdr:nvCxnSpPr>
              <xdr:spPr bwMode="auto">
                <a:xfrm>
                  <a:off x="2861624" y="197532"/>
                  <a:ext cx="3996047" cy="0"/>
                </a:xfrm>
                <a:prstGeom prst="line">
                  <a:avLst/>
                </a:prstGeom>
                <a:ln w="1270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29984" name="Group 230"/>
                <xdr:cNvGrpSpPr>
                  <a:grpSpLocks/>
                </xdr:cNvGrpSpPr>
              </xdr:nvGrpSpPr>
              <xdr:grpSpPr bwMode="auto">
                <a:xfrm>
                  <a:off x="2466689" y="0"/>
                  <a:ext cx="4375373" cy="1371103"/>
                  <a:chOff x="2466689" y="0"/>
                  <a:chExt cx="4375373" cy="1371103"/>
                </a:xfrm>
              </xdr:grpSpPr>
              <xdr:grpSp>
                <xdr:nvGrpSpPr>
                  <xdr:cNvPr id="229985" name="Group 231"/>
                  <xdr:cNvGrpSpPr>
                    <a:grpSpLocks/>
                  </xdr:cNvGrpSpPr>
                </xdr:nvGrpSpPr>
                <xdr:grpSpPr bwMode="auto">
                  <a:xfrm>
                    <a:off x="2924062" y="126453"/>
                    <a:ext cx="3918000" cy="1244650"/>
                    <a:chOff x="2924062" y="126453"/>
                    <a:chExt cx="3918000" cy="1244650"/>
                  </a:xfrm>
                </xdr:grpSpPr>
                <xdr:cxnSp macro="">
                  <xdr:nvCxnSpPr>
                    <xdr:cNvPr id="544" name="Straight Connector 543"/>
                    <xdr:cNvCxnSpPr/>
                  </xdr:nvCxnSpPr>
                  <xdr:spPr bwMode="auto">
                    <a:xfrm>
                      <a:off x="2924062" y="162672"/>
                      <a:ext cx="0" cy="118519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38" name="Straight Connector 537"/>
                    <xdr:cNvCxnSpPr/>
                  </xdr:nvCxnSpPr>
                  <xdr:spPr bwMode="auto">
                    <a:xfrm rot="16200000" flipH="1">
                      <a:off x="2502676" y="746762"/>
                      <a:ext cx="1244649" cy="4031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32" name="Straight Connector 531"/>
                    <xdr:cNvCxnSpPr/>
                  </xdr:nvCxnSpPr>
                  <xdr:spPr bwMode="auto">
                    <a:xfrm>
                      <a:off x="3329925" y="162672"/>
                      <a:ext cx="0" cy="118519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26" name="Straight Connector 525"/>
                    <xdr:cNvCxnSpPr/>
                  </xdr:nvCxnSpPr>
                  <xdr:spPr bwMode="auto">
                    <a:xfrm>
                      <a:off x="3564076" y="162672"/>
                      <a:ext cx="0" cy="118519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20" name="Straight Connector 519"/>
                    <xdr:cNvCxnSpPr/>
                  </xdr:nvCxnSpPr>
                  <xdr:spPr bwMode="auto">
                    <a:xfrm>
                      <a:off x="3782618" y="185913"/>
                      <a:ext cx="0" cy="118519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14" name="Straight Connector 513"/>
                    <xdr:cNvCxnSpPr/>
                  </xdr:nvCxnSpPr>
                  <xdr:spPr bwMode="auto">
                    <a:xfrm>
                      <a:off x="4016793" y="209151"/>
                      <a:ext cx="0" cy="1138714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08" name="Straight Connector 507"/>
                    <xdr:cNvCxnSpPr/>
                  </xdr:nvCxnSpPr>
                  <xdr:spPr bwMode="auto">
                    <a:xfrm>
                      <a:off x="4172827" y="162672"/>
                      <a:ext cx="0" cy="118519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02" name="Straight Connector 501"/>
                    <xdr:cNvCxnSpPr/>
                  </xdr:nvCxnSpPr>
                  <xdr:spPr bwMode="auto">
                    <a:xfrm>
                      <a:off x="4375750" y="162672"/>
                      <a:ext cx="0" cy="1173572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96" name="Straight Connector 495"/>
                    <xdr:cNvCxnSpPr/>
                  </xdr:nvCxnSpPr>
                  <xdr:spPr bwMode="auto">
                    <a:xfrm>
                      <a:off x="4625503" y="151054"/>
                      <a:ext cx="0" cy="1208431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90" name="Straight Connector 489"/>
                    <xdr:cNvCxnSpPr/>
                  </xdr:nvCxnSpPr>
                  <xdr:spPr bwMode="auto">
                    <a:xfrm>
                      <a:off x="4828422" y="162674"/>
                      <a:ext cx="0" cy="119681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84" name="Straight Connector 483"/>
                    <xdr:cNvCxnSpPr/>
                  </xdr:nvCxnSpPr>
                  <xdr:spPr bwMode="auto">
                    <a:xfrm>
                      <a:off x="5983571" y="162672"/>
                      <a:ext cx="0" cy="1173572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78" name="Straight Connector 477"/>
                    <xdr:cNvCxnSpPr/>
                  </xdr:nvCxnSpPr>
                  <xdr:spPr bwMode="auto">
                    <a:xfrm>
                      <a:off x="6170853" y="209150"/>
                      <a:ext cx="0" cy="1150332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72" name="Straight Connector 471"/>
                    <xdr:cNvCxnSpPr/>
                  </xdr:nvCxnSpPr>
                  <xdr:spPr bwMode="auto">
                    <a:xfrm>
                      <a:off x="6404993" y="162672"/>
                      <a:ext cx="0" cy="1173572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66" name="Straight Connector 465"/>
                    <xdr:cNvCxnSpPr/>
                  </xdr:nvCxnSpPr>
                  <xdr:spPr bwMode="auto">
                    <a:xfrm>
                      <a:off x="6654745" y="162673"/>
                      <a:ext cx="0" cy="118519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60" name="Straight Connector 459"/>
                    <xdr:cNvCxnSpPr/>
                  </xdr:nvCxnSpPr>
                  <xdr:spPr bwMode="auto">
                    <a:xfrm>
                      <a:off x="5265495" y="151053"/>
                      <a:ext cx="0" cy="1208431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54" name="Straight Connector 453"/>
                    <xdr:cNvCxnSpPr/>
                  </xdr:nvCxnSpPr>
                  <xdr:spPr bwMode="auto">
                    <a:xfrm>
                      <a:off x="5546497" y="151053"/>
                      <a:ext cx="0" cy="118519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48" name="Straight Connector 447"/>
                    <xdr:cNvCxnSpPr/>
                  </xdr:nvCxnSpPr>
                  <xdr:spPr bwMode="auto">
                    <a:xfrm>
                      <a:off x="5765024" y="151053"/>
                      <a:ext cx="0" cy="1208431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42" name="Straight Connector 441"/>
                    <xdr:cNvCxnSpPr/>
                  </xdr:nvCxnSpPr>
                  <xdr:spPr bwMode="auto">
                    <a:xfrm>
                      <a:off x="5109410" y="151053"/>
                      <a:ext cx="0" cy="1208431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36" name="Straight Connector 435"/>
                    <xdr:cNvCxnSpPr/>
                  </xdr:nvCxnSpPr>
                  <xdr:spPr bwMode="auto">
                    <a:xfrm>
                      <a:off x="6842062" y="162673"/>
                      <a:ext cx="0" cy="1185192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229986" name="Group 232"/>
                  <xdr:cNvGrpSpPr>
                    <a:grpSpLocks/>
                  </xdr:cNvGrpSpPr>
                </xdr:nvGrpSpPr>
                <xdr:grpSpPr bwMode="auto">
                  <a:xfrm>
                    <a:off x="2466689" y="0"/>
                    <a:ext cx="4375371" cy="1289766"/>
                    <a:chOff x="2466689" y="0"/>
                    <a:chExt cx="4375371" cy="1289766"/>
                  </a:xfrm>
                </xdr:grpSpPr>
                <xdr:cxnSp macro="">
                  <xdr:nvCxnSpPr>
                    <xdr:cNvPr id="401" name="Straight Connector 400"/>
                    <xdr:cNvCxnSpPr/>
                  </xdr:nvCxnSpPr>
                  <xdr:spPr>
                    <a:xfrm>
                      <a:off x="2643090" y="197532"/>
                      <a:ext cx="109267" cy="0"/>
                    </a:xfrm>
                    <a:prstGeom prst="line">
                      <a:avLst/>
                    </a:prstGeom>
                    <a:ln w="3175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02" name="Straight Connector 401"/>
                    <xdr:cNvCxnSpPr/>
                  </xdr:nvCxnSpPr>
                  <xdr:spPr>
                    <a:xfrm>
                      <a:off x="2658700" y="1289766"/>
                      <a:ext cx="93657" cy="0"/>
                    </a:xfrm>
                    <a:prstGeom prst="line">
                      <a:avLst/>
                    </a:prstGeom>
                    <a:ln w="3175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03" name="Straight Connector 402"/>
                    <xdr:cNvCxnSpPr/>
                  </xdr:nvCxnSpPr>
                  <xdr:spPr>
                    <a:xfrm>
                      <a:off x="2689919" y="197532"/>
                      <a:ext cx="0" cy="395063"/>
                    </a:xfrm>
                    <a:prstGeom prst="line">
                      <a:avLst/>
                    </a:prstGeom>
                    <a:ln w="3175">
                      <a:solidFill>
                        <a:sysClr val="windowText" lastClr="00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04" name="Straight Connector 403"/>
                    <xdr:cNvCxnSpPr/>
                  </xdr:nvCxnSpPr>
                  <xdr:spPr>
                    <a:xfrm>
                      <a:off x="2705528" y="883083"/>
                      <a:ext cx="0" cy="406683"/>
                    </a:xfrm>
                    <a:prstGeom prst="line">
                      <a:avLst/>
                    </a:prstGeom>
                    <a:ln w="3175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05" name="Straight Connector 404"/>
                    <xdr:cNvCxnSpPr/>
                  </xdr:nvCxnSpPr>
                  <xdr:spPr>
                    <a:xfrm>
                      <a:off x="2658700" y="592595"/>
                      <a:ext cx="93657" cy="0"/>
                    </a:xfrm>
                    <a:prstGeom prst="line">
                      <a:avLst/>
                    </a:prstGeom>
                    <a:ln w="3175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06" name="Straight Connector 405"/>
                    <xdr:cNvCxnSpPr/>
                  </xdr:nvCxnSpPr>
                  <xdr:spPr>
                    <a:xfrm>
                      <a:off x="2658700" y="883083"/>
                      <a:ext cx="93657" cy="0"/>
                    </a:xfrm>
                    <a:prstGeom prst="line">
                      <a:avLst/>
                    </a:prstGeom>
                    <a:ln w="3175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407" name="Rectangle 406"/>
                    <xdr:cNvSpPr/>
                  </xdr:nvSpPr>
                  <xdr:spPr>
                    <a:xfrm>
                      <a:off x="2466689" y="474566"/>
                      <a:ext cx="390239" cy="441045"/>
                    </a:xfrm>
                    <a:prstGeom prst="rect">
                      <a:avLst/>
                    </a:prstGeom>
                    <a:ln>
                      <a:noFill/>
                    </a:ln>
                  </xdr:spPr>
                  <xdr:style>
                    <a:lnRef idx="2">
                      <a:schemeClr val="dk1"/>
                    </a:lnRef>
                    <a:fillRef idx="1">
                      <a:schemeClr val="lt1"/>
                    </a:fillRef>
                    <a:effectRef idx="0">
                      <a:schemeClr val="dk1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vert="vert270" rtlCol="0" anchor="t"/>
                    <a:lstStyle/>
                    <a:p>
                      <a:pPr algn="ctr"/>
                      <a:r>
                        <a:rPr lang="en-GB" sz="600">
                          <a:solidFill>
                            <a:schemeClr val="tx1"/>
                          </a:solidFill>
                        </a:rPr>
                        <a:t>2</a:t>
                      </a:r>
                      <a:r>
                        <a:rPr lang="id-ID" sz="600">
                          <a:solidFill>
                            <a:schemeClr val="tx1"/>
                          </a:solidFill>
                        </a:rPr>
                        <a:t>,9</a:t>
                      </a:r>
                      <a:r>
                        <a:rPr lang="id-ID" sz="600" baseline="0">
                          <a:solidFill>
                            <a:schemeClr val="tx1"/>
                          </a:solidFill>
                        </a:rPr>
                        <a:t> M</a:t>
                      </a:r>
                      <a:endParaRPr lang="id-ID" sz="600">
                        <a:solidFill>
                          <a:schemeClr val="tx1"/>
                        </a:solidFill>
                      </a:endParaRPr>
                    </a:p>
                  </xdr:txBody>
                </xdr:sp>
                <xdr:cxnSp macro="">
                  <xdr:nvCxnSpPr>
                    <xdr:cNvPr id="409" name="Straight Connector 408"/>
                    <xdr:cNvCxnSpPr/>
                  </xdr:nvCxnSpPr>
                  <xdr:spPr>
                    <a:xfrm>
                      <a:off x="2924062" y="0"/>
                      <a:ext cx="0" cy="151054"/>
                    </a:xfrm>
                    <a:prstGeom prst="line">
                      <a:avLst/>
                    </a:prstGeom>
                    <a:ln w="3175">
                      <a:solidFill>
                        <a:sysClr val="windowText" lastClr="00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10" name="Straight Connector 409"/>
                    <xdr:cNvCxnSpPr/>
                  </xdr:nvCxnSpPr>
                  <xdr:spPr>
                    <a:xfrm>
                      <a:off x="2924062" y="81337"/>
                      <a:ext cx="1592174" cy="0"/>
                    </a:xfrm>
                    <a:prstGeom prst="line">
                      <a:avLst/>
                    </a:prstGeom>
                    <a:ln w="3175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11" name="Straight Connector 410"/>
                    <xdr:cNvCxnSpPr/>
                  </xdr:nvCxnSpPr>
                  <xdr:spPr>
                    <a:xfrm>
                      <a:off x="5015742" y="92956"/>
                      <a:ext cx="1826318" cy="0"/>
                    </a:xfrm>
                    <a:prstGeom prst="line">
                      <a:avLst/>
                    </a:prstGeom>
                    <a:ln w="3175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12" name="Straight Connector 411"/>
                    <xdr:cNvCxnSpPr/>
                  </xdr:nvCxnSpPr>
                  <xdr:spPr>
                    <a:xfrm>
                      <a:off x="6842060" y="23239"/>
                      <a:ext cx="0" cy="116195"/>
                    </a:xfrm>
                    <a:prstGeom prst="line">
                      <a:avLst/>
                    </a:prstGeom>
                    <a:ln w="3175">
                      <a:solidFill>
                        <a:sysClr val="windowText" lastClr="00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</xdr:grpSp>
        </xdr:grpSp>
      </xdr:grpSp>
      <xdr:grpSp>
        <xdr:nvGrpSpPr>
          <xdr:cNvPr id="229971" name="Group 217"/>
          <xdr:cNvGrpSpPr>
            <a:grpSpLocks/>
          </xdr:cNvGrpSpPr>
        </xdr:nvGrpSpPr>
        <xdr:grpSpPr bwMode="auto">
          <a:xfrm>
            <a:off x="3145780" y="1606353"/>
            <a:ext cx="218534" cy="81337"/>
            <a:chOff x="3145780" y="1606353"/>
            <a:chExt cx="218534" cy="81337"/>
          </a:xfrm>
        </xdr:grpSpPr>
        <xdr:cxnSp macro="">
          <xdr:nvCxnSpPr>
            <xdr:cNvPr id="310" name="Straight Connector 309"/>
            <xdr:cNvCxnSpPr/>
          </xdr:nvCxnSpPr>
          <xdr:spPr>
            <a:xfrm>
              <a:off x="3145780" y="1606353"/>
              <a:ext cx="0" cy="81337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6" name="Straight Connector 315"/>
            <xdr:cNvCxnSpPr/>
          </xdr:nvCxnSpPr>
          <xdr:spPr>
            <a:xfrm>
              <a:off x="3364314" y="1606353"/>
              <a:ext cx="0" cy="81337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2" name="Straight Connector 321"/>
            <xdr:cNvCxnSpPr/>
          </xdr:nvCxnSpPr>
          <xdr:spPr>
            <a:xfrm>
              <a:off x="3145780" y="1687689"/>
              <a:ext cx="218533" cy="0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</xdr:col>
      <xdr:colOff>149226</xdr:colOff>
      <xdr:row>93</xdr:row>
      <xdr:rowOff>57945</xdr:rowOff>
    </xdr:from>
    <xdr:to>
      <xdr:col>7</xdr:col>
      <xdr:colOff>150814</xdr:colOff>
      <xdr:row>95</xdr:row>
      <xdr:rowOff>26988</xdr:rowOff>
    </xdr:to>
    <xdr:cxnSp macro="">
      <xdr:nvCxnSpPr>
        <xdr:cNvPr id="279" name="Straight Connector 278"/>
        <xdr:cNvCxnSpPr/>
      </xdr:nvCxnSpPr>
      <xdr:spPr>
        <a:xfrm rot="5400000">
          <a:off x="3956448" y="12233673"/>
          <a:ext cx="350043" cy="1588"/>
        </a:xfrm>
        <a:prstGeom prst="line">
          <a:avLst/>
        </a:prstGeom>
        <a:ln w="63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149226</xdr:colOff>
      <xdr:row>96</xdr:row>
      <xdr:rowOff>796</xdr:rowOff>
    </xdr:from>
    <xdr:to>
      <xdr:col>7</xdr:col>
      <xdr:colOff>150814</xdr:colOff>
      <xdr:row>97</xdr:row>
      <xdr:rowOff>160339</xdr:rowOff>
    </xdr:to>
    <xdr:cxnSp macro="">
      <xdr:nvCxnSpPr>
        <xdr:cNvPr id="282" name="Straight Connector 281"/>
        <xdr:cNvCxnSpPr/>
      </xdr:nvCxnSpPr>
      <xdr:spPr>
        <a:xfrm rot="5400000">
          <a:off x="3956448" y="12748024"/>
          <a:ext cx="350043" cy="1588"/>
        </a:xfrm>
        <a:prstGeom prst="line">
          <a:avLst/>
        </a:prstGeom>
        <a:ln w="63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111919</xdr:colOff>
      <xdr:row>93</xdr:row>
      <xdr:rowOff>52388</xdr:rowOff>
    </xdr:from>
    <xdr:to>
      <xdr:col>7</xdr:col>
      <xdr:colOff>188119</xdr:colOff>
      <xdr:row>93</xdr:row>
      <xdr:rowOff>53976</xdr:rowOff>
    </xdr:to>
    <xdr:cxnSp macro="">
      <xdr:nvCxnSpPr>
        <xdr:cNvPr id="285" name="Straight Connector 284"/>
        <xdr:cNvCxnSpPr/>
      </xdr:nvCxnSpPr>
      <xdr:spPr>
        <a:xfrm>
          <a:off x="4093369" y="12053888"/>
          <a:ext cx="76200" cy="15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109538</xdr:colOff>
      <xdr:row>95</xdr:row>
      <xdr:rowOff>23812</xdr:rowOff>
    </xdr:from>
    <xdr:to>
      <xdr:col>7</xdr:col>
      <xdr:colOff>185738</xdr:colOff>
      <xdr:row>95</xdr:row>
      <xdr:rowOff>25400</xdr:rowOff>
    </xdr:to>
    <xdr:cxnSp macro="">
      <xdr:nvCxnSpPr>
        <xdr:cNvPr id="287" name="Straight Connector 286"/>
        <xdr:cNvCxnSpPr/>
      </xdr:nvCxnSpPr>
      <xdr:spPr>
        <a:xfrm>
          <a:off x="4090988" y="12406312"/>
          <a:ext cx="76200" cy="15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111919</xdr:colOff>
      <xdr:row>96</xdr:row>
      <xdr:rowOff>0</xdr:rowOff>
    </xdr:from>
    <xdr:to>
      <xdr:col>7</xdr:col>
      <xdr:colOff>188119</xdr:colOff>
      <xdr:row>96</xdr:row>
      <xdr:rowOff>1588</xdr:rowOff>
    </xdr:to>
    <xdr:cxnSp macro="">
      <xdr:nvCxnSpPr>
        <xdr:cNvPr id="288" name="Straight Connector 287"/>
        <xdr:cNvCxnSpPr/>
      </xdr:nvCxnSpPr>
      <xdr:spPr>
        <a:xfrm>
          <a:off x="4093369" y="12573000"/>
          <a:ext cx="76200" cy="15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116682</xdr:colOff>
      <xdr:row>97</xdr:row>
      <xdr:rowOff>161925</xdr:rowOff>
    </xdr:from>
    <xdr:to>
      <xdr:col>7</xdr:col>
      <xdr:colOff>192882</xdr:colOff>
      <xdr:row>97</xdr:row>
      <xdr:rowOff>163513</xdr:rowOff>
    </xdr:to>
    <xdr:cxnSp macro="">
      <xdr:nvCxnSpPr>
        <xdr:cNvPr id="289" name="Straight Connector 288"/>
        <xdr:cNvCxnSpPr/>
      </xdr:nvCxnSpPr>
      <xdr:spPr>
        <a:xfrm>
          <a:off x="4098132" y="12925425"/>
          <a:ext cx="76200" cy="15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518950</xdr:colOff>
      <xdr:row>119</xdr:row>
      <xdr:rowOff>98533</xdr:rowOff>
    </xdr:from>
    <xdr:to>
      <xdr:col>4</xdr:col>
      <xdr:colOff>786278</xdr:colOff>
      <xdr:row>122</xdr:row>
      <xdr:rowOff>11646</xdr:rowOff>
    </xdr:to>
    <xdr:pic>
      <xdr:nvPicPr>
        <xdr:cNvPr id="157" name="Picture 156" descr="GALIANPA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950" y="15712964"/>
          <a:ext cx="2857500" cy="484613"/>
        </a:xfrm>
        <a:prstGeom prst="rect">
          <a:avLst/>
        </a:prstGeom>
      </xdr:spPr>
    </xdr:pic>
    <xdr:clientData/>
  </xdr:twoCellAnchor>
  <xdr:twoCellAnchor editAs="oneCell">
    <xdr:from>
      <xdr:col>0</xdr:col>
      <xdr:colOff>135356</xdr:colOff>
      <xdr:row>125</xdr:row>
      <xdr:rowOff>140368</xdr:rowOff>
    </xdr:from>
    <xdr:to>
      <xdr:col>3</xdr:col>
      <xdr:colOff>694740</xdr:colOff>
      <xdr:row>128</xdr:row>
      <xdr:rowOff>137448</xdr:rowOff>
    </xdr:to>
    <xdr:pic>
      <xdr:nvPicPr>
        <xdr:cNvPr id="158" name="Picture 157" descr="Untitled-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56" y="16904368"/>
          <a:ext cx="2406315" cy="568580"/>
        </a:xfrm>
        <a:prstGeom prst="rect">
          <a:avLst/>
        </a:prstGeom>
      </xdr:spPr>
    </xdr:pic>
    <xdr:clientData/>
  </xdr:twoCellAnchor>
  <xdr:twoCellAnchor>
    <xdr:from>
      <xdr:col>4</xdr:col>
      <xdr:colOff>330992</xdr:colOff>
      <xdr:row>126</xdr:row>
      <xdr:rowOff>0</xdr:rowOff>
    </xdr:from>
    <xdr:to>
      <xdr:col>4</xdr:col>
      <xdr:colOff>333373</xdr:colOff>
      <xdr:row>128</xdr:row>
      <xdr:rowOff>104775</xdr:rowOff>
    </xdr:to>
    <xdr:cxnSp macro="">
      <xdr:nvCxnSpPr>
        <xdr:cNvPr id="160" name="Straight Arrow Connector 159"/>
        <xdr:cNvCxnSpPr/>
      </xdr:nvCxnSpPr>
      <xdr:spPr>
        <a:xfrm rot="5400000">
          <a:off x="2346720" y="17196197"/>
          <a:ext cx="485775" cy="238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19050</xdr:rowOff>
    </xdr:from>
    <xdr:to>
      <xdr:col>1</xdr:col>
      <xdr:colOff>338667</xdr:colOff>
      <xdr:row>2</xdr:row>
      <xdr:rowOff>130969</xdr:rowOff>
    </xdr:to>
    <xdr:pic>
      <xdr:nvPicPr>
        <xdr:cNvPr id="51167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19050"/>
          <a:ext cx="692150" cy="7892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44</xdr:row>
      <xdr:rowOff>202405</xdr:rowOff>
    </xdr:from>
    <xdr:to>
      <xdr:col>1</xdr:col>
      <xdr:colOff>507873</xdr:colOff>
      <xdr:row>46</xdr:row>
      <xdr:rowOff>333374</xdr:rowOff>
    </xdr:to>
    <xdr:pic>
      <xdr:nvPicPr>
        <xdr:cNvPr id="51168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9727405"/>
          <a:ext cx="853154" cy="6786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97</xdr:row>
      <xdr:rowOff>0</xdr:rowOff>
    </xdr:from>
    <xdr:to>
      <xdr:col>1</xdr:col>
      <xdr:colOff>487299</xdr:colOff>
      <xdr:row>99</xdr:row>
      <xdr:rowOff>23812</xdr:rowOff>
    </xdr:to>
    <xdr:pic>
      <xdr:nvPicPr>
        <xdr:cNvPr id="51169" name="Picture 3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21181219"/>
          <a:ext cx="842105" cy="6905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150</xdr:row>
      <xdr:rowOff>19050</xdr:rowOff>
    </xdr:from>
    <xdr:to>
      <xdr:col>1</xdr:col>
      <xdr:colOff>338667</xdr:colOff>
      <xdr:row>152</xdr:row>
      <xdr:rowOff>152135</xdr:rowOff>
    </xdr:to>
    <xdr:pic>
      <xdr:nvPicPr>
        <xdr:cNvPr id="6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19050"/>
          <a:ext cx="692150" cy="7892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200</xdr:row>
      <xdr:rowOff>19050</xdr:rowOff>
    </xdr:from>
    <xdr:to>
      <xdr:col>1</xdr:col>
      <xdr:colOff>338667</xdr:colOff>
      <xdr:row>202</xdr:row>
      <xdr:rowOff>152135</xdr:rowOff>
    </xdr:to>
    <xdr:pic>
      <xdr:nvPicPr>
        <xdr:cNvPr id="7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32565975"/>
          <a:ext cx="691092" cy="7807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19050</xdr:rowOff>
    </xdr:from>
    <xdr:to>
      <xdr:col>1</xdr:col>
      <xdr:colOff>638175</xdr:colOff>
      <xdr:row>2</xdr:row>
      <xdr:rowOff>285750</xdr:rowOff>
    </xdr:to>
    <xdr:pic>
      <xdr:nvPicPr>
        <xdr:cNvPr id="4330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19050"/>
          <a:ext cx="847725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19050</xdr:rowOff>
    </xdr:from>
    <xdr:to>
      <xdr:col>2</xdr:col>
      <xdr:colOff>266700</xdr:colOff>
      <xdr:row>2</xdr:row>
      <xdr:rowOff>285750</xdr:rowOff>
    </xdr:to>
    <xdr:pic>
      <xdr:nvPicPr>
        <xdr:cNvPr id="2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4800" y="19050"/>
          <a:ext cx="876300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96</xdr:col>
      <xdr:colOff>142875</xdr:colOff>
      <xdr:row>44</xdr:row>
      <xdr:rowOff>57150</xdr:rowOff>
    </xdr:from>
    <xdr:to>
      <xdr:col>100</xdr:col>
      <xdr:colOff>76201</xdr:colOff>
      <xdr:row>49</xdr:row>
      <xdr:rowOff>133350</xdr:rowOff>
    </xdr:to>
    <xdr:pic>
      <xdr:nvPicPr>
        <xdr:cNvPr id="229216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82175" y="7696200"/>
          <a:ext cx="8096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190500</xdr:colOff>
      <xdr:row>69</xdr:row>
      <xdr:rowOff>46463</xdr:rowOff>
    </xdr:from>
    <xdr:to>
      <xdr:col>8</xdr:col>
      <xdr:colOff>134744</xdr:colOff>
      <xdr:row>69</xdr:row>
      <xdr:rowOff>51110</xdr:rowOff>
    </xdr:to>
    <xdr:cxnSp macro="">
      <xdr:nvCxnSpPr>
        <xdr:cNvPr id="256" name="Straight Connector 255"/>
        <xdr:cNvCxnSpPr/>
      </xdr:nvCxnSpPr>
      <xdr:spPr>
        <a:xfrm flipH="1" flipV="1">
          <a:off x="1747024" y="11313841"/>
          <a:ext cx="162622" cy="464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181004</xdr:colOff>
      <xdr:row>3</xdr:row>
      <xdr:rowOff>152404</xdr:rowOff>
    </xdr:from>
    <xdr:to>
      <xdr:col>36</xdr:col>
      <xdr:colOff>12736</xdr:colOff>
      <xdr:row>13</xdr:row>
      <xdr:rowOff>133113</xdr:rowOff>
    </xdr:to>
    <xdr:grpSp>
      <xdr:nvGrpSpPr>
        <xdr:cNvPr id="264" name="Group 390"/>
        <xdr:cNvGrpSpPr>
          <a:grpSpLocks/>
        </xdr:cNvGrpSpPr>
      </xdr:nvGrpSpPr>
      <xdr:grpSpPr bwMode="auto">
        <a:xfrm>
          <a:off x="181004" y="647704"/>
          <a:ext cx="7775582" cy="1599959"/>
          <a:chOff x="3004595" y="644342"/>
          <a:chExt cx="5159705" cy="1354359"/>
        </a:xfrm>
      </xdr:grpSpPr>
      <xdr:grpSp>
        <xdr:nvGrpSpPr>
          <xdr:cNvPr id="268" name="Group 7"/>
          <xdr:cNvGrpSpPr>
            <a:grpSpLocks/>
          </xdr:cNvGrpSpPr>
        </xdr:nvGrpSpPr>
        <xdr:grpSpPr bwMode="auto">
          <a:xfrm>
            <a:off x="3004595" y="644342"/>
            <a:ext cx="5159705" cy="1322116"/>
            <a:chOff x="2902857" y="1034141"/>
            <a:chExt cx="3939206" cy="425025"/>
          </a:xfrm>
        </xdr:grpSpPr>
        <xdr:cxnSp macro="">
          <xdr:nvCxnSpPr>
            <xdr:cNvPr id="269" name="Straight Connector 8"/>
            <xdr:cNvCxnSpPr/>
          </xdr:nvCxnSpPr>
          <xdr:spPr>
            <a:xfrm>
              <a:off x="2907714" y="1207779"/>
              <a:ext cx="3924634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2" name="Oval 271"/>
            <xdr:cNvSpPr/>
          </xdr:nvSpPr>
          <xdr:spPr>
            <a:xfrm flipH="1" flipV="1">
              <a:off x="2922286" y="1210371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73" name="Oval 272"/>
            <xdr:cNvSpPr/>
          </xdr:nvSpPr>
          <xdr:spPr>
            <a:xfrm flipH="1" flipV="1">
              <a:off x="4233735" y="1215554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74" name="Oval 273"/>
            <xdr:cNvSpPr/>
          </xdr:nvSpPr>
          <xdr:spPr>
            <a:xfrm flipH="1" flipV="1">
              <a:off x="5977477" y="1218146"/>
              <a:ext cx="58287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75" name="Oval 274"/>
            <xdr:cNvSpPr/>
          </xdr:nvSpPr>
          <xdr:spPr>
            <a:xfrm flipH="1" flipV="1">
              <a:off x="6404913" y="1210371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76" name="Oval 275"/>
            <xdr:cNvSpPr/>
          </xdr:nvSpPr>
          <xdr:spPr>
            <a:xfrm flipH="1" flipV="1">
              <a:off x="6759490" y="1210371"/>
              <a:ext cx="53429" cy="51832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77" name="Oval 276"/>
            <xdr:cNvSpPr/>
          </xdr:nvSpPr>
          <xdr:spPr>
            <a:xfrm flipH="1" flipV="1">
              <a:off x="3767442" y="1212962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78" name="Oval 277"/>
            <xdr:cNvSpPr/>
          </xdr:nvSpPr>
          <xdr:spPr>
            <a:xfrm flipH="1" flipV="1">
              <a:off x="5103178" y="1210371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79" name="Oval 278"/>
            <xdr:cNvSpPr/>
          </xdr:nvSpPr>
          <xdr:spPr>
            <a:xfrm flipH="1" flipV="1">
              <a:off x="3335150" y="1215554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80" name="Oval 279"/>
            <xdr:cNvSpPr/>
          </xdr:nvSpPr>
          <xdr:spPr>
            <a:xfrm flipH="1" flipV="1">
              <a:off x="4666028" y="1215554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81" name="Oval 280"/>
            <xdr:cNvSpPr/>
          </xdr:nvSpPr>
          <xdr:spPr>
            <a:xfrm flipH="1" flipV="1">
              <a:off x="5535470" y="1212962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cxnSp macro="">
          <xdr:nvCxnSpPr>
            <xdr:cNvPr id="283" name="Straight Connector 282"/>
            <xdr:cNvCxnSpPr/>
          </xdr:nvCxnSpPr>
          <xdr:spPr>
            <a:xfrm>
              <a:off x="2902857" y="1034141"/>
              <a:ext cx="0" cy="119214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283"/>
            <xdr:cNvCxnSpPr/>
          </xdr:nvCxnSpPr>
          <xdr:spPr>
            <a:xfrm>
              <a:off x="2902857" y="1098931"/>
              <a:ext cx="1777743" cy="0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284"/>
            <xdr:cNvCxnSpPr/>
          </xdr:nvCxnSpPr>
          <xdr:spPr>
            <a:xfrm>
              <a:off x="5059463" y="1093748"/>
              <a:ext cx="1782600" cy="0"/>
            </a:xfrm>
            <a:prstGeom prst="line">
              <a:avLst/>
            </a:prstGeom>
            <a:ln w="31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285"/>
            <xdr:cNvCxnSpPr/>
          </xdr:nvCxnSpPr>
          <xdr:spPr>
            <a:xfrm>
              <a:off x="6842063" y="1034141"/>
              <a:ext cx="0" cy="119214"/>
            </a:xfrm>
            <a:prstGeom prst="line">
              <a:avLst/>
            </a:prstGeom>
            <a:ln w="31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5" name="Rectangle 294"/>
            <xdr:cNvSpPr/>
          </xdr:nvSpPr>
          <xdr:spPr>
            <a:xfrm>
              <a:off x="3626583" y="1412517"/>
              <a:ext cx="582866" cy="46649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id-ID" sz="800">
                  <a:solidFill>
                    <a:schemeClr val="tx1"/>
                  </a:solidFill>
                </a:rPr>
                <a:t>Ø 8-12</a:t>
              </a:r>
            </a:p>
          </xdr:txBody>
        </xdr:sp>
        <xdr:cxnSp macro="">
          <xdr:nvCxnSpPr>
            <xdr:cNvPr id="296" name="Straight Connector 295"/>
            <xdr:cNvCxnSpPr/>
          </xdr:nvCxnSpPr>
          <xdr:spPr>
            <a:xfrm>
              <a:off x="5132321" y="1293302"/>
              <a:ext cx="0" cy="77748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7" name="Straight Connector 296"/>
            <xdr:cNvCxnSpPr/>
          </xdr:nvCxnSpPr>
          <xdr:spPr>
            <a:xfrm>
              <a:off x="5569471" y="1293302"/>
              <a:ext cx="0" cy="77748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8" name="Straight Connector 297"/>
            <xdr:cNvCxnSpPr/>
          </xdr:nvCxnSpPr>
          <xdr:spPr>
            <a:xfrm>
              <a:off x="5132321" y="1329585"/>
              <a:ext cx="437150" cy="0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'2. TOS'!M76">
        <xdr:nvSpPr>
          <xdr:cNvPr id="266" name="Rectangle 265"/>
          <xdr:cNvSpPr/>
        </xdr:nvSpPr>
        <xdr:spPr>
          <a:xfrm>
            <a:off x="5931150" y="1772974"/>
            <a:ext cx="578953" cy="225727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fld id="{7562C229-B1E2-4A68-AE94-9973F8CD0799}" type="TxLink">
              <a:rPr lang="en-US" sz="1100" b="0" i="0" u="none" strike="noStrike">
                <a:solidFill>
                  <a:srgbClr val="000000"/>
                </a:solidFill>
                <a:latin typeface="Times New Roman"/>
                <a:cs typeface="Times New Roman"/>
              </a:rPr>
              <a:pPr algn="ctr"/>
              <a:t>0.2  M</a:t>
            </a:fld>
            <a:endParaRPr lang="id-ID" sz="8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44</xdr:col>
      <xdr:colOff>142875</xdr:colOff>
      <xdr:row>1</xdr:row>
      <xdr:rowOff>57150</xdr:rowOff>
    </xdr:from>
    <xdr:to>
      <xdr:col>48</xdr:col>
      <xdr:colOff>76200</xdr:colOff>
      <xdr:row>6</xdr:row>
      <xdr:rowOff>133350</xdr:rowOff>
    </xdr:to>
    <xdr:pic>
      <xdr:nvPicPr>
        <xdr:cNvPr id="299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63125" y="228600"/>
          <a:ext cx="8096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44</xdr:col>
      <xdr:colOff>142875</xdr:colOff>
      <xdr:row>44</xdr:row>
      <xdr:rowOff>57150</xdr:rowOff>
    </xdr:from>
    <xdr:to>
      <xdr:col>48</xdr:col>
      <xdr:colOff>76200</xdr:colOff>
      <xdr:row>49</xdr:row>
      <xdr:rowOff>133350</xdr:rowOff>
    </xdr:to>
    <xdr:pic>
      <xdr:nvPicPr>
        <xdr:cNvPr id="300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810750" y="7696200"/>
          <a:ext cx="8096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162622</xdr:colOff>
      <xdr:row>69</xdr:row>
      <xdr:rowOff>51110</xdr:rowOff>
    </xdr:from>
    <xdr:to>
      <xdr:col>25</xdr:col>
      <xdr:colOff>120829</xdr:colOff>
      <xdr:row>69</xdr:row>
      <xdr:rowOff>53157</xdr:rowOff>
    </xdr:to>
    <xdr:cxnSp macro="">
      <xdr:nvCxnSpPr>
        <xdr:cNvPr id="317" name="Straight Connector 316"/>
        <xdr:cNvCxnSpPr/>
      </xdr:nvCxnSpPr>
      <xdr:spPr>
        <a:xfrm flipH="1" flipV="1">
          <a:off x="5478037" y="11318488"/>
          <a:ext cx="176585" cy="204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112008</xdr:colOff>
      <xdr:row>68</xdr:row>
      <xdr:rowOff>113246</xdr:rowOff>
    </xdr:from>
    <xdr:to>
      <xdr:col>25</xdr:col>
      <xdr:colOff>112008</xdr:colOff>
      <xdr:row>69</xdr:row>
      <xdr:rowOff>56723</xdr:rowOff>
    </xdr:to>
    <xdr:cxnSp macro="">
      <xdr:nvCxnSpPr>
        <xdr:cNvPr id="325" name="Straight Connector 324"/>
        <xdr:cNvCxnSpPr/>
      </xdr:nvCxnSpPr>
      <xdr:spPr>
        <a:xfrm>
          <a:off x="5588883" y="11819471"/>
          <a:ext cx="0" cy="105402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196457</xdr:colOff>
      <xdr:row>68</xdr:row>
      <xdr:rowOff>108617</xdr:rowOff>
    </xdr:from>
    <xdr:to>
      <xdr:col>7</xdr:col>
      <xdr:colOff>196457</xdr:colOff>
      <xdr:row>69</xdr:row>
      <xdr:rowOff>52094</xdr:rowOff>
    </xdr:to>
    <xdr:cxnSp macro="">
      <xdr:nvCxnSpPr>
        <xdr:cNvPr id="327" name="Straight Connector 326"/>
        <xdr:cNvCxnSpPr/>
      </xdr:nvCxnSpPr>
      <xdr:spPr>
        <a:xfrm>
          <a:off x="1752981" y="11213373"/>
          <a:ext cx="0" cy="106099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162622</xdr:colOff>
      <xdr:row>67</xdr:row>
      <xdr:rowOff>157976</xdr:rowOff>
    </xdr:from>
    <xdr:to>
      <xdr:col>27</xdr:col>
      <xdr:colOff>207819</xdr:colOff>
      <xdr:row>68</xdr:row>
      <xdr:rowOff>103910</xdr:rowOff>
    </xdr:to>
    <xdr:cxnSp macro="">
      <xdr:nvCxnSpPr>
        <xdr:cNvPr id="331" name="Straight Connector 330"/>
        <xdr:cNvCxnSpPr/>
      </xdr:nvCxnSpPr>
      <xdr:spPr>
        <a:xfrm>
          <a:off x="5478037" y="11100110"/>
          <a:ext cx="709623" cy="1085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19707</xdr:colOff>
      <xdr:row>65</xdr:row>
      <xdr:rowOff>59121</xdr:rowOff>
    </xdr:from>
    <xdr:to>
      <xdr:col>26</xdr:col>
      <xdr:colOff>197069</xdr:colOff>
      <xdr:row>65</xdr:row>
      <xdr:rowOff>78828</xdr:rowOff>
    </xdr:to>
    <xdr:cxnSp macro="">
      <xdr:nvCxnSpPr>
        <xdr:cNvPr id="334" name="Straight Connector 333"/>
        <xdr:cNvCxnSpPr/>
      </xdr:nvCxnSpPr>
      <xdr:spPr>
        <a:xfrm>
          <a:off x="5090948" y="11265776"/>
          <a:ext cx="827690" cy="197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64</xdr:row>
      <xdr:rowOff>17317</xdr:rowOff>
    </xdr:from>
    <xdr:to>
      <xdr:col>23</xdr:col>
      <xdr:colOff>0</xdr:colOff>
      <xdr:row>65</xdr:row>
      <xdr:rowOff>127564</xdr:rowOff>
    </xdr:to>
    <xdr:cxnSp macro="">
      <xdr:nvCxnSpPr>
        <xdr:cNvPr id="335" name="Straight Connector 334"/>
        <xdr:cNvCxnSpPr/>
      </xdr:nvCxnSpPr>
      <xdr:spPr>
        <a:xfrm>
          <a:off x="5038725" y="11075842"/>
          <a:ext cx="0" cy="27217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199160</xdr:colOff>
      <xdr:row>64</xdr:row>
      <xdr:rowOff>60612</xdr:rowOff>
    </xdr:from>
    <xdr:to>
      <xdr:col>9</xdr:col>
      <xdr:colOff>199160</xdr:colOff>
      <xdr:row>66</xdr:row>
      <xdr:rowOff>6337</xdr:rowOff>
    </xdr:to>
    <xdr:cxnSp macro="">
      <xdr:nvCxnSpPr>
        <xdr:cNvPr id="336" name="Straight Connector 335"/>
        <xdr:cNvCxnSpPr/>
      </xdr:nvCxnSpPr>
      <xdr:spPr>
        <a:xfrm>
          <a:off x="2170835" y="11119137"/>
          <a:ext cx="0" cy="269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207819</xdr:colOff>
      <xdr:row>65</xdr:row>
      <xdr:rowOff>0</xdr:rowOff>
    </xdr:from>
    <xdr:to>
      <xdr:col>24</xdr:col>
      <xdr:colOff>25977</xdr:colOff>
      <xdr:row>65</xdr:row>
      <xdr:rowOff>0</xdr:rowOff>
    </xdr:to>
    <xdr:cxnSp macro="">
      <xdr:nvCxnSpPr>
        <xdr:cNvPr id="337" name="Straight Connector 336"/>
        <xdr:cNvCxnSpPr/>
      </xdr:nvCxnSpPr>
      <xdr:spPr>
        <a:xfrm>
          <a:off x="1987170" y="10582883"/>
          <a:ext cx="3368754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64</xdr:row>
      <xdr:rowOff>17317</xdr:rowOff>
    </xdr:from>
    <xdr:to>
      <xdr:col>24</xdr:col>
      <xdr:colOff>0</xdr:colOff>
      <xdr:row>65</xdr:row>
      <xdr:rowOff>127564</xdr:rowOff>
    </xdr:to>
    <xdr:cxnSp macro="">
      <xdr:nvCxnSpPr>
        <xdr:cNvPr id="339" name="Straight Connector 338"/>
        <xdr:cNvCxnSpPr/>
      </xdr:nvCxnSpPr>
      <xdr:spPr>
        <a:xfrm>
          <a:off x="5257800" y="11075842"/>
          <a:ext cx="0" cy="27217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</xdr:colOff>
      <xdr:row>64</xdr:row>
      <xdr:rowOff>43294</xdr:rowOff>
    </xdr:from>
    <xdr:to>
      <xdr:col>9</xdr:col>
      <xdr:colOff>1</xdr:colOff>
      <xdr:row>65</xdr:row>
      <xdr:rowOff>153541</xdr:rowOff>
    </xdr:to>
    <xdr:cxnSp macro="">
      <xdr:nvCxnSpPr>
        <xdr:cNvPr id="340" name="Straight Connector 339"/>
        <xdr:cNvCxnSpPr/>
      </xdr:nvCxnSpPr>
      <xdr:spPr>
        <a:xfrm>
          <a:off x="1971676" y="11101819"/>
          <a:ext cx="0" cy="27217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199160</xdr:colOff>
      <xdr:row>61</xdr:row>
      <xdr:rowOff>155864</xdr:rowOff>
    </xdr:from>
    <xdr:to>
      <xdr:col>24</xdr:col>
      <xdr:colOff>17318</xdr:colOff>
      <xdr:row>61</xdr:row>
      <xdr:rowOff>155864</xdr:rowOff>
    </xdr:to>
    <xdr:cxnSp macro="">
      <xdr:nvCxnSpPr>
        <xdr:cNvPr id="341" name="Straight Connector 340"/>
        <xdr:cNvCxnSpPr/>
      </xdr:nvCxnSpPr>
      <xdr:spPr>
        <a:xfrm>
          <a:off x="1951760" y="10728614"/>
          <a:ext cx="3323358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199159</xdr:colOff>
      <xdr:row>61</xdr:row>
      <xdr:rowOff>8658</xdr:rowOff>
    </xdr:from>
    <xdr:to>
      <xdr:col>22</xdr:col>
      <xdr:colOff>199159</xdr:colOff>
      <xdr:row>62</xdr:row>
      <xdr:rowOff>118906</xdr:rowOff>
    </xdr:to>
    <xdr:cxnSp macro="">
      <xdr:nvCxnSpPr>
        <xdr:cNvPr id="342" name="Straight Connector 341"/>
        <xdr:cNvCxnSpPr/>
      </xdr:nvCxnSpPr>
      <xdr:spPr>
        <a:xfrm>
          <a:off x="5018809" y="10581408"/>
          <a:ext cx="0" cy="27217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0</xdr:colOff>
      <xdr:row>62</xdr:row>
      <xdr:rowOff>101586</xdr:rowOff>
    </xdr:to>
    <xdr:cxnSp macro="">
      <xdr:nvCxnSpPr>
        <xdr:cNvPr id="343" name="Straight Connector 342"/>
        <xdr:cNvCxnSpPr/>
      </xdr:nvCxnSpPr>
      <xdr:spPr>
        <a:xfrm>
          <a:off x="2190750" y="10566686"/>
          <a:ext cx="0" cy="269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210225</xdr:colOff>
      <xdr:row>20</xdr:row>
      <xdr:rowOff>12159</xdr:rowOff>
    </xdr:from>
    <xdr:to>
      <xdr:col>37</xdr:col>
      <xdr:colOff>58532</xdr:colOff>
      <xdr:row>36</xdr:row>
      <xdr:rowOff>126459</xdr:rowOff>
    </xdr:to>
    <xdr:grpSp>
      <xdr:nvGrpSpPr>
        <xdr:cNvPr id="345" name="Group 215"/>
        <xdr:cNvGrpSpPr>
          <a:grpSpLocks/>
        </xdr:cNvGrpSpPr>
      </xdr:nvGrpSpPr>
      <xdr:grpSpPr bwMode="auto">
        <a:xfrm>
          <a:off x="429300" y="3260184"/>
          <a:ext cx="7792157" cy="2705100"/>
          <a:chOff x="2834403" y="223631"/>
          <a:chExt cx="4244966" cy="1460802"/>
        </a:xfrm>
      </xdr:grpSpPr>
      <xdr:grpSp>
        <xdr:nvGrpSpPr>
          <xdr:cNvPr id="346" name="Group 216"/>
          <xdr:cNvGrpSpPr>
            <a:grpSpLocks/>
          </xdr:cNvGrpSpPr>
        </xdr:nvGrpSpPr>
        <xdr:grpSpPr bwMode="auto">
          <a:xfrm>
            <a:off x="2834403" y="223631"/>
            <a:ext cx="4244966" cy="1414510"/>
            <a:chOff x="2440979" y="8283"/>
            <a:chExt cx="4244966" cy="1414510"/>
          </a:xfrm>
        </xdr:grpSpPr>
        <xdr:cxnSp macro="">
          <xdr:nvCxnSpPr>
            <xdr:cNvPr id="353" name="Straight Connector 352"/>
            <xdr:cNvCxnSpPr/>
          </xdr:nvCxnSpPr>
          <xdr:spPr>
            <a:xfrm flipH="1">
              <a:off x="6597092" y="219173"/>
              <a:ext cx="36595" cy="41149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354" name="Group 223"/>
            <xdr:cNvGrpSpPr>
              <a:grpSpLocks/>
            </xdr:cNvGrpSpPr>
          </xdr:nvGrpSpPr>
          <xdr:grpSpPr bwMode="auto">
            <a:xfrm>
              <a:off x="2440979" y="8283"/>
              <a:ext cx="4244966" cy="1414510"/>
              <a:chOff x="2643903" y="0"/>
              <a:chExt cx="4244966" cy="1414510"/>
            </a:xfrm>
          </xdr:grpSpPr>
          <xdr:grpSp>
            <xdr:nvGrpSpPr>
              <xdr:cNvPr id="355" name="Group 224"/>
              <xdr:cNvGrpSpPr>
                <a:grpSpLocks/>
              </xdr:cNvGrpSpPr>
            </xdr:nvGrpSpPr>
            <xdr:grpSpPr bwMode="auto">
              <a:xfrm>
                <a:off x="2853015" y="594224"/>
                <a:ext cx="4004507" cy="46920"/>
                <a:chOff x="2864288" y="202157"/>
                <a:chExt cx="4070627" cy="46920"/>
              </a:xfrm>
            </xdr:grpSpPr>
            <xdr:cxnSp macro="">
              <xdr:nvCxnSpPr>
                <xdr:cNvPr id="635" name="Straight Connector 634"/>
                <xdr:cNvCxnSpPr/>
              </xdr:nvCxnSpPr>
              <xdr:spPr>
                <a:xfrm>
                  <a:off x="2864288" y="202157"/>
                  <a:ext cx="4059998" cy="0"/>
                </a:xfrm>
                <a:prstGeom prst="line">
                  <a:avLst/>
                </a:prstGeom>
                <a:ln w="1270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36" name="Straight Connector 635"/>
                <xdr:cNvCxnSpPr/>
              </xdr:nvCxnSpPr>
              <xdr:spPr>
                <a:xfrm flipH="1">
                  <a:off x="6887088" y="202157"/>
                  <a:ext cx="47827" cy="46920"/>
                </a:xfrm>
                <a:prstGeom prst="line">
                  <a:avLst/>
                </a:prstGeom>
                <a:ln w="1270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357" name="Group 225"/>
              <xdr:cNvGrpSpPr>
                <a:grpSpLocks/>
              </xdr:cNvGrpSpPr>
            </xdr:nvGrpSpPr>
            <xdr:grpSpPr bwMode="auto">
              <a:xfrm>
                <a:off x="2853015" y="873042"/>
                <a:ext cx="4004506" cy="30355"/>
                <a:chOff x="2866838" y="198567"/>
                <a:chExt cx="4104739" cy="30355"/>
              </a:xfrm>
            </xdr:grpSpPr>
            <xdr:cxnSp macro="">
              <xdr:nvCxnSpPr>
                <xdr:cNvPr id="632" name="Straight Connector 631"/>
                <xdr:cNvCxnSpPr/>
              </xdr:nvCxnSpPr>
              <xdr:spPr>
                <a:xfrm>
                  <a:off x="2866838" y="198567"/>
                  <a:ext cx="4088663" cy="0"/>
                </a:xfrm>
                <a:prstGeom prst="line">
                  <a:avLst/>
                </a:prstGeom>
                <a:ln w="1270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33" name="Straight Connector 632"/>
                <xdr:cNvCxnSpPr/>
              </xdr:nvCxnSpPr>
              <xdr:spPr>
                <a:xfrm flipH="1">
                  <a:off x="6923349" y="198567"/>
                  <a:ext cx="48228" cy="30355"/>
                </a:xfrm>
                <a:prstGeom prst="line">
                  <a:avLst/>
                </a:prstGeom>
                <a:ln w="1270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358" name="Group 226"/>
              <xdr:cNvGrpSpPr>
                <a:grpSpLocks/>
              </xdr:cNvGrpSpPr>
            </xdr:nvGrpSpPr>
            <xdr:grpSpPr bwMode="auto">
              <a:xfrm>
                <a:off x="2643903" y="0"/>
                <a:ext cx="4244966" cy="1414510"/>
                <a:chOff x="2643903" y="0"/>
                <a:chExt cx="4244966" cy="1414510"/>
              </a:xfrm>
            </xdr:grpSpPr>
            <xdr:grpSp>
              <xdr:nvGrpSpPr>
                <xdr:cNvPr id="359" name="Group 227"/>
                <xdr:cNvGrpSpPr>
                  <a:grpSpLocks/>
                </xdr:cNvGrpSpPr>
              </xdr:nvGrpSpPr>
              <xdr:grpSpPr bwMode="auto">
                <a:xfrm>
                  <a:off x="2873927" y="1311636"/>
                  <a:ext cx="3994051" cy="51437"/>
                  <a:chOff x="2865280" y="205802"/>
                  <a:chExt cx="4059915" cy="51437"/>
                </a:xfrm>
              </xdr:grpSpPr>
              <xdr:cxnSp macro="">
                <xdr:nvCxnSpPr>
                  <xdr:cNvPr id="626" name="Straight Connector 625"/>
                  <xdr:cNvCxnSpPr/>
                </xdr:nvCxnSpPr>
                <xdr:spPr>
                  <a:xfrm>
                    <a:off x="2865280" y="205802"/>
                    <a:ext cx="4059915" cy="0"/>
                  </a:xfrm>
                  <a:prstGeom prst="line">
                    <a:avLst/>
                  </a:prstGeom>
                  <a:ln w="1270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27" name="Straight Connector 626"/>
                  <xdr:cNvCxnSpPr/>
                </xdr:nvCxnSpPr>
                <xdr:spPr>
                  <a:xfrm flipH="1">
                    <a:off x="6872055" y="205802"/>
                    <a:ext cx="42512" cy="41149"/>
                  </a:xfrm>
                  <a:prstGeom prst="line">
                    <a:avLst/>
                  </a:prstGeom>
                  <a:ln w="1270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30" name="Straight Connector 629"/>
                  <xdr:cNvCxnSpPr/>
                </xdr:nvCxnSpPr>
                <xdr:spPr>
                  <a:xfrm>
                    <a:off x="2865280" y="205802"/>
                    <a:ext cx="58454" cy="51437"/>
                  </a:xfrm>
                  <a:prstGeom prst="line">
                    <a:avLst/>
                  </a:prstGeom>
                  <a:ln w="1270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360" name="Group 228"/>
                <xdr:cNvGrpSpPr>
                  <a:grpSpLocks/>
                </xdr:cNvGrpSpPr>
              </xdr:nvGrpSpPr>
              <xdr:grpSpPr bwMode="auto">
                <a:xfrm>
                  <a:off x="2643903" y="0"/>
                  <a:ext cx="4244966" cy="1414510"/>
                  <a:chOff x="2643903" y="0"/>
                  <a:chExt cx="4244966" cy="1414510"/>
                </a:xfrm>
              </xdr:grpSpPr>
              <xdr:cxnSp macro="">
                <xdr:nvCxnSpPr>
                  <xdr:cNvPr id="623" name="Straight Connector 622"/>
                  <xdr:cNvCxnSpPr/>
                </xdr:nvCxnSpPr>
                <xdr:spPr bwMode="auto">
                  <a:xfrm>
                    <a:off x="2863471" y="212367"/>
                    <a:ext cx="3994052" cy="0"/>
                  </a:xfrm>
                  <a:prstGeom prst="line">
                    <a:avLst/>
                  </a:prstGeom>
                  <a:ln w="1270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363" name="Group 230"/>
                  <xdr:cNvGrpSpPr>
                    <a:grpSpLocks/>
                  </xdr:cNvGrpSpPr>
                </xdr:nvGrpSpPr>
                <xdr:grpSpPr bwMode="auto">
                  <a:xfrm>
                    <a:off x="2643903" y="0"/>
                    <a:ext cx="4244966" cy="1414510"/>
                    <a:chOff x="2643903" y="0"/>
                    <a:chExt cx="4244966" cy="1414510"/>
                  </a:xfrm>
                </xdr:grpSpPr>
                <xdr:grpSp>
                  <xdr:nvGrpSpPr>
                    <xdr:cNvPr id="364" name="Group 231"/>
                    <xdr:cNvGrpSpPr>
                      <a:grpSpLocks/>
                    </xdr:cNvGrpSpPr>
                  </xdr:nvGrpSpPr>
                  <xdr:grpSpPr bwMode="auto">
                    <a:xfrm>
                      <a:off x="2926205" y="149166"/>
                      <a:ext cx="3962664" cy="1265344"/>
                      <a:chOff x="2926205" y="149166"/>
                      <a:chExt cx="3962664" cy="1265344"/>
                    </a:xfrm>
                  </xdr:grpSpPr>
                  <xdr:grpSp>
                    <xdr:nvGrpSpPr>
                      <xdr:cNvPr id="378" name="Group 246"/>
                      <xdr:cNvGrpSpPr>
                        <a:grpSpLocks/>
                      </xdr:cNvGrpSpPr>
                    </xdr:nvGrpSpPr>
                    <xdr:grpSpPr bwMode="auto">
                      <a:xfrm>
                        <a:off x="2926205" y="169740"/>
                        <a:ext cx="47050" cy="1229338"/>
                        <a:chOff x="2930027" y="169766"/>
                        <a:chExt cx="47050" cy="1245709"/>
                      </a:xfrm>
                    </xdr:grpSpPr>
                    <xdr:grpSp>
                      <xdr:nvGrpSpPr>
                        <xdr:cNvPr id="616" name="Group 373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0027" y="169766"/>
                          <a:ext cx="47050" cy="1245709"/>
                          <a:chOff x="2904906" y="169748"/>
                          <a:chExt cx="47050" cy="1234107"/>
                        </a:xfrm>
                      </xdr:grpSpPr>
                      <xdr:cxnSp macro="">
                        <xdr:nvCxnSpPr>
                          <xdr:cNvPr id="619" name="Straight Connector 618"/>
                          <xdr:cNvCxnSpPr/>
                        </xdr:nvCxnSpPr>
                        <xdr:spPr>
                          <a:xfrm>
                            <a:off x="2904906" y="169748"/>
                            <a:ext cx="0" cy="1192797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22" name="Straight Connector 621"/>
                          <xdr:cNvCxnSpPr/>
                        </xdr:nvCxnSpPr>
                        <xdr:spPr>
                          <a:xfrm>
                            <a:off x="2904906" y="1357382"/>
                            <a:ext cx="47050" cy="46473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617" name="Straight Connector 616"/>
                        <xdr:cNvCxnSpPr/>
                      </xdr:nvCxnSpPr>
                      <xdr:spPr>
                        <a:xfrm flipH="1" flipV="1">
                          <a:off x="2945711" y="1373778"/>
                          <a:ext cx="0" cy="41697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79" name="Group 247"/>
                      <xdr:cNvGrpSpPr>
                        <a:grpSpLocks/>
                      </xdr:cNvGrpSpPr>
                    </xdr:nvGrpSpPr>
                    <xdr:grpSpPr bwMode="auto">
                      <a:xfrm>
                        <a:off x="3135344" y="221177"/>
                        <a:ext cx="41824" cy="1193332"/>
                        <a:chOff x="2931782" y="223373"/>
                        <a:chExt cx="42142" cy="1209224"/>
                      </a:xfrm>
                    </xdr:grpSpPr>
                    <xdr:grpSp>
                      <xdr:nvGrpSpPr>
                        <xdr:cNvPr id="607" name="Group 367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1782" y="223373"/>
                          <a:ext cx="42141" cy="1209224"/>
                          <a:chOff x="2906661" y="222856"/>
                          <a:chExt cx="42141" cy="1197962"/>
                        </a:xfrm>
                      </xdr:grpSpPr>
                      <xdr:cxnSp macro="">
                        <xdr:nvCxnSpPr>
                          <xdr:cNvPr id="610" name="Straight Connector 609"/>
                          <xdr:cNvCxnSpPr/>
                        </xdr:nvCxnSpPr>
                        <xdr:spPr>
                          <a:xfrm>
                            <a:off x="2906661" y="222856"/>
                            <a:ext cx="0" cy="1161816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15" name="Straight Connector 614"/>
                          <xdr:cNvCxnSpPr/>
                        </xdr:nvCxnSpPr>
                        <xdr:spPr>
                          <a:xfrm>
                            <a:off x="2906661" y="1379509"/>
                            <a:ext cx="42141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608" name="Straight Connector 607"/>
                        <xdr:cNvCxnSpPr/>
                      </xdr:nvCxnSpPr>
                      <xdr:spPr>
                        <a:xfrm flipH="1" flipV="1">
                          <a:off x="2968656" y="1396112"/>
                          <a:ext cx="526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0" name="Group 248"/>
                      <xdr:cNvGrpSpPr>
                        <a:grpSpLocks/>
                      </xdr:cNvGrpSpPr>
                    </xdr:nvGrpSpPr>
                    <xdr:grpSpPr bwMode="auto">
                      <a:xfrm>
                        <a:off x="3339212" y="164597"/>
                        <a:ext cx="47051" cy="1219050"/>
                        <a:chOff x="2924919" y="167523"/>
                        <a:chExt cx="47409" cy="1235285"/>
                      </a:xfrm>
                    </xdr:grpSpPr>
                    <xdr:grpSp>
                      <xdr:nvGrpSpPr>
                        <xdr:cNvPr id="601" name="Group 361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24919" y="167523"/>
                          <a:ext cx="47409" cy="1235285"/>
                          <a:chOff x="2899798" y="167526"/>
                          <a:chExt cx="47409" cy="1223780"/>
                        </a:xfrm>
                      </xdr:grpSpPr>
                      <xdr:cxnSp macro="">
                        <xdr:nvCxnSpPr>
                          <xdr:cNvPr id="604" name="Straight Connector 603"/>
                          <xdr:cNvCxnSpPr/>
                        </xdr:nvCxnSpPr>
                        <xdr:spPr>
                          <a:xfrm>
                            <a:off x="2899798" y="167526"/>
                            <a:ext cx="0" cy="118763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06" name="Straight Connector 605"/>
                          <xdr:cNvCxnSpPr/>
                        </xdr:nvCxnSpPr>
                        <xdr:spPr>
                          <a:xfrm>
                            <a:off x="2899798" y="1349997"/>
                            <a:ext cx="47409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602" name="Straight Connector 601"/>
                        <xdr:cNvCxnSpPr/>
                      </xdr:nvCxnSpPr>
                      <xdr:spPr>
                        <a:xfrm flipH="1" flipV="1">
                          <a:off x="2951257" y="1366322"/>
                          <a:ext cx="0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1" name="Group 249"/>
                      <xdr:cNvGrpSpPr>
                        <a:grpSpLocks/>
                      </xdr:cNvGrpSpPr>
                    </xdr:nvGrpSpPr>
                    <xdr:grpSpPr bwMode="auto">
                      <a:xfrm>
                        <a:off x="3574519" y="164597"/>
                        <a:ext cx="47051" cy="1219050"/>
                        <a:chOff x="2932224" y="167558"/>
                        <a:chExt cx="47407" cy="1235285"/>
                      </a:xfrm>
                    </xdr:grpSpPr>
                    <xdr:grpSp>
                      <xdr:nvGrpSpPr>
                        <xdr:cNvPr id="595" name="Group 355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2224" y="167558"/>
                          <a:ext cx="47407" cy="1235285"/>
                          <a:chOff x="2907103" y="167560"/>
                          <a:chExt cx="47407" cy="1223780"/>
                        </a:xfrm>
                      </xdr:grpSpPr>
                      <xdr:cxnSp macro="">
                        <xdr:nvCxnSpPr>
                          <xdr:cNvPr id="598" name="Straight Connector 597"/>
                          <xdr:cNvCxnSpPr/>
                        </xdr:nvCxnSpPr>
                        <xdr:spPr>
                          <a:xfrm>
                            <a:off x="2907103" y="167560"/>
                            <a:ext cx="0" cy="118763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00" name="Straight Connector 599"/>
                          <xdr:cNvCxnSpPr/>
                        </xdr:nvCxnSpPr>
                        <xdr:spPr>
                          <a:xfrm>
                            <a:off x="2907103" y="1350031"/>
                            <a:ext cx="47407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96" name="Straight Connector 595"/>
                        <xdr:cNvCxnSpPr/>
                      </xdr:nvCxnSpPr>
                      <xdr:spPr>
                        <a:xfrm flipH="1" flipV="1">
                          <a:off x="2969097" y="1366357"/>
                          <a:ext cx="0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2" name="Group 250"/>
                      <xdr:cNvGrpSpPr>
                        <a:grpSpLocks/>
                      </xdr:cNvGrpSpPr>
                    </xdr:nvGrpSpPr>
                    <xdr:grpSpPr bwMode="auto">
                      <a:xfrm>
                        <a:off x="3783621" y="200603"/>
                        <a:ext cx="52279" cy="1213907"/>
                        <a:chOff x="2926937" y="201816"/>
                        <a:chExt cx="52676" cy="1230073"/>
                      </a:xfrm>
                    </xdr:grpSpPr>
                    <xdr:grpSp>
                      <xdr:nvGrpSpPr>
                        <xdr:cNvPr id="589" name="Group 349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26937" y="201816"/>
                          <a:ext cx="52676" cy="1230073"/>
                          <a:chOff x="2901816" y="201499"/>
                          <a:chExt cx="52676" cy="1218616"/>
                        </a:xfrm>
                      </xdr:grpSpPr>
                      <xdr:cxnSp macro="">
                        <xdr:nvCxnSpPr>
                          <xdr:cNvPr id="592" name="Straight Connector 591"/>
                          <xdr:cNvCxnSpPr/>
                        </xdr:nvCxnSpPr>
                        <xdr:spPr>
                          <a:xfrm>
                            <a:off x="2901816" y="201499"/>
                            <a:ext cx="0" cy="1182470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94" name="Straight Connector 593"/>
                          <xdr:cNvCxnSpPr/>
                        </xdr:nvCxnSpPr>
                        <xdr:spPr>
                          <a:xfrm>
                            <a:off x="2901816" y="1378806"/>
                            <a:ext cx="52676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90" name="Straight Connector 589"/>
                        <xdr:cNvCxnSpPr/>
                      </xdr:nvCxnSpPr>
                      <xdr:spPr>
                        <a:xfrm flipH="1" flipV="1">
                          <a:off x="2953275" y="1395403"/>
                          <a:ext cx="526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3" name="Group 251"/>
                      <xdr:cNvGrpSpPr>
                        <a:grpSpLocks/>
                      </xdr:cNvGrpSpPr>
                    </xdr:nvGrpSpPr>
                    <xdr:grpSpPr bwMode="auto">
                      <a:xfrm>
                        <a:off x="4013601" y="216034"/>
                        <a:ext cx="47051" cy="1177901"/>
                        <a:chOff x="2930906" y="222650"/>
                        <a:chExt cx="47409" cy="1193587"/>
                      </a:xfrm>
                    </xdr:grpSpPr>
                    <xdr:grpSp>
                      <xdr:nvGrpSpPr>
                        <xdr:cNvPr id="583" name="Group 343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0906" y="222650"/>
                          <a:ext cx="47409" cy="1193587"/>
                          <a:chOff x="2905785" y="222139"/>
                          <a:chExt cx="47409" cy="1182471"/>
                        </a:xfrm>
                      </xdr:grpSpPr>
                      <xdr:cxnSp macro="">
                        <xdr:nvCxnSpPr>
                          <xdr:cNvPr id="586" name="Straight Connector 585"/>
                          <xdr:cNvCxnSpPr/>
                        </xdr:nvCxnSpPr>
                        <xdr:spPr>
                          <a:xfrm>
                            <a:off x="2905785" y="222139"/>
                            <a:ext cx="0" cy="1141161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88" name="Straight Connector 587"/>
                          <xdr:cNvCxnSpPr/>
                        </xdr:nvCxnSpPr>
                        <xdr:spPr>
                          <a:xfrm>
                            <a:off x="2905785" y="1358137"/>
                            <a:ext cx="47409" cy="46473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84" name="Straight Connector 583"/>
                        <xdr:cNvCxnSpPr/>
                      </xdr:nvCxnSpPr>
                      <xdr:spPr>
                        <a:xfrm flipH="1" flipV="1">
                          <a:off x="2967780" y="1374539"/>
                          <a:ext cx="5268" cy="41697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4" name="Group 252"/>
                      <xdr:cNvGrpSpPr>
                        <a:grpSpLocks/>
                      </xdr:cNvGrpSpPr>
                    </xdr:nvGrpSpPr>
                    <xdr:grpSpPr bwMode="auto">
                      <a:xfrm>
                        <a:off x="4180880" y="164597"/>
                        <a:ext cx="115012" cy="1219049"/>
                        <a:chOff x="2876839" y="168300"/>
                        <a:chExt cx="115012" cy="1235284"/>
                      </a:xfrm>
                    </xdr:grpSpPr>
                    <xdr:grpSp>
                      <xdr:nvGrpSpPr>
                        <xdr:cNvPr id="577" name="Group 337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876839" y="168300"/>
                          <a:ext cx="115012" cy="1235284"/>
                          <a:chOff x="2851718" y="168296"/>
                          <a:chExt cx="115012" cy="1223779"/>
                        </a:xfrm>
                      </xdr:grpSpPr>
                      <xdr:cxnSp macro="">
                        <xdr:nvCxnSpPr>
                          <xdr:cNvPr id="580" name="Straight Connector 579"/>
                          <xdr:cNvCxnSpPr/>
                        </xdr:nvCxnSpPr>
                        <xdr:spPr>
                          <a:xfrm>
                            <a:off x="2851718" y="168296"/>
                            <a:ext cx="0" cy="118763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82" name="Straight Connector 581"/>
                          <xdr:cNvCxnSpPr/>
                        </xdr:nvCxnSpPr>
                        <xdr:spPr>
                          <a:xfrm>
                            <a:off x="2851718" y="1350766"/>
                            <a:ext cx="115012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78" name="Straight Connector 577"/>
                        <xdr:cNvCxnSpPr/>
                      </xdr:nvCxnSpPr>
                      <xdr:spPr>
                        <a:xfrm flipH="1" flipV="1">
                          <a:off x="2908206" y="1367099"/>
                          <a:ext cx="10456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5" name="Group 253"/>
                      <xdr:cNvGrpSpPr>
                        <a:grpSpLocks/>
                      </xdr:cNvGrpSpPr>
                    </xdr:nvGrpSpPr>
                    <xdr:grpSpPr bwMode="auto">
                      <a:xfrm>
                        <a:off x="4384765" y="159453"/>
                        <a:ext cx="188202" cy="1219050"/>
                        <a:chOff x="2855374" y="168285"/>
                        <a:chExt cx="188202" cy="1235285"/>
                      </a:xfrm>
                    </xdr:grpSpPr>
                    <xdr:grpSp>
                      <xdr:nvGrpSpPr>
                        <xdr:cNvPr id="571" name="Group 331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855374" y="168285"/>
                          <a:ext cx="188202" cy="1235285"/>
                          <a:chOff x="2830253" y="168281"/>
                          <a:chExt cx="188202" cy="1223780"/>
                        </a:xfrm>
                      </xdr:grpSpPr>
                      <xdr:cxnSp macro="">
                        <xdr:nvCxnSpPr>
                          <xdr:cNvPr id="574" name="Straight Connector 573"/>
                          <xdr:cNvCxnSpPr/>
                        </xdr:nvCxnSpPr>
                        <xdr:spPr>
                          <a:xfrm>
                            <a:off x="2830253" y="168281"/>
                            <a:ext cx="0" cy="118763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76" name="Straight Connector 575"/>
                          <xdr:cNvCxnSpPr/>
                        </xdr:nvCxnSpPr>
                        <xdr:spPr>
                          <a:xfrm>
                            <a:off x="2830253" y="1350752"/>
                            <a:ext cx="188202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72" name="Straight Connector 571"/>
                        <xdr:cNvCxnSpPr/>
                      </xdr:nvCxnSpPr>
                      <xdr:spPr>
                        <a:xfrm flipH="1" flipV="1">
                          <a:off x="2970387" y="1367085"/>
                          <a:ext cx="522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6" name="Group 254"/>
                      <xdr:cNvGrpSpPr>
                        <a:grpSpLocks/>
                      </xdr:cNvGrpSpPr>
                    </xdr:nvGrpSpPr>
                    <xdr:grpSpPr bwMode="auto">
                      <a:xfrm>
                        <a:off x="4635700" y="154310"/>
                        <a:ext cx="94101" cy="1239625"/>
                        <a:chOff x="2877295" y="168272"/>
                        <a:chExt cx="94101" cy="1256133"/>
                      </a:xfrm>
                    </xdr:grpSpPr>
                    <xdr:grpSp>
                      <xdr:nvGrpSpPr>
                        <xdr:cNvPr id="565" name="Group 325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877295" y="168272"/>
                          <a:ext cx="94101" cy="1256133"/>
                          <a:chOff x="2852174" y="168268"/>
                          <a:chExt cx="94101" cy="1244434"/>
                        </a:xfrm>
                      </xdr:grpSpPr>
                      <xdr:cxnSp macro="">
                        <xdr:nvCxnSpPr>
                          <xdr:cNvPr id="568" name="Straight Connector 567"/>
                          <xdr:cNvCxnSpPr/>
                        </xdr:nvCxnSpPr>
                        <xdr:spPr>
                          <a:xfrm>
                            <a:off x="2852174" y="168268"/>
                            <a:ext cx="0" cy="1208288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70" name="Straight Connector 569"/>
                          <xdr:cNvCxnSpPr/>
                        </xdr:nvCxnSpPr>
                        <xdr:spPr>
                          <a:xfrm>
                            <a:off x="2852174" y="1371393"/>
                            <a:ext cx="94101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66" name="Straight Connector 565"/>
                        <xdr:cNvCxnSpPr/>
                      </xdr:nvCxnSpPr>
                      <xdr:spPr>
                        <a:xfrm flipH="1" flipV="1">
                          <a:off x="2913890" y="1387920"/>
                          <a:ext cx="522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7" name="Group 255"/>
                      <xdr:cNvGrpSpPr>
                        <a:grpSpLocks/>
                      </xdr:cNvGrpSpPr>
                    </xdr:nvGrpSpPr>
                    <xdr:grpSpPr bwMode="auto">
                      <a:xfrm>
                        <a:off x="4839618" y="159454"/>
                        <a:ext cx="99330" cy="1244768"/>
                        <a:chOff x="2877071" y="167543"/>
                        <a:chExt cx="100085" cy="1261345"/>
                      </a:xfrm>
                    </xdr:grpSpPr>
                    <xdr:grpSp>
                      <xdr:nvGrpSpPr>
                        <xdr:cNvPr id="559" name="Group 319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877071" y="167543"/>
                          <a:ext cx="100085" cy="1261345"/>
                          <a:chOff x="2851950" y="167546"/>
                          <a:chExt cx="100085" cy="1249598"/>
                        </a:xfrm>
                      </xdr:grpSpPr>
                      <xdr:cxnSp macro="">
                        <xdr:nvCxnSpPr>
                          <xdr:cNvPr id="562" name="Straight Connector 561"/>
                          <xdr:cNvCxnSpPr/>
                        </xdr:nvCxnSpPr>
                        <xdr:spPr>
                          <a:xfrm>
                            <a:off x="2851950" y="167546"/>
                            <a:ext cx="0" cy="1208288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63" name="Straight Connector 562"/>
                          <xdr:cNvCxnSpPr/>
                        </xdr:nvCxnSpPr>
                        <xdr:spPr>
                          <a:xfrm>
                            <a:off x="2857218" y="167546"/>
                            <a:ext cx="94817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64" name="Straight Connector 563"/>
                          <xdr:cNvCxnSpPr/>
                        </xdr:nvCxnSpPr>
                        <xdr:spPr>
                          <a:xfrm>
                            <a:off x="2851950" y="1370671"/>
                            <a:ext cx="100085" cy="46473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60" name="Straight Connector 559"/>
                        <xdr:cNvCxnSpPr/>
                      </xdr:nvCxnSpPr>
                      <xdr:spPr>
                        <a:xfrm flipH="1" flipV="1">
                          <a:off x="2913945" y="1387191"/>
                          <a:ext cx="5268" cy="41697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561" name="Straight Connector 560"/>
                        <xdr:cNvCxnSpPr/>
                      </xdr:nvCxnSpPr>
                      <xdr:spPr>
                        <a:xfrm flipV="1">
                          <a:off x="2913945" y="230089"/>
                          <a:ext cx="0" cy="31273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8" name="Group 256"/>
                      <xdr:cNvGrpSpPr>
                        <a:grpSpLocks/>
                      </xdr:cNvGrpSpPr>
                    </xdr:nvGrpSpPr>
                    <xdr:grpSpPr bwMode="auto">
                      <a:xfrm>
                        <a:off x="5989731" y="159454"/>
                        <a:ext cx="62735" cy="1219050"/>
                        <a:chOff x="2931623" y="169029"/>
                        <a:chExt cx="63212" cy="1235284"/>
                      </a:xfrm>
                    </xdr:grpSpPr>
                    <xdr:grpSp>
                      <xdr:nvGrpSpPr>
                        <xdr:cNvPr id="553" name="Group 313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1623" y="169029"/>
                          <a:ext cx="63212" cy="1235283"/>
                          <a:chOff x="2906502" y="169018"/>
                          <a:chExt cx="63212" cy="1223778"/>
                        </a:xfrm>
                      </xdr:grpSpPr>
                      <xdr:cxnSp macro="">
                        <xdr:nvCxnSpPr>
                          <xdr:cNvPr id="556" name="Straight Connector 555"/>
                          <xdr:cNvCxnSpPr/>
                        </xdr:nvCxnSpPr>
                        <xdr:spPr>
                          <a:xfrm>
                            <a:off x="2906502" y="169018"/>
                            <a:ext cx="0" cy="1192797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57" name="Straight Connector 556"/>
                          <xdr:cNvCxnSpPr/>
                        </xdr:nvCxnSpPr>
                        <xdr:spPr>
                          <a:xfrm>
                            <a:off x="2911770" y="169018"/>
                            <a:ext cx="57944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58" name="Straight Connector 557"/>
                          <xdr:cNvCxnSpPr/>
                        </xdr:nvCxnSpPr>
                        <xdr:spPr>
                          <a:xfrm>
                            <a:off x="2906502" y="1356651"/>
                            <a:ext cx="63212" cy="36145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54" name="Straight Connector 553"/>
                        <xdr:cNvCxnSpPr/>
                      </xdr:nvCxnSpPr>
                      <xdr:spPr>
                        <a:xfrm flipH="1" flipV="1">
                          <a:off x="2963229" y="1373040"/>
                          <a:ext cx="10535" cy="31273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555" name="Straight Connector 554"/>
                        <xdr:cNvCxnSpPr/>
                      </xdr:nvCxnSpPr>
                      <xdr:spPr>
                        <a:xfrm flipV="1">
                          <a:off x="2963229" y="231575"/>
                          <a:ext cx="526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9" name="Group 257"/>
                      <xdr:cNvGrpSpPr>
                        <a:grpSpLocks/>
                      </xdr:cNvGrpSpPr>
                    </xdr:nvGrpSpPr>
                    <xdr:grpSpPr bwMode="auto">
                      <a:xfrm>
                        <a:off x="6183194" y="216033"/>
                        <a:ext cx="83647" cy="1183045"/>
                        <a:chOff x="2910533" y="224133"/>
                        <a:chExt cx="84280" cy="1198800"/>
                      </a:xfrm>
                    </xdr:grpSpPr>
                    <xdr:grpSp>
                      <xdr:nvGrpSpPr>
                        <xdr:cNvPr id="547" name="Group 307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10533" y="224133"/>
                          <a:ext cx="84280" cy="1198799"/>
                          <a:chOff x="2885412" y="223609"/>
                          <a:chExt cx="84280" cy="1187634"/>
                        </a:xfrm>
                      </xdr:grpSpPr>
                      <xdr:cxnSp macro="">
                        <xdr:nvCxnSpPr>
                          <xdr:cNvPr id="550" name="Straight Connector 549"/>
                          <xdr:cNvCxnSpPr/>
                        </xdr:nvCxnSpPr>
                        <xdr:spPr>
                          <a:xfrm>
                            <a:off x="2885412" y="223609"/>
                            <a:ext cx="0" cy="1151488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51" name="Straight Connector 550"/>
                          <xdr:cNvCxnSpPr/>
                        </xdr:nvCxnSpPr>
                        <xdr:spPr>
                          <a:xfrm>
                            <a:off x="2911750" y="223609"/>
                            <a:ext cx="57942" cy="56800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52" name="Straight Connector 551"/>
                          <xdr:cNvCxnSpPr/>
                        </xdr:nvCxnSpPr>
                        <xdr:spPr>
                          <a:xfrm>
                            <a:off x="2885412" y="1369934"/>
                            <a:ext cx="84280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48" name="Straight Connector 547"/>
                        <xdr:cNvCxnSpPr/>
                      </xdr:nvCxnSpPr>
                      <xdr:spPr>
                        <a:xfrm flipH="1" flipV="1">
                          <a:off x="2963208" y="1386448"/>
                          <a:ext cx="10535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549" name="Straight Connector 548"/>
                        <xdr:cNvCxnSpPr/>
                      </xdr:nvCxnSpPr>
                      <xdr:spPr>
                        <a:xfrm flipV="1">
                          <a:off x="2963208" y="281468"/>
                          <a:ext cx="5267" cy="41697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0" name="Group 258"/>
                      <xdr:cNvGrpSpPr>
                        <a:grpSpLocks/>
                      </xdr:cNvGrpSpPr>
                    </xdr:nvGrpSpPr>
                    <xdr:grpSpPr bwMode="auto">
                      <a:xfrm>
                        <a:off x="6413158" y="159453"/>
                        <a:ext cx="83645" cy="1219050"/>
                        <a:chOff x="2912026" y="168285"/>
                        <a:chExt cx="83645" cy="1235285"/>
                      </a:xfrm>
                    </xdr:grpSpPr>
                    <xdr:grpSp>
                      <xdr:nvGrpSpPr>
                        <xdr:cNvPr id="541" name="Group 301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12026" y="168285"/>
                          <a:ext cx="83645" cy="1235285"/>
                          <a:chOff x="2886905" y="168281"/>
                          <a:chExt cx="83645" cy="1223780"/>
                        </a:xfrm>
                      </xdr:grpSpPr>
                      <xdr:cxnSp macro="">
                        <xdr:nvCxnSpPr>
                          <xdr:cNvPr id="544" name="Straight Connector 543"/>
                          <xdr:cNvCxnSpPr/>
                        </xdr:nvCxnSpPr>
                        <xdr:spPr>
                          <a:xfrm>
                            <a:off x="2886905" y="168281"/>
                            <a:ext cx="0" cy="118763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45" name="Straight Connector 544"/>
                          <xdr:cNvCxnSpPr/>
                        </xdr:nvCxnSpPr>
                        <xdr:spPr>
                          <a:xfrm>
                            <a:off x="2913044" y="168281"/>
                            <a:ext cx="57506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46" name="Straight Connector 545"/>
                          <xdr:cNvCxnSpPr/>
                        </xdr:nvCxnSpPr>
                        <xdr:spPr>
                          <a:xfrm>
                            <a:off x="2886905" y="1350752"/>
                            <a:ext cx="83645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42" name="Straight Connector 541"/>
                        <xdr:cNvCxnSpPr/>
                      </xdr:nvCxnSpPr>
                      <xdr:spPr>
                        <a:xfrm flipH="1" flipV="1">
                          <a:off x="2969532" y="1367085"/>
                          <a:ext cx="522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543" name="Straight Connector 542"/>
                        <xdr:cNvCxnSpPr/>
                      </xdr:nvCxnSpPr>
                      <xdr:spPr>
                        <a:xfrm flipV="1">
                          <a:off x="2969532" y="230832"/>
                          <a:ext cx="0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3" name="Group 259"/>
                      <xdr:cNvGrpSpPr>
                        <a:grpSpLocks/>
                      </xdr:cNvGrpSpPr>
                    </xdr:nvGrpSpPr>
                    <xdr:grpSpPr bwMode="auto">
                      <a:xfrm>
                        <a:off x="6653637" y="169742"/>
                        <a:ext cx="115012" cy="1219049"/>
                        <a:chOff x="2934482" y="169059"/>
                        <a:chExt cx="115012" cy="1235284"/>
                      </a:xfrm>
                    </xdr:grpSpPr>
                    <xdr:grpSp>
                      <xdr:nvGrpSpPr>
                        <xdr:cNvPr id="514" name="Group 295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4482" y="169059"/>
                          <a:ext cx="115012" cy="1235284"/>
                          <a:chOff x="2909361" y="169047"/>
                          <a:chExt cx="115012" cy="1223779"/>
                        </a:xfrm>
                      </xdr:grpSpPr>
                      <xdr:cxnSp macro="">
                        <xdr:nvCxnSpPr>
                          <xdr:cNvPr id="538" name="Straight Connector 537"/>
                          <xdr:cNvCxnSpPr/>
                        </xdr:nvCxnSpPr>
                        <xdr:spPr>
                          <a:xfrm>
                            <a:off x="2909361" y="169047"/>
                            <a:ext cx="0" cy="1192797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39" name="Straight Connector 538"/>
                          <xdr:cNvCxnSpPr/>
                        </xdr:nvCxnSpPr>
                        <xdr:spPr>
                          <a:xfrm>
                            <a:off x="2914589" y="169047"/>
                            <a:ext cx="109784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40" name="Straight Connector 539"/>
                          <xdr:cNvCxnSpPr/>
                        </xdr:nvCxnSpPr>
                        <xdr:spPr>
                          <a:xfrm>
                            <a:off x="2909361" y="1356681"/>
                            <a:ext cx="115012" cy="36145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20" name="Straight Connector 519"/>
                        <xdr:cNvCxnSpPr/>
                      </xdr:nvCxnSpPr>
                      <xdr:spPr>
                        <a:xfrm flipH="1" flipV="1">
                          <a:off x="2965849" y="1373070"/>
                          <a:ext cx="10456" cy="31273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537" name="Straight Connector 536"/>
                        <xdr:cNvCxnSpPr/>
                      </xdr:nvCxnSpPr>
                      <xdr:spPr>
                        <a:xfrm flipV="1">
                          <a:off x="2965849" y="231604"/>
                          <a:ext cx="522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4" name="Group 260"/>
                      <xdr:cNvGrpSpPr>
                        <a:grpSpLocks/>
                      </xdr:cNvGrpSpPr>
                    </xdr:nvGrpSpPr>
                    <xdr:grpSpPr bwMode="auto">
                      <a:xfrm>
                        <a:off x="5278722" y="154310"/>
                        <a:ext cx="99329" cy="1239624"/>
                        <a:chOff x="2877236" y="168270"/>
                        <a:chExt cx="99329" cy="1256132"/>
                      </a:xfrm>
                    </xdr:grpSpPr>
                    <xdr:grpSp>
                      <xdr:nvGrpSpPr>
                        <xdr:cNvPr id="478" name="Group 289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877236" y="168270"/>
                          <a:ext cx="99329" cy="1256132"/>
                          <a:chOff x="2852115" y="168266"/>
                          <a:chExt cx="99329" cy="1244433"/>
                        </a:xfrm>
                      </xdr:grpSpPr>
                      <xdr:cxnSp macro="">
                        <xdr:nvCxnSpPr>
                          <xdr:cNvPr id="496" name="Straight Connector 495"/>
                          <xdr:cNvCxnSpPr/>
                        </xdr:nvCxnSpPr>
                        <xdr:spPr>
                          <a:xfrm>
                            <a:off x="2852115" y="168266"/>
                            <a:ext cx="0" cy="1208288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02" name="Straight Connector 501"/>
                          <xdr:cNvCxnSpPr/>
                        </xdr:nvCxnSpPr>
                        <xdr:spPr>
                          <a:xfrm>
                            <a:off x="2857342" y="168266"/>
                            <a:ext cx="94101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08" name="Straight Connector 507"/>
                          <xdr:cNvCxnSpPr/>
                        </xdr:nvCxnSpPr>
                        <xdr:spPr>
                          <a:xfrm>
                            <a:off x="2852115" y="1371390"/>
                            <a:ext cx="99329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484" name="Straight Connector 483"/>
                        <xdr:cNvCxnSpPr/>
                      </xdr:nvCxnSpPr>
                      <xdr:spPr>
                        <a:xfrm flipH="1" flipV="1">
                          <a:off x="2913830" y="1387917"/>
                          <a:ext cx="0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90" name="Straight Connector 489"/>
                        <xdr:cNvCxnSpPr/>
                      </xdr:nvCxnSpPr>
                      <xdr:spPr>
                        <a:xfrm flipV="1">
                          <a:off x="2913830" y="230816"/>
                          <a:ext cx="0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5" name="Group 261"/>
                      <xdr:cNvGrpSpPr>
                        <a:grpSpLocks/>
                      </xdr:cNvGrpSpPr>
                    </xdr:nvGrpSpPr>
                    <xdr:grpSpPr bwMode="auto">
                      <a:xfrm>
                        <a:off x="5555842" y="154310"/>
                        <a:ext cx="36596" cy="1224194"/>
                        <a:chOff x="2935994" y="169754"/>
                        <a:chExt cx="36874" cy="1240497"/>
                      </a:xfrm>
                    </xdr:grpSpPr>
                    <xdr:grpSp>
                      <xdr:nvGrpSpPr>
                        <xdr:cNvPr id="442" name="Group 283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5994" y="169754"/>
                          <a:ext cx="36873" cy="1240497"/>
                          <a:chOff x="2910873" y="169736"/>
                          <a:chExt cx="36873" cy="1228943"/>
                        </a:xfrm>
                      </xdr:grpSpPr>
                      <xdr:cxnSp macro="">
                        <xdr:nvCxnSpPr>
                          <xdr:cNvPr id="460" name="Straight Connector 459"/>
                          <xdr:cNvCxnSpPr/>
                        </xdr:nvCxnSpPr>
                        <xdr:spPr>
                          <a:xfrm>
                            <a:off x="2910873" y="169736"/>
                            <a:ext cx="0" cy="1192797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66" name="Straight Connector 465"/>
                          <xdr:cNvCxnSpPr/>
                        </xdr:nvCxnSpPr>
                        <xdr:spPr>
                          <a:xfrm>
                            <a:off x="2910873" y="169736"/>
                            <a:ext cx="36873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72" name="Straight Connector 471"/>
                          <xdr:cNvCxnSpPr/>
                        </xdr:nvCxnSpPr>
                        <xdr:spPr>
                          <a:xfrm>
                            <a:off x="2910873" y="1357370"/>
                            <a:ext cx="36873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448" name="Straight Connector 447"/>
                        <xdr:cNvCxnSpPr/>
                      </xdr:nvCxnSpPr>
                      <xdr:spPr>
                        <a:xfrm flipH="1" flipV="1">
                          <a:off x="2967600" y="1373766"/>
                          <a:ext cx="526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54" name="Straight Connector 453"/>
                        <xdr:cNvCxnSpPr/>
                      </xdr:nvCxnSpPr>
                      <xdr:spPr>
                        <a:xfrm flipV="1">
                          <a:off x="2967600" y="232301"/>
                          <a:ext cx="0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6" name="Group 262"/>
                      <xdr:cNvGrpSpPr>
                        <a:grpSpLocks/>
                      </xdr:cNvGrpSpPr>
                    </xdr:nvGrpSpPr>
                    <xdr:grpSpPr bwMode="auto">
                      <a:xfrm>
                        <a:off x="5770163" y="149166"/>
                        <a:ext cx="41823" cy="1244769"/>
                        <a:chOff x="2932284" y="162314"/>
                        <a:chExt cx="42140" cy="1261346"/>
                      </a:xfrm>
                    </xdr:grpSpPr>
                    <xdr:grpSp>
                      <xdr:nvGrpSpPr>
                        <xdr:cNvPr id="411" name="Group 277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2284" y="162314"/>
                          <a:ext cx="42140" cy="1261346"/>
                          <a:chOff x="2907163" y="162365"/>
                          <a:chExt cx="42140" cy="1249598"/>
                        </a:xfrm>
                      </xdr:grpSpPr>
                      <xdr:cxnSp macro="">
                        <xdr:nvCxnSpPr>
                          <xdr:cNvPr id="424" name="Straight Connector 423"/>
                          <xdr:cNvCxnSpPr/>
                        </xdr:nvCxnSpPr>
                        <xdr:spPr>
                          <a:xfrm>
                            <a:off x="2907163" y="162365"/>
                            <a:ext cx="0" cy="1213452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30" name="Straight Connector 429"/>
                          <xdr:cNvCxnSpPr/>
                        </xdr:nvCxnSpPr>
                        <xdr:spPr>
                          <a:xfrm>
                            <a:off x="2912430" y="162365"/>
                            <a:ext cx="36872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36" name="Straight Connector 435"/>
                          <xdr:cNvCxnSpPr/>
                        </xdr:nvCxnSpPr>
                        <xdr:spPr>
                          <a:xfrm>
                            <a:off x="2907163" y="1370654"/>
                            <a:ext cx="42140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412" name="Straight Connector 411"/>
                        <xdr:cNvCxnSpPr/>
                      </xdr:nvCxnSpPr>
                      <xdr:spPr>
                        <a:xfrm flipH="1" flipV="1">
                          <a:off x="2969156" y="1387174"/>
                          <a:ext cx="5267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18" name="Straight Connector 417"/>
                        <xdr:cNvCxnSpPr/>
                      </xdr:nvCxnSpPr>
                      <xdr:spPr>
                        <a:xfrm flipV="1">
                          <a:off x="2969156" y="224860"/>
                          <a:ext cx="0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7" name="Group 263"/>
                      <xdr:cNvGrpSpPr>
                        <a:grpSpLocks/>
                      </xdr:cNvGrpSpPr>
                    </xdr:nvGrpSpPr>
                    <xdr:grpSpPr bwMode="auto">
                      <a:xfrm>
                        <a:off x="5111481" y="154310"/>
                        <a:ext cx="62735" cy="1239624"/>
                        <a:chOff x="2932782" y="168270"/>
                        <a:chExt cx="63210" cy="1256132"/>
                      </a:xfrm>
                    </xdr:grpSpPr>
                    <xdr:grpSp>
                      <xdr:nvGrpSpPr>
                        <xdr:cNvPr id="405" name="Group 271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2782" y="168270"/>
                          <a:ext cx="63210" cy="1256132"/>
                          <a:chOff x="2907661" y="168266"/>
                          <a:chExt cx="63210" cy="1244433"/>
                        </a:xfrm>
                      </xdr:grpSpPr>
                      <xdr:cxnSp macro="">
                        <xdr:nvCxnSpPr>
                          <xdr:cNvPr id="408" name="Straight Connector 407"/>
                          <xdr:cNvCxnSpPr/>
                        </xdr:nvCxnSpPr>
                        <xdr:spPr>
                          <a:xfrm>
                            <a:off x="2907661" y="168266"/>
                            <a:ext cx="0" cy="1208288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09" name="Straight Connector 408"/>
                          <xdr:cNvCxnSpPr/>
                        </xdr:nvCxnSpPr>
                        <xdr:spPr>
                          <a:xfrm>
                            <a:off x="2912928" y="168266"/>
                            <a:ext cx="57942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10" name="Straight Connector 409"/>
                          <xdr:cNvCxnSpPr/>
                        </xdr:nvCxnSpPr>
                        <xdr:spPr>
                          <a:xfrm>
                            <a:off x="2907661" y="1371390"/>
                            <a:ext cx="63210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406" name="Straight Connector 405"/>
                        <xdr:cNvCxnSpPr/>
                      </xdr:nvCxnSpPr>
                      <xdr:spPr>
                        <a:xfrm flipH="1" flipV="1">
                          <a:off x="2964387" y="1387917"/>
                          <a:ext cx="10535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07" name="Straight Connector 406"/>
                        <xdr:cNvCxnSpPr/>
                      </xdr:nvCxnSpPr>
                      <xdr:spPr>
                        <a:xfrm flipV="1">
                          <a:off x="2964387" y="230816"/>
                          <a:ext cx="5267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8" name="Group 264"/>
                      <xdr:cNvGrpSpPr>
                        <a:grpSpLocks/>
                      </xdr:cNvGrpSpPr>
                    </xdr:nvGrpSpPr>
                    <xdr:grpSpPr bwMode="auto">
                      <a:xfrm>
                        <a:off x="6847047" y="164598"/>
                        <a:ext cx="41822" cy="1219050"/>
                        <a:chOff x="2934602" y="167985"/>
                        <a:chExt cx="40136" cy="1235285"/>
                      </a:xfrm>
                    </xdr:grpSpPr>
                    <xdr:grpSp>
                      <xdr:nvGrpSpPr>
                        <xdr:cNvPr id="399" name="Group 265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4602" y="167985"/>
                          <a:ext cx="40136" cy="1235285"/>
                          <a:chOff x="2909481" y="167983"/>
                          <a:chExt cx="40136" cy="1223780"/>
                        </a:xfrm>
                      </xdr:grpSpPr>
                      <xdr:cxnSp macro="">
                        <xdr:nvCxnSpPr>
                          <xdr:cNvPr id="402" name="Straight Connector 401"/>
                          <xdr:cNvCxnSpPr/>
                        </xdr:nvCxnSpPr>
                        <xdr:spPr>
                          <a:xfrm>
                            <a:off x="2909481" y="167983"/>
                            <a:ext cx="0" cy="118763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03" name="Straight Connector 402"/>
                          <xdr:cNvCxnSpPr/>
                        </xdr:nvCxnSpPr>
                        <xdr:spPr>
                          <a:xfrm>
                            <a:off x="2914498" y="167983"/>
                            <a:ext cx="35119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04" name="Straight Connector 403"/>
                          <xdr:cNvCxnSpPr/>
                        </xdr:nvCxnSpPr>
                        <xdr:spPr>
                          <a:xfrm>
                            <a:off x="2909481" y="1350454"/>
                            <a:ext cx="40136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400" name="Straight Connector 399"/>
                        <xdr:cNvCxnSpPr/>
                      </xdr:nvCxnSpPr>
                      <xdr:spPr>
                        <a:xfrm flipH="1" flipV="1">
                          <a:off x="2964704" y="1366784"/>
                          <a:ext cx="10034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01" name="Straight Connector 400"/>
                        <xdr:cNvCxnSpPr/>
                      </xdr:nvCxnSpPr>
                      <xdr:spPr>
                        <a:xfrm flipV="1">
                          <a:off x="2964704" y="230531"/>
                          <a:ext cx="5017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grpSp>
                  <xdr:nvGrpSpPr>
                    <xdr:cNvPr id="365" name="Group 232"/>
                    <xdr:cNvGrpSpPr>
                      <a:grpSpLocks/>
                    </xdr:cNvGrpSpPr>
                  </xdr:nvGrpSpPr>
                  <xdr:grpSpPr bwMode="auto">
                    <a:xfrm>
                      <a:off x="2643903" y="0"/>
                      <a:ext cx="4197935" cy="1301348"/>
                      <a:chOff x="2643903" y="0"/>
                      <a:chExt cx="4197935" cy="1301348"/>
                    </a:xfrm>
                  </xdr:grpSpPr>
                  <xdr:cxnSp macro="">
                    <xdr:nvCxnSpPr>
                      <xdr:cNvPr id="366" name="Straight Connector 365"/>
                      <xdr:cNvCxnSpPr/>
                    </xdr:nvCxnSpPr>
                    <xdr:spPr>
                      <a:xfrm>
                        <a:off x="2643903" y="200603"/>
                        <a:ext cx="104556" cy="0"/>
                      </a:xfrm>
                      <a:prstGeom prst="line">
                        <a:avLst/>
                      </a:prstGeom>
                      <a:ln w="3175"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67" name="Straight Connector 366"/>
                      <xdr:cNvCxnSpPr/>
                    </xdr:nvCxnSpPr>
                    <xdr:spPr>
                      <a:xfrm>
                        <a:off x="2659586" y="1301348"/>
                        <a:ext cx="99328" cy="0"/>
                      </a:xfrm>
                      <a:prstGeom prst="line">
                        <a:avLst/>
                      </a:prstGeom>
                      <a:ln w="3175"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69" name="Straight Connector 368"/>
                      <xdr:cNvCxnSpPr/>
                    </xdr:nvCxnSpPr>
                    <xdr:spPr>
                      <a:xfrm>
                        <a:off x="2696181" y="195459"/>
                        <a:ext cx="0" cy="406350"/>
                      </a:xfrm>
                      <a:prstGeom prst="line">
                        <a:avLst/>
                      </a:prstGeom>
                      <a:ln w="3175">
                        <a:solidFill>
                          <a:sysClr val="windowText" lastClr="000000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70" name="Straight Connector 369"/>
                      <xdr:cNvCxnSpPr/>
                    </xdr:nvCxnSpPr>
                    <xdr:spPr>
                      <a:xfrm>
                        <a:off x="2706637" y="894998"/>
                        <a:ext cx="0" cy="406350"/>
                      </a:xfrm>
                      <a:prstGeom prst="line">
                        <a:avLst/>
                      </a:prstGeom>
                      <a:ln w="3175"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71" name="Straight Connector 370"/>
                      <xdr:cNvCxnSpPr/>
                    </xdr:nvCxnSpPr>
                    <xdr:spPr>
                      <a:xfrm>
                        <a:off x="2654359" y="596666"/>
                        <a:ext cx="104556" cy="0"/>
                      </a:xfrm>
                      <a:prstGeom prst="line">
                        <a:avLst/>
                      </a:prstGeom>
                      <a:ln w="3175"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72" name="Straight Connector 371"/>
                      <xdr:cNvCxnSpPr/>
                    </xdr:nvCxnSpPr>
                    <xdr:spPr>
                      <a:xfrm>
                        <a:off x="2654359" y="894998"/>
                        <a:ext cx="99328" cy="0"/>
                      </a:xfrm>
                      <a:prstGeom prst="line">
                        <a:avLst/>
                      </a:prstGeom>
                      <a:ln w="3175"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73" name="Straight Connector 372"/>
                      <xdr:cNvCxnSpPr/>
                    </xdr:nvCxnSpPr>
                    <xdr:spPr>
                      <a:xfrm>
                        <a:off x="2920977" y="0"/>
                        <a:ext cx="0" cy="149166"/>
                      </a:xfrm>
                      <a:prstGeom prst="line">
                        <a:avLst/>
                      </a:prstGeom>
                      <a:ln w="3175">
                        <a:solidFill>
                          <a:sysClr val="windowText" lastClr="000000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75" name="Straight Connector 374"/>
                      <xdr:cNvCxnSpPr/>
                    </xdr:nvCxnSpPr>
                    <xdr:spPr>
                      <a:xfrm>
                        <a:off x="2920977" y="77155"/>
                        <a:ext cx="1594484" cy="0"/>
                      </a:xfrm>
                      <a:prstGeom prst="line">
                        <a:avLst/>
                      </a:prstGeom>
                      <a:ln w="3175"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76" name="Straight Connector 375"/>
                      <xdr:cNvCxnSpPr/>
                    </xdr:nvCxnSpPr>
                    <xdr:spPr>
                      <a:xfrm>
                        <a:off x="5022559" y="92586"/>
                        <a:ext cx="1814052" cy="0"/>
                      </a:xfrm>
                      <a:prstGeom prst="line">
                        <a:avLst/>
                      </a:prstGeom>
                      <a:ln w="3175"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77" name="Straight Connector 376"/>
                      <xdr:cNvCxnSpPr/>
                    </xdr:nvCxnSpPr>
                    <xdr:spPr>
                      <a:xfrm>
                        <a:off x="6841838" y="20575"/>
                        <a:ext cx="0" cy="118304"/>
                      </a:xfrm>
                      <a:prstGeom prst="line">
                        <a:avLst/>
                      </a:prstGeom>
                      <a:ln w="3175">
                        <a:solidFill>
                          <a:sysClr val="windowText" lastClr="000000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</xdr:grpSp>
          </xdr:grpSp>
        </xdr:grpSp>
      </xdr:grpSp>
      <xdr:grpSp>
        <xdr:nvGrpSpPr>
          <xdr:cNvPr id="347" name="Group 217"/>
          <xdr:cNvGrpSpPr>
            <a:grpSpLocks/>
          </xdr:cNvGrpSpPr>
        </xdr:nvGrpSpPr>
        <xdr:grpSpPr bwMode="auto">
          <a:xfrm>
            <a:off x="3137616" y="1607278"/>
            <a:ext cx="224796" cy="77155"/>
            <a:chOff x="3137616" y="1607278"/>
            <a:chExt cx="224796" cy="77155"/>
          </a:xfrm>
        </xdr:grpSpPr>
        <xdr:cxnSp macro="">
          <xdr:nvCxnSpPr>
            <xdr:cNvPr id="348" name="Straight Connector 347"/>
            <xdr:cNvCxnSpPr/>
          </xdr:nvCxnSpPr>
          <xdr:spPr>
            <a:xfrm>
              <a:off x="3137616" y="1607278"/>
              <a:ext cx="0" cy="77155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9" name="Straight Connector 348"/>
            <xdr:cNvCxnSpPr/>
          </xdr:nvCxnSpPr>
          <xdr:spPr>
            <a:xfrm>
              <a:off x="3362412" y="1607278"/>
              <a:ext cx="0" cy="77155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1" name="Straight Connector 350"/>
            <xdr:cNvCxnSpPr/>
          </xdr:nvCxnSpPr>
          <xdr:spPr>
            <a:xfrm>
              <a:off x="3142844" y="1684433"/>
              <a:ext cx="219568" cy="0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44</xdr:col>
      <xdr:colOff>182096</xdr:colOff>
      <xdr:row>1</xdr:row>
      <xdr:rowOff>60512</xdr:rowOff>
    </xdr:from>
    <xdr:to>
      <xdr:col>48</xdr:col>
      <xdr:colOff>84859</xdr:colOff>
      <xdr:row>7</xdr:row>
      <xdr:rowOff>18031</xdr:rowOff>
    </xdr:to>
    <xdr:pic>
      <xdr:nvPicPr>
        <xdr:cNvPr id="217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6890" y="228600"/>
          <a:ext cx="799234" cy="898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44</xdr:col>
      <xdr:colOff>140073</xdr:colOff>
      <xdr:row>44</xdr:row>
      <xdr:rowOff>42582</xdr:rowOff>
    </xdr:from>
    <xdr:to>
      <xdr:col>48</xdr:col>
      <xdr:colOff>42836</xdr:colOff>
      <xdr:row>50</xdr:row>
      <xdr:rowOff>102</xdr:rowOff>
    </xdr:to>
    <xdr:pic>
      <xdr:nvPicPr>
        <xdr:cNvPr id="218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4867" y="7292788"/>
          <a:ext cx="799234" cy="898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126354</xdr:colOff>
      <xdr:row>66</xdr:row>
      <xdr:rowOff>14129</xdr:rowOff>
    </xdr:from>
    <xdr:to>
      <xdr:col>8</xdr:col>
      <xdr:colOff>126354</xdr:colOff>
      <xdr:row>69</xdr:row>
      <xdr:rowOff>47746</xdr:rowOff>
    </xdr:to>
    <xdr:cxnSp macro="">
      <xdr:nvCxnSpPr>
        <xdr:cNvPr id="9" name="Straight Connector 8"/>
        <xdr:cNvCxnSpPr/>
      </xdr:nvCxnSpPr>
      <xdr:spPr>
        <a:xfrm flipV="1">
          <a:off x="1901256" y="10793641"/>
          <a:ext cx="0" cy="521483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153908</xdr:colOff>
      <xdr:row>66</xdr:row>
      <xdr:rowOff>32390</xdr:rowOff>
    </xdr:from>
    <xdr:to>
      <xdr:col>24</xdr:col>
      <xdr:colOff>153908</xdr:colOff>
      <xdr:row>69</xdr:row>
      <xdr:rowOff>66007</xdr:rowOff>
    </xdr:to>
    <xdr:cxnSp macro="">
      <xdr:nvCxnSpPr>
        <xdr:cNvPr id="231" name="Straight Connector 230"/>
        <xdr:cNvCxnSpPr/>
      </xdr:nvCxnSpPr>
      <xdr:spPr>
        <a:xfrm flipV="1">
          <a:off x="5469323" y="10811902"/>
          <a:ext cx="0" cy="521483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120805</xdr:colOff>
      <xdr:row>66</xdr:row>
      <xdr:rowOff>13939</xdr:rowOff>
    </xdr:from>
    <xdr:to>
      <xdr:col>24</xdr:col>
      <xdr:colOff>167269</xdr:colOff>
      <xdr:row>66</xdr:row>
      <xdr:rowOff>23232</xdr:rowOff>
    </xdr:to>
    <xdr:cxnSp macro="">
      <xdr:nvCxnSpPr>
        <xdr:cNvPr id="232" name="Straight Connector 231"/>
        <xdr:cNvCxnSpPr/>
      </xdr:nvCxnSpPr>
      <xdr:spPr>
        <a:xfrm flipH="1" flipV="1">
          <a:off x="1895707" y="10793451"/>
          <a:ext cx="3586977" cy="9293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205019</xdr:colOff>
      <xdr:row>65</xdr:row>
      <xdr:rowOff>16565</xdr:rowOff>
    </xdr:from>
    <xdr:to>
      <xdr:col>9</xdr:col>
      <xdr:colOff>207065</xdr:colOff>
      <xdr:row>66</xdr:row>
      <xdr:rowOff>26212</xdr:rowOff>
    </xdr:to>
    <xdr:cxnSp macro="">
      <xdr:nvCxnSpPr>
        <xdr:cNvPr id="234" name="Straight Connector 233"/>
        <xdr:cNvCxnSpPr/>
      </xdr:nvCxnSpPr>
      <xdr:spPr>
        <a:xfrm flipV="1">
          <a:off x="2176280" y="11322326"/>
          <a:ext cx="2046" cy="175299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194409</xdr:colOff>
      <xdr:row>65</xdr:row>
      <xdr:rowOff>7303</xdr:rowOff>
    </xdr:from>
    <xdr:to>
      <xdr:col>22</xdr:col>
      <xdr:colOff>210206</xdr:colOff>
      <xdr:row>65</xdr:row>
      <xdr:rowOff>13138</xdr:rowOff>
    </xdr:to>
    <xdr:cxnSp macro="">
      <xdr:nvCxnSpPr>
        <xdr:cNvPr id="236" name="Straight Connector 235"/>
        <xdr:cNvCxnSpPr/>
      </xdr:nvCxnSpPr>
      <xdr:spPr>
        <a:xfrm flipH="1" flipV="1">
          <a:off x="2178237" y="11213958"/>
          <a:ext cx="2886435" cy="5835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8521</xdr:colOff>
      <xdr:row>65</xdr:row>
      <xdr:rowOff>10568</xdr:rowOff>
    </xdr:from>
    <xdr:to>
      <xdr:col>23</xdr:col>
      <xdr:colOff>10567</xdr:colOff>
      <xdr:row>66</xdr:row>
      <xdr:rowOff>20215</xdr:rowOff>
    </xdr:to>
    <xdr:cxnSp macro="">
      <xdr:nvCxnSpPr>
        <xdr:cNvPr id="238" name="Straight Connector 237"/>
        <xdr:cNvCxnSpPr/>
      </xdr:nvCxnSpPr>
      <xdr:spPr>
        <a:xfrm flipV="1">
          <a:off x="5079762" y="11217223"/>
          <a:ext cx="2046" cy="173871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19373</xdr:colOff>
      <xdr:row>65</xdr:row>
      <xdr:rowOff>16144</xdr:rowOff>
    </xdr:from>
    <xdr:to>
      <xdr:col>23</xdr:col>
      <xdr:colOff>201283</xdr:colOff>
      <xdr:row>66</xdr:row>
      <xdr:rowOff>10784</xdr:rowOff>
    </xdr:to>
    <xdr:sp macro="" textlink="">
      <xdr:nvSpPr>
        <xdr:cNvPr id="16" name="Right Triangle 15"/>
        <xdr:cNvSpPr/>
      </xdr:nvSpPr>
      <xdr:spPr>
        <a:xfrm>
          <a:off x="5146729" y="10558220"/>
          <a:ext cx="181910" cy="156081"/>
        </a:xfrm>
        <a:prstGeom prst="rtTriangl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23495</xdr:colOff>
      <xdr:row>65</xdr:row>
      <xdr:rowOff>11816</xdr:rowOff>
    </xdr:from>
    <xdr:to>
      <xdr:col>9</xdr:col>
      <xdr:colOff>205405</xdr:colOff>
      <xdr:row>66</xdr:row>
      <xdr:rowOff>6456</xdr:rowOff>
    </xdr:to>
    <xdr:sp macro="" textlink="">
      <xdr:nvSpPr>
        <xdr:cNvPr id="242" name="Right Triangle 241"/>
        <xdr:cNvSpPr/>
      </xdr:nvSpPr>
      <xdr:spPr>
        <a:xfrm flipH="1">
          <a:off x="2021718" y="10594699"/>
          <a:ext cx="181910" cy="156768"/>
        </a:xfrm>
        <a:prstGeom prst="rtTriangl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110328</xdr:colOff>
      <xdr:row>65</xdr:row>
      <xdr:rowOff>94775</xdr:rowOff>
    </xdr:from>
    <xdr:to>
      <xdr:col>28</xdr:col>
      <xdr:colOff>176560</xdr:colOff>
      <xdr:row>66</xdr:row>
      <xdr:rowOff>125451</xdr:rowOff>
    </xdr:to>
    <xdr:cxnSp macro="">
      <xdr:nvCxnSpPr>
        <xdr:cNvPr id="24" name="Straight Arrow Connector 23"/>
        <xdr:cNvCxnSpPr>
          <a:stCxn id="16" idx="5"/>
        </xdr:cNvCxnSpPr>
      </xdr:nvCxnSpPr>
      <xdr:spPr>
        <a:xfrm>
          <a:off x="5207365" y="10711665"/>
          <a:ext cx="1167415" cy="19329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L-MR3420\SNI%202013\SNI%202013%20DEKA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L-MR3420\Tugas%20Nur%202017\rab%20bangunan%202017\bangunan%202019\Rab%20jadi%202019\163m%20rt%2000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AHAN"/>
      <sheetName val="ANALISA"/>
    </sheetNames>
    <sheetDataSet>
      <sheetData sheetId="0"/>
      <sheetData sheetId="1"/>
      <sheetData sheetId="2">
        <row r="343">
          <cell r="G343">
            <v>299</v>
          </cell>
        </row>
        <row r="344">
          <cell r="G344">
            <v>0.57069999999999999</v>
          </cell>
        </row>
        <row r="345">
          <cell r="G345">
            <v>0.75329999999999997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S"/>
      <sheetName val="Schedule"/>
      <sheetName val="Analisa (2)"/>
      <sheetName val="RAB"/>
      <sheetName val="Rekap Bahan &amp; Upah"/>
      <sheetName val="Rekapitulasi AB"/>
      <sheetName val="Papan Kegiatan"/>
      <sheetName val="Sheet1"/>
      <sheetName val="RPD 40%"/>
      <sheetName val="GAMBAR"/>
      <sheetName val="Sheet2"/>
    </sheetNames>
    <sheetDataSet>
      <sheetData sheetId="0"/>
      <sheetData sheetId="1"/>
      <sheetData sheetId="2"/>
      <sheetData sheetId="3"/>
      <sheetData sheetId="4">
        <row r="26">
          <cell r="I26">
            <v>118950000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C23"/>
  <sheetViews>
    <sheetView showGridLines="0" tabSelected="1" zoomScale="85" zoomScaleNormal="85" workbookViewId="0">
      <selection activeCell="B3" sqref="B3"/>
    </sheetView>
  </sheetViews>
  <sheetFormatPr defaultRowHeight="12.75" x14ac:dyDescent="0.2"/>
  <cols>
    <col min="1" max="1" width="9.140625" style="655" customWidth="1"/>
    <col min="2" max="2" width="108" bestFit="1" customWidth="1"/>
    <col min="3" max="3" width="8.5703125" bestFit="1" customWidth="1"/>
    <col min="6" max="6" width="0" hidden="1" customWidth="1"/>
    <col min="7" max="7" width="23.7109375" hidden="1" customWidth="1"/>
    <col min="8" max="9" width="0" hidden="1" customWidth="1"/>
    <col min="10" max="10" width="10.85546875" hidden="1" customWidth="1"/>
    <col min="11" max="11" width="11.28515625" hidden="1" customWidth="1"/>
    <col min="12" max="12" width="11.140625" hidden="1" customWidth="1"/>
    <col min="13" max="13" width="11.42578125" hidden="1" customWidth="1"/>
    <col min="14" max="14" width="11.5703125" hidden="1" customWidth="1"/>
    <col min="15" max="15" width="12.28515625" hidden="1" customWidth="1"/>
    <col min="16" max="16" width="12.5703125" hidden="1" customWidth="1"/>
    <col min="17" max="23" width="0" style="661" hidden="1" customWidth="1"/>
    <col min="25" max="25" width="17.28515625" bestFit="1" customWidth="1"/>
    <col min="26" max="26" width="13.42578125" customWidth="1"/>
    <col min="27" max="28" width="16.85546875" bestFit="1" customWidth="1"/>
    <col min="29" max="29" width="15.7109375" customWidth="1"/>
  </cols>
  <sheetData>
    <row r="1" spans="1:29" ht="19.5" customHeight="1" x14ac:dyDescent="0.2">
      <c r="A1" s="655">
        <f>'7. RAB'!H4+2</f>
        <v>12</v>
      </c>
      <c r="Y1" t="s">
        <v>416</v>
      </c>
    </row>
    <row r="2" spans="1:29" s="656" customFormat="1" ht="63.75" customHeight="1" x14ac:dyDescent="0.2">
      <c r="A2" s="659" t="s">
        <v>378</v>
      </c>
      <c r="B2" s="659" t="s">
        <v>384</v>
      </c>
      <c r="C2" s="659" t="s">
        <v>121</v>
      </c>
      <c r="D2" s="659" t="s">
        <v>126</v>
      </c>
      <c r="E2" s="659" t="s">
        <v>122</v>
      </c>
      <c r="F2" s="659" t="s">
        <v>385</v>
      </c>
      <c r="G2" s="659" t="s">
        <v>386</v>
      </c>
      <c r="H2" s="659" t="s">
        <v>25</v>
      </c>
      <c r="I2" s="659" t="s">
        <v>387</v>
      </c>
      <c r="J2" s="659" t="s">
        <v>388</v>
      </c>
      <c r="K2" s="659" t="s">
        <v>389</v>
      </c>
      <c r="L2" s="659" t="s">
        <v>390</v>
      </c>
      <c r="M2" s="659" t="s">
        <v>391</v>
      </c>
      <c r="N2" s="659" t="s">
        <v>392</v>
      </c>
      <c r="O2" s="659" t="s">
        <v>393</v>
      </c>
      <c r="P2" s="659" t="s">
        <v>394</v>
      </c>
      <c r="Q2" s="659" t="s">
        <v>395</v>
      </c>
      <c r="R2" s="659" t="s">
        <v>396</v>
      </c>
      <c r="S2" s="659" t="s">
        <v>397</v>
      </c>
      <c r="T2" s="659" t="s">
        <v>398</v>
      </c>
      <c r="U2" s="659" t="s">
        <v>399</v>
      </c>
      <c r="V2" s="659" t="s">
        <v>400</v>
      </c>
      <c r="W2" s="659" t="s">
        <v>401</v>
      </c>
      <c r="X2" s="665" t="s">
        <v>402</v>
      </c>
      <c r="Y2" s="665" t="s">
        <v>413</v>
      </c>
      <c r="Z2" s="665" t="s">
        <v>412</v>
      </c>
      <c r="AA2" s="672" t="s">
        <v>415</v>
      </c>
      <c r="AB2" s="672" t="s">
        <v>417</v>
      </c>
      <c r="AC2" s="672" t="s">
        <v>418</v>
      </c>
    </row>
    <row r="3" spans="1:29" x14ac:dyDescent="0.2">
      <c r="A3" s="657">
        <v>5</v>
      </c>
      <c r="B3" s="663" t="s">
        <v>407</v>
      </c>
      <c r="C3" s="681">
        <v>55</v>
      </c>
      <c r="D3" s="658">
        <v>3.5</v>
      </c>
      <c r="E3" s="658">
        <v>0.2</v>
      </c>
      <c r="F3" s="658"/>
      <c r="G3" s="658"/>
      <c r="H3" s="658"/>
      <c r="I3" s="658"/>
      <c r="J3" s="658"/>
      <c r="K3" s="658"/>
      <c r="L3" s="658"/>
      <c r="M3" s="658"/>
      <c r="N3" s="658"/>
      <c r="O3" s="658"/>
      <c r="P3" s="658"/>
      <c r="Q3" s="662"/>
      <c r="R3" s="662"/>
      <c r="S3" s="662"/>
      <c r="T3" s="662"/>
      <c r="U3" s="662"/>
      <c r="V3" s="662"/>
      <c r="W3" s="662"/>
      <c r="X3" s="663" t="s">
        <v>406</v>
      </c>
      <c r="Y3" s="666">
        <f>SUM(Z3:AC3)</f>
        <v>70721000</v>
      </c>
      <c r="Z3" s="666">
        <v>825000</v>
      </c>
      <c r="AA3" s="666">
        <v>18040000</v>
      </c>
      <c r="AB3" s="666">
        <v>50856000</v>
      </c>
      <c r="AC3" s="666">
        <v>1000000</v>
      </c>
    </row>
    <row r="4" spans="1:29" ht="13.5" customHeight="1" x14ac:dyDescent="0.2">
      <c r="A4" s="657">
        <v>6</v>
      </c>
      <c r="B4" s="692" t="s">
        <v>404</v>
      </c>
      <c r="C4" s="658">
        <v>75</v>
      </c>
      <c r="D4" s="658">
        <v>3.5</v>
      </c>
      <c r="E4" s="658">
        <v>0.2</v>
      </c>
      <c r="F4" s="658"/>
      <c r="G4" s="658"/>
      <c r="H4" s="658"/>
      <c r="I4" s="658"/>
      <c r="J4" s="658"/>
      <c r="K4" s="658"/>
      <c r="L4" s="658"/>
      <c r="M4" s="658"/>
      <c r="N4" s="658"/>
      <c r="O4" s="658"/>
      <c r="P4" s="658"/>
      <c r="Q4" s="662"/>
      <c r="R4" s="662"/>
      <c r="S4" s="662"/>
      <c r="T4" s="662"/>
      <c r="U4" s="662"/>
      <c r="V4" s="662"/>
      <c r="W4" s="662"/>
      <c r="X4" s="663" t="s">
        <v>403</v>
      </c>
      <c r="Y4" s="666">
        <f t="shared" ref="Y4:Y9" si="0">SUM(Z4:AC4)</f>
        <v>95045000</v>
      </c>
      <c r="Z4" s="666">
        <v>825000</v>
      </c>
      <c r="AA4" s="666">
        <v>24060000</v>
      </c>
      <c r="AB4" s="666">
        <v>69160000</v>
      </c>
      <c r="AC4" s="666">
        <v>1000000</v>
      </c>
    </row>
    <row r="5" spans="1:29" x14ac:dyDescent="0.2">
      <c r="A5" s="657">
        <v>7</v>
      </c>
      <c r="B5" s="663" t="s">
        <v>424</v>
      </c>
      <c r="C5" s="658">
        <v>70</v>
      </c>
      <c r="D5" s="658">
        <v>3.5</v>
      </c>
      <c r="E5" s="658">
        <v>0.2</v>
      </c>
      <c r="F5" s="658"/>
      <c r="G5" s="658"/>
      <c r="H5" s="658"/>
      <c r="I5" s="658"/>
      <c r="J5" s="658"/>
      <c r="K5" s="658"/>
      <c r="L5" s="658"/>
      <c r="M5" s="658"/>
      <c r="N5" s="658"/>
      <c r="O5" s="658"/>
      <c r="P5" s="658"/>
      <c r="Q5" s="662"/>
      <c r="R5" s="662"/>
      <c r="S5" s="662"/>
      <c r="T5" s="662"/>
      <c r="U5" s="662"/>
      <c r="V5" s="662"/>
      <c r="W5" s="662"/>
      <c r="X5" s="658" t="s">
        <v>423</v>
      </c>
      <c r="Y5" s="666">
        <f t="shared" si="0"/>
        <v>88745000</v>
      </c>
      <c r="Z5" s="666">
        <v>825000</v>
      </c>
      <c r="AA5" s="666">
        <v>22320000</v>
      </c>
      <c r="AB5" s="666">
        <v>64600000</v>
      </c>
      <c r="AC5" s="666">
        <v>1000000</v>
      </c>
    </row>
    <row r="6" spans="1:29" x14ac:dyDescent="0.2">
      <c r="A6" s="657">
        <v>8</v>
      </c>
      <c r="B6" s="692" t="s">
        <v>425</v>
      </c>
      <c r="C6" s="681">
        <v>50</v>
      </c>
      <c r="D6" s="658">
        <v>3.5</v>
      </c>
      <c r="E6" s="658">
        <v>0.2</v>
      </c>
      <c r="F6" s="658"/>
      <c r="G6" s="658"/>
      <c r="H6" s="658"/>
      <c r="I6" s="658"/>
      <c r="J6" s="658"/>
      <c r="K6" s="658"/>
      <c r="L6" s="658"/>
      <c r="M6" s="658"/>
      <c r="N6" s="658"/>
      <c r="O6" s="658"/>
      <c r="P6" s="658"/>
      <c r="Q6" s="662"/>
      <c r="R6" s="662"/>
      <c r="S6" s="662"/>
      <c r="T6" s="662"/>
      <c r="U6" s="662"/>
      <c r="V6" s="662"/>
      <c r="W6" s="662"/>
      <c r="X6" s="663" t="s">
        <v>409</v>
      </c>
      <c r="Y6" s="666">
        <f t="shared" si="0"/>
        <v>64021000</v>
      </c>
      <c r="Z6" s="666">
        <v>825000</v>
      </c>
      <c r="AA6" s="666">
        <v>15980000</v>
      </c>
      <c r="AB6" s="666">
        <v>46216000</v>
      </c>
      <c r="AC6" s="666">
        <v>1000000</v>
      </c>
    </row>
    <row r="7" spans="1:29" x14ac:dyDescent="0.2">
      <c r="A7" s="657">
        <v>9</v>
      </c>
      <c r="B7" s="692" t="s">
        <v>426</v>
      </c>
      <c r="C7" s="658">
        <v>40</v>
      </c>
      <c r="D7" s="658">
        <v>2.5</v>
      </c>
      <c r="E7" s="658">
        <v>0.2</v>
      </c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62"/>
      <c r="R7" s="662"/>
      <c r="S7" s="662"/>
      <c r="T7" s="662"/>
      <c r="U7" s="662"/>
      <c r="V7" s="662"/>
      <c r="W7" s="662"/>
      <c r="X7" s="663" t="s">
        <v>411</v>
      </c>
      <c r="Y7" s="666">
        <f t="shared" si="0"/>
        <v>38079000</v>
      </c>
      <c r="Z7" s="666">
        <v>450000</v>
      </c>
      <c r="AA7" s="666">
        <v>9560000</v>
      </c>
      <c r="AB7" s="666">
        <v>27069000</v>
      </c>
      <c r="AC7" s="666">
        <v>1000000</v>
      </c>
    </row>
    <row r="8" spans="1:29" x14ac:dyDescent="0.2">
      <c r="A8" s="657">
        <v>10</v>
      </c>
      <c r="B8" s="692" t="s">
        <v>428</v>
      </c>
      <c r="C8" s="658">
        <v>70</v>
      </c>
      <c r="D8" s="658">
        <v>3.5</v>
      </c>
      <c r="E8" s="658">
        <v>0.2</v>
      </c>
      <c r="F8" s="658"/>
      <c r="G8" s="658"/>
      <c r="H8" s="658"/>
      <c r="I8" s="658"/>
      <c r="J8" s="658"/>
      <c r="K8" s="658"/>
      <c r="L8" s="658"/>
      <c r="M8" s="658"/>
      <c r="N8" s="658"/>
      <c r="O8" s="658"/>
      <c r="P8" s="658"/>
      <c r="Q8" s="662"/>
      <c r="R8" s="662"/>
      <c r="S8" s="662"/>
      <c r="T8" s="662"/>
      <c r="U8" s="662"/>
      <c r="V8" s="662"/>
      <c r="W8" s="662"/>
      <c r="X8" s="663" t="s">
        <v>410</v>
      </c>
      <c r="Y8" s="666">
        <f t="shared" si="0"/>
        <v>88745000</v>
      </c>
      <c r="Z8" s="666">
        <v>825000</v>
      </c>
      <c r="AA8" s="666">
        <v>22320000</v>
      </c>
      <c r="AB8" s="666">
        <v>64600000</v>
      </c>
      <c r="AC8" s="666">
        <v>1000000</v>
      </c>
    </row>
    <row r="9" spans="1:29" ht="15" x14ac:dyDescent="0.3">
      <c r="A9" s="657">
        <v>11</v>
      </c>
      <c r="B9" s="692" t="s">
        <v>429</v>
      </c>
      <c r="C9" s="681">
        <v>54</v>
      </c>
      <c r="D9" s="658">
        <v>3.5</v>
      </c>
      <c r="E9" s="658">
        <v>0.2</v>
      </c>
      <c r="F9" s="658"/>
      <c r="G9" s="658"/>
      <c r="H9" s="658"/>
      <c r="I9" s="658"/>
      <c r="J9" s="658"/>
      <c r="K9" s="658"/>
      <c r="L9" s="658"/>
      <c r="M9" s="658"/>
      <c r="N9" s="658"/>
      <c r="O9" s="658"/>
      <c r="P9" s="658"/>
      <c r="Q9" s="662"/>
      <c r="R9" s="662"/>
      <c r="S9" s="662"/>
      <c r="T9" s="662"/>
      <c r="U9" s="662"/>
      <c r="V9" s="662"/>
      <c r="W9" s="662"/>
      <c r="X9" s="663" t="s">
        <v>405</v>
      </c>
      <c r="Y9" s="666">
        <f t="shared" si="0"/>
        <v>69391000</v>
      </c>
      <c r="Z9" s="677">
        <v>825000</v>
      </c>
      <c r="AA9" s="677">
        <v>17740000</v>
      </c>
      <c r="AB9" s="677">
        <v>49826000</v>
      </c>
      <c r="AC9" s="677">
        <v>1000000</v>
      </c>
    </row>
    <row r="10" spans="1:29" s="668" customFormat="1" x14ac:dyDescent="0.2">
      <c r="A10" s="657">
        <v>13</v>
      </c>
      <c r="B10" s="673" t="s">
        <v>184</v>
      </c>
      <c r="C10" s="674">
        <v>0</v>
      </c>
      <c r="D10" s="674">
        <v>0</v>
      </c>
      <c r="E10" s="674">
        <v>0</v>
      </c>
      <c r="F10" s="674"/>
      <c r="G10" s="674"/>
      <c r="H10" s="674"/>
      <c r="I10" s="674"/>
      <c r="J10" s="674"/>
      <c r="K10" s="674"/>
      <c r="L10" s="674"/>
      <c r="M10" s="674"/>
      <c r="N10" s="674"/>
      <c r="O10" s="674"/>
      <c r="P10" s="674"/>
      <c r="Q10" s="675"/>
      <c r="R10" s="675"/>
      <c r="S10" s="675"/>
      <c r="T10" s="675"/>
      <c r="U10" s="675"/>
      <c r="V10" s="675"/>
      <c r="W10" s="675"/>
      <c r="X10" s="674"/>
      <c r="Y10" s="674"/>
      <c r="Z10" s="674"/>
      <c r="AA10" s="674"/>
      <c r="AB10" s="674"/>
      <c r="AC10" s="674"/>
    </row>
    <row r="11" spans="1:29" x14ac:dyDescent="0.2">
      <c r="A11" s="657">
        <v>14</v>
      </c>
      <c r="B11" s="663"/>
      <c r="C11" s="658">
        <v>0</v>
      </c>
      <c r="D11" s="658">
        <v>0</v>
      </c>
      <c r="E11" s="658">
        <v>0</v>
      </c>
      <c r="F11" s="658"/>
      <c r="G11" s="658"/>
      <c r="H11" s="658"/>
      <c r="I11" s="658"/>
      <c r="J11" s="658"/>
      <c r="K11" s="658"/>
      <c r="L11" s="658"/>
      <c r="M11" s="658"/>
      <c r="N11" s="658"/>
      <c r="O11" s="658"/>
      <c r="P11" s="658"/>
      <c r="Q11" s="662"/>
      <c r="R11" s="662"/>
      <c r="S11" s="662"/>
      <c r="T11" s="662"/>
      <c r="U11" s="662"/>
      <c r="V11" s="662"/>
      <c r="W11" s="662"/>
      <c r="X11" s="658"/>
      <c r="Y11" s="658"/>
      <c r="Z11" s="658"/>
      <c r="AA11" s="658"/>
      <c r="AB11" s="658"/>
      <c r="AC11" s="658"/>
    </row>
    <row r="12" spans="1:29" x14ac:dyDescent="0.2">
      <c r="A12" s="657">
        <v>15</v>
      </c>
      <c r="B12" s="683"/>
      <c r="C12" s="658">
        <v>0</v>
      </c>
      <c r="D12" s="658">
        <v>0</v>
      </c>
      <c r="E12" s="658">
        <v>0</v>
      </c>
      <c r="F12" s="658"/>
      <c r="G12" s="658"/>
      <c r="H12" s="658"/>
      <c r="I12" s="658"/>
      <c r="J12" s="658"/>
      <c r="K12" s="658"/>
      <c r="L12" s="658"/>
      <c r="M12" s="658"/>
      <c r="N12" s="658"/>
      <c r="O12" s="658"/>
      <c r="P12" s="658"/>
      <c r="Q12" s="662"/>
      <c r="R12" s="662"/>
      <c r="S12" s="662"/>
      <c r="T12" s="662"/>
      <c r="U12" s="662"/>
      <c r="V12" s="662"/>
      <c r="W12" s="662"/>
      <c r="X12" s="658"/>
      <c r="Y12" s="658"/>
      <c r="Z12" s="658"/>
      <c r="AA12" s="658"/>
      <c r="AB12" s="658"/>
      <c r="AC12" s="658"/>
    </row>
    <row r="13" spans="1:29" x14ac:dyDescent="0.2">
      <c r="A13" s="657">
        <v>16</v>
      </c>
      <c r="B13" s="683"/>
      <c r="C13" s="658">
        <v>0</v>
      </c>
      <c r="D13" s="658">
        <v>0</v>
      </c>
      <c r="E13" s="658">
        <v>0</v>
      </c>
      <c r="F13" s="658"/>
      <c r="G13" s="658"/>
      <c r="H13" s="658"/>
      <c r="I13" s="658"/>
      <c r="J13" s="658"/>
      <c r="K13" s="658"/>
      <c r="L13" s="658"/>
      <c r="M13" s="658"/>
      <c r="N13" s="658"/>
      <c r="O13" s="658"/>
      <c r="P13" s="658"/>
      <c r="Q13" s="662"/>
      <c r="R13" s="662"/>
      <c r="S13" s="662"/>
      <c r="T13" s="662"/>
      <c r="U13" s="662"/>
      <c r="V13" s="662"/>
      <c r="W13" s="662"/>
      <c r="X13" s="658"/>
      <c r="Y13" s="658"/>
      <c r="Z13" s="658"/>
      <c r="AA13" s="658"/>
      <c r="AB13" s="658"/>
      <c r="AC13" s="658"/>
    </row>
    <row r="14" spans="1:29" x14ac:dyDescent="0.2">
      <c r="A14" s="657">
        <v>17</v>
      </c>
      <c r="B14" s="663" t="s">
        <v>184</v>
      </c>
      <c r="C14" s="658">
        <v>0</v>
      </c>
      <c r="D14" s="658">
        <v>0</v>
      </c>
      <c r="E14" s="658">
        <v>0</v>
      </c>
      <c r="F14" s="658"/>
      <c r="G14" s="658"/>
      <c r="H14" s="658"/>
      <c r="I14" s="658"/>
      <c r="J14" s="658"/>
      <c r="K14" s="658"/>
      <c r="L14" s="658"/>
      <c r="M14" s="658"/>
      <c r="N14" s="658"/>
      <c r="O14" s="658"/>
      <c r="P14" s="658"/>
      <c r="Q14" s="662"/>
      <c r="R14" s="662"/>
      <c r="S14" s="662"/>
      <c r="T14" s="662"/>
      <c r="U14" s="662"/>
      <c r="V14" s="662"/>
      <c r="W14" s="662"/>
      <c r="X14" s="658"/>
      <c r="Y14" s="658"/>
      <c r="Z14" s="658"/>
      <c r="AA14" s="658"/>
      <c r="AB14" s="658"/>
      <c r="AC14" s="658"/>
    </row>
    <row r="15" spans="1:29" x14ac:dyDescent="0.2">
      <c r="A15" s="657">
        <v>18</v>
      </c>
      <c r="B15" s="663" t="s">
        <v>184</v>
      </c>
      <c r="C15" s="658">
        <v>0</v>
      </c>
      <c r="D15" s="658">
        <v>0</v>
      </c>
      <c r="E15" s="658">
        <v>0</v>
      </c>
      <c r="F15" s="658"/>
      <c r="G15" s="658"/>
      <c r="H15" s="658"/>
      <c r="I15" s="658"/>
      <c r="J15" s="658"/>
      <c r="K15" s="658"/>
      <c r="L15" s="658"/>
      <c r="M15" s="658"/>
      <c r="N15" s="658"/>
      <c r="O15" s="658"/>
      <c r="P15" s="658"/>
      <c r="Q15" s="662"/>
      <c r="R15" s="662"/>
      <c r="S15" s="662"/>
      <c r="T15" s="662"/>
      <c r="U15" s="662"/>
      <c r="V15" s="662"/>
      <c r="W15" s="662"/>
      <c r="X15" s="658"/>
      <c r="Y15" s="658"/>
      <c r="Z15" s="658"/>
      <c r="AA15" s="658"/>
      <c r="AB15" s="658"/>
      <c r="AC15" s="658"/>
    </row>
    <row r="16" spans="1:29" x14ac:dyDescent="0.2">
      <c r="A16" s="657">
        <v>19</v>
      </c>
      <c r="B16" s="663" t="s">
        <v>184</v>
      </c>
      <c r="C16" s="658">
        <v>0</v>
      </c>
      <c r="D16" s="658">
        <v>0</v>
      </c>
      <c r="E16" s="658">
        <v>0</v>
      </c>
      <c r="F16" s="658"/>
      <c r="G16" s="658"/>
      <c r="H16" s="658"/>
      <c r="I16" s="658"/>
      <c r="J16" s="658"/>
      <c r="K16" s="658"/>
      <c r="L16" s="658"/>
      <c r="M16" s="658"/>
      <c r="N16" s="658"/>
      <c r="O16" s="658"/>
      <c r="P16" s="658"/>
      <c r="Q16" s="662"/>
      <c r="R16" s="662"/>
      <c r="S16" s="662"/>
      <c r="T16" s="662"/>
      <c r="U16" s="662"/>
      <c r="V16" s="662"/>
      <c r="W16" s="662"/>
      <c r="X16" s="658"/>
      <c r="Y16" s="658"/>
      <c r="Z16" s="658"/>
      <c r="AA16" s="658"/>
      <c r="AB16" s="658"/>
      <c r="AC16" s="658"/>
    </row>
    <row r="17" spans="1:29" x14ac:dyDescent="0.2">
      <c r="A17" s="657">
        <v>20</v>
      </c>
      <c r="B17" s="663" t="s">
        <v>184</v>
      </c>
      <c r="C17" s="658">
        <v>0</v>
      </c>
      <c r="D17" s="658">
        <v>0</v>
      </c>
      <c r="E17" s="658">
        <v>0</v>
      </c>
      <c r="F17" s="658"/>
      <c r="G17" s="658"/>
      <c r="H17" s="658"/>
      <c r="I17" s="658"/>
      <c r="J17" s="658"/>
      <c r="K17" s="658"/>
      <c r="L17" s="658"/>
      <c r="M17" s="658"/>
      <c r="N17" s="658"/>
      <c r="O17" s="658"/>
      <c r="P17" s="658"/>
      <c r="Q17" s="662"/>
      <c r="R17" s="662"/>
      <c r="S17" s="662"/>
      <c r="T17" s="662"/>
      <c r="U17" s="662"/>
      <c r="V17" s="662"/>
      <c r="W17" s="662"/>
      <c r="X17" s="658"/>
      <c r="Y17" s="658"/>
      <c r="Z17" s="658"/>
      <c r="AA17" s="658"/>
      <c r="AB17" s="658"/>
      <c r="AC17" s="658"/>
    </row>
    <row r="18" spans="1:29" x14ac:dyDescent="0.2">
      <c r="Y18" s="671">
        <f>SUM(Y3:Y17)</f>
        <v>514747000</v>
      </c>
      <c r="Z18" s="671">
        <f>SUM(Z3:Z17)</f>
        <v>5400000</v>
      </c>
      <c r="AA18" s="671">
        <f>SUM(AA3:AA17)</f>
        <v>130020000</v>
      </c>
      <c r="AB18" s="671">
        <f>SUM(AB3:AB17)</f>
        <v>372327000</v>
      </c>
      <c r="AC18" s="671">
        <f>SUM(AC3:AC17)</f>
        <v>7000000</v>
      </c>
    </row>
    <row r="20" spans="1:29" x14ac:dyDescent="0.2">
      <c r="B20">
        <f ca="1">CELL("row")</f>
        <v>36</v>
      </c>
      <c r="X20" s="668"/>
      <c r="Y20" s="669"/>
      <c r="Z20" s="670"/>
    </row>
    <row r="21" spans="1:29" x14ac:dyDescent="0.2">
      <c r="B21">
        <f ca="1">CELL("col",B9)</f>
        <v>2</v>
      </c>
      <c r="X21" s="668"/>
      <c r="Y21" s="669"/>
      <c r="Z21" s="668"/>
    </row>
    <row r="22" spans="1:29" x14ac:dyDescent="0.2">
      <c r="B22">
        <f>45+39+24</f>
        <v>108</v>
      </c>
      <c r="Y22" s="680">
        <v>573638000</v>
      </c>
    </row>
    <row r="23" spans="1:29" x14ac:dyDescent="0.2">
      <c r="Y23" s="682">
        <f>Y18-Y22</f>
        <v>-58891000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M320"/>
  <sheetViews>
    <sheetView view="pageBreakPreview" topLeftCell="A9" zoomScale="85" zoomScaleSheetLayoutView="85" workbookViewId="0">
      <selection activeCell="H18" sqref="H18:K29"/>
    </sheetView>
  </sheetViews>
  <sheetFormatPr defaultRowHeight="15.75" x14ac:dyDescent="0.25"/>
  <cols>
    <col min="1" max="1" width="4.85546875" style="453" customWidth="1"/>
    <col min="2" max="2" width="25.28515625" style="454" customWidth="1"/>
    <col min="3" max="3" width="9.85546875" style="454" bestFit="1" customWidth="1"/>
    <col min="4" max="4" width="11" style="454" customWidth="1"/>
    <col min="5" max="5" width="15.85546875" style="454" customWidth="1"/>
    <col min="6" max="6" width="26.42578125" style="454" customWidth="1"/>
    <col min="7" max="7" width="24.42578125" style="454" customWidth="1"/>
    <col min="8" max="8" width="25.42578125" style="454" customWidth="1"/>
    <col min="9" max="9" width="20.28515625" style="454" customWidth="1"/>
    <col min="10" max="11" width="15.7109375" style="454" bestFit="1" customWidth="1"/>
    <col min="12" max="16384" width="9.140625" style="454"/>
  </cols>
  <sheetData>
    <row r="1" spans="1:13" x14ac:dyDescent="0.25">
      <c r="A1" s="709" t="s">
        <v>186</v>
      </c>
      <c r="B1" s="709"/>
      <c r="C1" s="709"/>
      <c r="D1" s="709"/>
      <c r="E1" s="709"/>
      <c r="F1" s="709"/>
      <c r="G1" s="709"/>
    </row>
    <row r="2" spans="1:13" x14ac:dyDescent="0.25">
      <c r="A2" s="513"/>
      <c r="B2" s="514"/>
      <c r="C2" s="514"/>
      <c r="D2" s="514"/>
      <c r="E2" s="514"/>
      <c r="F2" s="514"/>
      <c r="G2" s="514"/>
    </row>
    <row r="3" spans="1:13" x14ac:dyDescent="0.25">
      <c r="A3" s="513"/>
      <c r="B3" s="515"/>
      <c r="C3" s="515"/>
      <c r="D3" s="464"/>
      <c r="E3" s="464"/>
      <c r="F3" s="464"/>
      <c r="G3" s="464"/>
      <c r="H3" s="664" t="s">
        <v>378</v>
      </c>
    </row>
    <row r="4" spans="1:13" x14ac:dyDescent="0.25">
      <c r="A4" s="710" t="s">
        <v>46</v>
      </c>
      <c r="B4" s="710"/>
      <c r="C4" s="516" t="str">
        <f>'5. Rekap Bahan &amp; Upah'!C9</f>
        <v>: Tanjung Mulya</v>
      </c>
      <c r="D4" s="464"/>
      <c r="E4" s="517" t="s">
        <v>300</v>
      </c>
      <c r="F4" s="518" t="str">
        <f>": 2."&amp;H4</f>
        <v>: 2.10</v>
      </c>
      <c r="H4" s="693">
        <v>10</v>
      </c>
    </row>
    <row r="5" spans="1:13" x14ac:dyDescent="0.25">
      <c r="A5" s="710" t="s">
        <v>1</v>
      </c>
      <c r="B5" s="710"/>
      <c r="C5" s="519" t="str">
        <f>'5. Rekap Bahan &amp; Upah'!C8</f>
        <v>: Bahar Selatan</v>
      </c>
      <c r="D5" s="464"/>
      <c r="E5" s="517" t="s">
        <v>250</v>
      </c>
      <c r="F5" s="518" t="s">
        <v>251</v>
      </c>
      <c r="G5" s="464"/>
      <c r="H5" s="694"/>
    </row>
    <row r="6" spans="1:13" ht="49.5" customHeight="1" x14ac:dyDescent="0.25">
      <c r="A6" s="711" t="s">
        <v>0</v>
      </c>
      <c r="B6" s="711"/>
      <c r="C6" s="576" t="str">
        <f>'5. Rekap Bahan &amp; Upah'!C7</f>
        <v>: Muaro Jambi</v>
      </c>
      <c r="D6" s="464"/>
      <c r="E6" s="521" t="s">
        <v>210</v>
      </c>
      <c r="F6" s="712" t="str">
        <f>": "&amp; VLOOKUP('7. RAB'!H4,'1. DataSheet'!A2:E17,2,FALSE)&amp;", ( "&amp;'2. TOS'!S4&amp; " )"</f>
        <v>: Kegiatan pengadaan, pembangunan, pengembangan dan pemeliharaan jalan pemukiman VI (RT.15 --&gt; Pak Suratni), ( 70 x 3.5 x 0.2 Meter )</v>
      </c>
      <c r="G6" s="712"/>
      <c r="H6" s="695"/>
    </row>
    <row r="7" spans="1:13" ht="15.75" customHeight="1" x14ac:dyDescent="0.25">
      <c r="A7" s="710" t="s">
        <v>190</v>
      </c>
      <c r="B7" s="710"/>
      <c r="C7" s="519" t="str">
        <f>'5. Rekap Bahan &amp; Upah'!C6</f>
        <v>: Jambi</v>
      </c>
      <c r="D7" s="464"/>
      <c r="E7" s="517"/>
      <c r="G7" s="464"/>
      <c r="H7" s="679" t="s">
        <v>422</v>
      </c>
      <c r="I7" s="676">
        <f>SUM(G29,G34,G37,G41)</f>
        <v>87920000</v>
      </c>
    </row>
    <row r="8" spans="1:13" ht="15" customHeight="1" thickBot="1" x14ac:dyDescent="0.3">
      <c r="A8" s="513"/>
      <c r="B8" s="464"/>
      <c r="C8" s="464"/>
      <c r="D8" s="464"/>
      <c r="E8" s="464"/>
      <c r="F8" s="464"/>
      <c r="G8" s="464"/>
      <c r="H8" s="678" t="s">
        <v>419</v>
      </c>
      <c r="I8" s="678" t="s">
        <v>270</v>
      </c>
      <c r="J8" s="678" t="s">
        <v>420</v>
      </c>
      <c r="K8" s="678" t="s">
        <v>421</v>
      </c>
      <c r="M8" s="454" t="b">
        <f>'7. RAB'!H6=VLOOKUP('7. RAB'!H4,'1. DataSheet'!A2:E17,3,FALSE)</f>
        <v>0</v>
      </c>
    </row>
    <row r="9" spans="1:13" ht="17.25" thickBot="1" x14ac:dyDescent="0.35">
      <c r="A9" s="702" t="s">
        <v>28</v>
      </c>
      <c r="B9" s="702"/>
      <c r="C9" s="702" t="s">
        <v>4</v>
      </c>
      <c r="D9" s="702" t="s">
        <v>10</v>
      </c>
      <c r="E9" s="702" t="s">
        <v>193</v>
      </c>
      <c r="F9" s="702" t="s">
        <v>194</v>
      </c>
      <c r="G9" s="702" t="s">
        <v>125</v>
      </c>
      <c r="H9" s="677">
        <f>G17</f>
        <v>825000</v>
      </c>
      <c r="I9" s="677">
        <f>G41</f>
        <v>22320000</v>
      </c>
      <c r="J9" s="677">
        <f>'7. RAB'!G29+'7. RAB'!G34</f>
        <v>64600000</v>
      </c>
      <c r="K9" s="677">
        <f>G37</f>
        <v>1000000</v>
      </c>
    </row>
    <row r="10" spans="1:13" ht="16.5" thickBot="1" x14ac:dyDescent="0.3">
      <c r="A10" s="702"/>
      <c r="B10" s="702"/>
      <c r="C10" s="702"/>
      <c r="D10" s="702"/>
      <c r="E10" s="702"/>
      <c r="F10" s="702"/>
      <c r="G10" s="702"/>
      <c r="H10" s="464"/>
    </row>
    <row r="11" spans="1:13" ht="16.5" thickBot="1" x14ac:dyDescent="0.3">
      <c r="A11" s="702"/>
      <c r="B11" s="702"/>
      <c r="C11" s="702"/>
      <c r="D11" s="702"/>
      <c r="E11" s="702"/>
      <c r="F11" s="702"/>
      <c r="G11" s="702"/>
      <c r="H11" s="464"/>
    </row>
    <row r="12" spans="1:13" s="457" customFormat="1" ht="16.5" thickBot="1" x14ac:dyDescent="0.25">
      <c r="A12" s="703" t="s">
        <v>195</v>
      </c>
      <c r="B12" s="703"/>
      <c r="C12" s="465" t="s">
        <v>196</v>
      </c>
      <c r="D12" s="465" t="s">
        <v>197</v>
      </c>
      <c r="E12" s="465" t="s">
        <v>198</v>
      </c>
      <c r="F12" s="465" t="s">
        <v>199</v>
      </c>
      <c r="G12" s="465" t="s">
        <v>200</v>
      </c>
      <c r="H12" s="466"/>
      <c r="I12" s="456"/>
    </row>
    <row r="13" spans="1:13" s="459" customFormat="1" ht="20.25" customHeight="1" thickBot="1" x14ac:dyDescent="0.3">
      <c r="A13" s="467">
        <v>1</v>
      </c>
      <c r="B13" s="468" t="s">
        <v>252</v>
      </c>
      <c r="C13" s="469"/>
      <c r="D13" s="465"/>
      <c r="E13" s="465"/>
      <c r="F13" s="465"/>
      <c r="G13" s="465"/>
      <c r="H13" s="470"/>
    </row>
    <row r="14" spans="1:13" s="457" customFormat="1" ht="20.25" customHeight="1" x14ac:dyDescent="0.2">
      <c r="A14" s="471" t="s">
        <v>202</v>
      </c>
      <c r="B14" s="472" t="s">
        <v>253</v>
      </c>
      <c r="C14" s="473">
        <v>1</v>
      </c>
      <c r="D14" s="474" t="s">
        <v>254</v>
      </c>
      <c r="E14" s="475">
        <f>IF(I7&lt;50000000,175000,200000)</f>
        <v>200000</v>
      </c>
      <c r="F14" s="476">
        <f>C14*E14</f>
        <v>200000</v>
      </c>
      <c r="G14" s="474"/>
      <c r="H14" s="466"/>
    </row>
    <row r="15" spans="1:13" s="457" customFormat="1" ht="20.25" customHeight="1" x14ac:dyDescent="0.2">
      <c r="A15" s="477" t="s">
        <v>203</v>
      </c>
      <c r="B15" s="478" t="s">
        <v>255</v>
      </c>
      <c r="C15" s="479">
        <v>1</v>
      </c>
      <c r="D15" s="480" t="s">
        <v>254</v>
      </c>
      <c r="E15" s="481">
        <f>IF(I7&lt;50000000,150000,175000)</f>
        <v>175000</v>
      </c>
      <c r="F15" s="482">
        <f>C15*E15</f>
        <v>175000</v>
      </c>
      <c r="G15" s="480"/>
      <c r="H15" s="466"/>
      <c r="I15" s="456"/>
    </row>
    <row r="16" spans="1:13" s="457" customFormat="1" ht="20.25" customHeight="1" thickBot="1" x14ac:dyDescent="0.25">
      <c r="A16" s="483" t="s">
        <v>256</v>
      </c>
      <c r="B16" s="484" t="s">
        <v>214</v>
      </c>
      <c r="C16" s="485">
        <f>IF(I7&lt;50000000,1,3)</f>
        <v>3</v>
      </c>
      <c r="D16" s="486" t="s">
        <v>254</v>
      </c>
      <c r="E16" s="487">
        <f>IF(I7&lt;50000000,125000,150000)</f>
        <v>150000</v>
      </c>
      <c r="F16" s="488">
        <f>C16*E16</f>
        <v>450000</v>
      </c>
      <c r="G16" s="486"/>
      <c r="H16" s="466"/>
      <c r="I16" s="456"/>
    </row>
    <row r="17" spans="1:10" s="461" customFormat="1" ht="20.25" customHeight="1" thickBot="1" x14ac:dyDescent="0.25">
      <c r="A17" s="704" t="s">
        <v>257</v>
      </c>
      <c r="B17" s="705"/>
      <c r="C17" s="705"/>
      <c r="D17" s="705"/>
      <c r="E17" s="706"/>
      <c r="F17" s="489">
        <f>F14+F15+F16</f>
        <v>825000</v>
      </c>
      <c r="G17" s="490">
        <f>F17</f>
        <v>825000</v>
      </c>
      <c r="H17" s="491"/>
      <c r="I17" s="460"/>
    </row>
    <row r="18" spans="1:10" s="459" customFormat="1" ht="20.25" customHeight="1" thickBot="1" x14ac:dyDescent="0.25">
      <c r="A18" s="492">
        <v>2</v>
      </c>
      <c r="B18" s="493" t="s">
        <v>258</v>
      </c>
      <c r="C18" s="494"/>
      <c r="D18" s="465"/>
      <c r="E18" s="495"/>
      <c r="F18" s="489"/>
      <c r="G18" s="496"/>
      <c r="H18" s="470"/>
      <c r="I18" s="458"/>
    </row>
    <row r="19" spans="1:10" s="457" customFormat="1" ht="20.25" customHeight="1" x14ac:dyDescent="0.2">
      <c r="A19" s="471" t="s">
        <v>205</v>
      </c>
      <c r="B19" s="497" t="str">
        <f>'5. Rekap Bahan &amp; Upah'!B15</f>
        <v>Semen 50 Kg</v>
      </c>
      <c r="C19" s="498">
        <f>'5. Rekap Bahan &amp; Upah'!C15</f>
        <v>294</v>
      </c>
      <c r="D19" s="474" t="str">
        <f>'5. Rekap Bahan &amp; Upah'!F15</f>
        <v>Zak</v>
      </c>
      <c r="E19" s="475">
        <f>'5. Rekap Bahan &amp; Upah'!G15</f>
        <v>80000</v>
      </c>
      <c r="F19" s="476">
        <f t="shared" ref="F19:F24" si="0">C19*E19</f>
        <v>23520000</v>
      </c>
      <c r="G19" s="499"/>
      <c r="H19" s="466"/>
      <c r="I19" s="456"/>
    </row>
    <row r="20" spans="1:10" s="457" customFormat="1" ht="20.25" customHeight="1" x14ac:dyDescent="0.2">
      <c r="A20" s="477" t="s">
        <v>259</v>
      </c>
      <c r="B20" s="497" t="str">
        <f>'5. Rekap Bahan &amp; Upah'!B16</f>
        <v>Pasir</v>
      </c>
      <c r="C20" s="498">
        <f>'5. Rekap Bahan &amp; Upah'!C16</f>
        <v>28</v>
      </c>
      <c r="D20" s="474" t="str">
        <f>'5. Rekap Bahan &amp; Upah'!F16</f>
        <v>M3</v>
      </c>
      <c r="E20" s="475">
        <f>'5. Rekap Bahan &amp; Upah'!G16</f>
        <v>250000</v>
      </c>
      <c r="F20" s="482">
        <f t="shared" si="0"/>
        <v>7000000</v>
      </c>
      <c r="G20" s="500"/>
      <c r="I20" s="456"/>
    </row>
    <row r="21" spans="1:10" s="457" customFormat="1" ht="20.25" customHeight="1" x14ac:dyDescent="0.2">
      <c r="A21" s="477" t="s">
        <v>260</v>
      </c>
      <c r="B21" s="497" t="str">
        <f>'5. Rekap Bahan &amp; Upah'!B17</f>
        <v>Kerikil</v>
      </c>
      <c r="C21" s="498">
        <f>'5. Rekap Bahan &amp; Upah'!C17</f>
        <v>37</v>
      </c>
      <c r="D21" s="474" t="str">
        <f>'5. Rekap Bahan &amp; Upah'!F17</f>
        <v>M3</v>
      </c>
      <c r="E21" s="475">
        <v>520000</v>
      </c>
      <c r="F21" s="482">
        <f t="shared" si="0"/>
        <v>19240000</v>
      </c>
      <c r="G21" s="500"/>
      <c r="I21" s="456"/>
    </row>
    <row r="22" spans="1:10" s="457" customFormat="1" ht="20.25" customHeight="1" x14ac:dyDescent="0.2">
      <c r="A22" s="477" t="s">
        <v>261</v>
      </c>
      <c r="B22" s="497" t="s">
        <v>363</v>
      </c>
      <c r="C22" s="498">
        <f>'5. Rekap Bahan &amp; Upah'!E19</f>
        <v>0.08</v>
      </c>
      <c r="D22" s="474" t="s">
        <v>9</v>
      </c>
      <c r="E22" s="475">
        <v>2200000</v>
      </c>
      <c r="F22" s="482">
        <f t="shared" si="0"/>
        <v>176000</v>
      </c>
      <c r="G22" s="500"/>
      <c r="H22" s="466"/>
      <c r="I22" s="456"/>
      <c r="J22" s="691"/>
    </row>
    <row r="23" spans="1:10" s="457" customFormat="1" ht="20.25" customHeight="1" x14ac:dyDescent="0.2">
      <c r="A23" s="477" t="s">
        <v>262</v>
      </c>
      <c r="B23" s="497" t="str">
        <f>'5. Rekap Bahan &amp; Upah'!B18</f>
        <v xml:space="preserve">Papan Klas III </v>
      </c>
      <c r="C23" s="498">
        <f>'5. Rekap Bahan &amp; Upah'!C18</f>
        <v>0.30000000000000004</v>
      </c>
      <c r="D23" s="474" t="str">
        <f>'5. Rekap Bahan &amp; Upah'!F18</f>
        <v>M3</v>
      </c>
      <c r="E23" s="475">
        <f>'5. Rekap Bahan &amp; Upah'!G18</f>
        <v>2200000</v>
      </c>
      <c r="F23" s="482">
        <f t="shared" si="0"/>
        <v>660000.00000000012</v>
      </c>
      <c r="G23" s="500"/>
      <c r="H23" s="466"/>
      <c r="I23" s="456"/>
    </row>
    <row r="24" spans="1:10" s="457" customFormat="1" ht="20.25" customHeight="1" x14ac:dyDescent="0.2">
      <c r="A24" s="477" t="s">
        <v>263</v>
      </c>
      <c r="B24" s="497" t="str">
        <f>'5. Rekap Bahan &amp; Upah'!B20</f>
        <v>Paku</v>
      </c>
      <c r="C24" s="498">
        <f>'5. Rekap Bahan &amp; Upah'!C20</f>
        <v>1</v>
      </c>
      <c r="D24" s="474" t="str">
        <f>'5. Rekap Bahan &amp; Upah'!F20</f>
        <v>Kg</v>
      </c>
      <c r="E24" s="475">
        <f>'5. Rekap Bahan &amp; Upah'!G20</f>
        <v>22000</v>
      </c>
      <c r="F24" s="482">
        <f t="shared" si="0"/>
        <v>22000</v>
      </c>
      <c r="G24" s="500"/>
      <c r="H24" s="466"/>
      <c r="I24" s="456"/>
      <c r="J24" s="691"/>
    </row>
    <row r="25" spans="1:10" s="457" customFormat="1" ht="20.25" customHeight="1" x14ac:dyDescent="0.2">
      <c r="A25" s="477" t="s">
        <v>364</v>
      </c>
      <c r="B25" s="497" t="str">
        <f>'5. Rekap Bahan &amp; Upah'!B21</f>
        <v xml:space="preserve"> Besi 8 mm</v>
      </c>
      <c r="C25" s="498">
        <f>'5. Rekap Bahan &amp; Upah'!C21</f>
        <v>215</v>
      </c>
      <c r="D25" s="474" t="str">
        <f>'5. Rekap Bahan &amp; Upah'!F21</f>
        <v>Btg</v>
      </c>
      <c r="E25" s="475">
        <v>55000</v>
      </c>
      <c r="F25" s="482">
        <f t="shared" ref="F25:F28" si="1">C25*E25</f>
        <v>11825000</v>
      </c>
      <c r="G25" s="500"/>
      <c r="H25" s="466"/>
      <c r="I25" s="456"/>
      <c r="J25" s="691"/>
    </row>
    <row r="26" spans="1:10" s="457" customFormat="1" ht="20.25" customHeight="1" x14ac:dyDescent="0.2">
      <c r="A26" s="477" t="s">
        <v>264</v>
      </c>
      <c r="B26" s="497" t="str">
        <f>'5. Rekap Bahan &amp; Upah'!B22</f>
        <v>Kawat Ikat</v>
      </c>
      <c r="C26" s="498">
        <f>'5. Rekap Bahan &amp; Upah'!C22</f>
        <v>4</v>
      </c>
      <c r="D26" s="474" t="str">
        <f>'5. Rekap Bahan &amp; Upah'!F22</f>
        <v>Kg</v>
      </c>
      <c r="E26" s="475">
        <f>'5. Rekap Bahan &amp; Upah'!G22</f>
        <v>25000</v>
      </c>
      <c r="F26" s="502">
        <f t="shared" si="1"/>
        <v>100000</v>
      </c>
      <c r="G26" s="503"/>
      <c r="H26" s="466"/>
      <c r="I26" s="456"/>
      <c r="J26" s="691"/>
    </row>
    <row r="27" spans="1:10" s="463" customFormat="1" ht="20.25" customHeight="1" x14ac:dyDescent="0.2">
      <c r="A27" s="477" t="s">
        <v>265</v>
      </c>
      <c r="B27" s="497" t="str">
        <f>'5. Rekap Bahan &amp; Upah'!B23</f>
        <v>Papan Proyek</v>
      </c>
      <c r="C27" s="498">
        <f>'5. Rekap Bahan &amp; Upah'!C23</f>
        <v>1</v>
      </c>
      <c r="D27" s="474" t="str">
        <f>'5. Rekap Bahan &amp; Upah'!F23</f>
        <v>Unit</v>
      </c>
      <c r="E27" s="475">
        <f>'5. Rekap Bahan &amp; Upah'!G23</f>
        <v>100000</v>
      </c>
      <c r="F27" s="502">
        <f t="shared" si="1"/>
        <v>100000</v>
      </c>
      <c r="G27" s="503"/>
      <c r="H27" s="504"/>
      <c r="I27" s="462"/>
    </row>
    <row r="28" spans="1:10" s="667" customFormat="1" ht="20.25" customHeight="1" thickBot="1" x14ac:dyDescent="0.25">
      <c r="A28" s="477">
        <v>2.1</v>
      </c>
      <c r="B28" s="497" t="s">
        <v>414</v>
      </c>
      <c r="C28" s="498">
        <v>8</v>
      </c>
      <c r="D28" s="474" t="s">
        <v>9</v>
      </c>
      <c r="E28" s="475">
        <v>100000</v>
      </c>
      <c r="F28" s="502">
        <f t="shared" si="1"/>
        <v>800000</v>
      </c>
      <c r="G28" s="503"/>
      <c r="H28" s="466"/>
      <c r="I28" s="456"/>
    </row>
    <row r="29" spans="1:10" s="461" customFormat="1" ht="20.25" customHeight="1" thickBot="1" x14ac:dyDescent="0.25">
      <c r="A29" s="704" t="s">
        <v>266</v>
      </c>
      <c r="B29" s="707"/>
      <c r="C29" s="707"/>
      <c r="D29" s="707"/>
      <c r="E29" s="708"/>
      <c r="F29" s="495">
        <f>SUM(F19:F28)</f>
        <v>63443000</v>
      </c>
      <c r="G29" s="505">
        <f>F29</f>
        <v>63443000</v>
      </c>
      <c r="H29" s="491"/>
      <c r="I29" s="460"/>
    </row>
    <row r="30" spans="1:10" s="459" customFormat="1" ht="20.25" customHeight="1" thickBot="1" x14ac:dyDescent="0.25">
      <c r="A30" s="492">
        <v>3</v>
      </c>
      <c r="B30" s="506" t="s">
        <v>69</v>
      </c>
      <c r="C30" s="494"/>
      <c r="D30" s="465"/>
      <c r="E30" s="495"/>
      <c r="F30" s="489"/>
      <c r="G30" s="465"/>
      <c r="H30" s="470"/>
      <c r="I30" s="458"/>
    </row>
    <row r="31" spans="1:10" s="457" customFormat="1" ht="20.25" customHeight="1" x14ac:dyDescent="0.2">
      <c r="A31" s="471" t="s">
        <v>208</v>
      </c>
      <c r="B31" s="472" t="str">
        <f>'5. Rekap Bahan &amp; Upah'!B27</f>
        <v>Ember Cor</v>
      </c>
      <c r="C31" s="507">
        <f>'5. Rekap Bahan &amp; Upah'!C27</f>
        <v>12</v>
      </c>
      <c r="D31" s="474" t="s">
        <v>53</v>
      </c>
      <c r="E31" s="475">
        <v>10000</v>
      </c>
      <c r="F31" s="476">
        <f>C31*E31</f>
        <v>120000</v>
      </c>
      <c r="G31" s="474"/>
      <c r="H31" s="466"/>
      <c r="I31" s="456"/>
    </row>
    <row r="32" spans="1:10" s="457" customFormat="1" ht="20.25" customHeight="1" x14ac:dyDescent="0.2">
      <c r="A32" s="477" t="s">
        <v>211</v>
      </c>
      <c r="B32" s="478" t="s">
        <v>244</v>
      </c>
      <c r="C32" s="479">
        <f>'5. Rekap Bahan &amp; Upah'!C29</f>
        <v>2</v>
      </c>
      <c r="D32" s="480" t="s">
        <v>267</v>
      </c>
      <c r="E32" s="481">
        <f>'5. Rekap Bahan &amp; Upah'!G29</f>
        <v>6000</v>
      </c>
      <c r="F32" s="482">
        <f>C32*E32</f>
        <v>12000</v>
      </c>
      <c r="G32" s="480"/>
      <c r="H32" s="466"/>
      <c r="I32" s="456"/>
    </row>
    <row r="33" spans="1:9" s="457" customFormat="1" ht="20.25" customHeight="1" thickBot="1" x14ac:dyDescent="0.25">
      <c r="A33" s="477" t="s">
        <v>213</v>
      </c>
      <c r="B33" s="478" t="s">
        <v>233</v>
      </c>
      <c r="C33" s="617">
        <f>'5. Rekap Bahan &amp; Upah'!E28</f>
        <v>41</v>
      </c>
      <c r="D33" s="480" t="s">
        <v>15</v>
      </c>
      <c r="E33" s="481">
        <v>25000</v>
      </c>
      <c r="F33" s="482">
        <f t="shared" ref="F33" si="2">C33*E33</f>
        <v>1025000</v>
      </c>
      <c r="G33" s="480"/>
      <c r="H33" s="466"/>
      <c r="I33" s="456"/>
    </row>
    <row r="34" spans="1:9" s="461" customFormat="1" ht="20.25" customHeight="1" thickBot="1" x14ac:dyDescent="0.25">
      <c r="A34" s="704" t="s">
        <v>268</v>
      </c>
      <c r="B34" s="705"/>
      <c r="C34" s="705"/>
      <c r="D34" s="705"/>
      <c r="E34" s="706"/>
      <c r="F34" s="489">
        <f>F31+F32+F33</f>
        <v>1157000</v>
      </c>
      <c r="G34" s="490">
        <f>F34</f>
        <v>1157000</v>
      </c>
      <c r="H34" s="491"/>
      <c r="I34" s="460"/>
    </row>
    <row r="35" spans="1:9" s="459" customFormat="1" ht="20.25" customHeight="1" thickBot="1" x14ac:dyDescent="0.25">
      <c r="A35" s="492">
        <v>4</v>
      </c>
      <c r="B35" s="506" t="s">
        <v>231</v>
      </c>
      <c r="C35" s="494"/>
      <c r="D35" s="465"/>
      <c r="E35" s="495"/>
      <c r="F35" s="489"/>
      <c r="G35" s="465"/>
      <c r="H35" s="470"/>
      <c r="I35" s="458"/>
    </row>
    <row r="36" spans="1:9" s="457" customFormat="1" ht="20.25" customHeight="1" thickBot="1" x14ac:dyDescent="0.25">
      <c r="A36" s="471" t="s">
        <v>227</v>
      </c>
      <c r="B36" s="472" t="str">
        <f>'5. Rekap Bahan &amp; Upah'!B34</f>
        <v>Sewa Molen</v>
      </c>
      <c r="C36" s="575">
        <v>4</v>
      </c>
      <c r="D36" s="486" t="str">
        <f>'5. Rekap Bahan &amp; Upah'!F34</f>
        <v>HOK</v>
      </c>
      <c r="E36" s="487">
        <f>'5. Rekap Bahan &amp; Upah'!G34</f>
        <v>250000</v>
      </c>
      <c r="F36" s="488">
        <f t="shared" ref="F36" si="3">C36*E36</f>
        <v>1000000</v>
      </c>
      <c r="G36" s="474"/>
      <c r="H36" s="466"/>
      <c r="I36" s="456"/>
    </row>
    <row r="37" spans="1:9" s="461" customFormat="1" ht="20.25" customHeight="1" thickBot="1" x14ac:dyDescent="0.25">
      <c r="A37" s="704" t="s">
        <v>269</v>
      </c>
      <c r="B37" s="705"/>
      <c r="C37" s="705"/>
      <c r="D37" s="705"/>
      <c r="E37" s="706"/>
      <c r="F37" s="489">
        <f>F36</f>
        <v>1000000</v>
      </c>
      <c r="G37" s="490">
        <f>F37</f>
        <v>1000000</v>
      </c>
      <c r="H37" s="491"/>
      <c r="I37" s="460"/>
    </row>
    <row r="38" spans="1:9" s="459" customFormat="1" ht="20.25" customHeight="1" thickBot="1" x14ac:dyDescent="0.25">
      <c r="A38" s="492">
        <v>5</v>
      </c>
      <c r="B38" s="506" t="s">
        <v>270</v>
      </c>
      <c r="C38" s="494"/>
      <c r="D38" s="465"/>
      <c r="E38" s="495"/>
      <c r="F38" s="489"/>
      <c r="G38" s="465"/>
      <c r="H38" s="470"/>
      <c r="I38" s="458"/>
    </row>
    <row r="39" spans="1:9" s="457" customFormat="1" ht="20.25" customHeight="1" x14ac:dyDescent="0.2">
      <c r="A39" s="471" t="s">
        <v>229</v>
      </c>
      <c r="B39" s="472" t="str">
        <f>'5. Rekap Bahan &amp; Upah'!B33</f>
        <v>Tukang</v>
      </c>
      <c r="C39" s="507">
        <f>'5. Rekap Bahan &amp; Upah'!C33</f>
        <v>18</v>
      </c>
      <c r="D39" s="474" t="str">
        <f>'5. Rekap Bahan &amp; Upah'!F32</f>
        <v>HOK</v>
      </c>
      <c r="E39" s="475">
        <f>'5. Rekap Bahan &amp; Upah'!G33</f>
        <v>140000</v>
      </c>
      <c r="F39" s="476">
        <f>C39*E39</f>
        <v>2520000</v>
      </c>
      <c r="G39" s="474"/>
      <c r="H39" s="491" t="s">
        <v>372</v>
      </c>
      <c r="I39" s="456"/>
    </row>
    <row r="40" spans="1:9" s="457" customFormat="1" ht="20.25" customHeight="1" thickBot="1" x14ac:dyDescent="0.25">
      <c r="A40" s="501" t="s">
        <v>230</v>
      </c>
      <c r="B40" s="508" t="str">
        <f>'5. Rekap Bahan &amp; Upah'!B32</f>
        <v>Pekerja</v>
      </c>
      <c r="C40" s="509">
        <f>'5. Rekap Bahan &amp; Upah'!C32</f>
        <v>198</v>
      </c>
      <c r="D40" s="474" t="str">
        <f>'5. Rekap Bahan &amp; Upah'!F33</f>
        <v>HOK</v>
      </c>
      <c r="E40" s="510">
        <f>'5. Rekap Bahan &amp; Upah'!G32</f>
        <v>100000</v>
      </c>
      <c r="F40" s="502">
        <f>C40*E40</f>
        <v>19800000</v>
      </c>
      <c r="G40" s="511"/>
      <c r="H40" s="466">
        <f>G37+G41</f>
        <v>23320000</v>
      </c>
      <c r="I40" s="456"/>
    </row>
    <row r="41" spans="1:9" s="461" customFormat="1" ht="20.25" customHeight="1" thickBot="1" x14ac:dyDescent="0.25">
      <c r="A41" s="704" t="s">
        <v>271</v>
      </c>
      <c r="B41" s="705"/>
      <c r="C41" s="705"/>
      <c r="D41" s="705"/>
      <c r="E41" s="706"/>
      <c r="F41" s="489">
        <f>F39+F40+I44</f>
        <v>22320000</v>
      </c>
      <c r="G41" s="490">
        <f>F41</f>
        <v>22320000</v>
      </c>
      <c r="H41" s="512" t="str">
        <f>"Persentase PKT = "&amp;FIXED(H40/G42*100,2,0)&amp; " %"</f>
        <v>Persentase PKT = 26.28 %</v>
      </c>
      <c r="I41" s="460"/>
    </row>
    <row r="42" spans="1:9" s="457" customFormat="1" ht="20.25" customHeight="1" thickBot="1" x14ac:dyDescent="0.25">
      <c r="A42" s="697" t="s">
        <v>218</v>
      </c>
      <c r="B42" s="698"/>
      <c r="C42" s="698"/>
      <c r="D42" s="698"/>
      <c r="E42" s="699"/>
      <c r="F42" s="522">
        <f>F17+F29+F34+F41+F37</f>
        <v>88745000</v>
      </c>
      <c r="G42" s="523">
        <f>F42</f>
        <v>88745000</v>
      </c>
      <c r="H42" s="491" t="s">
        <v>373</v>
      </c>
      <c r="I42" s="460" t="s">
        <v>374</v>
      </c>
    </row>
    <row r="43" spans="1:9" s="457" customFormat="1" x14ac:dyDescent="0.25">
      <c r="A43" s="513"/>
      <c r="B43" s="513"/>
      <c r="C43" s="513"/>
      <c r="D43" s="464"/>
      <c r="E43" s="464"/>
      <c r="F43" s="464"/>
      <c r="G43" s="464"/>
      <c r="H43" s="456">
        <v>53197000</v>
      </c>
      <c r="I43" s="456">
        <f>H43-G42</f>
        <v>-35548000</v>
      </c>
    </row>
    <row r="44" spans="1:9" x14ac:dyDescent="0.25">
      <c r="A44" s="513"/>
      <c r="B44" s="464"/>
      <c r="C44" s="464"/>
      <c r="D44" s="515"/>
      <c r="E44" s="464"/>
      <c r="F44" s="700" t="s">
        <v>408</v>
      </c>
      <c r="G44" s="700"/>
      <c r="H44" s="455"/>
    </row>
    <row r="45" spans="1:9" x14ac:dyDescent="0.25">
      <c r="A45" s="700" t="s">
        <v>163</v>
      </c>
      <c r="B45" s="700"/>
      <c r="C45" s="700"/>
      <c r="D45" s="464"/>
      <c r="E45" s="464"/>
      <c r="F45" s="464"/>
      <c r="G45" s="464"/>
    </row>
    <row r="46" spans="1:9" x14ac:dyDescent="0.25">
      <c r="A46" s="700" t="s">
        <v>318</v>
      </c>
      <c r="B46" s="700"/>
      <c r="C46" s="700"/>
      <c r="D46" s="515"/>
      <c r="E46" s="464"/>
      <c r="F46" s="700" t="s">
        <v>221</v>
      </c>
      <c r="G46" s="700"/>
    </row>
    <row r="47" spans="1:9" x14ac:dyDescent="0.25">
      <c r="A47" s="513"/>
      <c r="B47" s="514"/>
      <c r="C47" s="514"/>
      <c r="D47" s="464"/>
      <c r="E47" s="514"/>
      <c r="F47" s="514"/>
      <c r="G47" s="514"/>
    </row>
    <row r="48" spans="1:9" x14ac:dyDescent="0.25">
      <c r="A48" s="513"/>
      <c r="B48" s="514"/>
      <c r="C48" s="514"/>
      <c r="D48" s="464"/>
      <c r="E48" s="514"/>
      <c r="F48" s="514"/>
      <c r="G48" s="514"/>
    </row>
    <row r="49" spans="1:7" x14ac:dyDescent="0.25">
      <c r="A49" s="513"/>
      <c r="B49" s="514"/>
      <c r="C49" s="514"/>
      <c r="D49" s="464"/>
      <c r="E49" s="514"/>
      <c r="F49" s="514"/>
      <c r="G49" s="514"/>
    </row>
    <row r="50" spans="1:7" x14ac:dyDescent="0.25">
      <c r="A50" s="513"/>
      <c r="B50" s="464"/>
      <c r="C50" s="464"/>
      <c r="D50" s="464"/>
      <c r="E50" s="514"/>
      <c r="F50" s="464"/>
      <c r="G50" s="464"/>
    </row>
    <row r="51" spans="1:7" x14ac:dyDescent="0.25">
      <c r="A51" s="701" t="s">
        <v>315</v>
      </c>
      <c r="B51" s="701"/>
      <c r="C51" s="701"/>
      <c r="D51" s="464"/>
      <c r="E51" s="514"/>
      <c r="F51" s="701" t="str">
        <f>'5. Rekap Bahan &amp; Upah'!H57</f>
        <v>SUPARNO</v>
      </c>
      <c r="G51" s="701"/>
    </row>
    <row r="52" spans="1:7" x14ac:dyDescent="0.25">
      <c r="B52" s="696"/>
      <c r="C52" s="696"/>
      <c r="F52" s="696"/>
      <c r="G52" s="696"/>
    </row>
    <row r="56" spans="1:7" s="457" customFormat="1" x14ac:dyDescent="0.25">
      <c r="A56" s="453"/>
      <c r="B56" s="454"/>
      <c r="C56" s="454"/>
      <c r="D56" s="454"/>
      <c r="E56" s="454"/>
      <c r="F56" s="454"/>
      <c r="G56" s="454"/>
    </row>
    <row r="57" spans="1:7" s="457" customFormat="1" x14ac:dyDescent="0.25">
      <c r="A57" s="453"/>
      <c r="B57" s="454"/>
      <c r="C57" s="454"/>
      <c r="D57" s="454"/>
      <c r="E57" s="454"/>
      <c r="F57" s="454"/>
      <c r="G57" s="454"/>
    </row>
    <row r="60" spans="1:7" s="457" customFormat="1" x14ac:dyDescent="0.25">
      <c r="A60" s="453"/>
      <c r="B60" s="454"/>
      <c r="C60" s="454"/>
      <c r="D60" s="454"/>
      <c r="E60" s="454"/>
      <c r="F60" s="454"/>
      <c r="G60" s="454"/>
    </row>
    <row r="66" spans="1:8" s="457" customFormat="1" x14ac:dyDescent="0.25">
      <c r="A66" s="453"/>
      <c r="B66" s="454"/>
      <c r="C66" s="454"/>
      <c r="D66" s="454"/>
      <c r="E66" s="454"/>
      <c r="F66" s="454"/>
      <c r="G66" s="454"/>
    </row>
    <row r="70" spans="1:8" x14ac:dyDescent="0.25">
      <c r="H70" s="455"/>
    </row>
    <row r="303" spans="1:1" x14ac:dyDescent="0.25">
      <c r="A303" s="454"/>
    </row>
    <row r="304" spans="1:1" x14ac:dyDescent="0.25">
      <c r="A304" s="454"/>
    </row>
    <row r="305" spans="1:1" x14ac:dyDescent="0.25">
      <c r="A305" s="454"/>
    </row>
    <row r="306" spans="1:1" x14ac:dyDescent="0.25">
      <c r="A306" s="454"/>
    </row>
    <row r="307" spans="1:1" x14ac:dyDescent="0.25">
      <c r="A307" s="454"/>
    </row>
    <row r="308" spans="1:1" x14ac:dyDescent="0.25">
      <c r="A308" s="454"/>
    </row>
    <row r="309" spans="1:1" x14ac:dyDescent="0.25">
      <c r="A309" s="454"/>
    </row>
    <row r="310" spans="1:1" x14ac:dyDescent="0.25">
      <c r="A310" s="454"/>
    </row>
    <row r="311" spans="1:1" x14ac:dyDescent="0.25">
      <c r="A311" s="454"/>
    </row>
    <row r="312" spans="1:1" x14ac:dyDescent="0.25">
      <c r="A312" s="454"/>
    </row>
    <row r="313" spans="1:1" x14ac:dyDescent="0.25">
      <c r="A313" s="454"/>
    </row>
    <row r="314" spans="1:1" x14ac:dyDescent="0.25">
      <c r="A314" s="454"/>
    </row>
    <row r="315" spans="1:1" x14ac:dyDescent="0.25">
      <c r="A315" s="454"/>
    </row>
    <row r="316" spans="1:1" x14ac:dyDescent="0.25">
      <c r="A316" s="454"/>
    </row>
    <row r="317" spans="1:1" x14ac:dyDescent="0.25">
      <c r="A317" s="454"/>
    </row>
    <row r="318" spans="1:1" x14ac:dyDescent="0.25">
      <c r="A318" s="454"/>
    </row>
    <row r="319" spans="1:1" x14ac:dyDescent="0.25">
      <c r="A319" s="454"/>
    </row>
    <row r="320" spans="1:1" x14ac:dyDescent="0.25">
      <c r="A320" s="454"/>
    </row>
  </sheetData>
  <mergeCells count="28">
    <mergeCell ref="A37:E37"/>
    <mergeCell ref="A1:G1"/>
    <mergeCell ref="A4:B4"/>
    <mergeCell ref="A5:B5"/>
    <mergeCell ref="A6:B6"/>
    <mergeCell ref="A7:B7"/>
    <mergeCell ref="F6:G6"/>
    <mergeCell ref="A9:B11"/>
    <mergeCell ref="C9:C11"/>
    <mergeCell ref="D9:D11"/>
    <mergeCell ref="E9:E11"/>
    <mergeCell ref="A34:E34"/>
    <mergeCell ref="H4:H6"/>
    <mergeCell ref="B52:C52"/>
    <mergeCell ref="F52:G52"/>
    <mergeCell ref="A42:E42"/>
    <mergeCell ref="F44:G44"/>
    <mergeCell ref="F46:G46"/>
    <mergeCell ref="F51:G51"/>
    <mergeCell ref="A45:C45"/>
    <mergeCell ref="A46:C46"/>
    <mergeCell ref="A51:C51"/>
    <mergeCell ref="F9:F11"/>
    <mergeCell ref="G9:G11"/>
    <mergeCell ref="A12:B12"/>
    <mergeCell ref="A17:E17"/>
    <mergeCell ref="A29:E29"/>
    <mergeCell ref="A41:E41"/>
  </mergeCells>
  <pageMargins left="0.7" right="0.7" top="0.75" bottom="0.75" header="0.3" footer="0.3"/>
  <pageSetup scale="77" fitToHeight="0" orientation="portrait" horizontalDpi="1200" verticalDpi="1200" r:id="rId1"/>
  <colBreaks count="1" manualBreakCount="1">
    <brk id="7" max="1048575" man="1"/>
  </colBreaks>
  <drawing r:id="rId2"/>
  <legacyDrawing r:id="rId3"/>
  <controls>
    <mc:AlternateContent xmlns:mc="http://schemas.openxmlformats.org/markup-compatibility/2006">
      <mc:Choice Requires="x14">
        <control shapeId="2109" r:id="rId4" name="CommandButton1">
          <controlPr defaultSize="0" autoLine="0" r:id="rId5">
            <anchor moveWithCells="1">
              <from>
                <xdr:col>7</xdr:col>
                <xdr:colOff>19050</xdr:colOff>
                <xdr:row>0</xdr:row>
                <xdr:rowOff>28575</xdr:rowOff>
              </from>
              <to>
                <xdr:col>7</xdr:col>
                <xdr:colOff>962025</xdr:colOff>
                <xdr:row>1</xdr:row>
                <xdr:rowOff>171450</xdr:rowOff>
              </to>
            </anchor>
          </controlPr>
        </control>
      </mc:Choice>
      <mc:Fallback>
        <control shapeId="2109" r:id="rId4" name="CommandButton1"/>
      </mc:Fallback>
    </mc:AlternateContent>
    <mc:AlternateContent xmlns:mc="http://schemas.openxmlformats.org/markup-compatibility/2006">
      <mc:Choice Requires="x14">
        <control shapeId="2107" r:id="rId6" name="Spinner 59">
          <controlPr defaultSize="0" autoPict="0">
            <anchor moveWithCells="1" sizeWithCells="1">
              <from>
                <xdr:col>8</xdr:col>
                <xdr:colOff>0</xdr:colOff>
                <xdr:row>2</xdr:row>
                <xdr:rowOff>190500</xdr:rowOff>
              </from>
              <to>
                <xdr:col>8</xdr:col>
                <xdr:colOff>914400</xdr:colOff>
                <xdr:row>6</xdr:row>
                <xdr:rowOff>9525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C137"/>
  <sheetViews>
    <sheetView showWhiteSpace="0" view="pageLayout" zoomScale="70" zoomScaleNormal="130" zoomScaleSheetLayoutView="85" zoomScalePageLayoutView="70" workbookViewId="0">
      <selection activeCell="G25" sqref="G25"/>
    </sheetView>
  </sheetViews>
  <sheetFormatPr defaultRowHeight="15" x14ac:dyDescent="0.25"/>
  <cols>
    <col min="1" max="1" width="8.140625" style="398" customWidth="1"/>
    <col min="2" max="2" width="9.7109375" style="398" customWidth="1"/>
    <col min="3" max="3" width="10" style="398" customWidth="1"/>
    <col min="4" max="4" width="11" style="398" customWidth="1"/>
    <col min="5" max="5" width="13.140625" style="398" customWidth="1"/>
    <col min="6" max="6" width="8.85546875" style="398" customWidth="1"/>
    <col min="7" max="7" width="9.7109375" style="398" customWidth="1"/>
    <col min="8" max="8" width="6.42578125" style="398" customWidth="1"/>
    <col min="9" max="9" width="8" style="398" customWidth="1"/>
    <col min="10" max="10" width="14.28515625" style="398" customWidth="1"/>
    <col min="11" max="11" width="7.85546875" style="398" customWidth="1"/>
    <col min="12" max="12" width="7.7109375" style="398" customWidth="1"/>
    <col min="13" max="13" width="12.85546875" style="398" customWidth="1"/>
    <col min="14" max="14" width="22.42578125" style="398" customWidth="1"/>
    <col min="15" max="15" width="6.5703125" style="398" customWidth="1"/>
    <col min="16" max="16" width="18.28515625" style="398" customWidth="1"/>
    <col min="17" max="17" width="14.140625" style="398" customWidth="1"/>
    <col min="18" max="18" width="10.5703125" style="398" customWidth="1"/>
    <col min="19" max="19" width="7.42578125" style="398" customWidth="1"/>
    <col min="20" max="20" width="8.85546875" style="398" customWidth="1"/>
    <col min="21" max="21" width="6.85546875" style="398" customWidth="1"/>
    <col min="22" max="22" width="11.28515625" style="398" bestFit="1" customWidth="1"/>
    <col min="23" max="23" width="6.28515625" style="398" bestFit="1" customWidth="1"/>
    <col min="24" max="16384" width="9.140625" style="398"/>
  </cols>
  <sheetData>
    <row r="1" spans="1:21" ht="15.75" thickBot="1" x14ac:dyDescent="0.3"/>
    <row r="2" spans="1:21" ht="19.5" customHeight="1" x14ac:dyDescent="0.25">
      <c r="A2" s="399" t="s">
        <v>0</v>
      </c>
      <c r="B2" s="400"/>
      <c r="C2" s="400" t="s">
        <v>157</v>
      </c>
      <c r="D2" s="401"/>
      <c r="E2" s="400"/>
      <c r="F2" s="400"/>
      <c r="G2" s="717" t="s">
        <v>5</v>
      </c>
      <c r="H2" s="718"/>
      <c r="I2" s="718"/>
      <c r="J2" s="718"/>
      <c r="K2" s="718"/>
      <c r="L2" s="718"/>
      <c r="M2" s="718"/>
      <c r="N2" s="718"/>
      <c r="O2" s="399" t="s">
        <v>2</v>
      </c>
      <c r="P2" s="402"/>
      <c r="Q2" s="402"/>
      <c r="R2" s="402" t="s">
        <v>27</v>
      </c>
      <c r="S2" s="403" t="s">
        <v>185</v>
      </c>
      <c r="T2" s="402"/>
      <c r="U2" s="404"/>
    </row>
    <row r="3" spans="1:21" ht="15.75" customHeight="1" x14ac:dyDescent="0.25">
      <c r="A3" s="405" t="s">
        <v>1</v>
      </c>
      <c r="B3" s="406"/>
      <c r="C3" s="406" t="s">
        <v>137</v>
      </c>
      <c r="D3" s="407"/>
      <c r="E3" s="406"/>
      <c r="F3" s="406"/>
      <c r="G3" s="719"/>
      <c r="H3" s="720"/>
      <c r="I3" s="720"/>
      <c r="J3" s="720"/>
      <c r="K3" s="720"/>
      <c r="L3" s="720"/>
      <c r="M3" s="720"/>
      <c r="N3" s="720"/>
      <c r="O3" s="405" t="s">
        <v>3</v>
      </c>
      <c r="P3" s="408"/>
      <c r="Q3" s="408"/>
      <c r="R3" s="408" t="s">
        <v>27</v>
      </c>
      <c r="S3" s="715" t="str">
        <f>VLOOKUP('7. RAB'!H4,'1. DataSheet'!A2:X17,24,FALSE)</f>
        <v>RT.15</v>
      </c>
      <c r="T3" s="715"/>
      <c r="U3" s="716"/>
    </row>
    <row r="4" spans="1:21" ht="15.75" customHeight="1" thickBot="1" x14ac:dyDescent="0.3">
      <c r="A4" s="410" t="s">
        <v>46</v>
      </c>
      <c r="B4" s="411"/>
      <c r="C4" s="411" t="s">
        <v>313</v>
      </c>
      <c r="D4" s="412"/>
      <c r="E4" s="411"/>
      <c r="F4" s="411"/>
      <c r="G4" s="721"/>
      <c r="H4" s="722"/>
      <c r="I4" s="722"/>
      <c r="J4" s="722"/>
      <c r="K4" s="722"/>
      <c r="L4" s="722"/>
      <c r="M4" s="722"/>
      <c r="N4" s="722"/>
      <c r="O4" s="410" t="s">
        <v>4</v>
      </c>
      <c r="P4" s="413"/>
      <c r="Q4" s="413"/>
      <c r="R4" s="413" t="s">
        <v>27</v>
      </c>
      <c r="S4" s="713" t="str">
        <f>M8&amp;" x "&amp;M9&amp;" x "&amp;M10&amp;" Meter"</f>
        <v>70 x 3.5 x 0.2 Meter</v>
      </c>
      <c r="T4" s="713"/>
      <c r="U4" s="714"/>
    </row>
    <row r="5" spans="1:21" x14ac:dyDescent="0.25">
      <c r="A5" s="730" t="s">
        <v>49</v>
      </c>
      <c r="B5" s="731"/>
      <c r="C5" s="731"/>
      <c r="D5" s="731"/>
      <c r="E5" s="731"/>
      <c r="F5" s="731"/>
      <c r="G5" s="731"/>
      <c r="H5" s="407"/>
      <c r="I5" s="407"/>
      <c r="J5" s="407"/>
      <c r="K5" s="407"/>
      <c r="L5" s="407"/>
      <c r="M5" s="407"/>
      <c r="N5" s="407"/>
      <c r="O5" s="407"/>
      <c r="P5" s="407"/>
      <c r="Q5" s="407"/>
      <c r="R5" s="407"/>
      <c r="S5" s="407"/>
      <c r="T5" s="407"/>
      <c r="U5" s="409"/>
    </row>
    <row r="6" spans="1:21" x14ac:dyDescent="0.25">
      <c r="A6" s="609"/>
      <c r="B6" s="407"/>
      <c r="C6" s="407"/>
      <c r="D6" s="407"/>
      <c r="E6" s="407"/>
      <c r="F6" s="407"/>
      <c r="G6" s="407"/>
      <c r="H6" s="407"/>
      <c r="I6" s="407"/>
      <c r="J6" s="407"/>
      <c r="K6" s="407"/>
      <c r="L6" s="407"/>
      <c r="M6" s="407"/>
      <c r="N6" s="407"/>
      <c r="O6" s="407"/>
      <c r="P6" s="407"/>
      <c r="Q6" s="407"/>
      <c r="R6" s="407"/>
      <c r="S6" s="407"/>
      <c r="T6" s="407"/>
      <c r="U6" s="409"/>
    </row>
    <row r="7" spans="1:21" x14ac:dyDescent="0.25">
      <c r="A7" s="610" t="s">
        <v>47</v>
      </c>
      <c r="B7" s="420" t="s">
        <v>297</v>
      </c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409"/>
    </row>
    <row r="8" spans="1:21" x14ac:dyDescent="0.25">
      <c r="A8" s="609"/>
      <c r="B8" s="407"/>
      <c r="C8" s="407"/>
      <c r="D8" s="407"/>
      <c r="E8" s="407"/>
      <c r="F8" s="407"/>
      <c r="G8" s="407"/>
      <c r="H8" s="407"/>
      <c r="I8" s="407" t="s">
        <v>288</v>
      </c>
      <c r="J8" s="407"/>
      <c r="K8" s="407"/>
      <c r="L8" s="578" t="s">
        <v>48</v>
      </c>
      <c r="M8" s="633">
        <f>VLOOKUP('7. RAB'!H4,'1. DataSheet'!A2:E17,3,FALSE)</f>
        <v>70</v>
      </c>
      <c r="N8" s="578"/>
      <c r="O8" s="407"/>
      <c r="P8" s="407"/>
      <c r="Q8" s="407"/>
      <c r="R8" s="407"/>
      <c r="S8" s="407"/>
      <c r="T8" s="407"/>
      <c r="U8" s="409"/>
    </row>
    <row r="9" spans="1:21" x14ac:dyDescent="0.25">
      <c r="A9" s="609"/>
      <c r="B9" s="407"/>
      <c r="C9" s="407"/>
      <c r="D9" s="407"/>
      <c r="E9" s="407"/>
      <c r="F9" s="407"/>
      <c r="G9" s="407"/>
      <c r="H9" s="407"/>
      <c r="I9" s="407" t="s">
        <v>52</v>
      </c>
      <c r="J9" s="407"/>
      <c r="K9" s="407"/>
      <c r="L9" s="578" t="s">
        <v>48</v>
      </c>
      <c r="M9" s="633">
        <f>VLOOKUP('7. RAB'!H4,'1. DataSheet'!A2:E17,4,FALSE)</f>
        <v>3.5</v>
      </c>
      <c r="N9" s="578"/>
      <c r="O9" s="407"/>
      <c r="P9" s="407"/>
      <c r="Q9" s="407"/>
      <c r="R9" s="407"/>
      <c r="S9" s="407"/>
      <c r="T9" s="407"/>
      <c r="U9" s="409"/>
    </row>
    <row r="10" spans="1:21" x14ac:dyDescent="0.25">
      <c r="A10" s="609"/>
      <c r="B10" s="407"/>
      <c r="C10" s="407"/>
      <c r="D10" s="407"/>
      <c r="E10" s="407"/>
      <c r="F10" s="407"/>
      <c r="G10" s="407"/>
      <c r="H10" s="407"/>
      <c r="I10" s="407" t="s">
        <v>289</v>
      </c>
      <c r="J10" s="407"/>
      <c r="K10" s="407"/>
      <c r="L10" s="578" t="s">
        <v>48</v>
      </c>
      <c r="M10" s="633">
        <f>VLOOKUP('7. RAB'!H4,'1. DataSheet'!A2:E17,5,FALSE)</f>
        <v>0.2</v>
      </c>
      <c r="N10" s="578"/>
      <c r="O10" s="407"/>
      <c r="P10" s="407"/>
      <c r="Q10" s="407"/>
      <c r="R10" s="407"/>
      <c r="S10" s="407"/>
      <c r="T10" s="407"/>
      <c r="U10" s="409"/>
    </row>
    <row r="11" spans="1:21" x14ac:dyDescent="0.25">
      <c r="A11" s="609"/>
      <c r="B11" s="407"/>
      <c r="C11" s="407"/>
      <c r="D11" s="407"/>
      <c r="E11" s="407"/>
      <c r="F11" s="407"/>
      <c r="G11" s="407"/>
      <c r="H11" s="407"/>
      <c r="I11" s="407" t="s">
        <v>379</v>
      </c>
      <c r="J11" s="407"/>
      <c r="K11" s="407"/>
      <c r="L11" s="630" t="s">
        <v>48</v>
      </c>
      <c r="M11" s="632" t="s">
        <v>382</v>
      </c>
      <c r="O11" s="407"/>
      <c r="P11" s="687"/>
      <c r="Q11" s="407"/>
      <c r="R11" s="407"/>
      <c r="S11" s="407"/>
      <c r="T11" s="407"/>
      <c r="U11" s="409"/>
    </row>
    <row r="12" spans="1:21" x14ac:dyDescent="0.25">
      <c r="A12" s="609"/>
      <c r="B12" s="407"/>
      <c r="C12" s="407"/>
      <c r="D12" s="407"/>
      <c r="E12" s="407"/>
      <c r="F12" s="407"/>
      <c r="G12" s="407"/>
      <c r="H12" s="407"/>
      <c r="I12" s="407"/>
      <c r="J12" s="407"/>
      <c r="K12" s="407"/>
      <c r="L12" s="630" t="s">
        <v>48</v>
      </c>
      <c r="M12" s="632" t="str">
        <f>M8&amp;" x "&amp;M9&amp;" x "&amp;M10</f>
        <v>70 x 3.5 x 0.2</v>
      </c>
      <c r="N12" s="630"/>
      <c r="O12" s="407"/>
      <c r="P12" s="688">
        <f>69391000/28</f>
        <v>2478250</v>
      </c>
      <c r="Q12" s="407"/>
      <c r="R12" s="407"/>
      <c r="S12" s="407"/>
      <c r="T12" s="407"/>
      <c r="U12" s="409"/>
    </row>
    <row r="13" spans="1:21" x14ac:dyDescent="0.25">
      <c r="A13" s="611" t="s">
        <v>57</v>
      </c>
      <c r="B13" s="415" t="s">
        <v>55</v>
      </c>
      <c r="C13" s="416"/>
      <c r="D13" s="416"/>
      <c r="E13" s="416"/>
      <c r="F13" s="416"/>
      <c r="G13" s="416"/>
      <c r="H13" s="407"/>
      <c r="I13" s="407"/>
      <c r="J13" s="407"/>
      <c r="K13" s="407"/>
      <c r="L13" s="624" t="s">
        <v>48</v>
      </c>
      <c r="M13" s="634">
        <f>M8*M9*M10</f>
        <v>49</v>
      </c>
      <c r="N13" s="624"/>
      <c r="O13" s="407"/>
      <c r="P13" s="687"/>
      <c r="Q13" s="407"/>
      <c r="R13" s="407"/>
      <c r="S13" s="578"/>
      <c r="T13" s="407"/>
      <c r="U13" s="409"/>
    </row>
    <row r="14" spans="1:21" x14ac:dyDescent="0.25">
      <c r="A14" s="609"/>
      <c r="B14" s="407"/>
      <c r="C14" s="407"/>
      <c r="D14" s="407"/>
      <c r="E14" s="407"/>
      <c r="F14" s="407"/>
      <c r="G14" s="407"/>
      <c r="H14" s="407"/>
      <c r="I14" s="407"/>
      <c r="J14" s="407"/>
      <c r="K14" s="407"/>
      <c r="L14" s="407"/>
      <c r="M14" s="594"/>
      <c r="N14" s="407"/>
      <c r="O14" s="407"/>
      <c r="P14" s="689">
        <f>54*3.5*0.15</f>
        <v>28.349999999999998</v>
      </c>
      <c r="Q14" s="407"/>
      <c r="R14" s="407"/>
      <c r="S14" s="407"/>
      <c r="T14" s="407"/>
      <c r="U14" s="409"/>
    </row>
    <row r="15" spans="1:21" x14ac:dyDescent="0.25">
      <c r="A15" s="609"/>
      <c r="B15" s="407" t="s">
        <v>66</v>
      </c>
      <c r="C15" s="407"/>
      <c r="D15" s="407"/>
      <c r="E15" s="407"/>
      <c r="F15" s="407"/>
      <c r="G15" s="416"/>
      <c r="H15" s="416"/>
      <c r="I15" s="407"/>
      <c r="J15" s="407"/>
      <c r="K15" s="407"/>
      <c r="L15" s="407"/>
      <c r="M15" s="594"/>
      <c r="N15" s="407"/>
      <c r="O15" s="578"/>
      <c r="P15" s="690"/>
      <c r="Q15" s="578"/>
      <c r="R15" s="578"/>
      <c r="S15" s="416"/>
      <c r="T15" s="578"/>
      <c r="U15" s="418"/>
    </row>
    <row r="16" spans="1:21" x14ac:dyDescent="0.25">
      <c r="A16" s="609"/>
      <c r="B16" s="407"/>
      <c r="C16" s="407"/>
      <c r="D16" s="407"/>
      <c r="E16" s="407"/>
      <c r="F16" s="407"/>
      <c r="G16" s="407"/>
      <c r="H16" s="407"/>
      <c r="I16" s="407" t="s">
        <v>51</v>
      </c>
      <c r="J16" s="407"/>
      <c r="K16" s="407"/>
      <c r="L16" s="578" t="s">
        <v>48</v>
      </c>
      <c r="M16" s="633">
        <f>M8</f>
        <v>70</v>
      </c>
      <c r="N16" s="578"/>
      <c r="O16" s="407"/>
      <c r="P16" s="419"/>
      <c r="Q16" s="407"/>
      <c r="R16" s="407"/>
      <c r="S16" s="420"/>
      <c r="T16" s="407"/>
      <c r="U16" s="409"/>
    </row>
    <row r="17" spans="1:29" x14ac:dyDescent="0.25">
      <c r="A17" s="609"/>
      <c r="B17" s="407"/>
      <c r="C17" s="407"/>
      <c r="D17" s="407"/>
      <c r="E17" s="407"/>
      <c r="F17" s="407"/>
      <c r="G17" s="421"/>
      <c r="H17" s="407"/>
      <c r="I17" s="407" t="s">
        <v>52</v>
      </c>
      <c r="J17" s="407"/>
      <c r="K17" s="407"/>
      <c r="L17" s="578" t="s">
        <v>48</v>
      </c>
      <c r="M17" s="633">
        <f>M9</f>
        <v>3.5</v>
      </c>
      <c r="N17" s="578"/>
      <c r="O17" s="407"/>
      <c r="P17" s="578"/>
      <c r="Q17" s="407"/>
      <c r="R17" s="407"/>
      <c r="S17" s="407"/>
      <c r="T17" s="407"/>
      <c r="U17" s="409"/>
    </row>
    <row r="18" spans="1:29" x14ac:dyDescent="0.25">
      <c r="A18" s="609"/>
      <c r="B18" s="407"/>
      <c r="C18" s="407"/>
      <c r="D18" s="407"/>
      <c r="E18" s="407"/>
      <c r="F18" s="407"/>
      <c r="G18" s="421"/>
      <c r="H18" s="407"/>
      <c r="I18" s="407" t="s">
        <v>381</v>
      </c>
      <c r="J18" s="407"/>
      <c r="K18" s="407"/>
      <c r="L18" s="578" t="s">
        <v>48</v>
      </c>
      <c r="M18" s="625" t="s">
        <v>380</v>
      </c>
      <c r="N18" s="578"/>
      <c r="O18" s="407"/>
      <c r="P18" s="623"/>
      <c r="Q18" s="578"/>
      <c r="R18" s="578"/>
      <c r="S18" s="422"/>
      <c r="T18" s="407"/>
      <c r="U18" s="409"/>
    </row>
    <row r="19" spans="1:29" x14ac:dyDescent="0.25">
      <c r="A19" s="609"/>
      <c r="B19" s="407"/>
      <c r="C19" s="724" t="str">
        <f>"L = "&amp;FIXED(M17,1,0)</f>
        <v>L = 3.5</v>
      </c>
      <c r="D19" s="724"/>
      <c r="E19" s="724"/>
      <c r="F19" s="724"/>
      <c r="G19" s="407"/>
      <c r="H19" s="407"/>
      <c r="I19" s="407"/>
      <c r="J19" s="407"/>
      <c r="K19" s="407"/>
      <c r="L19" s="423" t="s">
        <v>48</v>
      </c>
      <c r="M19" s="626" t="str">
        <f>M16&amp;" x "&amp;M17</f>
        <v>70 x 3.5</v>
      </c>
      <c r="N19" s="578"/>
      <c r="O19" s="407"/>
      <c r="P19" s="578"/>
      <c r="Q19" s="407"/>
      <c r="R19" s="407"/>
      <c r="S19" s="407"/>
      <c r="T19" s="407"/>
      <c r="U19" s="409"/>
    </row>
    <row r="20" spans="1:29" x14ac:dyDescent="0.25">
      <c r="A20" s="609"/>
      <c r="B20" s="407"/>
      <c r="C20" s="407"/>
      <c r="D20" s="407"/>
      <c r="E20" s="407"/>
      <c r="F20" s="407"/>
      <c r="G20" s="407"/>
      <c r="H20" s="407"/>
      <c r="I20" s="407"/>
      <c r="J20" s="407"/>
      <c r="K20" s="407"/>
      <c r="L20" s="624" t="s">
        <v>48</v>
      </c>
      <c r="M20" s="635">
        <f>M16*M17</f>
        <v>245</v>
      </c>
      <c r="N20" s="624"/>
      <c r="O20" s="407"/>
      <c r="P20" s="407"/>
      <c r="Q20" s="424"/>
      <c r="R20" s="424"/>
      <c r="S20" s="578"/>
      <c r="T20" s="407"/>
      <c r="U20" s="409"/>
    </row>
    <row r="21" spans="1:29" x14ac:dyDescent="0.25">
      <c r="A21" s="609"/>
      <c r="B21" s="407"/>
      <c r="C21" s="407"/>
      <c r="D21" s="407"/>
      <c r="E21" s="407"/>
      <c r="F21" s="407"/>
      <c r="G21" s="407"/>
      <c r="H21" s="407"/>
      <c r="I21" s="439"/>
      <c r="J21" s="439"/>
      <c r="K21" s="439"/>
      <c r="L21" s="627"/>
      <c r="M21" s="628"/>
      <c r="N21" s="629"/>
      <c r="O21" s="407"/>
      <c r="P21" s="578"/>
      <c r="Q21" s="424"/>
      <c r="R21" s="424"/>
      <c r="S21" s="578"/>
      <c r="T21" s="407"/>
      <c r="U21" s="409"/>
    </row>
    <row r="22" spans="1:29" x14ac:dyDescent="0.25">
      <c r="A22" s="609"/>
      <c r="B22" s="407"/>
      <c r="C22" s="407"/>
      <c r="D22" s="407"/>
      <c r="E22" s="407"/>
      <c r="F22" s="407"/>
      <c r="G22" s="407"/>
      <c r="H22" s="407"/>
      <c r="I22" s="407"/>
      <c r="J22" s="407"/>
      <c r="K22" s="407"/>
      <c r="L22" s="407"/>
      <c r="M22" s="423"/>
      <c r="N22" s="423"/>
      <c r="O22" s="578"/>
      <c r="P22" s="578"/>
      <c r="Q22" s="424"/>
      <c r="R22" s="446"/>
      <c r="S22" s="578"/>
      <c r="T22" s="407"/>
      <c r="U22" s="409"/>
    </row>
    <row r="23" spans="1:29" x14ac:dyDescent="0.25">
      <c r="A23" s="611" t="s">
        <v>119</v>
      </c>
      <c r="B23" s="420" t="s">
        <v>149</v>
      </c>
      <c r="C23" s="420"/>
      <c r="D23" s="415"/>
      <c r="E23" s="415"/>
      <c r="F23" s="420"/>
      <c r="G23" s="407"/>
      <c r="H23" s="407"/>
      <c r="I23" s="407"/>
      <c r="J23" s="407"/>
      <c r="K23" s="407"/>
      <c r="L23" s="407"/>
      <c r="M23" s="407"/>
      <c r="N23" s="407"/>
      <c r="O23" s="407"/>
      <c r="P23" s="407"/>
      <c r="Q23" s="407"/>
      <c r="R23" s="407"/>
      <c r="S23" s="407"/>
      <c r="T23" s="407"/>
      <c r="U23" s="583"/>
      <c r="V23" s="417"/>
      <c r="W23" s="425"/>
      <c r="X23" s="417"/>
      <c r="Y23" s="419"/>
      <c r="Z23" s="424"/>
      <c r="AA23" s="424"/>
      <c r="AB23" s="417"/>
      <c r="AC23" s="407"/>
    </row>
    <row r="24" spans="1:29" ht="17.25" customHeight="1" x14ac:dyDescent="0.25">
      <c r="A24" s="609"/>
      <c r="B24" s="407"/>
      <c r="C24" s="407"/>
      <c r="D24" s="407"/>
      <c r="E24" s="407"/>
      <c r="F24" s="407"/>
      <c r="G24" s="407"/>
      <c r="H24" s="407"/>
      <c r="I24" s="407"/>
      <c r="J24" s="407"/>
      <c r="K24" s="581"/>
      <c r="L24" s="581"/>
      <c r="M24" s="581"/>
      <c r="N24" s="407"/>
      <c r="O24" s="407"/>
      <c r="P24" s="407"/>
      <c r="Q24" s="407"/>
      <c r="R24" s="407"/>
      <c r="S24" s="407"/>
      <c r="T24" s="407"/>
      <c r="U24" s="409"/>
      <c r="V24" s="417"/>
      <c r="W24" s="427"/>
      <c r="X24" s="417"/>
      <c r="Y24" s="417"/>
      <c r="Z24" s="407"/>
      <c r="AA24" s="407"/>
      <c r="AB24" s="407"/>
      <c r="AC24" s="407"/>
    </row>
    <row r="25" spans="1:29" x14ac:dyDescent="0.25">
      <c r="A25" s="728" t="s">
        <v>298</v>
      </c>
      <c r="B25" s="729"/>
      <c r="C25" s="729"/>
      <c r="D25" s="729"/>
      <c r="E25" s="729"/>
      <c r="F25" s="426"/>
      <c r="G25" s="579"/>
      <c r="H25" s="428"/>
      <c r="I25" s="407"/>
      <c r="J25" s="407"/>
      <c r="K25" s="426"/>
      <c r="L25" s="407"/>
      <c r="M25" s="407"/>
      <c r="N25" s="578"/>
      <c r="O25" s="578"/>
      <c r="P25" s="531"/>
      <c r="Q25" s="407"/>
      <c r="R25" s="407"/>
      <c r="S25" s="407"/>
      <c r="T25" s="407"/>
      <c r="U25" s="409"/>
      <c r="V25" s="417"/>
      <c r="W25" s="417"/>
      <c r="X25" s="531"/>
      <c r="Y25" s="407"/>
      <c r="Z25" s="532"/>
      <c r="AA25" s="407"/>
      <c r="AB25" s="407"/>
      <c r="AC25" s="407"/>
    </row>
    <row r="26" spans="1:29" x14ac:dyDescent="0.25">
      <c r="A26" s="609"/>
      <c r="B26" s="407"/>
      <c r="C26" s="407"/>
      <c r="D26" s="407"/>
      <c r="E26" s="407"/>
      <c r="F26" s="407"/>
      <c r="G26" s="407"/>
      <c r="H26" s="407"/>
      <c r="I26" s="407" t="s">
        <v>283</v>
      </c>
      <c r="J26" s="100"/>
      <c r="K26" s="100"/>
      <c r="L26" s="100" t="s">
        <v>48</v>
      </c>
      <c r="M26" s="636">
        <v>2</v>
      </c>
      <c r="N26" s="101"/>
      <c r="O26" s="100"/>
      <c r="P26" s="587"/>
      <c r="Q26" s="532"/>
      <c r="R26" s="407"/>
      <c r="S26" s="407"/>
      <c r="T26" s="407"/>
      <c r="U26" s="409"/>
    </row>
    <row r="27" spans="1:29" x14ac:dyDescent="0.25">
      <c r="A27" s="609"/>
      <c r="B27" s="407"/>
      <c r="C27" s="407"/>
      <c r="D27" s="407"/>
      <c r="E27" s="407"/>
      <c r="F27" s="407"/>
      <c r="G27" s="407"/>
      <c r="H27" s="407"/>
      <c r="I27" s="407" t="s">
        <v>280</v>
      </c>
      <c r="J27" s="407"/>
      <c r="K27" s="407"/>
      <c r="L27" s="578" t="s">
        <v>48</v>
      </c>
      <c r="M27" s="633">
        <v>0.4</v>
      </c>
      <c r="N27" s="407"/>
      <c r="O27" s="407"/>
      <c r="P27" s="587"/>
      <c r="Q27" s="532"/>
      <c r="R27" s="407"/>
      <c r="S27" s="407"/>
      <c r="T27" s="407"/>
      <c r="U27" s="409"/>
    </row>
    <row r="28" spans="1:29" x14ac:dyDescent="0.25">
      <c r="A28" s="609"/>
      <c r="B28" s="407"/>
      <c r="C28" s="407"/>
      <c r="D28" s="407"/>
      <c r="E28" s="407"/>
      <c r="F28" s="407"/>
      <c r="G28" s="407"/>
      <c r="H28" s="407"/>
      <c r="I28" s="407" t="s">
        <v>284</v>
      </c>
      <c r="J28" s="407"/>
      <c r="K28" s="407"/>
      <c r="L28" s="578" t="s">
        <v>48</v>
      </c>
      <c r="M28" s="633">
        <v>1</v>
      </c>
      <c r="N28" s="407"/>
      <c r="O28" s="407"/>
      <c r="P28" s="587"/>
      <c r="Q28" s="532"/>
      <c r="R28" s="407"/>
      <c r="S28" s="407"/>
      <c r="T28" s="407"/>
      <c r="U28" s="409"/>
    </row>
    <row r="29" spans="1:29" x14ac:dyDescent="0.25">
      <c r="A29" s="609"/>
      <c r="B29" s="407"/>
      <c r="C29" s="407"/>
      <c r="D29" s="407"/>
      <c r="E29" s="407"/>
      <c r="F29" s="407"/>
      <c r="G29" s="407"/>
      <c r="H29" s="407"/>
      <c r="I29" s="407" t="s">
        <v>281</v>
      </c>
      <c r="J29" s="407"/>
      <c r="K29" s="407"/>
      <c r="L29" s="578" t="s">
        <v>48</v>
      </c>
      <c r="M29" s="581" t="s">
        <v>325</v>
      </c>
      <c r="N29" s="407"/>
      <c r="O29" s="420"/>
      <c r="P29" s="587"/>
      <c r="Q29" s="532"/>
      <c r="R29" s="407"/>
      <c r="S29" s="407"/>
      <c r="T29" s="407"/>
      <c r="U29" s="409"/>
    </row>
    <row r="30" spans="1:29" x14ac:dyDescent="0.25">
      <c r="A30" s="609"/>
      <c r="B30" s="407"/>
      <c r="C30" s="407"/>
      <c r="D30" s="407"/>
      <c r="E30" s="407"/>
      <c r="F30" s="407"/>
      <c r="G30" s="407"/>
      <c r="H30" s="407"/>
      <c r="I30" s="407"/>
      <c r="J30" s="100"/>
      <c r="K30" s="100"/>
      <c r="L30" s="578" t="s">
        <v>48</v>
      </c>
      <c r="M30" s="588" t="str">
        <f>"(( "&amp;M8&amp;" / "&amp;M28&amp;" ) +1) x 2"</f>
        <v>(( 70 / 1 ) +1) x 2</v>
      </c>
      <c r="N30" s="101"/>
      <c r="O30" s="100"/>
      <c r="P30" s="587"/>
      <c r="Q30" s="532"/>
      <c r="R30" s="407"/>
      <c r="S30" s="407"/>
      <c r="T30" s="407"/>
      <c r="U30" s="409"/>
    </row>
    <row r="31" spans="1:29" x14ac:dyDescent="0.25">
      <c r="A31" s="609"/>
      <c r="B31" s="407"/>
      <c r="C31" s="407"/>
      <c r="D31" s="407"/>
      <c r="E31" s="407"/>
      <c r="F31" s="407"/>
      <c r="G31" s="407"/>
      <c r="H31" s="407"/>
      <c r="I31" s="407"/>
      <c r="J31" s="100"/>
      <c r="K31" s="100"/>
      <c r="L31" s="578" t="s">
        <v>48</v>
      </c>
      <c r="M31" s="637">
        <f>((M8/M28)+1)*2</f>
        <v>142</v>
      </c>
      <c r="N31" s="101"/>
      <c r="O31" s="100"/>
      <c r="P31" s="587"/>
      <c r="Q31" s="532"/>
      <c r="R31" s="407"/>
      <c r="S31" s="407"/>
      <c r="T31" s="407"/>
      <c r="U31" s="409"/>
    </row>
    <row r="32" spans="1:29" x14ac:dyDescent="0.25">
      <c r="A32" s="609"/>
      <c r="B32" s="407"/>
      <c r="C32" s="407"/>
      <c r="D32" s="407"/>
      <c r="E32" s="407"/>
      <c r="F32" s="407"/>
      <c r="G32" s="407"/>
      <c r="H32" s="407"/>
      <c r="I32" s="407" t="s">
        <v>282</v>
      </c>
      <c r="J32" s="100"/>
      <c r="K32" s="100"/>
      <c r="L32" s="578" t="s">
        <v>48</v>
      </c>
      <c r="M32" s="588" t="s">
        <v>326</v>
      </c>
      <c r="N32" s="101"/>
      <c r="O32" s="100"/>
      <c r="P32" s="587"/>
      <c r="Q32" s="532"/>
      <c r="R32" s="407"/>
      <c r="S32" s="407"/>
      <c r="T32" s="407"/>
      <c r="U32" s="409"/>
    </row>
    <row r="33" spans="1:21" x14ac:dyDescent="0.25">
      <c r="A33" s="609"/>
      <c r="B33" s="407"/>
      <c r="C33" s="407"/>
      <c r="D33" s="407"/>
      <c r="E33" s="407"/>
      <c r="F33" s="407"/>
      <c r="G33" s="407"/>
      <c r="H33" s="407"/>
      <c r="I33" s="407"/>
      <c r="J33" s="100"/>
      <c r="K33" s="100"/>
      <c r="L33" s="578" t="s">
        <v>48</v>
      </c>
      <c r="M33" s="639" t="str">
        <f>M27&amp; " x "&amp;M31</f>
        <v>0.4 x 142</v>
      </c>
      <c r="N33" s="101"/>
      <c r="O33" s="100"/>
      <c r="P33" s="587"/>
      <c r="Q33" s="532"/>
      <c r="R33" s="407"/>
      <c r="S33" s="407"/>
      <c r="T33" s="407"/>
      <c r="U33" s="409"/>
    </row>
    <row r="34" spans="1:21" x14ac:dyDescent="0.25">
      <c r="A34" s="609"/>
      <c r="B34" s="407"/>
      <c r="C34" s="407"/>
      <c r="D34" s="407"/>
      <c r="E34" s="407"/>
      <c r="F34" s="407"/>
      <c r="G34" s="407"/>
      <c r="H34" s="407"/>
      <c r="I34" s="407"/>
      <c r="J34" s="100"/>
      <c r="K34" s="100"/>
      <c r="L34" s="578" t="s">
        <v>48</v>
      </c>
      <c r="M34" s="633">
        <f>M27*M31</f>
        <v>56.800000000000004</v>
      </c>
      <c r="N34" s="101"/>
      <c r="O34" s="100"/>
      <c r="P34" s="587"/>
      <c r="Q34" s="532"/>
      <c r="R34" s="407"/>
      <c r="S34" s="407"/>
      <c r="T34" s="407"/>
      <c r="U34" s="409"/>
    </row>
    <row r="35" spans="1:21" x14ac:dyDescent="0.25">
      <c r="A35" s="609"/>
      <c r="B35" s="407"/>
      <c r="C35" s="407"/>
      <c r="D35" s="407"/>
      <c r="E35" s="407"/>
      <c r="F35" s="407"/>
      <c r="G35" s="407"/>
      <c r="H35" s="407"/>
      <c r="I35" s="407" t="s">
        <v>327</v>
      </c>
      <c r="J35" s="100"/>
      <c r="K35" s="100"/>
      <c r="L35" s="578" t="s">
        <v>48</v>
      </c>
      <c r="M35" s="588" t="s">
        <v>328</v>
      </c>
      <c r="N35" s="101"/>
      <c r="O35" s="100"/>
      <c r="P35" s="587"/>
      <c r="Q35" s="532"/>
      <c r="R35" s="407"/>
      <c r="S35" s="407"/>
      <c r="T35" s="407"/>
      <c r="U35" s="409"/>
    </row>
    <row r="36" spans="1:21" x14ac:dyDescent="0.25">
      <c r="A36" s="609"/>
      <c r="B36" s="407"/>
      <c r="C36" s="407"/>
      <c r="D36" s="407"/>
      <c r="E36" s="407"/>
      <c r="F36" s="407"/>
      <c r="G36" s="407"/>
      <c r="H36" s="407"/>
      <c r="I36" s="407"/>
      <c r="J36" s="100"/>
      <c r="K36" s="100"/>
      <c r="L36" s="578" t="s">
        <v>48</v>
      </c>
      <c r="M36" s="639" t="str">
        <f>M34&amp;" / 4"</f>
        <v>56.8 / 4</v>
      </c>
      <c r="N36" s="101"/>
      <c r="O36" s="100"/>
      <c r="P36" s="587"/>
      <c r="Q36" s="532"/>
      <c r="R36" s="407"/>
      <c r="S36" s="407"/>
      <c r="T36" s="407"/>
      <c r="U36" s="409"/>
    </row>
    <row r="37" spans="1:21" x14ac:dyDescent="0.25">
      <c r="A37" s="609"/>
      <c r="B37" s="407"/>
      <c r="C37" s="407"/>
      <c r="D37" s="407"/>
      <c r="E37" s="407"/>
      <c r="F37" s="407"/>
      <c r="G37" s="407"/>
      <c r="H37" s="407"/>
      <c r="J37" s="100"/>
      <c r="K37" s="100"/>
      <c r="L37" s="578" t="s">
        <v>48</v>
      </c>
      <c r="M37" s="638">
        <f>(M34/4)</f>
        <v>14.200000000000001</v>
      </c>
      <c r="N37" s="101"/>
      <c r="O37" s="100"/>
      <c r="P37" s="587"/>
      <c r="Q37" s="532"/>
      <c r="R37" s="407"/>
      <c r="S37" s="407"/>
      <c r="T37" s="407"/>
      <c r="U37" s="409"/>
    </row>
    <row r="38" spans="1:21" x14ac:dyDescent="0.25">
      <c r="A38" s="609"/>
      <c r="B38" s="407"/>
      <c r="C38" s="407"/>
      <c r="D38" s="407"/>
      <c r="E38" s="407"/>
      <c r="F38" s="407"/>
      <c r="G38" s="407"/>
      <c r="H38" s="407"/>
      <c r="I38" s="407" t="s">
        <v>366</v>
      </c>
      <c r="J38" s="100"/>
      <c r="K38" s="100"/>
      <c r="L38" s="618" t="s">
        <v>48</v>
      </c>
      <c r="M38" s="588" t="s">
        <v>367</v>
      </c>
      <c r="N38" s="101"/>
      <c r="O38" s="100"/>
      <c r="P38" s="587"/>
      <c r="Q38" s="532"/>
      <c r="R38" s="407"/>
      <c r="S38" s="407"/>
      <c r="T38" s="407"/>
      <c r="U38" s="409"/>
    </row>
    <row r="39" spans="1:21" x14ac:dyDescent="0.25">
      <c r="A39" s="609"/>
      <c r="B39" s="407"/>
      <c r="C39" s="407"/>
      <c r="D39" s="407"/>
      <c r="E39" s="407"/>
      <c r="F39" s="407"/>
      <c r="G39" s="407"/>
      <c r="H39" s="407"/>
      <c r="I39" s="407"/>
      <c r="J39" s="100"/>
      <c r="K39" s="100"/>
      <c r="L39" s="618" t="s">
        <v>48</v>
      </c>
      <c r="M39" s="639" t="str">
        <f>M37&amp; " / "&amp;M26</f>
        <v>14.2 / 2</v>
      </c>
      <c r="N39" s="101"/>
      <c r="O39" s="100"/>
      <c r="P39" s="587"/>
      <c r="Q39" s="532"/>
      <c r="R39" s="407"/>
      <c r="S39" s="407"/>
      <c r="T39" s="407"/>
      <c r="U39" s="409"/>
    </row>
    <row r="40" spans="1:21" x14ac:dyDescent="0.25">
      <c r="A40" s="609"/>
      <c r="B40" s="407"/>
      <c r="C40" s="407"/>
      <c r="D40" s="407"/>
      <c r="E40" s="407"/>
      <c r="F40" s="407"/>
      <c r="G40" s="407"/>
      <c r="H40" s="407"/>
      <c r="I40" s="407"/>
      <c r="J40" s="100"/>
      <c r="K40" s="100"/>
      <c r="L40" s="618" t="s">
        <v>48</v>
      </c>
      <c r="M40" s="638">
        <f>M37/M26</f>
        <v>7.1000000000000005</v>
      </c>
      <c r="N40" s="101"/>
      <c r="O40" s="100"/>
      <c r="P40" s="587"/>
      <c r="Q40" s="532"/>
      <c r="R40" s="407"/>
      <c r="S40" s="407"/>
      <c r="T40" s="407"/>
      <c r="U40" s="409"/>
    </row>
    <row r="41" spans="1:21" x14ac:dyDescent="0.25">
      <c r="A41" s="609"/>
      <c r="B41" s="407"/>
      <c r="C41" s="407"/>
      <c r="D41" s="407"/>
      <c r="E41" s="407"/>
      <c r="F41" s="407"/>
      <c r="G41" s="407"/>
      <c r="H41" s="407"/>
      <c r="I41" s="407" t="s">
        <v>322</v>
      </c>
      <c r="J41" s="100"/>
      <c r="K41" s="100"/>
      <c r="L41" s="100" t="s">
        <v>48</v>
      </c>
      <c r="M41" s="589" t="s">
        <v>329</v>
      </c>
      <c r="N41" s="100"/>
      <c r="O41" s="590"/>
      <c r="P41" s="101"/>
      <c r="Q41" s="407"/>
      <c r="R41" s="407"/>
      <c r="S41" s="407"/>
      <c r="T41" s="407"/>
      <c r="U41" s="409"/>
    </row>
    <row r="42" spans="1:21" x14ac:dyDescent="0.25">
      <c r="A42" s="609"/>
      <c r="B42" s="407"/>
      <c r="C42" s="407"/>
      <c r="D42" s="407"/>
      <c r="E42" s="407"/>
      <c r="F42" s="407"/>
      <c r="G42" s="407"/>
      <c r="H42" s="407"/>
      <c r="I42" s="608" t="s">
        <v>323</v>
      </c>
      <c r="J42" s="591"/>
      <c r="K42" s="591"/>
      <c r="L42" s="100" t="s">
        <v>48</v>
      </c>
      <c r="M42" s="549" t="str">
        <f>"( 0,04 x 0,06 x 4 ) x"&amp;M40</f>
        <v>( 0,04 x 0,06 x 4 ) x7.1</v>
      </c>
      <c r="N42" s="100"/>
      <c r="O42" s="590"/>
      <c r="P42" s="101"/>
      <c r="Q42" s="407"/>
      <c r="R42" s="407"/>
      <c r="S42" s="407"/>
      <c r="T42" s="407"/>
      <c r="U42" s="409"/>
    </row>
    <row r="43" spans="1:21" x14ac:dyDescent="0.25">
      <c r="A43" s="609"/>
      <c r="B43" s="407"/>
      <c r="C43" s="407"/>
      <c r="D43" s="407"/>
      <c r="E43" s="407"/>
      <c r="F43" s="407"/>
      <c r="G43" s="407"/>
      <c r="H43" s="407"/>
      <c r="I43" s="608" t="s">
        <v>324</v>
      </c>
      <c r="J43" s="591"/>
      <c r="K43" s="591"/>
      <c r="L43" s="100" t="s">
        <v>48</v>
      </c>
      <c r="M43" s="640">
        <f>(0.04 * 0.06 * 4)*M40</f>
        <v>6.8159999999999998E-2</v>
      </c>
      <c r="N43" s="549"/>
      <c r="O43" s="100"/>
      <c r="P43" s="590"/>
      <c r="Q43" s="532"/>
      <c r="R43" s="407"/>
      <c r="S43" s="407"/>
      <c r="T43" s="407"/>
      <c r="U43" s="409"/>
    </row>
    <row r="44" spans="1:21" x14ac:dyDescent="0.25">
      <c r="A44" s="609"/>
      <c r="B44" s="407"/>
      <c r="C44" s="407"/>
      <c r="D44" s="407"/>
      <c r="E44" s="407"/>
      <c r="F44" s="407"/>
      <c r="G44" s="407"/>
      <c r="H44" s="407"/>
      <c r="I44" s="608"/>
      <c r="J44" s="591"/>
      <c r="K44" s="591"/>
      <c r="L44" s="100"/>
      <c r="M44" s="592"/>
      <c r="N44" s="549"/>
      <c r="O44" s="100"/>
      <c r="P44" s="590"/>
      <c r="Q44" s="532"/>
      <c r="R44" s="407"/>
      <c r="S44" s="407"/>
      <c r="T44" s="407"/>
      <c r="U44" s="409"/>
    </row>
    <row r="45" spans="1:21" x14ac:dyDescent="0.25">
      <c r="A45" s="611" t="s">
        <v>299</v>
      </c>
      <c r="B45" s="585"/>
      <c r="C45" s="585"/>
      <c r="D45" s="585"/>
      <c r="E45" s="585"/>
      <c r="F45" s="426"/>
      <c r="G45" s="579"/>
      <c r="H45" s="407"/>
      <c r="I45" s="407"/>
      <c r="J45" s="407"/>
      <c r="K45" s="407"/>
      <c r="L45" s="407"/>
      <c r="M45" s="407"/>
      <c r="N45" s="407"/>
      <c r="O45" s="407"/>
      <c r="P45" s="101"/>
      <c r="Q45" s="532"/>
      <c r="R45" s="407"/>
      <c r="S45" s="407"/>
      <c r="T45" s="407"/>
      <c r="U45" s="409"/>
    </row>
    <row r="46" spans="1:21" x14ac:dyDescent="0.25">
      <c r="A46" s="619"/>
      <c r="B46" s="620"/>
      <c r="C46" s="620"/>
      <c r="D46" s="620"/>
      <c r="E46" s="620"/>
      <c r="F46" s="426"/>
      <c r="G46" s="579"/>
      <c r="H46" s="407"/>
      <c r="I46" s="407" t="s">
        <v>369</v>
      </c>
      <c r="J46" s="407"/>
      <c r="K46" s="407"/>
      <c r="L46" s="618" t="s">
        <v>48</v>
      </c>
      <c r="M46" s="636">
        <v>2</v>
      </c>
      <c r="N46" s="407"/>
      <c r="O46" s="407"/>
      <c r="P46" s="101"/>
      <c r="Q46" s="532"/>
      <c r="R46" s="407"/>
      <c r="S46" s="407"/>
      <c r="T46" s="407"/>
      <c r="U46" s="409"/>
    </row>
    <row r="47" spans="1:21" x14ac:dyDescent="0.25">
      <c r="A47" s="609"/>
      <c r="B47" s="407"/>
      <c r="C47" s="407"/>
      <c r="D47" s="407"/>
      <c r="E47" s="407"/>
      <c r="F47" s="407"/>
      <c r="G47" s="579"/>
      <c r="H47" s="428"/>
      <c r="I47" s="407" t="s">
        <v>368</v>
      </c>
      <c r="J47" s="100"/>
      <c r="K47" s="407"/>
      <c r="L47" s="586" t="s">
        <v>48</v>
      </c>
      <c r="M47" s="633">
        <f>M10</f>
        <v>0.2</v>
      </c>
      <c r="N47" s="99"/>
      <c r="O47" s="531"/>
      <c r="P47" s="407"/>
      <c r="Q47" s="532"/>
      <c r="R47" s="407"/>
      <c r="S47" s="407"/>
      <c r="T47" s="407"/>
      <c r="U47" s="409"/>
    </row>
    <row r="48" spans="1:21" x14ac:dyDescent="0.25">
      <c r="A48" s="609"/>
      <c r="B48" s="407"/>
      <c r="C48" s="407"/>
      <c r="D48" s="407"/>
      <c r="E48" s="407"/>
      <c r="F48" s="407"/>
      <c r="G48" s="407"/>
      <c r="H48" s="407"/>
      <c r="I48" s="99" t="s">
        <v>290</v>
      </c>
      <c r="J48" s="587"/>
      <c r="K48" s="407"/>
      <c r="L48" s="100" t="s">
        <v>48</v>
      </c>
      <c r="M48" s="684">
        <v>0.02</v>
      </c>
      <c r="N48" s="99"/>
      <c r="O48" s="531"/>
      <c r="P48" s="407"/>
      <c r="Q48" s="532"/>
      <c r="R48" s="407"/>
      <c r="S48" s="407"/>
      <c r="T48" s="407"/>
      <c r="U48" s="409"/>
    </row>
    <row r="49" spans="1:21" x14ac:dyDescent="0.25">
      <c r="A49" s="609"/>
      <c r="B49" s="407"/>
      <c r="C49" s="407"/>
      <c r="D49" s="407"/>
      <c r="E49" s="407"/>
      <c r="F49" s="407"/>
      <c r="G49" s="579"/>
      <c r="H49" s="428"/>
      <c r="I49" s="407" t="s">
        <v>288</v>
      </c>
      <c r="J49" s="100"/>
      <c r="K49" s="407"/>
      <c r="L49" s="100" t="s">
        <v>48</v>
      </c>
      <c r="M49" s="633">
        <f>M8</f>
        <v>70</v>
      </c>
      <c r="N49" s="101"/>
      <c r="O49" s="531"/>
      <c r="P49" s="407"/>
      <c r="Q49" s="532"/>
      <c r="R49" s="407"/>
      <c r="S49" s="407"/>
      <c r="T49" s="407"/>
      <c r="U49" s="409"/>
    </row>
    <row r="50" spans="1:21" x14ac:dyDescent="0.25">
      <c r="A50" s="609"/>
      <c r="B50" s="407"/>
      <c r="C50" s="407"/>
      <c r="D50" s="407"/>
      <c r="E50" s="407"/>
      <c r="F50" s="407"/>
      <c r="G50" s="407"/>
      <c r="H50" s="407"/>
      <c r="I50" s="407" t="s">
        <v>330</v>
      </c>
      <c r="J50" s="100"/>
      <c r="K50" s="407"/>
      <c r="L50" s="100" t="s">
        <v>48</v>
      </c>
      <c r="M50" s="593" t="s">
        <v>365</v>
      </c>
      <c r="N50" s="407"/>
      <c r="O50" s="531"/>
      <c r="P50" s="407"/>
      <c r="Q50" s="532"/>
      <c r="R50" s="407"/>
      <c r="S50" s="407"/>
      <c r="T50" s="407"/>
      <c r="U50" s="409"/>
    </row>
    <row r="51" spans="1:21" x14ac:dyDescent="0.25">
      <c r="A51" s="609"/>
      <c r="B51" s="407"/>
      <c r="C51" s="407"/>
      <c r="D51" s="407"/>
      <c r="E51" s="407"/>
      <c r="F51" s="407"/>
      <c r="G51" s="579"/>
      <c r="H51" s="428"/>
      <c r="I51" s="407"/>
      <c r="J51" s="100"/>
      <c r="K51" s="407"/>
      <c r="L51" s="100" t="s">
        <v>48</v>
      </c>
      <c r="M51" s="641" t="str">
        <f>"( "&amp;M49&amp;" x " &amp;M47&amp;" ) x 2"</f>
        <v>( 70 x 0.2 ) x 2</v>
      </c>
      <c r="N51" s="407"/>
      <c r="O51" s="531"/>
      <c r="P51" s="407"/>
      <c r="Q51" s="532"/>
      <c r="R51" s="407"/>
      <c r="S51" s="407"/>
      <c r="T51" s="407"/>
      <c r="U51" s="409"/>
    </row>
    <row r="52" spans="1:21" x14ac:dyDescent="0.25">
      <c r="A52" s="609"/>
      <c r="B52" s="407"/>
      <c r="C52" s="407"/>
      <c r="D52" s="407"/>
      <c r="E52" s="407"/>
      <c r="F52" s="407"/>
      <c r="G52" s="579"/>
      <c r="H52" s="428"/>
      <c r="I52" s="407"/>
      <c r="J52" s="100"/>
      <c r="K52" s="407"/>
      <c r="L52" s="100" t="s">
        <v>48</v>
      </c>
      <c r="M52" s="635">
        <f>(M49*0.15)*2</f>
        <v>21</v>
      </c>
      <c r="N52" s="407"/>
      <c r="O52" s="531"/>
      <c r="P52" s="407"/>
      <c r="Q52" s="532"/>
      <c r="R52" s="407"/>
      <c r="S52" s="407"/>
      <c r="T52" s="407"/>
      <c r="U52" s="409"/>
    </row>
    <row r="53" spans="1:21" x14ac:dyDescent="0.25">
      <c r="A53" s="609"/>
      <c r="B53" s="407"/>
      <c r="C53" s="407"/>
      <c r="D53" s="407"/>
      <c r="E53" s="407"/>
      <c r="F53" s="407"/>
      <c r="G53" s="579"/>
      <c r="H53" s="428"/>
      <c r="I53" s="407"/>
      <c r="J53" s="100"/>
      <c r="K53" s="407"/>
      <c r="L53" s="100"/>
      <c r="M53" s="593"/>
      <c r="N53" s="407"/>
      <c r="O53" s="531"/>
      <c r="P53" s="407"/>
      <c r="Q53" s="532"/>
      <c r="R53" s="407"/>
      <c r="S53" s="407"/>
      <c r="T53" s="407"/>
      <c r="U53" s="409"/>
    </row>
    <row r="54" spans="1:21" x14ac:dyDescent="0.25">
      <c r="A54" s="609"/>
      <c r="B54" s="407"/>
      <c r="C54" s="407"/>
      <c r="D54" s="407"/>
      <c r="E54" s="407"/>
      <c r="F54" s="407"/>
      <c r="G54" s="579"/>
      <c r="H54" s="428"/>
      <c r="I54" s="407" t="s">
        <v>370</v>
      </c>
      <c r="J54" s="100"/>
      <c r="K54" s="407"/>
      <c r="L54" s="100" t="s">
        <v>48</v>
      </c>
      <c r="M54" s="593" t="s">
        <v>371</v>
      </c>
      <c r="N54" s="407"/>
      <c r="O54" s="531"/>
      <c r="P54" s="407"/>
      <c r="Q54" s="532"/>
      <c r="R54" s="407"/>
      <c r="S54" s="407"/>
      <c r="T54" s="407"/>
      <c r="U54" s="409"/>
    </row>
    <row r="55" spans="1:21" x14ac:dyDescent="0.25">
      <c r="A55" s="609"/>
      <c r="B55" s="407"/>
      <c r="C55" s="407"/>
      <c r="D55" s="407"/>
      <c r="E55" s="407"/>
      <c r="F55" s="407"/>
      <c r="G55" s="579"/>
      <c r="H55" s="428"/>
      <c r="I55" s="407"/>
      <c r="J55" s="100"/>
      <c r="K55" s="407"/>
      <c r="L55" s="100" t="s">
        <v>48</v>
      </c>
      <c r="M55" s="641" t="str">
        <f>M52&amp; " / "&amp;M46</f>
        <v>21 / 2</v>
      </c>
      <c r="N55" s="407"/>
      <c r="O55" s="531"/>
      <c r="P55" s="407"/>
      <c r="Q55" s="532"/>
      <c r="R55" s="407"/>
      <c r="S55" s="407"/>
      <c r="T55" s="407"/>
      <c r="U55" s="409"/>
    </row>
    <row r="56" spans="1:21" x14ac:dyDescent="0.25">
      <c r="A56" s="609"/>
      <c r="B56" s="407"/>
      <c r="C56" s="407"/>
      <c r="D56" s="407"/>
      <c r="E56" s="407"/>
      <c r="F56" s="407"/>
      <c r="G56" s="579"/>
      <c r="H56" s="428"/>
      <c r="I56" s="407"/>
      <c r="J56" s="100"/>
      <c r="K56" s="407"/>
      <c r="L56" s="100" t="s">
        <v>48</v>
      </c>
      <c r="M56" s="635">
        <f>M52/M46</f>
        <v>10.5</v>
      </c>
      <c r="N56" s="407"/>
      <c r="O56" s="531"/>
      <c r="P56" s="407"/>
      <c r="Q56" s="532"/>
      <c r="R56" s="407"/>
      <c r="S56" s="407"/>
      <c r="T56" s="407"/>
      <c r="U56" s="409"/>
    </row>
    <row r="57" spans="1:21" x14ac:dyDescent="0.25">
      <c r="A57" s="609"/>
      <c r="B57" s="407"/>
      <c r="C57" s="407"/>
      <c r="D57" s="407"/>
      <c r="E57" s="407"/>
      <c r="F57" s="407"/>
      <c r="G57" s="579"/>
      <c r="H57" s="428"/>
      <c r="I57" s="407"/>
      <c r="J57" s="100"/>
      <c r="K57" s="407"/>
      <c r="L57" s="100"/>
      <c r="M57" s="593"/>
      <c r="N57" s="407"/>
      <c r="O57" s="531"/>
      <c r="P57" s="407"/>
      <c r="Q57" s="532"/>
      <c r="R57" s="407"/>
      <c r="S57" s="407"/>
      <c r="T57" s="407"/>
      <c r="U57" s="409"/>
    </row>
    <row r="58" spans="1:21" x14ac:dyDescent="0.25">
      <c r="A58" s="609"/>
      <c r="B58" s="407"/>
      <c r="C58" s="407"/>
      <c r="D58" s="407"/>
      <c r="E58" s="407"/>
      <c r="F58" s="407"/>
      <c r="G58" s="579"/>
      <c r="H58" s="428"/>
      <c r="I58" s="407" t="s">
        <v>331</v>
      </c>
      <c r="J58" s="100"/>
      <c r="K58" s="407"/>
      <c r="L58" s="100" t="s">
        <v>48</v>
      </c>
      <c r="M58" s="593" t="s">
        <v>332</v>
      </c>
      <c r="N58" s="407"/>
      <c r="O58" s="531"/>
      <c r="P58" s="407"/>
      <c r="Q58" s="532"/>
      <c r="R58" s="407"/>
      <c r="S58" s="407"/>
      <c r="T58" s="407"/>
      <c r="U58" s="409"/>
    </row>
    <row r="59" spans="1:21" x14ac:dyDescent="0.25">
      <c r="A59" s="609"/>
      <c r="B59" s="407"/>
      <c r="C59" s="407"/>
      <c r="D59" s="407"/>
      <c r="E59" s="407"/>
      <c r="F59" s="407"/>
      <c r="G59" s="579"/>
      <c r="H59" s="428"/>
      <c r="I59" s="407"/>
      <c r="J59" s="100"/>
      <c r="K59" s="407"/>
      <c r="L59" s="100" t="s">
        <v>48</v>
      </c>
      <c r="M59" s="641" t="str">
        <f>M56&amp;" x "&amp;M48</f>
        <v>10.5 x 0.02</v>
      </c>
      <c r="N59" s="407"/>
      <c r="O59" s="531"/>
      <c r="P59" s="407"/>
      <c r="Q59" s="532"/>
      <c r="R59" s="407"/>
      <c r="S59" s="407"/>
      <c r="T59" s="407"/>
      <c r="U59" s="409"/>
    </row>
    <row r="60" spans="1:21" x14ac:dyDescent="0.25">
      <c r="A60" s="609"/>
      <c r="B60" s="407"/>
      <c r="C60" s="407"/>
      <c r="D60" s="407"/>
      <c r="E60" s="407"/>
      <c r="F60" s="407"/>
      <c r="G60" s="579"/>
      <c r="H60" s="428"/>
      <c r="I60" s="407"/>
      <c r="J60" s="100"/>
      <c r="K60" s="407"/>
      <c r="L60" s="100" t="s">
        <v>48</v>
      </c>
      <c r="M60" s="640">
        <f>M56*M48</f>
        <v>0.21</v>
      </c>
      <c r="N60" s="407"/>
      <c r="O60" s="531"/>
      <c r="P60" s="407"/>
      <c r="Q60" s="532"/>
      <c r="R60" s="407"/>
      <c r="S60" s="407"/>
      <c r="T60" s="407"/>
      <c r="U60" s="409"/>
    </row>
    <row r="61" spans="1:21" x14ac:dyDescent="0.25">
      <c r="A61" s="609"/>
      <c r="B61" s="407"/>
      <c r="C61" s="407"/>
      <c r="D61" s="407"/>
      <c r="E61" s="407"/>
      <c r="F61" s="407"/>
      <c r="G61" s="579"/>
      <c r="H61" s="428"/>
      <c r="I61" s="407"/>
      <c r="J61" s="100"/>
      <c r="K61" s="407"/>
      <c r="L61" s="100"/>
      <c r="M61" s="593"/>
      <c r="N61" s="407"/>
      <c r="O61" s="531"/>
      <c r="P61" s="407"/>
      <c r="Q61" s="532"/>
      <c r="R61" s="407"/>
      <c r="S61" s="407"/>
      <c r="T61" s="407"/>
      <c r="U61" s="409"/>
    </row>
    <row r="62" spans="1:21" s="595" customFormat="1" x14ac:dyDescent="0.25">
      <c r="A62" s="610" t="s">
        <v>338</v>
      </c>
      <c r="B62" s="420"/>
      <c r="C62" s="420"/>
      <c r="D62" s="420"/>
      <c r="E62" s="420"/>
      <c r="F62" s="420"/>
      <c r="G62" s="727"/>
      <c r="H62" s="727"/>
      <c r="I62" s="407" t="s">
        <v>233</v>
      </c>
      <c r="J62" s="100"/>
      <c r="K62" s="420"/>
      <c r="L62" s="100" t="s">
        <v>48</v>
      </c>
      <c r="M62" s="99" t="s">
        <v>333</v>
      </c>
      <c r="N62" s="598"/>
      <c r="O62" s="426"/>
      <c r="P62" s="420"/>
      <c r="Q62" s="596"/>
      <c r="R62" s="420"/>
      <c r="S62" s="420"/>
      <c r="T62" s="420"/>
      <c r="U62" s="597"/>
    </row>
    <row r="63" spans="1:21" x14ac:dyDescent="0.25">
      <c r="A63" s="609"/>
      <c r="B63" s="407"/>
      <c r="C63" s="407"/>
      <c r="D63" s="407"/>
      <c r="E63" s="407"/>
      <c r="F63" s="407"/>
      <c r="G63" s="579"/>
      <c r="H63" s="428"/>
      <c r="I63" s="407"/>
      <c r="J63" s="100"/>
      <c r="K63" s="407"/>
      <c r="L63" s="100" t="s">
        <v>48</v>
      </c>
      <c r="M63" s="642" t="str">
        <f>M8 &amp;" x ("&amp;M9&amp; " + 0.5)"</f>
        <v>70 x (3.5 + 0.5)</v>
      </c>
      <c r="N63" s="598"/>
      <c r="O63" s="538"/>
      <c r="P63" s="407"/>
      <c r="Q63" s="532"/>
      <c r="R63" s="407"/>
      <c r="S63" s="407"/>
      <c r="T63" s="407"/>
      <c r="U63" s="409"/>
    </row>
    <row r="64" spans="1:21" x14ac:dyDescent="0.25">
      <c r="A64" s="609"/>
      <c r="B64" s="407"/>
      <c r="C64" s="407"/>
      <c r="D64" s="407"/>
      <c r="E64" s="407"/>
      <c r="F64" s="407"/>
      <c r="G64" s="579"/>
      <c r="H64" s="428"/>
      <c r="I64" s="407"/>
      <c r="J64" s="100"/>
      <c r="K64" s="407"/>
      <c r="L64" s="100" t="s">
        <v>48</v>
      </c>
      <c r="M64" s="635">
        <f>M8*(M9+0.5)</f>
        <v>280</v>
      </c>
      <c r="N64" s="598"/>
      <c r="O64" s="426"/>
      <c r="P64" s="407"/>
      <c r="Q64" s="532"/>
      <c r="R64" s="407"/>
      <c r="S64" s="407"/>
      <c r="T64" s="407"/>
      <c r="U64" s="409"/>
    </row>
    <row r="65" spans="1:21" x14ac:dyDescent="0.25">
      <c r="A65" s="609"/>
      <c r="B65" s="407"/>
      <c r="C65" s="407"/>
      <c r="D65" s="407"/>
      <c r="E65" s="407"/>
      <c r="F65" s="407"/>
      <c r="G65" s="579"/>
      <c r="H65" s="428"/>
      <c r="I65" s="407" t="s">
        <v>334</v>
      </c>
      <c r="J65" s="100"/>
      <c r="K65" s="407"/>
      <c r="L65" s="100" t="s">
        <v>48</v>
      </c>
      <c r="M65" s="99" t="s">
        <v>337</v>
      </c>
      <c r="N65" s="598"/>
      <c r="O65" s="426"/>
      <c r="P65" s="407"/>
      <c r="Q65" s="532"/>
      <c r="R65" s="407"/>
      <c r="S65" s="407"/>
      <c r="T65" s="407"/>
      <c r="U65" s="409"/>
    </row>
    <row r="66" spans="1:21" x14ac:dyDescent="0.25">
      <c r="A66" s="609"/>
      <c r="B66" s="407"/>
      <c r="C66" s="407"/>
      <c r="D66" s="407"/>
      <c r="E66" s="407"/>
      <c r="F66" s="407"/>
      <c r="G66" s="579"/>
      <c r="H66" s="428"/>
      <c r="I66" s="407" t="s">
        <v>335</v>
      </c>
      <c r="J66" s="100"/>
      <c r="K66" s="407"/>
      <c r="L66" s="100" t="s">
        <v>48</v>
      </c>
      <c r="M66" s="643" t="str">
        <f>M64 &amp;" / 7 "</f>
        <v xml:space="preserve">280 / 7 </v>
      </c>
      <c r="N66" s="599"/>
      <c r="O66" s="426"/>
      <c r="P66" s="407"/>
      <c r="Q66" s="532"/>
      <c r="R66" s="407"/>
      <c r="S66" s="407"/>
      <c r="T66" s="407"/>
      <c r="U66" s="409"/>
    </row>
    <row r="67" spans="1:21" x14ac:dyDescent="0.25">
      <c r="A67" s="609"/>
      <c r="B67" s="407"/>
      <c r="C67" s="407"/>
      <c r="D67" s="407"/>
      <c r="E67" s="407"/>
      <c r="F67" s="407"/>
      <c r="G67" s="579"/>
      <c r="H67" s="428"/>
      <c r="I67" s="407" t="s">
        <v>336</v>
      </c>
      <c r="J67" s="100"/>
      <c r="K67" s="407"/>
      <c r="L67" s="100" t="s">
        <v>48</v>
      </c>
      <c r="M67" s="644">
        <f>M64/7</f>
        <v>40</v>
      </c>
      <c r="N67" s="600"/>
      <c r="O67" s="426"/>
      <c r="P67" s="407"/>
      <c r="Q67" s="532"/>
      <c r="R67" s="407"/>
      <c r="S67" s="407"/>
      <c r="T67" s="407"/>
      <c r="U67" s="409"/>
    </row>
    <row r="68" spans="1:21" x14ac:dyDescent="0.25">
      <c r="A68" s="609"/>
      <c r="B68" s="579"/>
      <c r="C68" s="579"/>
      <c r="D68" s="580"/>
      <c r="E68" s="580"/>
      <c r="F68" s="426"/>
      <c r="G68" s="579"/>
      <c r="H68" s="428"/>
      <c r="I68" s="101"/>
      <c r="J68" s="101"/>
      <c r="K68" s="407"/>
      <c r="L68" s="407"/>
      <c r="M68" s="578"/>
      <c r="N68" s="578"/>
      <c r="O68" s="531"/>
      <c r="P68" s="407"/>
      <c r="Q68" s="532"/>
      <c r="R68" s="407"/>
      <c r="S68" s="407"/>
      <c r="T68" s="407"/>
      <c r="U68" s="409"/>
    </row>
    <row r="69" spans="1:21" x14ac:dyDescent="0.25">
      <c r="A69" s="609"/>
      <c r="B69" s="579"/>
      <c r="C69" s="579"/>
      <c r="D69" s="580"/>
      <c r="E69" s="580"/>
      <c r="F69" s="426"/>
      <c r="G69" s="579"/>
      <c r="H69" s="428"/>
      <c r="I69" s="426"/>
      <c r="J69" s="426"/>
      <c r="K69" s="407"/>
      <c r="L69" s="407"/>
      <c r="M69" s="578"/>
      <c r="N69" s="578"/>
      <c r="O69" s="531"/>
      <c r="P69" s="407"/>
      <c r="Q69" s="532"/>
      <c r="R69" s="407"/>
      <c r="S69" s="407"/>
      <c r="T69" s="407"/>
      <c r="U69" s="409"/>
    </row>
    <row r="70" spans="1:21" x14ac:dyDescent="0.25">
      <c r="A70" s="609"/>
      <c r="B70" s="579"/>
      <c r="C70" s="579"/>
      <c r="D70" s="580"/>
      <c r="E70" s="580"/>
      <c r="F70" s="426"/>
      <c r="G70" s="579"/>
      <c r="H70" s="428"/>
      <c r="I70" s="426"/>
      <c r="J70" s="426"/>
      <c r="K70" s="407"/>
      <c r="L70" s="407"/>
      <c r="M70" s="578"/>
      <c r="N70" s="578"/>
      <c r="O70" s="531"/>
      <c r="P70" s="407"/>
      <c r="Q70" s="532"/>
      <c r="R70" s="407"/>
      <c r="S70" s="407"/>
      <c r="T70" s="407"/>
      <c r="U70" s="409"/>
    </row>
    <row r="71" spans="1:21" x14ac:dyDescent="0.25">
      <c r="A71" s="609"/>
      <c r="B71" s="579"/>
      <c r="C71" s="579"/>
      <c r="D71" s="580"/>
      <c r="E71" s="580"/>
      <c r="F71" s="426"/>
      <c r="G71" s="579"/>
      <c r="H71" s="428"/>
      <c r="I71" s="426"/>
      <c r="J71" s="426"/>
      <c r="K71" s="407"/>
      <c r="L71" s="407"/>
      <c r="M71" s="578"/>
      <c r="N71" s="578"/>
      <c r="O71" s="531"/>
      <c r="P71" s="407"/>
      <c r="Q71" s="532"/>
      <c r="R71" s="407"/>
      <c r="S71" s="407"/>
      <c r="T71" s="407"/>
      <c r="U71" s="409"/>
    </row>
    <row r="72" spans="1:21" x14ac:dyDescent="0.25">
      <c r="A72" s="609"/>
      <c r="B72" s="579"/>
      <c r="C72" s="579"/>
      <c r="D72" s="580"/>
      <c r="E72" s="580"/>
      <c r="F72" s="426"/>
      <c r="G72" s="579"/>
      <c r="H72" s="428"/>
      <c r="I72" s="426"/>
      <c r="J72" s="426"/>
      <c r="K72" s="407"/>
      <c r="L72" s="407"/>
      <c r="M72" s="578"/>
      <c r="N72" s="578"/>
      <c r="O72" s="531"/>
      <c r="P72" s="407"/>
      <c r="Q72" s="532"/>
      <c r="R72" s="407"/>
      <c r="S72" s="407"/>
      <c r="T72" s="407"/>
      <c r="U72" s="409"/>
    </row>
    <row r="73" spans="1:21" x14ac:dyDescent="0.25">
      <c r="A73" s="611" t="s">
        <v>120</v>
      </c>
      <c r="B73" s="420" t="s">
        <v>146</v>
      </c>
      <c r="C73" s="420"/>
      <c r="D73" s="420"/>
      <c r="E73" s="420"/>
      <c r="F73" s="420"/>
      <c r="G73" s="420"/>
      <c r="H73" s="420"/>
      <c r="I73" s="732" t="s">
        <v>305</v>
      </c>
      <c r="J73" s="732"/>
      <c r="K73" s="407"/>
      <c r="L73" s="407"/>
      <c r="M73" s="578"/>
      <c r="N73" s="559"/>
      <c r="O73" s="407"/>
      <c r="P73" s="407"/>
      <c r="Q73" s="407"/>
      <c r="R73" s="407"/>
      <c r="S73" s="407"/>
      <c r="T73" s="407"/>
      <c r="U73" s="409"/>
    </row>
    <row r="74" spans="1:21" x14ac:dyDescent="0.25">
      <c r="A74" s="609"/>
      <c r="B74" s="407"/>
      <c r="C74" s="407"/>
      <c r="D74" s="725">
        <f>M75</f>
        <v>3.3</v>
      </c>
      <c r="E74" s="725"/>
      <c r="F74" s="429" t="s">
        <v>234</v>
      </c>
      <c r="G74" s="407"/>
      <c r="H74" s="407"/>
      <c r="I74" s="407" t="s">
        <v>246</v>
      </c>
      <c r="J74" s="407"/>
      <c r="K74" s="407"/>
      <c r="L74" s="407"/>
      <c r="M74" s="578"/>
      <c r="N74" s="578"/>
      <c r="O74" s="407"/>
      <c r="P74" s="407"/>
      <c r="Q74" s="407"/>
      <c r="R74" s="407"/>
      <c r="S74" s="407"/>
      <c r="T74" s="407"/>
      <c r="U74" s="409"/>
    </row>
    <row r="75" spans="1:21" x14ac:dyDescent="0.25">
      <c r="A75" s="609"/>
      <c r="B75" s="560"/>
      <c r="C75" s="560"/>
      <c r="D75" s="560"/>
      <c r="E75" s="560"/>
      <c r="F75" s="560"/>
      <c r="G75" s="560"/>
      <c r="H75" s="407"/>
      <c r="I75" s="407" t="s">
        <v>339</v>
      </c>
      <c r="J75" s="407"/>
      <c r="K75" s="407"/>
      <c r="L75" s="578" t="s">
        <v>48</v>
      </c>
      <c r="M75" s="633">
        <f>M9-0.2</f>
        <v>3.3</v>
      </c>
      <c r="N75" s="407"/>
      <c r="O75" s="407"/>
      <c r="P75" s="407"/>
      <c r="Q75" s="407"/>
      <c r="R75" s="407"/>
      <c r="S75" s="578"/>
      <c r="T75" s="407"/>
      <c r="U75" s="409"/>
    </row>
    <row r="76" spans="1:21" x14ac:dyDescent="0.25">
      <c r="A76" s="609"/>
      <c r="B76" s="407"/>
      <c r="C76" s="407"/>
      <c r="D76" s="407"/>
      <c r="E76" s="407"/>
      <c r="F76" s="407"/>
      <c r="G76" s="407"/>
      <c r="H76" s="431"/>
      <c r="I76" s="407" t="s">
        <v>291</v>
      </c>
      <c r="J76" s="407"/>
      <c r="K76" s="407"/>
      <c r="L76" s="578" t="s">
        <v>48</v>
      </c>
      <c r="M76" s="633">
        <v>0.2</v>
      </c>
      <c r="N76" s="407"/>
      <c r="O76" s="594"/>
      <c r="P76" s="407"/>
      <c r="Q76" s="407"/>
      <c r="R76" s="407"/>
      <c r="S76" s="407"/>
      <c r="T76" s="407"/>
      <c r="U76" s="409"/>
    </row>
    <row r="77" spans="1:21" x14ac:dyDescent="0.25">
      <c r="A77" s="609"/>
      <c r="B77" s="407"/>
      <c r="C77" s="407"/>
      <c r="D77" s="407"/>
      <c r="E77" s="407"/>
      <c r="F77" s="407"/>
      <c r="G77" s="407"/>
      <c r="H77" s="432" t="s">
        <v>8</v>
      </c>
      <c r="I77" s="407" t="s">
        <v>123</v>
      </c>
      <c r="J77" s="407"/>
      <c r="K77" s="407"/>
      <c r="L77" s="578" t="s">
        <v>48</v>
      </c>
      <c r="M77" s="602" t="s">
        <v>340</v>
      </c>
      <c r="N77" s="407"/>
      <c r="O77" s="594"/>
      <c r="P77" s="407"/>
      <c r="Q77" s="407"/>
      <c r="R77" s="407"/>
      <c r="S77" s="578"/>
      <c r="T77" s="407"/>
      <c r="U77" s="409"/>
    </row>
    <row r="78" spans="1:21" x14ac:dyDescent="0.25">
      <c r="A78" s="609"/>
      <c r="B78" s="407"/>
      <c r="C78" s="407"/>
      <c r="D78" s="407"/>
      <c r="E78" s="407"/>
      <c r="F78" s="407"/>
      <c r="G78" s="407"/>
      <c r="H78" s="433"/>
      <c r="I78" s="407"/>
      <c r="J78" s="407"/>
      <c r="K78" s="407"/>
      <c r="L78" s="578" t="s">
        <v>48</v>
      </c>
      <c r="M78" s="601" t="str">
        <f>"("&amp;M8&amp;" / "&amp;M76&amp;") + 1"</f>
        <v>(70 / 0.2) + 1</v>
      </c>
      <c r="N78" s="407"/>
      <c r="O78" s="594"/>
      <c r="P78" s="407"/>
      <c r="Q78" s="407"/>
      <c r="R78" s="407"/>
      <c r="S78" s="407"/>
      <c r="T78" s="407"/>
      <c r="U78" s="409"/>
    </row>
    <row r="79" spans="1:21" x14ac:dyDescent="0.25">
      <c r="A79" s="609"/>
      <c r="B79" s="407"/>
      <c r="C79" s="407"/>
      <c r="D79" s="407"/>
      <c r="E79" s="407"/>
      <c r="F79" s="407"/>
      <c r="G79" s="407"/>
      <c r="H79" s="433"/>
      <c r="I79" s="407"/>
      <c r="J79" s="407"/>
      <c r="K79" s="407"/>
      <c r="L79" s="578" t="s">
        <v>48</v>
      </c>
      <c r="M79" s="645">
        <f>(M8/M76)+1</f>
        <v>351</v>
      </c>
      <c r="N79" s="407"/>
      <c r="O79" s="594"/>
      <c r="P79" s="407"/>
      <c r="Q79" s="407"/>
      <c r="R79" s="407"/>
      <c r="S79" s="407"/>
      <c r="T79" s="407"/>
      <c r="U79" s="409"/>
    </row>
    <row r="80" spans="1:21" x14ac:dyDescent="0.25">
      <c r="A80" s="609"/>
      <c r="B80" s="407"/>
      <c r="C80" s="407"/>
      <c r="D80" s="407"/>
      <c r="E80" s="407"/>
      <c r="F80" s="407"/>
      <c r="G80" s="407"/>
      <c r="H80" s="433"/>
      <c r="I80" s="407" t="s">
        <v>341</v>
      </c>
      <c r="J80" s="407"/>
      <c r="K80" s="407"/>
      <c r="L80" s="578" t="s">
        <v>48</v>
      </c>
      <c r="M80" s="416" t="s">
        <v>342</v>
      </c>
      <c r="N80" s="416"/>
      <c r="O80" s="416"/>
      <c r="P80" s="407"/>
      <c r="Q80" s="407"/>
      <c r="R80" s="407"/>
      <c r="S80" s="407"/>
      <c r="T80" s="407"/>
      <c r="U80" s="409"/>
    </row>
    <row r="81" spans="1:21" x14ac:dyDescent="0.25">
      <c r="A81" s="609"/>
      <c r="B81" s="407"/>
      <c r="C81" s="407"/>
      <c r="D81" s="407"/>
      <c r="E81" s="407"/>
      <c r="F81" s="407"/>
      <c r="G81" s="407"/>
      <c r="H81" s="433"/>
      <c r="I81" s="407"/>
      <c r="J81" s="407"/>
      <c r="K81" s="407"/>
      <c r="L81" s="578" t="s">
        <v>48</v>
      </c>
      <c r="M81" s="581" t="str">
        <f>M75&amp;" x "&amp;FIXED(M79,0,0)</f>
        <v>3.3 x 351</v>
      </c>
      <c r="N81" s="601"/>
      <c r="O81" s="407"/>
      <c r="P81" s="407"/>
      <c r="Q81" s="407"/>
      <c r="R81" s="407"/>
      <c r="S81" s="407"/>
      <c r="T81" s="407"/>
      <c r="U81" s="409"/>
    </row>
    <row r="82" spans="1:21" x14ac:dyDescent="0.25">
      <c r="A82" s="609"/>
      <c r="B82" s="407"/>
      <c r="C82" s="407"/>
      <c r="D82" s="407"/>
      <c r="E82" s="407"/>
      <c r="F82" s="407"/>
      <c r="G82" s="407"/>
      <c r="H82" s="433"/>
      <c r="I82" s="407"/>
      <c r="J82" s="407"/>
      <c r="K82" s="407"/>
      <c r="L82" s="578" t="s">
        <v>48</v>
      </c>
      <c r="M82" s="633">
        <f>M75*M79</f>
        <v>1158.3</v>
      </c>
      <c r="N82" s="601"/>
      <c r="O82" s="407"/>
      <c r="P82" s="407"/>
      <c r="Q82" s="407"/>
      <c r="R82" s="407"/>
      <c r="S82" s="407"/>
      <c r="T82" s="407"/>
      <c r="U82" s="409"/>
    </row>
    <row r="83" spans="1:21" x14ac:dyDescent="0.25">
      <c r="A83" s="609"/>
      <c r="B83" s="407"/>
      <c r="C83" s="407"/>
      <c r="D83" s="407"/>
      <c r="E83" s="407"/>
      <c r="F83" s="407"/>
      <c r="G83" s="407"/>
      <c r="H83" s="433"/>
      <c r="I83" s="407" t="s">
        <v>343</v>
      </c>
      <c r="J83" s="407"/>
      <c r="K83" s="407"/>
      <c r="L83" s="578" t="s">
        <v>48</v>
      </c>
      <c r="M83" s="633">
        <v>12</v>
      </c>
      <c r="N83" s="601"/>
      <c r="O83" s="407"/>
      <c r="P83" s="407"/>
      <c r="Q83" s="407"/>
      <c r="R83" s="407"/>
      <c r="S83" s="407"/>
      <c r="T83" s="407"/>
      <c r="U83" s="409"/>
    </row>
    <row r="84" spans="1:21" x14ac:dyDescent="0.25">
      <c r="A84" s="609"/>
      <c r="B84" s="407"/>
      <c r="C84" s="407"/>
      <c r="D84" s="407"/>
      <c r="E84" s="407"/>
      <c r="F84" s="407"/>
      <c r="G84" s="407"/>
      <c r="H84" s="433"/>
      <c r="I84" s="407" t="s">
        <v>344</v>
      </c>
      <c r="J84" s="407"/>
      <c r="K84" s="407"/>
      <c r="L84" s="578" t="s">
        <v>48</v>
      </c>
      <c r="M84" s="603" t="s">
        <v>345</v>
      </c>
      <c r="N84" s="601"/>
      <c r="O84" s="407"/>
      <c r="P84" s="407"/>
      <c r="Q84" s="407"/>
      <c r="R84" s="407"/>
      <c r="S84" s="407"/>
      <c r="T84" s="407"/>
      <c r="U84" s="409"/>
    </row>
    <row r="85" spans="1:21" x14ac:dyDescent="0.25">
      <c r="A85" s="609"/>
      <c r="B85" s="407"/>
      <c r="C85" s="407"/>
      <c r="D85" s="407"/>
      <c r="E85" s="407"/>
      <c r="F85" s="407"/>
      <c r="G85" s="407"/>
      <c r="H85" s="433"/>
      <c r="I85" s="407"/>
      <c r="J85" s="407"/>
      <c r="K85" s="407"/>
      <c r="L85" s="578" t="s">
        <v>48</v>
      </c>
      <c r="M85" s="647" t="str">
        <f>FIXED(M82,0,0) &amp;" / "&amp;M83</f>
        <v>1,158 / 12</v>
      </c>
      <c r="N85" s="601"/>
      <c r="O85" s="407"/>
      <c r="P85" s="407"/>
      <c r="Q85" s="407"/>
      <c r="R85" s="407"/>
      <c r="S85" s="407"/>
      <c r="T85" s="407"/>
      <c r="U85" s="409"/>
    </row>
    <row r="86" spans="1:21" x14ac:dyDescent="0.25">
      <c r="A86" s="609"/>
      <c r="B86" s="407"/>
      <c r="C86" s="407"/>
      <c r="D86" s="407"/>
      <c r="E86" s="407"/>
      <c r="F86" s="407"/>
      <c r="G86" s="407"/>
      <c r="H86" s="433"/>
      <c r="I86" s="407"/>
      <c r="J86" s="407"/>
      <c r="K86" s="407"/>
      <c r="L86" s="578" t="s">
        <v>48</v>
      </c>
      <c r="M86" s="649">
        <f>M82/M83</f>
        <v>96.524999999999991</v>
      </c>
      <c r="N86" s="601"/>
      <c r="O86" s="407"/>
      <c r="P86" s="407"/>
      <c r="Q86" s="407"/>
      <c r="R86" s="407"/>
      <c r="S86" s="407"/>
      <c r="T86" s="407"/>
      <c r="U86" s="409"/>
    </row>
    <row r="87" spans="1:21" x14ac:dyDescent="0.25">
      <c r="A87" s="609"/>
      <c r="B87" s="407"/>
      <c r="C87" s="407"/>
      <c r="D87" s="407"/>
      <c r="E87" s="407"/>
      <c r="F87" s="407"/>
      <c r="G87" s="407"/>
      <c r="H87" s="433"/>
      <c r="I87" s="407" t="s">
        <v>346</v>
      </c>
      <c r="J87" s="407"/>
      <c r="K87" s="407"/>
      <c r="L87" s="578" t="s">
        <v>48</v>
      </c>
      <c r="M87" s="648">
        <v>4.74</v>
      </c>
      <c r="N87" s="601"/>
      <c r="O87" s="407"/>
      <c r="P87" s="407"/>
      <c r="Q87" s="407"/>
      <c r="R87" s="407"/>
      <c r="S87" s="407"/>
      <c r="T87" s="407"/>
      <c r="U87" s="409"/>
    </row>
    <row r="88" spans="1:21" x14ac:dyDescent="0.25">
      <c r="A88" s="609"/>
      <c r="B88" s="407"/>
      <c r="C88" s="407"/>
      <c r="D88" s="407"/>
      <c r="E88" s="407"/>
      <c r="F88" s="407"/>
      <c r="G88" s="407"/>
      <c r="H88" s="433"/>
      <c r="I88" s="407" t="s">
        <v>347</v>
      </c>
      <c r="J88" s="407"/>
      <c r="K88" s="407"/>
      <c r="L88" s="578" t="s">
        <v>48</v>
      </c>
      <c r="M88" s="581" t="s">
        <v>348</v>
      </c>
      <c r="N88" s="601"/>
      <c r="O88" s="407"/>
      <c r="P88" s="407"/>
      <c r="Q88" s="407"/>
      <c r="R88" s="407"/>
      <c r="S88" s="407"/>
      <c r="T88" s="407"/>
      <c r="U88" s="409"/>
    </row>
    <row r="89" spans="1:21" x14ac:dyDescent="0.25">
      <c r="A89" s="609"/>
      <c r="B89" s="407"/>
      <c r="C89" s="407"/>
      <c r="D89" s="407"/>
      <c r="E89" s="407"/>
      <c r="F89" s="407"/>
      <c r="G89" s="407"/>
      <c r="H89" s="433"/>
      <c r="I89" s="407"/>
      <c r="J89" s="407"/>
      <c r="K89" s="407"/>
      <c r="L89" s="578" t="s">
        <v>48</v>
      </c>
      <c r="M89" s="594" t="str">
        <f>M87&amp;" x "&amp;FIXED(M86,0,0)</f>
        <v>4.74 x 97</v>
      </c>
      <c r="N89" s="601"/>
      <c r="O89" s="407"/>
      <c r="P89" s="407"/>
      <c r="Q89" s="407"/>
      <c r="R89" s="407"/>
      <c r="S89" s="407"/>
      <c r="T89" s="407"/>
      <c r="U89" s="409"/>
    </row>
    <row r="90" spans="1:21" x14ac:dyDescent="0.25">
      <c r="A90" s="609"/>
      <c r="B90" s="407"/>
      <c r="C90" s="407"/>
      <c r="D90" s="407"/>
      <c r="E90" s="407"/>
      <c r="F90" s="407"/>
      <c r="G90" s="407"/>
      <c r="H90" s="433"/>
      <c r="I90" s="407"/>
      <c r="J90" s="407"/>
      <c r="K90" s="407"/>
      <c r="L90" s="578" t="s">
        <v>48</v>
      </c>
      <c r="M90" s="648">
        <f>M86*M87</f>
        <v>457.52850000000001</v>
      </c>
      <c r="N90" s="601"/>
      <c r="O90" s="407"/>
      <c r="P90" s="407"/>
      <c r="Q90" s="407"/>
      <c r="R90" s="407"/>
      <c r="S90" s="407"/>
      <c r="T90" s="407"/>
      <c r="U90" s="409"/>
    </row>
    <row r="91" spans="1:21" x14ac:dyDescent="0.25">
      <c r="A91" s="609"/>
      <c r="B91" s="407"/>
      <c r="C91" s="407"/>
      <c r="D91" s="407"/>
      <c r="E91" s="407"/>
      <c r="F91" s="407"/>
      <c r="G91" s="407"/>
      <c r="H91" s="433"/>
      <c r="I91" s="407"/>
      <c r="J91" s="407"/>
      <c r="K91" s="407"/>
      <c r="L91" s="578"/>
      <c r="M91" s="578"/>
      <c r="N91" s="601"/>
      <c r="O91" s="407"/>
      <c r="P91" s="407"/>
      <c r="Q91" s="407"/>
      <c r="R91" s="407"/>
      <c r="S91" s="407"/>
      <c r="T91" s="407"/>
      <c r="U91" s="409"/>
    </row>
    <row r="92" spans="1:21" x14ac:dyDescent="0.25">
      <c r="A92" s="609"/>
      <c r="B92" s="407"/>
      <c r="C92" s="407"/>
      <c r="D92" s="407"/>
      <c r="E92" s="407"/>
      <c r="F92" s="407"/>
      <c r="G92" s="434" t="str">
        <f>M77</f>
        <v>(Panjang cor / jarak besi)+1</v>
      </c>
      <c r="H92" s="435" t="s">
        <v>234</v>
      </c>
      <c r="I92" s="407"/>
      <c r="J92" s="407"/>
      <c r="K92" s="407"/>
      <c r="L92" s="407"/>
      <c r="M92" s="578"/>
      <c r="N92" s="423"/>
      <c r="O92" s="436"/>
      <c r="P92" s="578"/>
      <c r="Q92" s="578"/>
      <c r="R92" s="578"/>
      <c r="S92" s="578"/>
      <c r="T92" s="578"/>
      <c r="U92" s="583"/>
    </row>
    <row r="93" spans="1:21" x14ac:dyDescent="0.25">
      <c r="A93" s="609"/>
      <c r="B93" s="407"/>
      <c r="C93" s="407"/>
      <c r="D93" s="726">
        <f>M8</f>
        <v>70</v>
      </c>
      <c r="E93" s="726"/>
      <c r="F93" s="435" t="s">
        <v>234</v>
      </c>
      <c r="G93" s="407"/>
      <c r="H93" s="407"/>
      <c r="I93" s="732" t="s">
        <v>349</v>
      </c>
      <c r="J93" s="732"/>
      <c r="K93" s="407"/>
      <c r="L93" s="407"/>
      <c r="M93" s="578"/>
      <c r="N93" s="559"/>
      <c r="O93" s="407"/>
      <c r="P93" s="407"/>
      <c r="Q93" s="578"/>
      <c r="R93" s="430"/>
      <c r="S93" s="578"/>
      <c r="T93" s="578"/>
      <c r="U93" s="583"/>
    </row>
    <row r="94" spans="1:21" x14ac:dyDescent="0.25">
      <c r="A94" s="609"/>
      <c r="B94" s="407"/>
      <c r="C94" s="407"/>
      <c r="D94" s="407"/>
      <c r="E94" s="407"/>
      <c r="F94" s="407"/>
      <c r="G94" s="407"/>
      <c r="H94" s="407"/>
      <c r="I94" s="407" t="s">
        <v>246</v>
      </c>
      <c r="J94" s="407"/>
      <c r="K94" s="407"/>
      <c r="L94" s="407"/>
      <c r="M94" s="578"/>
      <c r="N94" s="578"/>
      <c r="O94" s="407"/>
      <c r="P94" s="407"/>
      <c r="Q94" s="407"/>
      <c r="R94" s="407"/>
      <c r="S94" s="407"/>
      <c r="T94" s="407"/>
      <c r="U94" s="409"/>
    </row>
    <row r="95" spans="1:21" x14ac:dyDescent="0.25">
      <c r="A95" s="609"/>
      <c r="B95" s="407"/>
      <c r="C95" s="407"/>
      <c r="D95" s="407"/>
      <c r="E95" s="407"/>
      <c r="F95" s="407"/>
      <c r="G95" s="407"/>
      <c r="H95" s="407"/>
      <c r="I95" s="407" t="s">
        <v>350</v>
      </c>
      <c r="J95" s="407"/>
      <c r="K95" s="407"/>
      <c r="L95" s="578" t="s">
        <v>48</v>
      </c>
      <c r="M95" s="633">
        <f>M8-0.2</f>
        <v>69.8</v>
      </c>
      <c r="N95" s="407"/>
      <c r="O95" s="407"/>
      <c r="P95" s="407"/>
      <c r="Q95" s="407"/>
      <c r="R95" s="407"/>
      <c r="S95" s="407"/>
      <c r="T95" s="407"/>
      <c r="U95" s="409"/>
    </row>
    <row r="96" spans="1:21" x14ac:dyDescent="0.25">
      <c r="A96" s="609"/>
      <c r="B96" s="407"/>
      <c r="C96" s="407"/>
      <c r="D96" s="407"/>
      <c r="E96" s="407"/>
      <c r="F96" s="407"/>
      <c r="G96" s="407"/>
      <c r="H96" s="436" t="e">
        <f>#REF!</f>
        <v>#REF!</v>
      </c>
      <c r="I96" s="407" t="s">
        <v>291</v>
      </c>
      <c r="J96" s="407"/>
      <c r="K96" s="407"/>
      <c r="L96" s="578" t="s">
        <v>48</v>
      </c>
      <c r="M96" s="633">
        <v>0.2</v>
      </c>
      <c r="N96" s="407"/>
      <c r="O96" s="594"/>
      <c r="P96" s="407"/>
      <c r="Q96" s="407"/>
      <c r="R96" s="407"/>
      <c r="S96" s="407"/>
      <c r="T96" s="407"/>
      <c r="U96" s="409"/>
    </row>
    <row r="97" spans="1:25" x14ac:dyDescent="0.25">
      <c r="A97" s="609"/>
      <c r="B97" s="407"/>
      <c r="C97" s="407"/>
      <c r="D97" s="407"/>
      <c r="E97" s="407"/>
      <c r="F97" s="407"/>
      <c r="G97" s="407"/>
      <c r="H97" s="407"/>
      <c r="I97" s="407" t="s">
        <v>123</v>
      </c>
      <c r="J97" s="407"/>
      <c r="K97" s="407"/>
      <c r="L97" s="578" t="s">
        <v>48</v>
      </c>
      <c r="M97" s="602" t="s">
        <v>351</v>
      </c>
      <c r="N97" s="407"/>
      <c r="O97" s="594"/>
      <c r="P97" s="407"/>
      <c r="Q97" s="407"/>
      <c r="R97" s="407"/>
      <c r="S97" s="407"/>
      <c r="T97" s="407"/>
      <c r="U97" s="409"/>
    </row>
    <row r="98" spans="1:25" x14ac:dyDescent="0.25">
      <c r="A98" s="609"/>
      <c r="B98" s="407"/>
      <c r="C98" s="407"/>
      <c r="D98" s="407"/>
      <c r="E98" s="407"/>
      <c r="F98" s="407"/>
      <c r="G98" s="407"/>
      <c r="H98" s="407"/>
      <c r="I98" s="407"/>
      <c r="J98" s="407"/>
      <c r="K98" s="407"/>
      <c r="L98" s="578" t="s">
        <v>48</v>
      </c>
      <c r="M98" s="650" t="str">
        <f>"("&amp;M9&amp;" / "&amp;M96&amp;") + 1"</f>
        <v>(3.5 / 0.2) + 1</v>
      </c>
      <c r="N98" s="407"/>
      <c r="O98" s="594"/>
      <c r="P98" s="407"/>
      <c r="Q98" s="430"/>
      <c r="R98" s="545"/>
      <c r="S98" s="407"/>
      <c r="T98" s="407"/>
      <c r="U98" s="409"/>
      <c r="X98" s="407"/>
      <c r="Y98" s="407"/>
    </row>
    <row r="99" spans="1:25" x14ac:dyDescent="0.25">
      <c r="A99" s="609"/>
      <c r="B99" s="407"/>
      <c r="C99" s="407"/>
      <c r="D99" s="407"/>
      <c r="E99" s="407"/>
      <c r="F99" s="407"/>
      <c r="G99" s="407"/>
      <c r="H99" s="407"/>
      <c r="I99" s="407"/>
      <c r="J99" s="407"/>
      <c r="K99" s="407"/>
      <c r="L99" s="578" t="s">
        <v>48</v>
      </c>
      <c r="M99" s="651">
        <f>(M9/M96)+1</f>
        <v>18.5</v>
      </c>
      <c r="N99" s="407"/>
      <c r="O99" s="594"/>
      <c r="P99" s="407"/>
      <c r="Q99" s="537"/>
      <c r="R99" s="578"/>
      <c r="S99" s="578"/>
      <c r="T99" s="578"/>
      <c r="U99" s="583"/>
      <c r="X99" s="407"/>
      <c r="Y99" s="407"/>
    </row>
    <row r="100" spans="1:25" x14ac:dyDescent="0.25">
      <c r="A100" s="609"/>
      <c r="B100" s="437">
        <f>N97</f>
        <v>0</v>
      </c>
      <c r="C100" s="438" t="s">
        <v>234</v>
      </c>
      <c r="D100" s="407"/>
      <c r="E100" s="407"/>
      <c r="F100" s="407"/>
      <c r="G100" s="407"/>
      <c r="H100" s="407"/>
      <c r="I100" s="407" t="s">
        <v>341</v>
      </c>
      <c r="J100" s="407"/>
      <c r="K100" s="407"/>
      <c r="L100" s="578" t="s">
        <v>48</v>
      </c>
      <c r="M100" s="416" t="s">
        <v>352</v>
      </c>
      <c r="N100" s="416"/>
      <c r="O100" s="416"/>
      <c r="P100" s="407"/>
      <c r="Q100" s="578"/>
      <c r="R100" s="578"/>
      <c r="S100" s="578"/>
      <c r="T100" s="436"/>
      <c r="U100" s="583"/>
      <c r="X100" s="407"/>
      <c r="Y100" s="439"/>
    </row>
    <row r="101" spans="1:25" x14ac:dyDescent="0.25">
      <c r="A101" s="609"/>
      <c r="B101" s="437"/>
      <c r="C101" s="438"/>
      <c r="D101" s="407"/>
      <c r="E101" s="407"/>
      <c r="F101" s="407"/>
      <c r="G101" s="407"/>
      <c r="H101" s="407"/>
      <c r="I101" s="407"/>
      <c r="J101" s="407"/>
      <c r="K101" s="407"/>
      <c r="L101" s="578" t="s">
        <v>48</v>
      </c>
      <c r="M101" s="594" t="str">
        <f>M95&amp;" x "&amp;FIXED(M99,0,0)</f>
        <v>69.8 x 19</v>
      </c>
      <c r="N101" s="601"/>
      <c r="O101" s="407"/>
      <c r="P101" s="407"/>
      <c r="Q101" s="578"/>
      <c r="R101" s="430"/>
      <c r="S101" s="578"/>
      <c r="T101" s="436"/>
      <c r="U101" s="583"/>
      <c r="X101" s="407"/>
      <c r="Y101" s="439"/>
    </row>
    <row r="102" spans="1:25" x14ac:dyDescent="0.25">
      <c r="A102" s="609"/>
      <c r="B102" s="437"/>
      <c r="C102" s="438"/>
      <c r="D102" s="407"/>
      <c r="E102" s="407"/>
      <c r="F102" s="407"/>
      <c r="G102" s="407"/>
      <c r="H102" s="407"/>
      <c r="I102" s="407"/>
      <c r="J102" s="407"/>
      <c r="K102" s="407"/>
      <c r="L102" s="578" t="s">
        <v>48</v>
      </c>
      <c r="M102" s="633">
        <f>M95*M99</f>
        <v>1291.3</v>
      </c>
      <c r="N102" s="631"/>
      <c r="O102" s="407"/>
      <c r="P102" s="407"/>
      <c r="Q102" s="578"/>
      <c r="R102" s="430"/>
      <c r="S102" s="578"/>
      <c r="T102" s="436"/>
      <c r="U102" s="583"/>
      <c r="X102" s="407"/>
      <c r="Y102" s="439"/>
    </row>
    <row r="103" spans="1:25" x14ac:dyDescent="0.25">
      <c r="A103" s="609"/>
      <c r="B103" s="437"/>
      <c r="C103" s="438"/>
      <c r="D103" s="407"/>
      <c r="E103" s="407"/>
      <c r="F103" s="407"/>
      <c r="G103" s="407"/>
      <c r="H103" s="407"/>
      <c r="I103" s="407" t="s">
        <v>343</v>
      </c>
      <c r="J103" s="407"/>
      <c r="K103" s="407"/>
      <c r="L103" s="578" t="s">
        <v>48</v>
      </c>
      <c r="M103" s="633">
        <v>12</v>
      </c>
      <c r="N103" s="631"/>
      <c r="O103" s="407"/>
      <c r="P103" s="407"/>
      <c r="Q103" s="578"/>
      <c r="R103" s="430"/>
      <c r="S103" s="578"/>
      <c r="T103" s="436"/>
      <c r="U103" s="583"/>
      <c r="X103" s="407"/>
      <c r="Y103" s="439"/>
    </row>
    <row r="104" spans="1:25" x14ac:dyDescent="0.25">
      <c r="A104" s="609"/>
      <c r="B104" s="437"/>
      <c r="C104" s="438"/>
      <c r="D104" s="407"/>
      <c r="E104" s="407"/>
      <c r="F104" s="407"/>
      <c r="G104" s="407"/>
      <c r="H104" s="407"/>
      <c r="I104" s="407" t="s">
        <v>344</v>
      </c>
      <c r="J104" s="407"/>
      <c r="K104" s="407"/>
      <c r="L104" s="578" t="s">
        <v>48</v>
      </c>
      <c r="M104" s="603" t="s">
        <v>345</v>
      </c>
      <c r="N104" s="631"/>
      <c r="O104" s="407"/>
      <c r="P104" s="407"/>
      <c r="Q104" s="578"/>
      <c r="R104" s="430"/>
      <c r="S104" s="578"/>
      <c r="T104" s="436"/>
      <c r="U104" s="583"/>
      <c r="X104" s="407"/>
      <c r="Y104" s="439"/>
    </row>
    <row r="105" spans="1:25" x14ac:dyDescent="0.25">
      <c r="A105" s="609"/>
      <c r="B105" s="437"/>
      <c r="C105" s="438"/>
      <c r="D105" s="407"/>
      <c r="E105" s="407"/>
      <c r="F105" s="407"/>
      <c r="G105" s="407"/>
      <c r="H105" s="407"/>
      <c r="I105" s="407"/>
      <c r="J105" s="407"/>
      <c r="K105" s="407"/>
      <c r="L105" s="578" t="s">
        <v>48</v>
      </c>
      <c r="M105" s="647" t="str">
        <f>FIXED(M102,0,0) &amp;" / "&amp;M103</f>
        <v>1,291 / 12</v>
      </c>
      <c r="N105" s="631"/>
      <c r="O105" s="407"/>
      <c r="P105" s="407"/>
      <c r="Q105" s="578"/>
      <c r="R105" s="430"/>
      <c r="S105" s="578"/>
      <c r="T105" s="436"/>
      <c r="U105" s="583"/>
      <c r="X105" s="407"/>
      <c r="Y105" s="439"/>
    </row>
    <row r="106" spans="1:25" x14ac:dyDescent="0.25">
      <c r="A106" s="609"/>
      <c r="B106" s="437"/>
      <c r="C106" s="438"/>
      <c r="D106" s="407"/>
      <c r="E106" s="407"/>
      <c r="F106" s="407"/>
      <c r="G106" s="407"/>
      <c r="H106" s="407"/>
      <c r="I106" s="407"/>
      <c r="J106" s="407"/>
      <c r="K106" s="407"/>
      <c r="L106" s="578" t="s">
        <v>48</v>
      </c>
      <c r="M106" s="649">
        <f>M102/M103</f>
        <v>107.60833333333333</v>
      </c>
      <c r="N106" s="631"/>
      <c r="O106" s="407"/>
      <c r="P106" s="407"/>
      <c r="Q106" s="578"/>
      <c r="R106" s="430"/>
      <c r="S106" s="578"/>
      <c r="T106" s="436"/>
      <c r="U106" s="583"/>
      <c r="X106" s="407"/>
      <c r="Y106" s="439"/>
    </row>
    <row r="107" spans="1:25" x14ac:dyDescent="0.25">
      <c r="A107" s="609"/>
      <c r="B107" s="437"/>
      <c r="C107" s="438"/>
      <c r="D107" s="407"/>
      <c r="E107" s="407"/>
      <c r="F107" s="407"/>
      <c r="G107" s="407"/>
      <c r="H107" s="407"/>
      <c r="I107" s="407" t="s">
        <v>346</v>
      </c>
      <c r="J107" s="407"/>
      <c r="K107" s="407"/>
      <c r="L107" s="578" t="s">
        <v>48</v>
      </c>
      <c r="M107" s="648">
        <v>4.74</v>
      </c>
      <c r="N107" s="631"/>
      <c r="O107" s="407"/>
      <c r="P107" s="407"/>
      <c r="Q107" s="578"/>
      <c r="R107" s="430"/>
      <c r="S107" s="578"/>
      <c r="T107" s="436"/>
      <c r="U107" s="583"/>
      <c r="X107" s="407"/>
      <c r="Y107" s="439"/>
    </row>
    <row r="108" spans="1:25" x14ac:dyDescent="0.25">
      <c r="A108" s="609"/>
      <c r="B108" s="437"/>
      <c r="C108" s="438"/>
      <c r="D108" s="407"/>
      <c r="E108" s="407"/>
      <c r="F108" s="407"/>
      <c r="G108" s="407"/>
      <c r="H108" s="407"/>
      <c r="I108" s="407" t="s">
        <v>347</v>
      </c>
      <c r="J108" s="407"/>
      <c r="K108" s="407"/>
      <c r="L108" s="578" t="s">
        <v>48</v>
      </c>
      <c r="M108" s="581" t="s">
        <v>348</v>
      </c>
      <c r="N108" s="601"/>
      <c r="O108" s="407"/>
      <c r="P108" s="407"/>
      <c r="Q108" s="578"/>
      <c r="R108" s="430"/>
      <c r="S108" s="578"/>
      <c r="T108" s="436"/>
      <c r="U108" s="583"/>
      <c r="X108" s="407"/>
      <c r="Y108" s="439"/>
    </row>
    <row r="109" spans="1:25" x14ac:dyDescent="0.25">
      <c r="A109" s="609"/>
      <c r="B109" s="437"/>
      <c r="C109" s="438"/>
      <c r="D109" s="407"/>
      <c r="E109" s="407"/>
      <c r="F109" s="407"/>
      <c r="G109" s="407"/>
      <c r="H109" s="407"/>
      <c r="I109" s="407"/>
      <c r="J109" s="407"/>
      <c r="K109" s="407"/>
      <c r="L109" s="578" t="s">
        <v>48</v>
      </c>
      <c r="M109" s="594" t="str">
        <f>M107&amp;" x "&amp;FIXED(M106,0,0)</f>
        <v>4.74 x 108</v>
      </c>
      <c r="N109" s="601"/>
      <c r="O109" s="407"/>
      <c r="P109" s="407"/>
      <c r="Q109" s="578"/>
      <c r="R109" s="430"/>
      <c r="S109" s="578"/>
      <c r="T109" s="436"/>
      <c r="U109" s="583"/>
      <c r="X109" s="407"/>
      <c r="Y109" s="439"/>
    </row>
    <row r="110" spans="1:25" x14ac:dyDescent="0.25">
      <c r="A110" s="609"/>
      <c r="B110" s="437"/>
      <c r="C110" s="438"/>
      <c r="D110" s="407"/>
      <c r="E110" s="407"/>
      <c r="F110" s="407"/>
      <c r="G110" s="407"/>
      <c r="H110" s="407"/>
      <c r="I110" s="407"/>
      <c r="J110" s="407"/>
      <c r="K110" s="407"/>
      <c r="L110" s="578" t="s">
        <v>48</v>
      </c>
      <c r="M110" s="646">
        <f>M106*M107</f>
        <v>510.06350000000003</v>
      </c>
      <c r="N110" s="631"/>
      <c r="O110" s="407"/>
      <c r="P110" s="407"/>
      <c r="Q110" s="578"/>
      <c r="R110" s="430"/>
      <c r="S110" s="578"/>
      <c r="T110" s="436"/>
      <c r="U110" s="583"/>
      <c r="X110" s="407"/>
      <c r="Y110" s="439"/>
    </row>
    <row r="111" spans="1:25" x14ac:dyDescent="0.25">
      <c r="A111" s="609"/>
      <c r="B111" s="407"/>
      <c r="C111" s="407"/>
      <c r="D111" s="407"/>
      <c r="E111" s="407"/>
      <c r="F111" s="407"/>
      <c r="G111" s="407"/>
      <c r="H111" s="407"/>
      <c r="I111" s="416"/>
      <c r="J111" s="407"/>
      <c r="K111" s="407"/>
      <c r="L111" s="407"/>
      <c r="M111" s="578"/>
      <c r="N111" s="436"/>
      <c r="O111" s="407"/>
      <c r="P111" s="407"/>
      <c r="Q111" s="407"/>
      <c r="R111" s="407"/>
      <c r="S111" s="407"/>
      <c r="T111" s="440"/>
      <c r="U111" s="409"/>
      <c r="X111" s="534"/>
      <c r="Y111" s="439"/>
    </row>
    <row r="112" spans="1:25" x14ac:dyDescent="0.25">
      <c r="A112" s="611" t="s">
        <v>304</v>
      </c>
      <c r="B112" s="585" t="s">
        <v>161</v>
      </c>
      <c r="C112" s="416"/>
      <c r="D112" s="416"/>
      <c r="E112" s="416"/>
      <c r="F112" s="416"/>
      <c r="G112" s="416"/>
      <c r="H112" s="407"/>
      <c r="I112" s="407" t="s">
        <v>293</v>
      </c>
      <c r="J112" s="407"/>
      <c r="K112" s="407"/>
      <c r="L112" s="578" t="s">
        <v>48</v>
      </c>
      <c r="M112" s="633">
        <f>M8</f>
        <v>70</v>
      </c>
      <c r="N112" s="578"/>
      <c r="O112" s="407"/>
      <c r="P112" s="407"/>
      <c r="Q112" s="407"/>
      <c r="R112" s="407"/>
      <c r="S112" s="578"/>
      <c r="T112" s="407"/>
      <c r="U112" s="409"/>
      <c r="X112" s="407"/>
      <c r="Y112" s="407"/>
    </row>
    <row r="113" spans="1:25" x14ac:dyDescent="0.25">
      <c r="A113" s="612"/>
      <c r="B113" s="407"/>
      <c r="C113" s="407"/>
      <c r="D113" s="407"/>
      <c r="E113" s="407"/>
      <c r="F113" s="407"/>
      <c r="G113" s="407"/>
      <c r="H113" s="442"/>
      <c r="I113" s="407" t="s">
        <v>294</v>
      </c>
      <c r="J113" s="407"/>
      <c r="K113" s="407"/>
      <c r="L113" s="578" t="s">
        <v>48</v>
      </c>
      <c r="M113" s="633">
        <f>M9</f>
        <v>3.5</v>
      </c>
      <c r="N113" s="578"/>
      <c r="O113" s="407"/>
      <c r="P113" s="407"/>
      <c r="Q113" s="407"/>
      <c r="R113" s="407"/>
      <c r="S113" s="407"/>
      <c r="T113" s="407"/>
      <c r="U113" s="409"/>
      <c r="X113" s="407"/>
      <c r="Y113" s="407"/>
    </row>
    <row r="114" spans="1:25" x14ac:dyDescent="0.25">
      <c r="A114" s="609"/>
      <c r="B114" s="407"/>
      <c r="C114" s="407"/>
      <c r="D114" s="723"/>
      <c r="E114" s="723"/>
      <c r="F114" s="407"/>
      <c r="G114" s="421" t="str">
        <f>"T = "&amp;FIXED(M114,2,2)</f>
        <v>T = 0.20</v>
      </c>
      <c r="H114" s="407"/>
      <c r="I114" s="407" t="s">
        <v>292</v>
      </c>
      <c r="J114" s="407"/>
      <c r="K114" s="416"/>
      <c r="L114" s="578" t="s">
        <v>48</v>
      </c>
      <c r="M114" s="633">
        <f>M10</f>
        <v>0.2</v>
      </c>
      <c r="N114" s="578"/>
      <c r="O114" s="407"/>
      <c r="P114" s="407"/>
      <c r="Q114" s="407"/>
      <c r="R114" s="407"/>
      <c r="S114" s="407"/>
      <c r="T114" s="407"/>
      <c r="U114" s="443"/>
    </row>
    <row r="115" spans="1:25" x14ac:dyDescent="0.25">
      <c r="A115" s="609"/>
      <c r="B115" s="407"/>
      <c r="C115" s="407"/>
      <c r="D115" s="407"/>
      <c r="E115" s="407"/>
      <c r="F115" s="407"/>
      <c r="G115" s="407"/>
      <c r="H115" s="407"/>
      <c r="I115" s="407" t="s">
        <v>4</v>
      </c>
      <c r="J115" s="407"/>
      <c r="K115" s="407"/>
      <c r="L115" s="578" t="s">
        <v>48</v>
      </c>
      <c r="M115" s="604" t="s">
        <v>353</v>
      </c>
      <c r="N115" s="578"/>
      <c r="O115" s="407"/>
      <c r="P115" s="578"/>
      <c r="Q115" s="444"/>
      <c r="R115" s="444"/>
      <c r="S115" s="407"/>
      <c r="T115" s="407"/>
      <c r="U115" s="409"/>
    </row>
    <row r="116" spans="1:25" x14ac:dyDescent="0.25">
      <c r="A116" s="609"/>
      <c r="B116" s="407"/>
      <c r="C116" s="724" t="str">
        <f>"L = "&amp;FIXED(M113,1,0)</f>
        <v>L = 3.5</v>
      </c>
      <c r="D116" s="724"/>
      <c r="E116" s="724"/>
      <c r="F116" s="724"/>
      <c r="G116" s="407"/>
      <c r="H116" s="407"/>
      <c r="I116" s="407"/>
      <c r="J116" s="407"/>
      <c r="K116" s="407"/>
      <c r="L116" s="445" t="s">
        <v>48</v>
      </c>
      <c r="M116" s="606" t="str">
        <f>M112 &amp;" x "&amp;M113&amp;" x "&amp;M114</f>
        <v>70 x 3.5 x 0.2</v>
      </c>
      <c r="N116" s="578"/>
      <c r="O116" s="407"/>
      <c r="P116" s="578"/>
      <c r="Q116" s="446"/>
      <c r="R116" s="446"/>
      <c r="S116" s="407"/>
      <c r="T116" s="407"/>
      <c r="U116" s="409"/>
    </row>
    <row r="117" spans="1:25" x14ac:dyDescent="0.25">
      <c r="A117" s="609"/>
      <c r="B117" s="407"/>
      <c r="C117" s="577"/>
      <c r="D117" s="577"/>
      <c r="E117" s="577"/>
      <c r="F117" s="577"/>
      <c r="G117" s="407"/>
      <c r="H117" s="407"/>
      <c r="I117" s="407"/>
      <c r="J117" s="407"/>
      <c r="K117" s="407"/>
      <c r="L117" s="445" t="s">
        <v>48</v>
      </c>
      <c r="M117" s="606">
        <f>M112*M113*M114</f>
        <v>49</v>
      </c>
      <c r="N117" s="578" t="s">
        <v>277</v>
      </c>
      <c r="O117" s="407"/>
      <c r="P117" s="578"/>
      <c r="Q117" s="446"/>
      <c r="R117" s="446"/>
      <c r="S117" s="407"/>
      <c r="T117" s="407"/>
      <c r="U117" s="409"/>
    </row>
    <row r="118" spans="1:25" x14ac:dyDescent="0.25">
      <c r="A118" s="610" t="s">
        <v>357</v>
      </c>
      <c r="B118" s="407"/>
      <c r="C118" s="407"/>
      <c r="D118" s="407"/>
      <c r="E118" s="577"/>
      <c r="F118" s="577"/>
      <c r="G118" s="407"/>
      <c r="H118" s="407"/>
      <c r="I118" s="407"/>
      <c r="J118" s="407"/>
      <c r="K118" s="577"/>
      <c r="L118" s="577"/>
      <c r="M118" s="407"/>
      <c r="N118" s="441"/>
      <c r="O118" s="578"/>
      <c r="P118" s="578"/>
      <c r="Q118" s="446"/>
      <c r="R118" s="446"/>
      <c r="S118" s="407"/>
      <c r="T118" s="407"/>
      <c r="U118" s="409"/>
    </row>
    <row r="119" spans="1:25" x14ac:dyDescent="0.25">
      <c r="A119" s="609"/>
      <c r="B119" s="407"/>
      <c r="C119" s="406">
        <f>M9</f>
        <v>3.5</v>
      </c>
      <c r="D119" s="407"/>
      <c r="E119" s="577"/>
      <c r="F119" s="577"/>
      <c r="G119" s="407"/>
      <c r="H119" s="407"/>
      <c r="I119" s="407" t="s">
        <v>121</v>
      </c>
      <c r="J119" s="407"/>
      <c r="K119" s="407"/>
      <c r="L119" s="546" t="s">
        <v>48</v>
      </c>
      <c r="M119" s="632">
        <f>M112</f>
        <v>70</v>
      </c>
      <c r="N119" s="441"/>
      <c r="O119" s="578"/>
      <c r="P119" s="578"/>
      <c r="Q119" s="446"/>
      <c r="R119" s="446"/>
      <c r="S119" s="407"/>
      <c r="T119" s="407"/>
      <c r="U119" s="409"/>
    </row>
    <row r="120" spans="1:25" x14ac:dyDescent="0.25">
      <c r="A120" s="609"/>
      <c r="B120" s="407"/>
      <c r="C120" s="406"/>
      <c r="D120" s="439"/>
      <c r="E120" s="548"/>
      <c r="F120" s="577"/>
      <c r="G120" s="407"/>
      <c r="H120" s="407"/>
      <c r="I120" s="407" t="s">
        <v>126</v>
      </c>
      <c r="J120" s="407"/>
      <c r="K120" s="407"/>
      <c r="L120" s="546" t="s">
        <v>48</v>
      </c>
      <c r="M120" s="633">
        <v>0.3</v>
      </c>
      <c r="N120" s="441"/>
      <c r="O120" s="578"/>
      <c r="P120" s="578"/>
      <c r="Q120" s="446"/>
      <c r="R120" s="446"/>
      <c r="S120" s="407"/>
      <c r="T120" s="407"/>
      <c r="U120" s="409"/>
    </row>
    <row r="121" spans="1:25" x14ac:dyDescent="0.25">
      <c r="A121" s="613">
        <f>F121</f>
        <v>0.4</v>
      </c>
      <c r="B121" s="407"/>
      <c r="C121" s="407"/>
      <c r="D121" s="439"/>
      <c r="E121" s="548"/>
      <c r="F121" s="421">
        <f>M121</f>
        <v>0.4</v>
      </c>
      <c r="G121" s="407"/>
      <c r="H121" s="407"/>
      <c r="I121" s="407" t="s">
        <v>122</v>
      </c>
      <c r="J121" s="407"/>
      <c r="K121" s="407"/>
      <c r="L121" s="546" t="s">
        <v>48</v>
      </c>
      <c r="M121" s="633">
        <v>0.4</v>
      </c>
      <c r="N121" s="441"/>
      <c r="O121" s="578"/>
      <c r="P121" s="578"/>
      <c r="Q121" s="446"/>
      <c r="R121" s="446"/>
      <c r="S121" s="407"/>
      <c r="T121" s="407"/>
      <c r="U121" s="409"/>
    </row>
    <row r="122" spans="1:25" x14ac:dyDescent="0.25">
      <c r="A122" s="609"/>
      <c r="B122" s="407"/>
      <c r="C122" s="407"/>
      <c r="D122" s="439"/>
      <c r="E122" s="577"/>
      <c r="F122" s="577"/>
      <c r="G122" s="407"/>
      <c r="H122" s="407"/>
      <c r="I122" s="407" t="s">
        <v>354</v>
      </c>
      <c r="J122" s="407"/>
      <c r="K122" s="407"/>
      <c r="L122" s="546" t="s">
        <v>48</v>
      </c>
      <c r="M122" s="605" t="s">
        <v>356</v>
      </c>
      <c r="N122" s="441"/>
      <c r="O122" s="578"/>
      <c r="P122" s="547"/>
      <c r="Q122" s="446"/>
      <c r="R122" s="446"/>
      <c r="S122" s="407"/>
      <c r="T122" s="407"/>
      <c r="U122" s="409"/>
    </row>
    <row r="123" spans="1:25" x14ac:dyDescent="0.25">
      <c r="A123" s="609"/>
      <c r="B123" s="574">
        <f>E123</f>
        <v>0.3</v>
      </c>
      <c r="C123" s="577"/>
      <c r="D123" s="577"/>
      <c r="E123" s="573">
        <f>M120</f>
        <v>0.3</v>
      </c>
      <c r="F123" s="577"/>
      <c r="G123" s="407"/>
      <c r="H123" s="407"/>
      <c r="I123" s="407"/>
      <c r="J123" s="407"/>
      <c r="K123" s="407"/>
      <c r="L123" s="578" t="s">
        <v>48</v>
      </c>
      <c r="M123" s="581" t="str">
        <f>"( "&amp;M119&amp;" x "&amp;M120&amp;" x "&amp;M121 &amp;" ) x 2"</f>
        <v>( 70 x 0.3 x 0.4 ) x 2</v>
      </c>
      <c r="N123" s="441"/>
      <c r="O123" s="578"/>
      <c r="P123" s="578"/>
      <c r="Q123" s="446"/>
      <c r="R123" s="446"/>
      <c r="S123" s="407"/>
      <c r="T123" s="407"/>
      <c r="U123" s="409"/>
    </row>
    <row r="124" spans="1:25" x14ac:dyDescent="0.25">
      <c r="A124" s="609"/>
      <c r="B124" s="407"/>
      <c r="C124" s="577"/>
      <c r="D124" s="577"/>
      <c r="E124" s="577"/>
      <c r="F124" s="577"/>
      <c r="G124" s="407"/>
      <c r="H124" s="407"/>
      <c r="I124" s="407"/>
      <c r="J124" s="407"/>
      <c r="K124" s="407"/>
      <c r="L124" s="578" t="s">
        <v>48</v>
      </c>
      <c r="M124" s="652">
        <f>(M119*M120*M121)*2</f>
        <v>16.8</v>
      </c>
      <c r="N124" s="441"/>
      <c r="O124" s="578"/>
      <c r="P124" s="578"/>
      <c r="Q124" s="446"/>
      <c r="R124" s="446"/>
      <c r="S124" s="407"/>
      <c r="T124" s="407"/>
      <c r="U124" s="409"/>
    </row>
    <row r="125" spans="1:25" x14ac:dyDescent="0.25">
      <c r="A125" s="610" t="s">
        <v>358</v>
      </c>
      <c r="B125" s="407"/>
      <c r="C125" s="577"/>
      <c r="D125" s="577"/>
      <c r="E125" s="577"/>
      <c r="F125" s="577"/>
      <c r="G125" s="407"/>
      <c r="H125" s="407"/>
      <c r="I125" s="407"/>
      <c r="J125" s="407"/>
      <c r="K125" s="407"/>
      <c r="L125" s="407"/>
      <c r="M125" s="578"/>
      <c r="N125" s="541"/>
      <c r="O125" s="578"/>
      <c r="P125" s="578"/>
      <c r="Q125" s="446"/>
      <c r="R125" s="446"/>
      <c r="S125" s="407"/>
      <c r="T125" s="407"/>
      <c r="U125" s="409"/>
    </row>
    <row r="126" spans="1:25" x14ac:dyDescent="0.25">
      <c r="A126" s="609"/>
      <c r="B126" s="407"/>
      <c r="C126" s="577"/>
      <c r="D126" s="577"/>
      <c r="E126" s="577"/>
      <c r="F126" s="546"/>
      <c r="G126" s="407"/>
      <c r="H126" s="407"/>
      <c r="I126" s="407" t="s">
        <v>121</v>
      </c>
      <c r="J126" s="407"/>
      <c r="K126" s="407"/>
      <c r="L126" s="578" t="s">
        <v>48</v>
      </c>
      <c r="M126" s="653">
        <f>M8</f>
        <v>70</v>
      </c>
      <c r="N126" s="441"/>
      <c r="O126" s="578"/>
      <c r="P126" s="578"/>
      <c r="Q126" s="446"/>
      <c r="R126" s="446"/>
      <c r="S126" s="407"/>
      <c r="T126" s="407"/>
      <c r="U126" s="409"/>
    </row>
    <row r="127" spans="1:25" x14ac:dyDescent="0.25">
      <c r="A127" s="609"/>
      <c r="B127" s="407"/>
      <c r="C127" s="577"/>
      <c r="D127" s="577"/>
      <c r="E127" s="572"/>
      <c r="F127" s="572"/>
      <c r="G127" s="407"/>
      <c r="H127" s="407"/>
      <c r="I127" s="407" t="s">
        <v>126</v>
      </c>
      <c r="J127" s="407"/>
      <c r="K127" s="407"/>
      <c r="L127" s="578" t="s">
        <v>48</v>
      </c>
      <c r="M127" s="653">
        <v>0.5</v>
      </c>
      <c r="N127" s="441"/>
      <c r="O127" s="578"/>
      <c r="P127" s="578"/>
      <c r="Q127" s="446"/>
      <c r="R127" s="446"/>
      <c r="S127" s="407"/>
      <c r="T127" s="407"/>
      <c r="U127" s="409"/>
    </row>
    <row r="128" spans="1:25" x14ac:dyDescent="0.25">
      <c r="A128" s="609"/>
      <c r="B128" s="407"/>
      <c r="C128" s="577"/>
      <c r="D128" s="577"/>
      <c r="E128" s="572">
        <f>M128</f>
        <v>0.2</v>
      </c>
      <c r="F128" s="572"/>
      <c r="G128" s="407"/>
      <c r="H128" s="407"/>
      <c r="I128" s="407" t="s">
        <v>122</v>
      </c>
      <c r="J128" s="407"/>
      <c r="K128" s="407"/>
      <c r="L128" s="578" t="s">
        <v>48</v>
      </c>
      <c r="M128" s="653">
        <f>M10</f>
        <v>0.2</v>
      </c>
      <c r="N128" s="441"/>
      <c r="O128" s="578"/>
      <c r="P128" s="578"/>
      <c r="Q128" s="446"/>
      <c r="R128" s="446"/>
      <c r="S128" s="407"/>
      <c r="T128" s="407"/>
      <c r="U128" s="409"/>
    </row>
    <row r="129" spans="1:21" x14ac:dyDescent="0.25">
      <c r="A129" s="609"/>
      <c r="B129" s="407"/>
      <c r="C129" s="577"/>
      <c r="D129" s="577"/>
      <c r="E129" s="577"/>
      <c r="F129" s="577"/>
      <c r="G129" s="407"/>
      <c r="H129" s="407"/>
      <c r="I129" s="407" t="s">
        <v>50</v>
      </c>
      <c r="J129" s="407"/>
      <c r="K129" s="407"/>
      <c r="L129" s="578" t="s">
        <v>48</v>
      </c>
      <c r="M129" s="607" t="s">
        <v>355</v>
      </c>
      <c r="N129" s="441"/>
      <c r="O129" s="578"/>
      <c r="P129" s="578"/>
      <c r="Q129" s="446"/>
      <c r="R129" s="446"/>
      <c r="S129" s="407"/>
      <c r="T129" s="407"/>
      <c r="U129" s="409"/>
    </row>
    <row r="130" spans="1:21" x14ac:dyDescent="0.25">
      <c r="A130" s="609"/>
      <c r="B130" s="407"/>
      <c r="C130" s="577"/>
      <c r="D130" s="577"/>
      <c r="E130" s="546"/>
      <c r="F130" s="577"/>
      <c r="G130" s="407"/>
      <c r="H130" s="407"/>
      <c r="I130" s="407"/>
      <c r="J130" s="407"/>
      <c r="K130" s="407"/>
      <c r="L130" s="578" t="s">
        <v>48</v>
      </c>
      <c r="M130" s="581" t="str">
        <f>M126&amp;" x " &amp;M127&amp; " x " &amp;M128</f>
        <v>70 x 0.5 x 0.2</v>
      </c>
      <c r="N130" s="441"/>
      <c r="O130" s="578"/>
      <c r="P130" s="578"/>
      <c r="Q130" s="446"/>
      <c r="R130" s="446"/>
      <c r="S130" s="407"/>
      <c r="T130" s="407"/>
      <c r="U130" s="409"/>
    </row>
    <row r="131" spans="1:21" x14ac:dyDescent="0.25">
      <c r="A131" s="609"/>
      <c r="B131" s="407"/>
      <c r="C131" s="407"/>
      <c r="D131" s="407"/>
      <c r="E131" s="407"/>
      <c r="F131" s="407"/>
      <c r="G131" s="407"/>
      <c r="H131" s="407"/>
      <c r="I131" s="407"/>
      <c r="J131" s="407"/>
      <c r="K131" s="407"/>
      <c r="L131" s="578" t="s">
        <v>48</v>
      </c>
      <c r="M131" s="654">
        <f>M126*M127*M128</f>
        <v>7</v>
      </c>
      <c r="N131" s="416"/>
      <c r="O131" s="407"/>
      <c r="P131" s="407"/>
      <c r="Q131" s="407"/>
      <c r="R131" s="407"/>
      <c r="S131" s="407"/>
      <c r="T131" s="407"/>
      <c r="U131" s="409"/>
    </row>
    <row r="132" spans="1:21" ht="15.75" thickBot="1" x14ac:dyDescent="0.3">
      <c r="A132" s="609"/>
      <c r="B132" s="407"/>
      <c r="C132" s="407"/>
      <c r="D132" s="407"/>
      <c r="E132" s="407"/>
      <c r="F132" s="407"/>
      <c r="G132" s="407"/>
      <c r="H132" s="407"/>
      <c r="I132" s="407"/>
      <c r="J132" s="407"/>
      <c r="K132" s="578"/>
      <c r="L132" s="581"/>
      <c r="M132" s="447"/>
      <c r="N132" s="416"/>
      <c r="O132" s="407"/>
      <c r="P132" s="407"/>
      <c r="Q132" s="407"/>
      <c r="R132" s="407"/>
      <c r="S132" s="407"/>
      <c r="T132" s="407"/>
      <c r="U132" s="409"/>
    </row>
    <row r="133" spans="1:21" x14ac:dyDescent="0.25">
      <c r="A133" s="738" t="s">
        <v>6</v>
      </c>
      <c r="B133" s="739"/>
      <c r="C133" s="739"/>
      <c r="D133" s="739"/>
      <c r="E133" s="739"/>
      <c r="F133" s="740"/>
      <c r="G133" s="448"/>
      <c r="H133" s="449"/>
      <c r="I133" s="449"/>
      <c r="J133" s="401"/>
      <c r="K133" s="401"/>
      <c r="L133" s="401"/>
      <c r="M133" s="401"/>
      <c r="N133" s="404"/>
      <c r="O133" s="738" t="s">
        <v>7</v>
      </c>
      <c r="P133" s="739"/>
      <c r="Q133" s="739"/>
      <c r="R133" s="739"/>
      <c r="S133" s="739"/>
      <c r="T133" s="739"/>
      <c r="U133" s="740"/>
    </row>
    <row r="134" spans="1:21" x14ac:dyDescent="0.25">
      <c r="A134" s="582"/>
      <c r="B134" s="578"/>
      <c r="C134" s="578"/>
      <c r="D134" s="578"/>
      <c r="E134" s="578"/>
      <c r="F134" s="578"/>
      <c r="G134" s="582"/>
      <c r="H134" s="578"/>
      <c r="I134" s="578"/>
      <c r="J134" s="407"/>
      <c r="K134" s="407"/>
      <c r="L134" s="407"/>
      <c r="M134" s="407"/>
      <c r="N134" s="409"/>
      <c r="O134" s="736"/>
      <c r="P134" s="723"/>
      <c r="Q134" s="723"/>
      <c r="R134" s="578"/>
      <c r="S134" s="723"/>
      <c r="T134" s="723"/>
      <c r="U134" s="737"/>
    </row>
    <row r="135" spans="1:21" x14ac:dyDescent="0.25">
      <c r="A135" s="582"/>
      <c r="B135" s="578"/>
      <c r="C135" s="578"/>
      <c r="D135" s="578"/>
      <c r="E135" s="578"/>
      <c r="F135" s="578"/>
      <c r="G135" s="582"/>
      <c r="H135" s="578"/>
      <c r="I135" s="578"/>
      <c r="J135" s="407"/>
      <c r="K135" s="407"/>
      <c r="L135" s="407"/>
      <c r="M135" s="407"/>
      <c r="N135" s="409"/>
      <c r="O135" s="407"/>
      <c r="P135" s="407"/>
      <c r="Q135" s="407"/>
      <c r="R135" s="407"/>
      <c r="S135" s="407"/>
      <c r="T135" s="407"/>
      <c r="U135" s="583"/>
    </row>
    <row r="136" spans="1:21" x14ac:dyDescent="0.25">
      <c r="A136" s="614"/>
      <c r="B136" s="578"/>
      <c r="C136" s="578"/>
      <c r="D136" s="578"/>
      <c r="E136" s="578"/>
      <c r="F136" s="578"/>
      <c r="G136" s="582"/>
      <c r="H136" s="578"/>
      <c r="I136" s="578"/>
      <c r="J136" s="407"/>
      <c r="K136" s="407"/>
      <c r="L136" s="407"/>
      <c r="M136" s="407"/>
      <c r="N136" s="409"/>
      <c r="O136" s="407"/>
      <c r="P136" s="407"/>
      <c r="Q136" s="407"/>
      <c r="R136" s="407"/>
      <c r="S136" s="407"/>
      <c r="T136" s="407"/>
      <c r="U136" s="418"/>
    </row>
    <row r="137" spans="1:21" ht="15.75" thickBot="1" x14ac:dyDescent="0.3">
      <c r="A137" s="450"/>
      <c r="B137" s="412"/>
      <c r="C137" s="412"/>
      <c r="D137" s="412"/>
      <c r="E137" s="412"/>
      <c r="F137" s="412"/>
      <c r="G137" s="450"/>
      <c r="H137" s="412"/>
      <c r="I137" s="412"/>
      <c r="J137" s="412"/>
      <c r="K137" s="412"/>
      <c r="L137" s="412"/>
      <c r="M137" s="412"/>
      <c r="N137" s="414"/>
      <c r="O137" s="733" t="s">
        <v>321</v>
      </c>
      <c r="P137" s="734"/>
      <c r="Q137" s="734"/>
      <c r="R137" s="734"/>
      <c r="S137" s="734"/>
      <c r="T137" s="734"/>
      <c r="U137" s="735"/>
    </row>
  </sheetData>
  <mergeCells count="18">
    <mergeCell ref="O137:U137"/>
    <mergeCell ref="O134:Q134"/>
    <mergeCell ref="S134:U134"/>
    <mergeCell ref="I93:J93"/>
    <mergeCell ref="C116:F116"/>
    <mergeCell ref="A133:F133"/>
    <mergeCell ref="O133:U133"/>
    <mergeCell ref="S4:U4"/>
    <mergeCell ref="S3:U3"/>
    <mergeCell ref="G2:N4"/>
    <mergeCell ref="D114:E114"/>
    <mergeCell ref="C19:F19"/>
    <mergeCell ref="D74:E74"/>
    <mergeCell ref="D93:E93"/>
    <mergeCell ref="G62:H62"/>
    <mergeCell ref="A25:E25"/>
    <mergeCell ref="A5:G5"/>
    <mergeCell ref="I73:J73"/>
  </mergeCells>
  <phoneticPr fontId="2" type="noConversion"/>
  <printOptions horizontalCentered="1"/>
  <pageMargins left="0.11811023622047245" right="0.31496062992125984" top="0.51181102362204722" bottom="0.23622047244094491" header="0.6692913385826772" footer="0.51181102362204722"/>
  <pageSetup paperSize="256" scale="54" fitToHeight="0" orientation="landscape" horizontalDpi="4294967293" verticalDpi="1200" r:id="rId1"/>
  <headerFooter alignWithMargins="0"/>
  <colBreaks count="1" manualBreakCount="1">
    <brk id="2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T67"/>
  <sheetViews>
    <sheetView view="pageBreakPreview" topLeftCell="A25" zoomScale="110" zoomScaleSheetLayoutView="110" workbookViewId="0">
      <selection activeCell="I37" sqref="I37"/>
    </sheetView>
  </sheetViews>
  <sheetFormatPr defaultRowHeight="15" x14ac:dyDescent="0.25"/>
  <cols>
    <col min="1" max="1" width="4.42578125" style="530" customWidth="1"/>
    <col min="2" max="2" width="7" style="530" customWidth="1"/>
    <col min="3" max="3" width="15" style="48" customWidth="1"/>
    <col min="4" max="7" width="3.42578125" style="48" customWidth="1"/>
    <col min="8" max="8" width="18" style="48" customWidth="1"/>
    <col min="9" max="9" width="10.28515625" style="557" customWidth="1"/>
    <col min="10" max="10" width="10.5703125" style="530" customWidth="1"/>
    <col min="11" max="11" width="10.42578125" style="48" customWidth="1"/>
    <col min="12" max="12" width="3.42578125" style="48" customWidth="1"/>
    <col min="13" max="13" width="14.140625" style="48" customWidth="1"/>
    <col min="14" max="14" width="3.42578125" style="530" customWidth="1"/>
    <col min="15" max="15" width="11.85546875" style="48" customWidth="1"/>
    <col min="16" max="16" width="8.140625" style="48" customWidth="1"/>
    <col min="17" max="17" width="9.140625" style="48" customWidth="1"/>
    <col min="18" max="18" width="7.85546875" style="48" customWidth="1"/>
    <col min="19" max="16384" width="9.140625" style="48"/>
  </cols>
  <sheetData>
    <row r="1" spans="1:18" ht="22.5" x14ac:dyDescent="0.3">
      <c r="A1" s="746" t="s">
        <v>112</v>
      </c>
      <c r="B1" s="746"/>
      <c r="C1" s="746"/>
      <c r="D1" s="746"/>
      <c r="E1" s="746"/>
      <c r="F1" s="746"/>
      <c r="G1" s="746"/>
      <c r="H1" s="746"/>
      <c r="I1" s="746"/>
      <c r="J1" s="746"/>
      <c r="K1" s="746"/>
      <c r="L1" s="746"/>
      <c r="M1" s="746"/>
      <c r="N1" s="746"/>
      <c r="O1" s="746"/>
      <c r="P1" s="746"/>
      <c r="Q1" s="746"/>
      <c r="R1" s="746"/>
    </row>
    <row r="2" spans="1:18" ht="23.25" x14ac:dyDescent="0.35">
      <c r="A2" s="98"/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</row>
    <row r="3" spans="1:18" x14ac:dyDescent="0.25">
      <c r="A3" s="99" t="s">
        <v>0</v>
      </c>
      <c r="B3" s="100"/>
      <c r="C3" s="101"/>
      <c r="D3" s="101"/>
      <c r="E3" s="101" t="str">
        <f>'2. TOS'!C2</f>
        <v>: Muaro Jambi</v>
      </c>
      <c r="F3" s="101"/>
      <c r="G3" s="101"/>
      <c r="H3" s="101"/>
      <c r="I3" s="103"/>
      <c r="J3" s="103"/>
      <c r="K3" s="102"/>
      <c r="M3" s="101" t="s">
        <v>2</v>
      </c>
      <c r="N3" s="100" t="s">
        <v>27</v>
      </c>
      <c r="O3" s="101" t="s">
        <v>154</v>
      </c>
      <c r="Q3" s="101"/>
      <c r="R3" s="101"/>
    </row>
    <row r="4" spans="1:18" x14ac:dyDescent="0.25">
      <c r="A4" s="99" t="s">
        <v>1</v>
      </c>
      <c r="B4" s="100"/>
      <c r="C4" s="101"/>
      <c r="D4" s="101"/>
      <c r="E4" s="101" t="str">
        <f>'2. TOS'!C3</f>
        <v>: Bahar Selatan</v>
      </c>
      <c r="F4" s="101"/>
      <c r="G4" s="101"/>
      <c r="H4" s="101"/>
      <c r="I4" s="103"/>
      <c r="J4" s="103"/>
      <c r="K4" s="102"/>
      <c r="M4" s="101" t="s">
        <v>3</v>
      </c>
      <c r="N4" s="100" t="s">
        <v>27</v>
      </c>
      <c r="O4" s="101" t="str">
        <f>'2. TOS'!S3</f>
        <v>RT.15</v>
      </c>
      <c r="Q4" s="101"/>
      <c r="R4" s="101"/>
    </row>
    <row r="5" spans="1:18" ht="17.25" customHeight="1" x14ac:dyDescent="0.25">
      <c r="A5" s="99" t="s">
        <v>46</v>
      </c>
      <c r="B5" s="100"/>
      <c r="C5" s="101"/>
      <c r="D5" s="101"/>
      <c r="E5" s="101" t="str">
        <f>'2. TOS'!C4</f>
        <v>: Tanjung Mulya</v>
      </c>
      <c r="F5" s="101"/>
      <c r="G5" s="101"/>
      <c r="H5" s="101"/>
      <c r="I5" s="103"/>
      <c r="J5" s="103"/>
      <c r="K5" s="102"/>
      <c r="M5" s="101" t="s">
        <v>4</v>
      </c>
      <c r="N5" s="100" t="s">
        <v>27</v>
      </c>
      <c r="O5" s="101" t="str">
        <f>'2. TOS'!S4</f>
        <v>70 x 3.5 x 0.2 Meter</v>
      </c>
      <c r="Q5" s="101"/>
      <c r="R5" s="101"/>
    </row>
    <row r="6" spans="1:18" ht="17.25" customHeight="1" thickBot="1" x14ac:dyDescent="0.3">
      <c r="A6" s="100"/>
      <c r="B6" s="100"/>
      <c r="C6" s="101"/>
      <c r="D6" s="101"/>
      <c r="E6" s="101"/>
      <c r="F6" s="101"/>
      <c r="G6" s="101"/>
      <c r="H6" s="101"/>
      <c r="I6" s="103"/>
      <c r="J6" s="103"/>
      <c r="K6" s="102"/>
      <c r="L6" s="101"/>
      <c r="M6" s="101"/>
      <c r="N6" s="100"/>
      <c r="O6" s="104"/>
      <c r="P6" s="103"/>
      <c r="Q6" s="101"/>
      <c r="R6" s="101"/>
    </row>
    <row r="7" spans="1:18" ht="19.5" customHeight="1" thickBot="1" x14ac:dyDescent="0.3">
      <c r="A7" s="747" t="s">
        <v>72</v>
      </c>
      <c r="B7" s="748"/>
      <c r="C7" s="748"/>
      <c r="D7" s="748"/>
      <c r="E7" s="748"/>
      <c r="F7" s="748"/>
      <c r="G7" s="748"/>
      <c r="H7" s="749"/>
      <c r="I7" s="757" t="s">
        <v>274</v>
      </c>
      <c r="J7" s="758"/>
      <c r="K7" s="759"/>
      <c r="L7" s="747" t="s">
        <v>273</v>
      </c>
      <c r="M7" s="748"/>
      <c r="N7" s="748"/>
      <c r="O7" s="748"/>
      <c r="P7" s="749"/>
      <c r="Q7" s="753" t="s">
        <v>109</v>
      </c>
      <c r="R7" s="754"/>
    </row>
    <row r="8" spans="1:18" ht="41.25" customHeight="1" thickBot="1" x14ac:dyDescent="0.3">
      <c r="A8" s="750"/>
      <c r="B8" s="751"/>
      <c r="C8" s="751"/>
      <c r="D8" s="751"/>
      <c r="E8" s="751"/>
      <c r="F8" s="751"/>
      <c r="G8" s="751"/>
      <c r="H8" s="752"/>
      <c r="I8" s="150" t="s">
        <v>86</v>
      </c>
      <c r="J8" s="150" t="s">
        <v>108</v>
      </c>
      <c r="K8" s="533" t="s">
        <v>84</v>
      </c>
      <c r="L8" s="750"/>
      <c r="M8" s="751"/>
      <c r="N8" s="751"/>
      <c r="O8" s="751"/>
      <c r="P8" s="752"/>
      <c r="Q8" s="755"/>
      <c r="R8" s="756"/>
    </row>
    <row r="9" spans="1:18" x14ac:dyDescent="0.25">
      <c r="A9" s="527" t="s">
        <v>16</v>
      </c>
      <c r="B9" s="388" t="s">
        <v>113</v>
      </c>
      <c r="C9" s="389"/>
      <c r="D9" s="528"/>
      <c r="E9" s="528"/>
      <c r="F9" s="528"/>
      <c r="G9" s="390"/>
      <c r="H9" s="391"/>
      <c r="I9" s="393"/>
      <c r="J9" s="393"/>
      <c r="K9" s="392"/>
      <c r="L9" s="394"/>
      <c r="M9" s="390"/>
      <c r="N9" s="390"/>
      <c r="O9" s="390"/>
      <c r="P9" s="391"/>
      <c r="Q9" s="392"/>
      <c r="R9" s="393"/>
    </row>
    <row r="10" spans="1:18" x14ac:dyDescent="0.25">
      <c r="A10" s="566"/>
      <c r="B10" s="567"/>
      <c r="C10" s="113"/>
      <c r="D10" s="568"/>
      <c r="E10" s="568"/>
      <c r="F10" s="568"/>
      <c r="G10" s="103"/>
      <c r="H10" s="105"/>
      <c r="I10" s="569"/>
      <c r="J10" s="569"/>
      <c r="K10" s="570"/>
      <c r="L10" s="571"/>
      <c r="M10" s="103"/>
      <c r="N10" s="103"/>
      <c r="O10" s="103"/>
      <c r="P10" s="105"/>
      <c r="Q10" s="570"/>
      <c r="R10" s="569"/>
    </row>
    <row r="11" spans="1:18" x14ac:dyDescent="0.25">
      <c r="A11" s="106" t="s">
        <v>18</v>
      </c>
      <c r="B11" s="107" t="s">
        <v>105</v>
      </c>
      <c r="C11" s="113"/>
      <c r="D11" s="101"/>
      <c r="E11" s="101"/>
      <c r="F11" s="101"/>
      <c r="G11" s="101"/>
      <c r="H11" s="108"/>
      <c r="I11" s="526"/>
      <c r="J11" s="526"/>
      <c r="K11" s="525"/>
      <c r="L11" s="109"/>
      <c r="M11" s="101"/>
      <c r="N11" s="100"/>
      <c r="O11" s="101"/>
      <c r="P11" s="105"/>
      <c r="Q11" s="525"/>
      <c r="R11" s="526"/>
    </row>
    <row r="12" spans="1:18" x14ac:dyDescent="0.25">
      <c r="A12" s="525"/>
      <c r="B12" s="554" t="s">
        <v>78</v>
      </c>
      <c r="C12" s="101"/>
      <c r="D12" s="101"/>
      <c r="E12" s="101"/>
      <c r="F12" s="101"/>
      <c r="G12" s="101"/>
      <c r="H12" s="108"/>
      <c r="I12" s="526"/>
      <c r="J12" s="526"/>
      <c r="K12" s="525"/>
      <c r="L12" s="109"/>
      <c r="M12" s="101"/>
      <c r="N12" s="100"/>
      <c r="O12" s="101"/>
      <c r="P12" s="105"/>
      <c r="Q12" s="525"/>
      <c r="R12" s="526"/>
    </row>
    <row r="13" spans="1:18" x14ac:dyDescent="0.25">
      <c r="A13" s="525"/>
      <c r="B13" s="100">
        <v>1</v>
      </c>
      <c r="C13" s="101" t="s">
        <v>82</v>
      </c>
      <c r="D13" s="101"/>
      <c r="E13" s="101"/>
      <c r="F13" s="101"/>
      <c r="G13" s="101"/>
      <c r="H13" s="108"/>
      <c r="I13" s="526" t="s">
        <v>14</v>
      </c>
      <c r="J13" s="526"/>
      <c r="K13" s="525">
        <f>'2. TOS'!M20</f>
        <v>245</v>
      </c>
      <c r="L13" s="109"/>
      <c r="M13" s="101"/>
      <c r="N13" s="100"/>
      <c r="O13" s="101"/>
      <c r="P13" s="105"/>
      <c r="Q13" s="525"/>
      <c r="R13" s="526"/>
    </row>
    <row r="14" spans="1:18" ht="15.75" x14ac:dyDescent="0.25">
      <c r="A14" s="525"/>
      <c r="B14" s="100">
        <v>2</v>
      </c>
      <c r="C14" s="144" t="s">
        <v>102</v>
      </c>
      <c r="D14" s="101"/>
      <c r="E14" s="101"/>
      <c r="F14" s="101"/>
      <c r="G14" s="101"/>
      <c r="H14" s="108"/>
      <c r="I14" s="526" t="s">
        <v>14</v>
      </c>
      <c r="J14" s="526">
        <v>0.1</v>
      </c>
      <c r="K14" s="110">
        <f>'2. TOS'!M20</f>
        <v>245</v>
      </c>
      <c r="L14" s="109" t="s">
        <v>83</v>
      </c>
      <c r="M14" s="101"/>
      <c r="N14" s="100" t="s">
        <v>48</v>
      </c>
      <c r="O14" s="101">
        <f>ROUND((J14*K14),2)</f>
        <v>24.5</v>
      </c>
      <c r="P14" s="105" t="s">
        <v>14</v>
      </c>
      <c r="Q14" s="111">
        <f>ROUNDUP(O14,0)</f>
        <v>25</v>
      </c>
      <c r="R14" s="112" t="str">
        <f>P14</f>
        <v>HOK</v>
      </c>
    </row>
    <row r="15" spans="1:18" x14ac:dyDescent="0.25">
      <c r="A15" s="525"/>
      <c r="B15" s="100"/>
      <c r="C15" s="101"/>
      <c r="D15" s="101"/>
      <c r="E15" s="101"/>
      <c r="F15" s="101"/>
      <c r="G15" s="101"/>
      <c r="H15" s="108"/>
      <c r="I15" s="526"/>
      <c r="J15" s="526"/>
      <c r="K15" s="109"/>
      <c r="L15" s="109"/>
      <c r="M15" s="101"/>
      <c r="N15" s="100"/>
      <c r="O15" s="101"/>
      <c r="P15" s="105"/>
      <c r="Q15" s="111"/>
      <c r="R15" s="108"/>
    </row>
    <row r="16" spans="1:18" x14ac:dyDescent="0.25">
      <c r="A16" s="106" t="s">
        <v>54</v>
      </c>
      <c r="B16" s="107" t="s">
        <v>147</v>
      </c>
      <c r="C16" s="113"/>
      <c r="D16" s="101"/>
      <c r="E16" s="101"/>
      <c r="F16" s="101"/>
      <c r="G16" s="101"/>
      <c r="H16" s="108"/>
      <c r="I16" s="526"/>
      <c r="J16" s="526"/>
      <c r="K16" s="109"/>
      <c r="L16" s="525"/>
      <c r="M16" s="100"/>
      <c r="N16" s="100"/>
      <c r="O16" s="101"/>
      <c r="P16" s="105"/>
      <c r="Q16" s="111"/>
      <c r="R16" s="114"/>
    </row>
    <row r="17" spans="1:18" x14ac:dyDescent="0.25">
      <c r="A17" s="525"/>
      <c r="B17" s="556" t="s">
        <v>16</v>
      </c>
      <c r="C17" s="113" t="s">
        <v>76</v>
      </c>
      <c r="D17" s="101"/>
      <c r="E17" s="101"/>
      <c r="F17" s="101"/>
      <c r="G17" s="101"/>
      <c r="H17" s="108"/>
      <c r="I17" s="526"/>
      <c r="J17" s="526"/>
      <c r="K17" s="109"/>
      <c r="L17" s="525"/>
      <c r="M17" s="100"/>
      <c r="N17" s="100"/>
      <c r="O17" s="101"/>
      <c r="P17" s="105"/>
      <c r="Q17" s="111"/>
      <c r="R17" s="114"/>
    </row>
    <row r="18" spans="1:18" x14ac:dyDescent="0.25">
      <c r="A18" s="525"/>
      <c r="B18" s="100">
        <v>1</v>
      </c>
      <c r="C18" s="101" t="s">
        <v>276</v>
      </c>
      <c r="D18" s="101"/>
      <c r="E18" s="101"/>
      <c r="F18" s="101"/>
      <c r="G18" s="101"/>
      <c r="H18" s="108"/>
      <c r="I18" s="526" t="s">
        <v>9</v>
      </c>
      <c r="J18" s="526">
        <v>1.05</v>
      </c>
      <c r="K18" s="615">
        <f>'2. TOS'!M43</f>
        <v>6.8159999999999998E-2</v>
      </c>
      <c r="L18" s="525"/>
      <c r="M18" s="100"/>
      <c r="N18" s="100" t="s">
        <v>48</v>
      </c>
      <c r="O18" s="101">
        <f>K18*J18</f>
        <v>7.1568000000000007E-2</v>
      </c>
      <c r="P18" s="105"/>
      <c r="Q18" s="111">
        <f>ROUNDUP(O18,2)</f>
        <v>0.08</v>
      </c>
      <c r="R18" s="114" t="s">
        <v>277</v>
      </c>
    </row>
    <row r="19" spans="1:18" x14ac:dyDescent="0.25">
      <c r="A19" s="525"/>
      <c r="B19" s="100">
        <v>2</v>
      </c>
      <c r="C19" s="101" t="s">
        <v>275</v>
      </c>
      <c r="D19" s="101"/>
      <c r="E19" s="101"/>
      <c r="F19" s="101"/>
      <c r="G19" s="101"/>
      <c r="H19" s="108"/>
      <c r="I19" s="526" t="s">
        <v>9</v>
      </c>
      <c r="J19" s="526">
        <v>1.05</v>
      </c>
      <c r="K19" s="110">
        <f>'2. TOS'!M60</f>
        <v>0.21</v>
      </c>
      <c r="L19" s="115" t="str">
        <f>C19</f>
        <v>Papan Kelas III</v>
      </c>
      <c r="M19" s="100"/>
      <c r="N19" s="100" t="s">
        <v>48</v>
      </c>
      <c r="O19" s="101">
        <f>K19*J19</f>
        <v>0.2205</v>
      </c>
      <c r="P19" s="105" t="s">
        <v>9</v>
      </c>
      <c r="Q19" s="111">
        <f>ROUNDUP(O19,1)</f>
        <v>0.30000000000000004</v>
      </c>
      <c r="R19" s="114" t="s">
        <v>9</v>
      </c>
    </row>
    <row r="20" spans="1:18" x14ac:dyDescent="0.25">
      <c r="A20" s="525"/>
      <c r="B20" s="100">
        <v>3</v>
      </c>
      <c r="C20" s="101" t="s">
        <v>21</v>
      </c>
      <c r="D20" s="101"/>
      <c r="E20" s="101"/>
      <c r="F20" s="101"/>
      <c r="G20" s="101"/>
      <c r="H20" s="108"/>
      <c r="I20" s="526" t="s">
        <v>15</v>
      </c>
      <c r="J20" s="526">
        <v>0.3</v>
      </c>
      <c r="K20" s="110">
        <f>'2. TOS'!M60</f>
        <v>0.21</v>
      </c>
      <c r="L20" s="115" t="str">
        <f>C20</f>
        <v>Paku</v>
      </c>
      <c r="M20" s="100"/>
      <c r="N20" s="100" t="s">
        <v>48</v>
      </c>
      <c r="O20" s="101">
        <f>K20*J20</f>
        <v>6.3E-2</v>
      </c>
      <c r="P20" s="105" t="s">
        <v>15</v>
      </c>
      <c r="Q20" s="111">
        <f>ROUNDUP(O20,0)</f>
        <v>1</v>
      </c>
      <c r="R20" s="114" t="s">
        <v>15</v>
      </c>
    </row>
    <row r="21" spans="1:18" x14ac:dyDescent="0.25">
      <c r="A21" s="525"/>
      <c r="B21" s="100"/>
      <c r="C21" s="101"/>
      <c r="D21" s="101"/>
      <c r="E21" s="101"/>
      <c r="F21" s="101"/>
      <c r="G21" s="101"/>
      <c r="H21" s="108"/>
      <c r="I21" s="526"/>
      <c r="J21" s="526"/>
      <c r="K21" s="110"/>
      <c r="L21" s="525"/>
      <c r="M21" s="100"/>
      <c r="N21" s="100"/>
      <c r="O21" s="101"/>
      <c r="P21" s="105"/>
      <c r="Q21" s="110"/>
      <c r="R21" s="114"/>
    </row>
    <row r="22" spans="1:18" x14ac:dyDescent="0.25">
      <c r="A22" s="525"/>
      <c r="B22" s="556" t="s">
        <v>107</v>
      </c>
      <c r="C22" s="113" t="s">
        <v>78</v>
      </c>
      <c r="D22" s="101"/>
      <c r="E22" s="101"/>
      <c r="F22" s="101"/>
      <c r="G22" s="101"/>
      <c r="H22" s="108"/>
      <c r="I22" s="526"/>
      <c r="J22" s="526"/>
      <c r="K22" s="110"/>
      <c r="L22" s="525"/>
      <c r="M22" s="100"/>
      <c r="N22" s="100"/>
      <c r="O22" s="101"/>
      <c r="P22" s="105"/>
      <c r="Q22" s="110"/>
      <c r="R22" s="114"/>
    </row>
    <row r="23" spans="1:18" x14ac:dyDescent="0.25">
      <c r="A23" s="525"/>
      <c r="B23" s="100">
        <v>1</v>
      </c>
      <c r="C23" s="101" t="s">
        <v>82</v>
      </c>
      <c r="D23" s="101"/>
      <c r="E23" s="101"/>
      <c r="F23" s="101"/>
      <c r="G23" s="101"/>
      <c r="H23" s="108"/>
      <c r="I23" s="526" t="s">
        <v>14</v>
      </c>
      <c r="J23" s="526">
        <v>0.26</v>
      </c>
      <c r="K23" s="110">
        <f>K19</f>
        <v>0.21</v>
      </c>
      <c r="L23" s="115" t="str">
        <f>C23</f>
        <v>Tukang</v>
      </c>
      <c r="M23" s="100"/>
      <c r="N23" s="100" t="s">
        <v>48</v>
      </c>
      <c r="O23" s="101">
        <f>K23*J23</f>
        <v>5.4600000000000003E-2</v>
      </c>
      <c r="P23" s="105" t="s">
        <v>14</v>
      </c>
      <c r="Q23" s="111">
        <f>ROUNDUP(O23,0)</f>
        <v>1</v>
      </c>
      <c r="R23" s="114" t="s">
        <v>14</v>
      </c>
    </row>
    <row r="24" spans="1:18" x14ac:dyDescent="0.25">
      <c r="A24" s="525"/>
      <c r="B24" s="100">
        <v>2</v>
      </c>
      <c r="C24" s="101" t="s">
        <v>83</v>
      </c>
      <c r="D24" s="101"/>
      <c r="E24" s="101"/>
      <c r="F24" s="101"/>
      <c r="G24" s="101"/>
      <c r="H24" s="108"/>
      <c r="I24" s="526" t="s">
        <v>14</v>
      </c>
      <c r="J24" s="526">
        <v>0.52</v>
      </c>
      <c r="K24" s="110">
        <f>K23</f>
        <v>0.21</v>
      </c>
      <c r="L24" s="115" t="str">
        <f>C24</f>
        <v>Pekerja</v>
      </c>
      <c r="M24" s="100"/>
      <c r="N24" s="100" t="s">
        <v>48</v>
      </c>
      <c r="O24" s="101">
        <f>K24*J24</f>
        <v>0.10920000000000001</v>
      </c>
      <c r="P24" s="105" t="s">
        <v>14</v>
      </c>
      <c r="Q24" s="111">
        <f>ROUNDUP(O24,0)</f>
        <v>1</v>
      </c>
      <c r="R24" s="114" t="s">
        <v>14</v>
      </c>
    </row>
    <row r="25" spans="1:18" x14ac:dyDescent="0.25">
      <c r="A25" s="525"/>
      <c r="B25" s="100"/>
      <c r="C25" s="101"/>
      <c r="D25" s="101"/>
      <c r="E25" s="101"/>
      <c r="F25" s="101"/>
      <c r="G25" s="101"/>
      <c r="H25" s="108"/>
      <c r="I25" s="526"/>
      <c r="J25" s="526"/>
      <c r="K25" s="109"/>
      <c r="L25" s="525"/>
      <c r="M25" s="100"/>
      <c r="N25" s="100"/>
      <c r="O25" s="101"/>
      <c r="P25" s="105"/>
      <c r="Q25" s="110"/>
      <c r="R25" s="114"/>
    </row>
    <row r="26" spans="1:18" x14ac:dyDescent="0.25">
      <c r="A26" s="555" t="s">
        <v>114</v>
      </c>
      <c r="B26" s="554" t="s">
        <v>127</v>
      </c>
      <c r="C26" s="113"/>
      <c r="D26" s="101"/>
      <c r="E26" s="101"/>
      <c r="F26" s="101"/>
      <c r="G26" s="101"/>
      <c r="H26" s="108"/>
      <c r="I26" s="526"/>
      <c r="J26" s="526"/>
      <c r="K26" s="109"/>
      <c r="L26" s="525"/>
      <c r="M26" s="100"/>
      <c r="N26" s="100"/>
      <c r="O26" s="101"/>
      <c r="P26" s="105"/>
      <c r="Q26" s="110"/>
      <c r="R26" s="114"/>
    </row>
    <row r="27" spans="1:18" x14ac:dyDescent="0.25">
      <c r="A27" s="525"/>
      <c r="B27" s="556" t="s">
        <v>16</v>
      </c>
      <c r="C27" s="113" t="s">
        <v>76</v>
      </c>
      <c r="D27" s="101"/>
      <c r="E27" s="101"/>
      <c r="F27" s="101"/>
      <c r="G27" s="101"/>
      <c r="H27" s="108"/>
      <c r="I27" s="526"/>
      <c r="J27" s="526"/>
      <c r="K27" s="109"/>
      <c r="L27" s="525"/>
      <c r="M27" s="100"/>
      <c r="N27" s="100"/>
      <c r="O27" s="101"/>
      <c r="P27" s="105"/>
      <c r="Q27" s="110"/>
      <c r="R27" s="114"/>
    </row>
    <row r="28" spans="1:18" ht="16.5" x14ac:dyDescent="0.3">
      <c r="A28" s="525"/>
      <c r="B28" s="100">
        <v>1</v>
      </c>
      <c r="C28" s="364" t="s">
        <v>225</v>
      </c>
      <c r="D28" s="101"/>
      <c r="E28" s="101"/>
      <c r="F28" s="101"/>
      <c r="G28" s="101"/>
      <c r="H28" s="108"/>
      <c r="I28" s="526" t="s">
        <v>58</v>
      </c>
      <c r="J28" s="526">
        <v>1.05</v>
      </c>
      <c r="K28" s="110">
        <f>'2. TOS'!M86+'2. TOS'!M106</f>
        <v>204.13333333333333</v>
      </c>
      <c r="L28" s="115" t="str">
        <f>C28</f>
        <v>Besi Ø 08</v>
      </c>
      <c r="M28" s="100"/>
      <c r="N28" s="100" t="s">
        <v>48</v>
      </c>
      <c r="O28" s="116">
        <f>J28*K28</f>
        <v>214.34</v>
      </c>
      <c r="P28" s="105" t="s">
        <v>58</v>
      </c>
      <c r="Q28" s="110">
        <f>ROUNDUP(O28,0)</f>
        <v>215</v>
      </c>
      <c r="R28" s="114" t="s">
        <v>58</v>
      </c>
    </row>
    <row r="29" spans="1:18" x14ac:dyDescent="0.25">
      <c r="A29" s="525"/>
      <c r="B29" s="100">
        <v>2</v>
      </c>
      <c r="C29" s="101" t="s">
        <v>128</v>
      </c>
      <c r="D29" s="101"/>
      <c r="E29" s="101"/>
      <c r="F29" s="101"/>
      <c r="G29" s="101"/>
      <c r="H29" s="108"/>
      <c r="I29" s="526" t="s">
        <v>15</v>
      </c>
      <c r="J29" s="384">
        <v>1.4999999999999999E-2</v>
      </c>
      <c r="K29" s="110">
        <f>'2. TOS'!M86+'2. TOS'!M106</f>
        <v>204.13333333333333</v>
      </c>
      <c r="L29" s="115" t="str">
        <f>C29</f>
        <v>Kawat Ikat</v>
      </c>
      <c r="M29" s="100"/>
      <c r="N29" s="100" t="s">
        <v>48</v>
      </c>
      <c r="O29" s="385">
        <f>K29*J29</f>
        <v>3.0619999999999998</v>
      </c>
      <c r="P29" s="105" t="s">
        <v>15</v>
      </c>
      <c r="Q29" s="386">
        <f>ROUNDUP(O29,0)</f>
        <v>4</v>
      </c>
      <c r="R29" s="114" t="s">
        <v>15</v>
      </c>
    </row>
    <row r="30" spans="1:18" x14ac:dyDescent="0.25">
      <c r="A30" s="525"/>
      <c r="B30" s="100"/>
      <c r="C30" s="101"/>
      <c r="D30" s="101"/>
      <c r="E30" s="101"/>
      <c r="F30" s="101"/>
      <c r="G30" s="101"/>
      <c r="H30" s="108"/>
      <c r="I30" s="526"/>
      <c r="J30" s="526"/>
      <c r="K30" s="109"/>
      <c r="L30" s="525"/>
      <c r="M30" s="100"/>
      <c r="N30" s="100"/>
      <c r="O30" s="101"/>
      <c r="P30" s="105"/>
      <c r="Q30" s="386">
        <f t="shared" ref="Q30:Q33" si="0">ROUNDUP(O30,0)</f>
        <v>0</v>
      </c>
      <c r="R30" s="114"/>
    </row>
    <row r="31" spans="1:18" x14ac:dyDescent="0.25">
      <c r="A31" s="525"/>
      <c r="B31" s="556" t="s">
        <v>107</v>
      </c>
      <c r="C31" s="113" t="s">
        <v>78</v>
      </c>
      <c r="D31" s="101"/>
      <c r="E31" s="101"/>
      <c r="F31" s="101"/>
      <c r="G31" s="101"/>
      <c r="H31" s="108"/>
      <c r="I31" s="526"/>
      <c r="J31" s="526"/>
      <c r="K31" s="109"/>
      <c r="L31" s="525"/>
      <c r="M31" s="100"/>
      <c r="N31" s="100"/>
      <c r="O31" s="101"/>
      <c r="P31" s="105"/>
      <c r="Q31" s="386">
        <f t="shared" si="0"/>
        <v>0</v>
      </c>
      <c r="R31" s="114"/>
    </row>
    <row r="32" spans="1:18" x14ac:dyDescent="0.25">
      <c r="A32" s="525"/>
      <c r="B32" s="100">
        <v>1</v>
      </c>
      <c r="C32" s="101" t="s">
        <v>82</v>
      </c>
      <c r="D32" s="101"/>
      <c r="E32" s="101"/>
      <c r="F32" s="101"/>
      <c r="G32" s="101"/>
      <c r="H32" s="108"/>
      <c r="I32" s="526" t="s">
        <v>14</v>
      </c>
      <c r="J32" s="526">
        <v>7.0000000000000001E-3</v>
      </c>
      <c r="K32" s="110">
        <f>'2. TOS'!M90+'2. TOS'!M110</f>
        <v>967.5920000000001</v>
      </c>
      <c r="L32" s="115" t="str">
        <f>C32</f>
        <v>Tukang</v>
      </c>
      <c r="M32" s="100"/>
      <c r="N32" s="100" t="s">
        <v>48</v>
      </c>
      <c r="O32" s="117">
        <f>K32*J32</f>
        <v>6.7731440000000012</v>
      </c>
      <c r="P32" s="105" t="s">
        <v>14</v>
      </c>
      <c r="Q32" s="386">
        <f t="shared" si="0"/>
        <v>7</v>
      </c>
      <c r="R32" s="114" t="s">
        <v>14</v>
      </c>
    </row>
    <row r="33" spans="1:20" x14ac:dyDescent="0.25">
      <c r="A33" s="525"/>
      <c r="B33" s="100">
        <v>2</v>
      </c>
      <c r="C33" s="101" t="s">
        <v>83</v>
      </c>
      <c r="D33" s="101"/>
      <c r="E33" s="101"/>
      <c r="F33" s="101"/>
      <c r="G33" s="101"/>
      <c r="H33" s="108"/>
      <c r="I33" s="526" t="s">
        <v>14</v>
      </c>
      <c r="J33" s="526">
        <v>7.0000000000000001E-3</v>
      </c>
      <c r="K33" s="110">
        <f>K32</f>
        <v>967.5920000000001</v>
      </c>
      <c r="L33" s="115" t="str">
        <f>C33</f>
        <v>Pekerja</v>
      </c>
      <c r="M33" s="100"/>
      <c r="N33" s="100" t="s">
        <v>48</v>
      </c>
      <c r="O33" s="117">
        <f>K33*J33</f>
        <v>6.7731440000000012</v>
      </c>
      <c r="P33" s="105" t="s">
        <v>14</v>
      </c>
      <c r="Q33" s="386">
        <f t="shared" si="0"/>
        <v>7</v>
      </c>
      <c r="R33" s="114" t="s">
        <v>14</v>
      </c>
    </row>
    <row r="34" spans="1:20" x14ac:dyDescent="0.25">
      <c r="A34" s="525"/>
      <c r="B34" s="100"/>
      <c r="C34" s="101"/>
      <c r="D34" s="101"/>
      <c r="E34" s="101"/>
      <c r="F34" s="101"/>
      <c r="G34" s="101"/>
      <c r="H34" s="108"/>
      <c r="I34" s="526"/>
      <c r="J34" s="526"/>
      <c r="K34" s="109"/>
      <c r="L34" s="525"/>
      <c r="M34" s="100"/>
      <c r="N34" s="100"/>
      <c r="O34" s="101"/>
      <c r="P34" s="105"/>
      <c r="Q34" s="110"/>
      <c r="R34" s="114"/>
    </row>
    <row r="35" spans="1:20" x14ac:dyDescent="0.25">
      <c r="A35" s="106" t="s">
        <v>232</v>
      </c>
      <c r="B35" s="107" t="s">
        <v>148</v>
      </c>
      <c r="C35" s="113"/>
      <c r="D35" s="113"/>
      <c r="E35" s="113"/>
      <c r="F35" s="101"/>
      <c r="G35" s="101"/>
      <c r="H35" s="108"/>
      <c r="I35" s="526"/>
      <c r="J35" s="526"/>
      <c r="K35" s="109"/>
      <c r="L35" s="110"/>
      <c r="M35" s="100"/>
      <c r="N35" s="100"/>
      <c r="O35" s="101"/>
      <c r="P35" s="118"/>
      <c r="Q35" s="119"/>
      <c r="R35" s="108"/>
    </row>
    <row r="36" spans="1:20" x14ac:dyDescent="0.25">
      <c r="A36" s="106"/>
      <c r="B36" s="120" t="s">
        <v>16</v>
      </c>
      <c r="C36" s="113" t="s">
        <v>76</v>
      </c>
      <c r="D36" s="101"/>
      <c r="E36" s="101"/>
      <c r="F36" s="101"/>
      <c r="G36" s="101"/>
      <c r="H36" s="108"/>
      <c r="I36" s="526"/>
      <c r="J36" s="526"/>
      <c r="K36" s="109"/>
      <c r="L36" s="110"/>
      <c r="M36" s="100"/>
      <c r="N36" s="100"/>
      <c r="O36" s="101"/>
      <c r="P36" s="118"/>
      <c r="Q36" s="119"/>
      <c r="R36" s="108"/>
    </row>
    <row r="37" spans="1:20" x14ac:dyDescent="0.25">
      <c r="A37" s="525"/>
      <c r="B37" s="100">
        <v>1</v>
      </c>
      <c r="C37" s="101" t="s">
        <v>129</v>
      </c>
      <c r="D37" s="101"/>
      <c r="E37" s="101"/>
      <c r="F37" s="101"/>
      <c r="G37" s="121"/>
      <c r="H37" s="108"/>
      <c r="I37" s="526" t="s">
        <v>15</v>
      </c>
      <c r="J37" s="387">
        <f>T37</f>
        <v>5.98</v>
      </c>
      <c r="K37" s="110">
        <f>'2. TOS'!M117</f>
        <v>49</v>
      </c>
      <c r="L37" s="109" t="str">
        <f>C37</f>
        <v>Semen PCC 50 Kg</v>
      </c>
      <c r="M37" s="101"/>
      <c r="N37" s="100" t="s">
        <v>48</v>
      </c>
      <c r="O37" s="122">
        <f>ROUND((J37*K37),2)</f>
        <v>293.02</v>
      </c>
      <c r="P37" s="105" t="s">
        <v>13</v>
      </c>
      <c r="Q37" s="123">
        <f>ROUNDUP(O37,0)</f>
        <v>294</v>
      </c>
      <c r="R37" s="108" t="s">
        <v>13</v>
      </c>
      <c r="S37" s="48">
        <f>[1]ANALISA!$G343</f>
        <v>299</v>
      </c>
      <c r="T37" s="48">
        <f>S37/50</f>
        <v>5.98</v>
      </c>
    </row>
    <row r="38" spans="1:20" x14ac:dyDescent="0.25">
      <c r="A38" s="525"/>
      <c r="B38" s="100">
        <v>2</v>
      </c>
      <c r="C38" s="101" t="s">
        <v>19</v>
      </c>
      <c r="D38" s="101"/>
      <c r="E38" s="101"/>
      <c r="F38" s="101"/>
      <c r="G38" s="121"/>
      <c r="H38" s="101"/>
      <c r="I38" s="561" t="s">
        <v>106</v>
      </c>
      <c r="J38" s="387">
        <f>S38</f>
        <v>0.57069999999999999</v>
      </c>
      <c r="K38" s="110">
        <f>K37</f>
        <v>49</v>
      </c>
      <c r="L38" s="109" t="str">
        <f>C38</f>
        <v>Pasir</v>
      </c>
      <c r="M38" s="101"/>
      <c r="N38" s="100" t="s">
        <v>48</v>
      </c>
      <c r="O38" s="122">
        <f>ROUND((J38*K38),2)</f>
        <v>27.96</v>
      </c>
      <c r="P38" s="105" t="s">
        <v>106</v>
      </c>
      <c r="Q38" s="123">
        <f>ROUND(O38,0)</f>
        <v>28</v>
      </c>
      <c r="R38" s="108" t="s">
        <v>106</v>
      </c>
      <c r="S38" s="48">
        <f>[1]ANALISA!$G344</f>
        <v>0.57069999999999999</v>
      </c>
    </row>
    <row r="39" spans="1:20" x14ac:dyDescent="0.25">
      <c r="A39" s="525"/>
      <c r="B39" s="100">
        <v>3</v>
      </c>
      <c r="C39" s="101" t="s">
        <v>111</v>
      </c>
      <c r="D39" s="101"/>
      <c r="E39" s="101"/>
      <c r="F39" s="101"/>
      <c r="G39" s="121"/>
      <c r="H39" s="101"/>
      <c r="I39" s="561" t="s">
        <v>106</v>
      </c>
      <c r="J39" s="387">
        <f>S39</f>
        <v>0.75329999999999997</v>
      </c>
      <c r="K39" s="110">
        <f>K38</f>
        <v>49</v>
      </c>
      <c r="L39" s="109" t="str">
        <f>C39</f>
        <v>Kerkil</v>
      </c>
      <c r="M39" s="101"/>
      <c r="N39" s="100" t="s">
        <v>48</v>
      </c>
      <c r="O39" s="122">
        <f>ROUND((J39*K39),2)</f>
        <v>36.909999999999997</v>
      </c>
      <c r="P39" s="105" t="s">
        <v>106</v>
      </c>
      <c r="Q39" s="123">
        <f>ROUND(O39,0)</f>
        <v>37</v>
      </c>
      <c r="R39" s="108" t="str">
        <f>P39</f>
        <v>M³</v>
      </c>
      <c r="S39" s="48">
        <f>[1]ANALISA!$G345</f>
        <v>0.75329999999999997</v>
      </c>
    </row>
    <row r="40" spans="1:20" x14ac:dyDescent="0.25">
      <c r="A40" s="525"/>
      <c r="B40" s="100"/>
      <c r="C40" s="101"/>
      <c r="D40" s="101"/>
      <c r="E40" s="101"/>
      <c r="F40" s="101"/>
      <c r="G40" s="101"/>
      <c r="H40" s="101"/>
      <c r="I40" s="561"/>
      <c r="J40" s="526"/>
      <c r="K40" s="110"/>
      <c r="L40" s="109"/>
      <c r="M40" s="100"/>
      <c r="N40" s="100"/>
      <c r="O40" s="101"/>
      <c r="P40" s="105"/>
      <c r="Q40" s="111"/>
      <c r="R40" s="108"/>
    </row>
    <row r="41" spans="1:20" x14ac:dyDescent="0.25">
      <c r="A41" s="106"/>
      <c r="B41" s="120" t="s">
        <v>107</v>
      </c>
      <c r="C41" s="113" t="s">
        <v>77</v>
      </c>
      <c r="D41" s="101"/>
      <c r="E41" s="101"/>
      <c r="F41" s="101"/>
      <c r="G41" s="101"/>
      <c r="H41" s="101"/>
      <c r="I41" s="561"/>
      <c r="J41" s="526"/>
      <c r="K41" s="110"/>
      <c r="L41" s="109" t="str">
        <f>C41</f>
        <v>ALAT</v>
      </c>
      <c r="M41" s="100"/>
      <c r="N41" s="100"/>
      <c r="O41" s="101"/>
      <c r="P41" s="105"/>
      <c r="Q41" s="111"/>
      <c r="R41" s="108"/>
    </row>
    <row r="42" spans="1:20" x14ac:dyDescent="0.25">
      <c r="A42" s="525"/>
      <c r="B42" s="100">
        <v>1</v>
      </c>
      <c r="C42" s="157" t="s">
        <v>70</v>
      </c>
      <c r="D42" s="101"/>
      <c r="E42" s="101"/>
      <c r="F42" s="101"/>
      <c r="G42" s="101"/>
      <c r="H42" s="101"/>
      <c r="I42" s="561" t="s">
        <v>278</v>
      </c>
      <c r="J42" s="526">
        <v>1.2</v>
      </c>
      <c r="K42" s="110">
        <v>10</v>
      </c>
      <c r="L42" s="124" t="str">
        <f>C42</f>
        <v>Ember Cor</v>
      </c>
      <c r="M42" s="100"/>
      <c r="N42" s="100" t="s">
        <v>48</v>
      </c>
      <c r="O42" s="104">
        <f>ROUND((J42*K42),2)</f>
        <v>12</v>
      </c>
      <c r="P42" s="105" t="str">
        <f>I42</f>
        <v>Buah</v>
      </c>
      <c r="Q42" s="125">
        <f>ROUND(O42,0)</f>
        <v>12</v>
      </c>
      <c r="R42" s="108" t="str">
        <f t="shared" ref="R42" si="1">P42</f>
        <v>Buah</v>
      </c>
    </row>
    <row r="43" spans="1:20" x14ac:dyDescent="0.25">
      <c r="A43" s="525"/>
      <c r="B43" s="100">
        <v>2</v>
      </c>
      <c r="C43" s="157" t="s">
        <v>279</v>
      </c>
      <c r="D43" s="101"/>
      <c r="E43" s="101"/>
      <c r="F43" s="101"/>
      <c r="G43" s="101"/>
      <c r="H43" s="101"/>
      <c r="I43" s="561" t="s">
        <v>15</v>
      </c>
      <c r="J43" s="526">
        <v>0.1457</v>
      </c>
      <c r="K43" s="110">
        <f>'2. TOS'!M64</f>
        <v>280</v>
      </c>
      <c r="L43" s="124" t="str">
        <f>C43</f>
        <v>Plastik</v>
      </c>
      <c r="M43" s="100"/>
      <c r="N43" s="100" t="s">
        <v>48</v>
      </c>
      <c r="O43" s="104">
        <f>ROUND((J43*K43),2)</f>
        <v>40.799999999999997</v>
      </c>
      <c r="P43" s="105" t="str">
        <f>I43</f>
        <v>Kg</v>
      </c>
      <c r="Q43" s="125">
        <f>ROUND(O43,0)</f>
        <v>41</v>
      </c>
      <c r="R43" s="108" t="s">
        <v>15</v>
      </c>
    </row>
    <row r="44" spans="1:20" x14ac:dyDescent="0.25">
      <c r="A44" s="525"/>
      <c r="B44" s="100"/>
      <c r="C44" s="101"/>
      <c r="D44" s="101"/>
      <c r="E44" s="101"/>
      <c r="F44" s="101"/>
      <c r="G44" s="101"/>
      <c r="H44" s="101"/>
      <c r="I44" s="561"/>
      <c r="J44" s="526"/>
      <c r="K44" s="110"/>
      <c r="L44" s="109"/>
      <c r="M44" s="100"/>
      <c r="N44" s="100"/>
      <c r="O44" s="101"/>
      <c r="P44" s="105"/>
      <c r="Q44" s="111"/>
      <c r="R44" s="108"/>
    </row>
    <row r="45" spans="1:20" x14ac:dyDescent="0.25">
      <c r="A45" s="525"/>
      <c r="B45" s="120" t="s">
        <v>17</v>
      </c>
      <c r="C45" s="113" t="s">
        <v>78</v>
      </c>
      <c r="D45" s="101"/>
      <c r="E45" s="101"/>
      <c r="F45" s="101"/>
      <c r="G45" s="101"/>
      <c r="H45" s="101"/>
      <c r="I45" s="561"/>
      <c r="J45" s="526"/>
      <c r="K45" s="110"/>
      <c r="L45" s="109"/>
      <c r="M45" s="100"/>
      <c r="N45" s="100"/>
      <c r="O45" s="101"/>
      <c r="P45" s="105"/>
      <c r="Q45" s="111"/>
      <c r="R45" s="108"/>
    </row>
    <row r="46" spans="1:20" ht="15.75" x14ac:dyDescent="0.25">
      <c r="A46" s="525"/>
      <c r="B46" s="100">
        <v>1</v>
      </c>
      <c r="C46" s="144" t="s">
        <v>102</v>
      </c>
      <c r="D46" s="101"/>
      <c r="E46" s="101"/>
      <c r="F46" s="101"/>
      <c r="G46" s="101"/>
      <c r="H46" s="101"/>
      <c r="I46" s="561" t="s">
        <v>14</v>
      </c>
      <c r="J46" s="526">
        <v>1.65</v>
      </c>
      <c r="K46" s="110">
        <f>K37</f>
        <v>49</v>
      </c>
      <c r="L46" s="109" t="str">
        <f>C46</f>
        <v>pekerja</v>
      </c>
      <c r="M46" s="100"/>
      <c r="N46" s="100" t="s">
        <v>48</v>
      </c>
      <c r="O46" s="101">
        <f>ROUND((J46*K46),2)</f>
        <v>80.849999999999994</v>
      </c>
      <c r="P46" s="105" t="s">
        <v>14</v>
      </c>
      <c r="Q46" s="123">
        <f>ROUNDUP(O46,0)</f>
        <v>81</v>
      </c>
      <c r="R46" s="108" t="str">
        <f>P46</f>
        <v>HOK</v>
      </c>
    </row>
    <row r="47" spans="1:20" ht="15.75" x14ac:dyDescent="0.25">
      <c r="A47" s="525"/>
      <c r="B47" s="100">
        <v>2</v>
      </c>
      <c r="C47" s="144" t="s">
        <v>82</v>
      </c>
      <c r="D47" s="101"/>
      <c r="E47" s="101"/>
      <c r="F47" s="101"/>
      <c r="G47" s="101"/>
      <c r="H47" s="101"/>
      <c r="I47" s="561" t="s">
        <v>14</v>
      </c>
      <c r="J47" s="526">
        <v>2.8000000000000001E-2</v>
      </c>
      <c r="K47" s="110">
        <f>K38</f>
        <v>49</v>
      </c>
      <c r="L47" s="109" t="str">
        <f>C47</f>
        <v>Tukang</v>
      </c>
      <c r="M47" s="100"/>
      <c r="N47" s="100" t="s">
        <v>48</v>
      </c>
      <c r="O47" s="101">
        <f>ROUND((J47*K47),2)</f>
        <v>1.37</v>
      </c>
      <c r="P47" s="105" t="s">
        <v>14</v>
      </c>
      <c r="Q47" s="123">
        <f>ROUNDUP(O47,0)</f>
        <v>2</v>
      </c>
      <c r="R47" s="108" t="str">
        <f>P47</f>
        <v>HOK</v>
      </c>
    </row>
    <row r="48" spans="1:20" x14ac:dyDescent="0.25">
      <c r="A48" s="562"/>
      <c r="B48" s="100">
        <v>3</v>
      </c>
      <c r="C48" s="101" t="s">
        <v>151</v>
      </c>
      <c r="D48" s="101"/>
      <c r="E48" s="101"/>
      <c r="F48" s="101"/>
      <c r="G48" s="101"/>
      <c r="H48" s="101"/>
      <c r="I48" s="561" t="s">
        <v>152</v>
      </c>
      <c r="J48" s="526">
        <v>0.125</v>
      </c>
      <c r="K48" s="110">
        <f>K47</f>
        <v>49</v>
      </c>
      <c r="L48" s="109" t="str">
        <f>C48</f>
        <v>Sewa Molen</v>
      </c>
      <c r="M48" s="100"/>
      <c r="N48" s="100" t="s">
        <v>48</v>
      </c>
      <c r="O48" s="101">
        <f>ROUND((J48*K48),2)</f>
        <v>6.13</v>
      </c>
      <c r="P48" s="105" t="s">
        <v>152</v>
      </c>
      <c r="Q48" s="123">
        <f>ROUNDUP(O48,0)</f>
        <v>7</v>
      </c>
      <c r="R48" s="108" t="str">
        <f>P48</f>
        <v>Hari</v>
      </c>
    </row>
    <row r="49" spans="1:18" x14ac:dyDescent="0.25">
      <c r="A49" s="562"/>
      <c r="B49" s="100"/>
      <c r="C49" s="101"/>
      <c r="D49" s="101"/>
      <c r="E49" s="101"/>
      <c r="F49" s="101"/>
      <c r="G49" s="101"/>
      <c r="H49" s="101"/>
      <c r="I49" s="561"/>
      <c r="J49" s="526"/>
      <c r="K49" s="110"/>
      <c r="L49" s="109"/>
      <c r="M49" s="100"/>
      <c r="N49" s="100"/>
      <c r="O49" s="101"/>
      <c r="P49" s="105"/>
      <c r="Q49" s="123"/>
      <c r="R49" s="108"/>
    </row>
    <row r="50" spans="1:18" x14ac:dyDescent="0.25">
      <c r="A50" s="564" t="s">
        <v>306</v>
      </c>
      <c r="B50" s="743" t="s">
        <v>295</v>
      </c>
      <c r="C50" s="743"/>
      <c r="D50" s="743"/>
      <c r="E50" s="743"/>
      <c r="F50" s="743"/>
      <c r="G50" s="101"/>
      <c r="H50" s="101"/>
      <c r="I50" s="561"/>
      <c r="J50" s="526"/>
      <c r="K50" s="110"/>
      <c r="L50" s="109"/>
      <c r="M50" s="100"/>
      <c r="N50" s="100"/>
      <c r="O50" s="101"/>
      <c r="P50" s="105"/>
      <c r="Q50" s="123"/>
      <c r="R50" s="108"/>
    </row>
    <row r="51" spans="1:18" x14ac:dyDescent="0.25">
      <c r="A51" s="562"/>
      <c r="B51" s="556" t="s">
        <v>296</v>
      </c>
      <c r="C51" s="556" t="s">
        <v>12</v>
      </c>
      <c r="D51" s="101"/>
      <c r="E51" s="101"/>
      <c r="F51" s="101"/>
      <c r="G51" s="101"/>
      <c r="H51" s="101"/>
      <c r="I51" s="562"/>
      <c r="J51" s="561"/>
      <c r="K51" s="110"/>
      <c r="L51" s="109"/>
      <c r="M51" s="100"/>
      <c r="N51" s="100"/>
      <c r="O51" s="101"/>
      <c r="P51" s="105"/>
      <c r="Q51" s="123"/>
      <c r="R51" s="108"/>
    </row>
    <row r="52" spans="1:18" x14ac:dyDescent="0.25">
      <c r="A52" s="562"/>
      <c r="B52" s="100">
        <v>1</v>
      </c>
      <c r="C52" s="100" t="s">
        <v>83</v>
      </c>
      <c r="D52" s="101"/>
      <c r="E52" s="101"/>
      <c r="F52" s="101"/>
      <c r="G52" s="101"/>
      <c r="H52" s="101"/>
      <c r="I52" s="561" t="s">
        <v>14</v>
      </c>
      <c r="J52" s="526">
        <v>0.75</v>
      </c>
      <c r="K52" s="110">
        <f>'2. TOS'!M124</f>
        <v>16.8</v>
      </c>
      <c r="L52" s="109" t="str">
        <f>C52</f>
        <v>Pekerja</v>
      </c>
      <c r="M52" s="100"/>
      <c r="N52" s="100" t="s">
        <v>48</v>
      </c>
      <c r="O52" s="101">
        <f>J52*K52</f>
        <v>12.600000000000001</v>
      </c>
      <c r="P52" s="105" t="str">
        <f>I52</f>
        <v>HOK</v>
      </c>
      <c r="Q52" s="123">
        <f>O52</f>
        <v>12.600000000000001</v>
      </c>
      <c r="R52" s="108" t="str">
        <f>P52</f>
        <v>HOK</v>
      </c>
    </row>
    <row r="53" spans="1:18" x14ac:dyDescent="0.25">
      <c r="A53" s="562"/>
      <c r="B53" s="100"/>
      <c r="C53" s="101"/>
      <c r="D53" s="101"/>
      <c r="E53" s="101"/>
      <c r="F53" s="101"/>
      <c r="G53" s="101"/>
      <c r="H53" s="101"/>
      <c r="I53" s="561"/>
      <c r="J53" s="526"/>
      <c r="K53" s="110"/>
      <c r="L53" s="109"/>
      <c r="M53" s="100"/>
      <c r="N53" s="100"/>
      <c r="O53" s="101"/>
      <c r="P53" s="105"/>
      <c r="Q53" s="123"/>
      <c r="R53" s="108"/>
    </row>
    <row r="54" spans="1:18" x14ac:dyDescent="0.25">
      <c r="A54" s="744" t="s">
        <v>307</v>
      </c>
      <c r="B54" s="745"/>
      <c r="C54" s="745"/>
      <c r="D54" s="745"/>
      <c r="E54" s="745"/>
      <c r="F54" s="745"/>
      <c r="G54" s="745"/>
      <c r="H54" s="101"/>
      <c r="I54" s="561"/>
      <c r="J54" s="526"/>
      <c r="K54" s="110"/>
      <c r="L54" s="109"/>
      <c r="M54" s="100"/>
      <c r="N54" s="100"/>
      <c r="O54" s="101"/>
      <c r="P54" s="105"/>
      <c r="Q54" s="123"/>
      <c r="R54" s="108"/>
    </row>
    <row r="55" spans="1:18" x14ac:dyDescent="0.25">
      <c r="A55" s="562"/>
      <c r="B55" s="554" t="s">
        <v>296</v>
      </c>
      <c r="C55" s="554" t="s">
        <v>12</v>
      </c>
      <c r="D55" s="101"/>
      <c r="E55" s="101"/>
      <c r="F55" s="101"/>
      <c r="G55" s="101"/>
      <c r="H55" s="101"/>
      <c r="I55" s="561"/>
      <c r="J55" s="526"/>
      <c r="K55" s="110"/>
      <c r="L55" s="109"/>
      <c r="M55" s="100"/>
      <c r="N55" s="100"/>
      <c r="O55" s="101"/>
      <c r="P55" s="105"/>
      <c r="Q55" s="123"/>
      <c r="R55" s="108"/>
    </row>
    <row r="56" spans="1:18" x14ac:dyDescent="0.25">
      <c r="A56" s="562"/>
      <c r="B56" s="99">
        <v>1</v>
      </c>
      <c r="C56" s="99" t="s">
        <v>83</v>
      </c>
      <c r="D56" s="101"/>
      <c r="E56" s="101"/>
      <c r="F56" s="101"/>
      <c r="G56" s="101"/>
      <c r="H56" s="101"/>
      <c r="I56" s="561" t="str">
        <f>I52</f>
        <v>HOK</v>
      </c>
      <c r="J56" s="526">
        <v>0.33300000000000002</v>
      </c>
      <c r="K56" s="110">
        <f>'2. TOS'!M131</f>
        <v>7</v>
      </c>
      <c r="L56" s="109" t="str">
        <f>C56</f>
        <v>Pekerja</v>
      </c>
      <c r="M56" s="100"/>
      <c r="N56" s="100" t="s">
        <v>48</v>
      </c>
      <c r="O56" s="549">
        <f>J56*K56</f>
        <v>2.331</v>
      </c>
      <c r="P56" s="105" t="str">
        <f>I56</f>
        <v>HOK</v>
      </c>
      <c r="Q56" s="123">
        <f>O56</f>
        <v>2.331</v>
      </c>
      <c r="R56" s="108" t="str">
        <f>P56</f>
        <v>HOK</v>
      </c>
    </row>
    <row r="57" spans="1:18" x14ac:dyDescent="0.25">
      <c r="A57" s="562"/>
      <c r="B57" s="99"/>
      <c r="C57" s="99"/>
      <c r="D57" s="101"/>
      <c r="E57" s="101"/>
      <c r="F57" s="101"/>
      <c r="G57" s="101"/>
      <c r="H57" s="101"/>
      <c r="I57" s="561"/>
      <c r="J57" s="526"/>
      <c r="K57" s="110"/>
      <c r="L57" s="109"/>
      <c r="M57" s="100"/>
      <c r="N57" s="100"/>
      <c r="O57" s="549"/>
      <c r="P57" s="105"/>
      <c r="Q57" s="123"/>
      <c r="R57" s="108"/>
    </row>
    <row r="58" spans="1:18" ht="15.75" thickBot="1" x14ac:dyDescent="0.3">
      <c r="A58" s="565"/>
      <c r="B58" s="99"/>
      <c r="C58" s="99"/>
      <c r="D58" s="101"/>
      <c r="E58" s="101"/>
      <c r="F58" s="101"/>
      <c r="G58" s="101"/>
      <c r="H58" s="101"/>
      <c r="I58" s="561"/>
      <c r="J58" s="526"/>
      <c r="K58" s="110"/>
      <c r="L58" s="109"/>
      <c r="M58" s="100"/>
      <c r="N58" s="100"/>
      <c r="O58" s="549"/>
      <c r="P58" s="105"/>
      <c r="Q58" s="123"/>
      <c r="R58" s="108"/>
    </row>
    <row r="59" spans="1:18" s="143" customFormat="1" ht="15" customHeight="1" x14ac:dyDescent="0.25">
      <c r="A59" s="141"/>
      <c r="B59" s="141"/>
      <c r="C59" s="141"/>
      <c r="D59" s="141"/>
      <c r="E59" s="141"/>
      <c r="F59" s="141"/>
      <c r="G59" s="141"/>
      <c r="H59" s="141"/>
      <c r="I59" s="563"/>
      <c r="J59" s="141"/>
      <c r="K59" s="141"/>
      <c r="L59" s="141"/>
      <c r="M59" s="141"/>
      <c r="N59" s="142"/>
      <c r="O59" s="142"/>
      <c r="P59" s="142"/>
      <c r="Q59" s="142"/>
      <c r="R59" s="142"/>
    </row>
    <row r="60" spans="1:18" s="143" customFormat="1" ht="15" customHeight="1" x14ac:dyDescent="0.25">
      <c r="A60" s="144"/>
      <c r="B60" s="144"/>
      <c r="C60" s="144"/>
      <c r="D60" s="144"/>
      <c r="E60" s="144"/>
      <c r="F60" s="144"/>
      <c r="G60" s="144"/>
      <c r="H60" s="144"/>
      <c r="I60" s="552"/>
      <c r="J60" s="144"/>
      <c r="K60" s="144"/>
      <c r="L60" s="144"/>
      <c r="M60" s="144"/>
      <c r="N60" s="529"/>
      <c r="O60" s="529"/>
      <c r="P60" s="529"/>
      <c r="Q60" s="529"/>
      <c r="R60" s="529"/>
    </row>
    <row r="61" spans="1:18" s="45" customFormat="1" ht="15" customHeight="1" x14ac:dyDescent="0.25">
      <c r="A61" s="144"/>
      <c r="B61" s="144"/>
      <c r="C61" s="144"/>
      <c r="D61" s="144"/>
      <c r="E61" s="144"/>
      <c r="F61" s="144"/>
      <c r="G61" s="144"/>
      <c r="H61" s="144"/>
      <c r="I61" s="552"/>
      <c r="J61" s="144"/>
      <c r="K61" s="144"/>
      <c r="L61" s="144"/>
      <c r="M61" s="144"/>
      <c r="N61" s="529"/>
      <c r="O61" s="544" t="s">
        <v>316</v>
      </c>
      <c r="P61" s="145"/>
      <c r="Q61" s="145"/>
      <c r="R61" s="145"/>
    </row>
    <row r="62" spans="1:18" s="146" customFormat="1" ht="15" customHeight="1" x14ac:dyDescent="0.25">
      <c r="A62" s="741" t="s">
        <v>163</v>
      </c>
      <c r="B62" s="741"/>
      <c r="C62" s="741"/>
      <c r="D62" s="145"/>
      <c r="E62" s="145"/>
      <c r="F62" s="145"/>
      <c r="G62" s="145"/>
      <c r="H62" s="145"/>
      <c r="I62" s="552"/>
      <c r="J62" s="144"/>
      <c r="K62" s="145"/>
      <c r="L62" s="144"/>
      <c r="M62" s="145"/>
      <c r="N62" s="145"/>
      <c r="O62" s="529" t="s">
        <v>164</v>
      </c>
      <c r="P62" s="145"/>
      <c r="Q62" s="145"/>
      <c r="R62" s="145"/>
    </row>
    <row r="63" spans="1:18" s="146" customFormat="1" ht="15" customHeight="1" x14ac:dyDescent="0.25">
      <c r="A63" s="741" t="s">
        <v>317</v>
      </c>
      <c r="B63" s="741"/>
      <c r="C63" s="741"/>
      <c r="D63" s="145"/>
      <c r="E63" s="145"/>
      <c r="F63" s="145"/>
      <c r="G63" s="145"/>
      <c r="H63" s="145"/>
      <c r="I63" s="552"/>
      <c r="J63" s="144"/>
      <c r="K63" s="145"/>
      <c r="L63" s="144"/>
      <c r="M63" s="144"/>
      <c r="N63" s="145"/>
      <c r="O63" s="145"/>
      <c r="P63" s="529"/>
      <c r="Q63" s="145"/>
      <c r="R63" s="145"/>
    </row>
    <row r="64" spans="1:18" s="146" customFormat="1" ht="15" customHeight="1" x14ac:dyDescent="0.25">
      <c r="A64" s="144"/>
      <c r="B64" s="144"/>
      <c r="C64" s="144"/>
      <c r="D64" s="144"/>
      <c r="E64" s="144"/>
      <c r="F64" s="144"/>
      <c r="G64" s="144"/>
      <c r="H64" s="144"/>
      <c r="I64" s="552"/>
      <c r="J64" s="144"/>
      <c r="K64" s="144"/>
      <c r="L64" s="144"/>
      <c r="M64" s="144"/>
      <c r="N64" s="144"/>
      <c r="O64" s="144"/>
      <c r="P64" s="529"/>
      <c r="Q64" s="144"/>
      <c r="R64" s="144"/>
    </row>
    <row r="65" spans="1:18" s="146" customFormat="1" ht="15" customHeight="1" x14ac:dyDescent="0.25">
      <c r="A65" s="144"/>
      <c r="B65" s="144"/>
      <c r="C65" s="144"/>
      <c r="D65" s="144"/>
      <c r="E65" s="144"/>
      <c r="F65" s="144"/>
      <c r="G65" s="144"/>
      <c r="H65" s="144"/>
      <c r="I65" s="552"/>
      <c r="J65" s="144"/>
      <c r="K65" s="144"/>
      <c r="L65" s="144"/>
      <c r="M65" s="144"/>
      <c r="N65" s="144"/>
      <c r="O65" s="144"/>
      <c r="P65" s="529"/>
      <c r="Q65" s="144"/>
      <c r="R65" s="144"/>
    </row>
    <row r="66" spans="1:18" s="146" customFormat="1" ht="15" customHeight="1" x14ac:dyDescent="0.25">
      <c r="A66" s="144"/>
      <c r="B66" s="144"/>
      <c r="C66" s="144"/>
      <c r="D66" s="144"/>
      <c r="E66" s="144"/>
      <c r="F66" s="144"/>
      <c r="G66" s="144"/>
      <c r="H66" s="144"/>
      <c r="I66" s="552"/>
      <c r="J66" s="144"/>
      <c r="K66" s="144"/>
      <c r="L66" s="144"/>
      <c r="M66" s="144"/>
      <c r="N66" s="147"/>
      <c r="O66" s="148"/>
      <c r="P66" s="524"/>
      <c r="Q66" s="524"/>
      <c r="R66" s="524"/>
    </row>
    <row r="67" spans="1:18" s="146" customFormat="1" ht="15" customHeight="1" x14ac:dyDescent="0.25">
      <c r="A67" s="742" t="s">
        <v>315</v>
      </c>
      <c r="B67" s="742"/>
      <c r="C67" s="742"/>
      <c r="D67" s="148"/>
      <c r="E67" s="148"/>
      <c r="F67" s="148"/>
      <c r="G67" s="148"/>
      <c r="H67" s="148"/>
      <c r="I67" s="553"/>
      <c r="J67" s="149"/>
      <c r="K67" s="148"/>
      <c r="L67" s="149"/>
      <c r="M67" s="148"/>
      <c r="N67" s="148"/>
      <c r="O67" s="543" t="s">
        <v>314</v>
      </c>
      <c r="P67" s="148"/>
      <c r="Q67" s="148"/>
      <c r="R67" s="148"/>
    </row>
  </sheetData>
  <mergeCells count="10">
    <mergeCell ref="A1:R1"/>
    <mergeCell ref="L7:P8"/>
    <mergeCell ref="Q7:R8"/>
    <mergeCell ref="I7:K7"/>
    <mergeCell ref="A7:H8"/>
    <mergeCell ref="A62:C62"/>
    <mergeCell ref="A63:C63"/>
    <mergeCell ref="A67:C67"/>
    <mergeCell ref="B50:F50"/>
    <mergeCell ref="A54:G54"/>
  </mergeCells>
  <printOptions horizontalCentered="1"/>
  <pageMargins left="0.15748031496062992" right="0.16" top="0.39370078740157483" bottom="0" header="0.55118110236220474" footer="0.51181102362204722"/>
  <pageSetup paperSize="256" scale="65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K243"/>
  <sheetViews>
    <sheetView view="pageBreakPreview" topLeftCell="A94" zoomScaleSheetLayoutView="100" workbookViewId="0">
      <selection activeCell="I55" sqref="I55"/>
    </sheetView>
  </sheetViews>
  <sheetFormatPr defaultRowHeight="15.75" x14ac:dyDescent="0.25"/>
  <cols>
    <col min="1" max="1" width="5.85546875" style="45" customWidth="1"/>
    <col min="2" max="2" width="31.85546875" style="45" customWidth="1"/>
    <col min="3" max="4" width="21.42578125" style="45" customWidth="1"/>
    <col min="5" max="5" width="14.140625" style="45" customWidth="1"/>
    <col min="6" max="6" width="10.28515625" style="45" customWidth="1"/>
    <col min="7" max="7" width="15.42578125" style="45" customWidth="1"/>
    <col min="8" max="8" width="3.140625" style="97" customWidth="1"/>
    <col min="9" max="9" width="13.42578125" style="97" customWidth="1"/>
    <col min="10" max="10" width="15.28515625" style="97" customWidth="1"/>
    <col min="11" max="11" width="14.7109375" style="45" customWidth="1"/>
    <col min="12" max="16384" width="9.140625" style="45"/>
  </cols>
  <sheetData>
    <row r="1" spans="1:10" s="128" customFormat="1" ht="26.25" customHeight="1" x14ac:dyDescent="0.4">
      <c r="A1" s="797" t="s">
        <v>131</v>
      </c>
      <c r="B1" s="797"/>
      <c r="C1" s="797"/>
      <c r="D1" s="797"/>
      <c r="E1" s="797"/>
      <c r="F1" s="797"/>
      <c r="G1" s="797"/>
      <c r="H1" s="797"/>
      <c r="I1" s="797"/>
      <c r="J1" s="797"/>
    </row>
    <row r="2" spans="1:10" s="128" customFormat="1" ht="26.25" customHeight="1" x14ac:dyDescent="0.4">
      <c r="A2" s="797" t="s">
        <v>130</v>
      </c>
      <c r="B2" s="797"/>
      <c r="C2" s="797"/>
      <c r="D2" s="797"/>
      <c r="E2" s="797"/>
      <c r="F2" s="797"/>
      <c r="G2" s="797"/>
      <c r="H2" s="797"/>
      <c r="I2" s="797"/>
      <c r="J2" s="797"/>
    </row>
    <row r="3" spans="1:10" s="128" customFormat="1" ht="26.25" customHeight="1" thickBot="1" x14ac:dyDescent="0.45">
      <c r="A3" s="798" t="s">
        <v>359</v>
      </c>
      <c r="B3" s="798"/>
      <c r="C3" s="798"/>
      <c r="D3" s="798"/>
      <c r="E3" s="798"/>
      <c r="F3" s="798"/>
      <c r="G3" s="798"/>
      <c r="H3" s="798"/>
      <c r="I3" s="798"/>
      <c r="J3" s="798"/>
    </row>
    <row r="4" spans="1:10" ht="16.5" thickTop="1" x14ac:dyDescent="0.25">
      <c r="B4" s="772"/>
      <c r="C4" s="772"/>
      <c r="D4" s="772"/>
      <c r="E4" s="772"/>
      <c r="F4" s="772"/>
      <c r="G4" s="772"/>
      <c r="H4" s="772"/>
      <c r="I4" s="772"/>
      <c r="J4" s="772"/>
    </row>
    <row r="5" spans="1:10" x14ac:dyDescent="0.25">
      <c r="A5" s="760" t="s">
        <v>23</v>
      </c>
      <c r="B5" s="760"/>
      <c r="C5" s="760"/>
      <c r="D5" s="760"/>
      <c r="E5" s="760"/>
      <c r="F5" s="760"/>
      <c r="G5" s="760"/>
      <c r="H5" s="760"/>
      <c r="I5" s="760"/>
      <c r="J5" s="760"/>
    </row>
    <row r="7" spans="1:10" x14ac:dyDescent="0.25">
      <c r="A7" s="45" t="s">
        <v>89</v>
      </c>
      <c r="C7" s="45" t="s">
        <v>191</v>
      </c>
      <c r="E7" s="51"/>
      <c r="F7" s="51" t="s">
        <v>32</v>
      </c>
      <c r="H7" s="97" t="s">
        <v>27</v>
      </c>
      <c r="I7" s="365" t="str">
        <f>'7. RAB'!F4</f>
        <v>: 2.10</v>
      </c>
    </row>
    <row r="8" spans="1:10" x14ac:dyDescent="0.25">
      <c r="A8" s="45" t="s">
        <v>90</v>
      </c>
      <c r="C8" s="45" t="str">
        <f>'3. Analisa'!E3</f>
        <v>: Muaro Jambi</v>
      </c>
      <c r="E8" s="51"/>
      <c r="F8" s="51" t="s">
        <v>24</v>
      </c>
      <c r="H8" s="97" t="s">
        <v>27</v>
      </c>
      <c r="I8" s="97" t="s">
        <v>169</v>
      </c>
    </row>
    <row r="9" spans="1:10" x14ac:dyDescent="0.25">
      <c r="A9" s="45" t="s">
        <v>67</v>
      </c>
      <c r="C9" s="45" t="str">
        <f>'3. Analisa'!E4</f>
        <v>: Bahar Selatan</v>
      </c>
      <c r="E9" s="47"/>
      <c r="F9" s="51" t="s">
        <v>25</v>
      </c>
      <c r="H9" s="97" t="s">
        <v>27</v>
      </c>
      <c r="I9" s="97" t="s">
        <v>168</v>
      </c>
    </row>
    <row r="10" spans="1:10" x14ac:dyDescent="0.25">
      <c r="A10" s="45" t="s">
        <v>91</v>
      </c>
      <c r="C10" s="45" t="str">
        <f>'3. Analisa'!E5</f>
        <v>: Tanjung Mulya</v>
      </c>
      <c r="E10" s="47"/>
      <c r="F10" s="51" t="s">
        <v>26</v>
      </c>
      <c r="H10" s="97" t="s">
        <v>27</v>
      </c>
      <c r="I10" s="366" t="str">
        <f>'2. TOS'!M19</f>
        <v>70 x 3.5</v>
      </c>
      <c r="J10" s="97" t="s">
        <v>376</v>
      </c>
    </row>
    <row r="11" spans="1:10" ht="16.5" thickBot="1" x14ac:dyDescent="0.3">
      <c r="E11" s="47"/>
      <c r="F11" s="51"/>
    </row>
    <row r="12" spans="1:10" ht="16.5" customHeight="1" thickTop="1" x14ac:dyDescent="0.25">
      <c r="A12" s="799" t="s">
        <v>73</v>
      </c>
      <c r="B12" s="802" t="s">
        <v>28</v>
      </c>
      <c r="C12" s="805" t="s">
        <v>84</v>
      </c>
      <c r="D12" s="805"/>
      <c r="E12" s="805"/>
      <c r="F12" s="802" t="s">
        <v>86</v>
      </c>
      <c r="G12" s="802" t="s">
        <v>87</v>
      </c>
      <c r="H12" s="806" t="s">
        <v>88</v>
      </c>
      <c r="I12" s="807"/>
      <c r="J12" s="808"/>
    </row>
    <row r="13" spans="1:10" ht="15.75" customHeight="1" x14ac:dyDescent="0.25">
      <c r="A13" s="800"/>
      <c r="B13" s="803"/>
      <c r="C13" s="803" t="s">
        <v>29</v>
      </c>
      <c r="D13" s="803" t="s">
        <v>85</v>
      </c>
      <c r="E13" s="803" t="s">
        <v>116</v>
      </c>
      <c r="F13" s="803"/>
      <c r="G13" s="803"/>
      <c r="H13" s="809" t="s">
        <v>85</v>
      </c>
      <c r="I13" s="810"/>
      <c r="J13" s="813" t="s">
        <v>115</v>
      </c>
    </row>
    <row r="14" spans="1:10" ht="16.5" thickBot="1" x14ac:dyDescent="0.3">
      <c r="A14" s="801"/>
      <c r="B14" s="804"/>
      <c r="C14" s="804"/>
      <c r="D14" s="804"/>
      <c r="E14" s="804"/>
      <c r="F14" s="804"/>
      <c r="G14" s="804"/>
      <c r="H14" s="811"/>
      <c r="I14" s="812"/>
      <c r="J14" s="814"/>
    </row>
    <row r="15" spans="1:10" ht="16.5" thickTop="1" x14ac:dyDescent="0.25">
      <c r="A15" s="52" t="s">
        <v>18</v>
      </c>
      <c r="B15" s="53" t="s">
        <v>11</v>
      </c>
      <c r="C15" s="54"/>
      <c r="D15" s="54"/>
      <c r="E15" s="54"/>
      <c r="F15" s="54"/>
      <c r="G15" s="54"/>
      <c r="H15" s="789"/>
      <c r="I15" s="790"/>
      <c r="J15" s="372"/>
    </row>
    <row r="16" spans="1:10" x14ac:dyDescent="0.25">
      <c r="A16" s="55"/>
      <c r="B16" s="56"/>
      <c r="C16" s="57"/>
      <c r="D16" s="57"/>
      <c r="E16" s="57"/>
      <c r="F16" s="58"/>
      <c r="G16" s="59"/>
      <c r="H16" s="773"/>
      <c r="I16" s="774"/>
      <c r="J16" s="373"/>
    </row>
    <row r="17" spans="1:11" ht="16.5" thickBot="1" x14ac:dyDescent="0.3">
      <c r="A17" s="61"/>
      <c r="B17" s="62"/>
      <c r="C17" s="63"/>
      <c r="D17" s="64"/>
      <c r="E17" s="63"/>
      <c r="F17" s="63"/>
      <c r="G17" s="62"/>
      <c r="H17" s="791"/>
      <c r="I17" s="792"/>
      <c r="J17" s="374"/>
    </row>
    <row r="18" spans="1:11" ht="17.25" thickTop="1" thickBot="1" x14ac:dyDescent="0.3">
      <c r="A18" s="793" t="s">
        <v>43</v>
      </c>
      <c r="B18" s="794"/>
      <c r="C18" s="794"/>
      <c r="D18" s="794"/>
      <c r="E18" s="794"/>
      <c r="F18" s="794"/>
      <c r="G18" s="794"/>
      <c r="H18" s="795">
        <f>SUM(I16:I17)</f>
        <v>0</v>
      </c>
      <c r="I18" s="796"/>
      <c r="J18" s="375">
        <f>SUM(J16:J17)</f>
        <v>0</v>
      </c>
    </row>
    <row r="19" spans="1:11" ht="16.5" thickTop="1" x14ac:dyDescent="0.25">
      <c r="A19" s="52" t="s">
        <v>22</v>
      </c>
      <c r="B19" s="65" t="s">
        <v>69</v>
      </c>
      <c r="C19" s="66"/>
      <c r="D19" s="66"/>
      <c r="E19" s="66"/>
      <c r="F19" s="66"/>
      <c r="G19" s="66"/>
      <c r="H19" s="773"/>
      <c r="I19" s="774"/>
      <c r="J19" s="372"/>
    </row>
    <row r="20" spans="1:11" x14ac:dyDescent="0.25">
      <c r="A20" s="55"/>
      <c r="B20" s="56"/>
      <c r="C20" s="57"/>
      <c r="D20" s="68"/>
      <c r="E20" s="57"/>
      <c r="F20" s="67"/>
      <c r="G20" s="56"/>
      <c r="H20" s="773"/>
      <c r="I20" s="774"/>
      <c r="J20" s="373"/>
    </row>
    <row r="21" spans="1:11" ht="16.5" thickBot="1" x14ac:dyDescent="0.3">
      <c r="A21" s="61"/>
      <c r="B21" s="62"/>
      <c r="C21" s="63"/>
      <c r="D21" s="63"/>
      <c r="E21" s="63"/>
      <c r="F21" s="63"/>
      <c r="G21" s="62"/>
      <c r="H21" s="773"/>
      <c r="I21" s="774"/>
      <c r="J21" s="374"/>
    </row>
    <row r="22" spans="1:11" ht="17.25" thickTop="1" thickBot="1" x14ac:dyDescent="0.3">
      <c r="A22" s="783" t="s">
        <v>42</v>
      </c>
      <c r="B22" s="784"/>
      <c r="C22" s="784"/>
      <c r="D22" s="784"/>
      <c r="E22" s="784"/>
      <c r="F22" s="784"/>
      <c r="G22" s="785"/>
      <c r="H22" s="795">
        <f>SUM(I20:I21)</f>
        <v>0</v>
      </c>
      <c r="I22" s="796"/>
      <c r="J22" s="375">
        <f>SUM(J20:J21)</f>
        <v>0</v>
      </c>
    </row>
    <row r="23" spans="1:11" ht="16.5" thickTop="1" x14ac:dyDescent="0.25">
      <c r="A23" s="52" t="s">
        <v>41</v>
      </c>
      <c r="B23" s="69" t="s">
        <v>12</v>
      </c>
      <c r="C23" s="66"/>
      <c r="D23" s="66"/>
      <c r="E23" s="66"/>
      <c r="F23" s="66"/>
      <c r="G23" s="66"/>
      <c r="H23" s="773"/>
      <c r="I23" s="774"/>
      <c r="J23" s="372"/>
    </row>
    <row r="24" spans="1:11" x14ac:dyDescent="0.25">
      <c r="A24" s="70">
        <v>1</v>
      </c>
      <c r="B24" s="56" t="s">
        <v>83</v>
      </c>
      <c r="C24" s="57">
        <f>+D24+E24</f>
        <v>25</v>
      </c>
      <c r="D24" s="57">
        <v>0</v>
      </c>
      <c r="E24" s="57">
        <f>'3. Analisa'!Q14</f>
        <v>25</v>
      </c>
      <c r="F24" s="58" t="s">
        <v>14</v>
      </c>
      <c r="G24" s="59">
        <f>+'5. Rekap Bahan &amp; Upah'!G32</f>
        <v>100000</v>
      </c>
      <c r="H24" s="773"/>
      <c r="I24" s="774"/>
      <c r="J24" s="373">
        <f>E24*G24</f>
        <v>2500000</v>
      </c>
    </row>
    <row r="25" spans="1:11" x14ac:dyDescent="0.25">
      <c r="A25" s="70">
        <v>2</v>
      </c>
      <c r="B25" s="56" t="s">
        <v>82</v>
      </c>
      <c r="C25" s="57">
        <f>+D25+E25</f>
        <v>0</v>
      </c>
      <c r="D25" s="57">
        <v>0</v>
      </c>
      <c r="E25" s="57">
        <f>'3. Analisa'!Q13</f>
        <v>0</v>
      </c>
      <c r="F25" s="58" t="s">
        <v>14</v>
      </c>
      <c r="G25" s="59">
        <f>+'5. Rekap Bahan &amp; Upah'!G33</f>
        <v>140000</v>
      </c>
      <c r="H25" s="773"/>
      <c r="I25" s="774"/>
      <c r="J25" s="373">
        <f>E25*G25</f>
        <v>0</v>
      </c>
    </row>
    <row r="26" spans="1:11" x14ac:dyDescent="0.25">
      <c r="A26" s="55"/>
      <c r="B26" s="56"/>
      <c r="C26" s="57"/>
      <c r="D26" s="57"/>
      <c r="E26" s="57"/>
      <c r="F26" s="58"/>
      <c r="G26" s="59"/>
      <c r="H26" s="773"/>
      <c r="I26" s="774"/>
      <c r="J26" s="373"/>
    </row>
    <row r="27" spans="1:11" ht="16.5" thickBot="1" x14ac:dyDescent="0.3">
      <c r="A27" s="61"/>
      <c r="B27" s="62"/>
      <c r="C27" s="63"/>
      <c r="D27" s="63"/>
      <c r="E27" s="63"/>
      <c r="F27" s="63"/>
      <c r="G27" s="62"/>
      <c r="H27" s="773"/>
      <c r="I27" s="774"/>
      <c r="J27" s="374"/>
    </row>
    <row r="28" spans="1:11" ht="17.25" thickTop="1" thickBot="1" x14ac:dyDescent="0.3">
      <c r="A28" s="775" t="s">
        <v>44</v>
      </c>
      <c r="B28" s="776"/>
      <c r="C28" s="776"/>
      <c r="D28" s="776"/>
      <c r="E28" s="776"/>
      <c r="F28" s="776"/>
      <c r="G28" s="777"/>
      <c r="H28" s="778">
        <f>SUM(I24:I27)</f>
        <v>0</v>
      </c>
      <c r="I28" s="779"/>
      <c r="J28" s="376">
        <f>SUM(J24:J27)</f>
        <v>2500000</v>
      </c>
    </row>
    <row r="29" spans="1:11" ht="17.25" thickTop="1" thickBot="1" x14ac:dyDescent="0.3">
      <c r="A29" s="780"/>
      <c r="B29" s="781"/>
      <c r="C29" s="781"/>
      <c r="D29" s="781"/>
      <c r="E29" s="781"/>
      <c r="F29" s="781"/>
      <c r="G29" s="781"/>
      <c r="H29" s="781"/>
      <c r="I29" s="781"/>
      <c r="J29" s="782"/>
    </row>
    <row r="30" spans="1:11" ht="17.25" thickTop="1" thickBot="1" x14ac:dyDescent="0.3">
      <c r="A30" s="783" t="s">
        <v>33</v>
      </c>
      <c r="B30" s="784"/>
      <c r="C30" s="784"/>
      <c r="D30" s="784"/>
      <c r="E30" s="784"/>
      <c r="F30" s="784"/>
      <c r="G30" s="785"/>
      <c r="H30" s="786">
        <f>+J28+H28+J22+H22+J18+H18</f>
        <v>2500000</v>
      </c>
      <c r="I30" s="787"/>
      <c r="J30" s="788"/>
    </row>
    <row r="31" spans="1:11" ht="17.25" thickTop="1" thickBot="1" x14ac:dyDescent="0.3">
      <c r="B31" s="72"/>
      <c r="C31" s="72"/>
      <c r="D31" s="72"/>
      <c r="E31" s="72"/>
      <c r="F31" s="72"/>
      <c r="G31" s="72"/>
      <c r="H31" s="367"/>
      <c r="I31" s="367"/>
      <c r="J31" s="367"/>
    </row>
    <row r="32" spans="1:11" ht="16.5" thickTop="1" x14ac:dyDescent="0.25">
      <c r="B32" s="72"/>
      <c r="C32" s="72"/>
      <c r="D32" s="761" t="s">
        <v>34</v>
      </c>
      <c r="E32" s="762"/>
      <c r="F32" s="767" t="s">
        <v>116</v>
      </c>
      <c r="G32" s="767"/>
      <c r="H32" s="767"/>
      <c r="I32" s="767"/>
      <c r="J32" s="377">
        <f>+H30</f>
        <v>2500000</v>
      </c>
      <c r="K32" s="73"/>
    </row>
    <row r="33" spans="1:11" x14ac:dyDescent="0.25">
      <c r="B33" s="72"/>
      <c r="C33" s="72"/>
      <c r="D33" s="763"/>
      <c r="E33" s="764"/>
      <c r="F33" s="768" t="s">
        <v>79</v>
      </c>
      <c r="G33" s="769"/>
      <c r="H33" s="769"/>
      <c r="I33" s="770"/>
      <c r="J33" s="378"/>
      <c r="K33" s="73"/>
    </row>
    <row r="34" spans="1:11" ht="16.5" thickBot="1" x14ac:dyDescent="0.3">
      <c r="B34" s="72"/>
      <c r="C34" s="72"/>
      <c r="D34" s="765"/>
      <c r="E34" s="766"/>
      <c r="F34" s="771" t="s">
        <v>80</v>
      </c>
      <c r="G34" s="771"/>
      <c r="H34" s="771"/>
      <c r="I34" s="771"/>
      <c r="J34" s="379">
        <f>J32+J33</f>
        <v>2500000</v>
      </c>
    </row>
    <row r="35" spans="1:11" ht="16.5" thickTop="1" x14ac:dyDescent="0.25">
      <c r="B35" s="72"/>
      <c r="C35" s="72"/>
      <c r="D35" s="75"/>
      <c r="E35" s="75"/>
      <c r="F35" s="76"/>
      <c r="G35" s="76"/>
      <c r="H35" s="368"/>
      <c r="I35" s="368"/>
      <c r="J35" s="380"/>
    </row>
    <row r="37" spans="1:11" x14ac:dyDescent="0.25">
      <c r="A37" s="772" t="s">
        <v>96</v>
      </c>
      <c r="B37" s="772"/>
      <c r="D37" s="772" t="s">
        <v>93</v>
      </c>
      <c r="E37" s="772"/>
      <c r="H37" s="772" t="s">
        <v>95</v>
      </c>
      <c r="I37" s="772"/>
      <c r="J37" s="772"/>
    </row>
    <row r="38" spans="1:11" x14ac:dyDescent="0.25">
      <c r="A38" s="772" t="s">
        <v>317</v>
      </c>
      <c r="B38" s="772"/>
      <c r="D38" s="772" t="s">
        <v>94</v>
      </c>
      <c r="E38" s="772"/>
      <c r="H38" s="772" t="s">
        <v>135</v>
      </c>
      <c r="I38" s="772"/>
      <c r="J38" s="772"/>
    </row>
    <row r="39" spans="1:11" x14ac:dyDescent="0.25">
      <c r="B39" s="46"/>
      <c r="D39" s="542"/>
      <c r="H39" s="47"/>
      <c r="I39" s="45"/>
      <c r="J39" s="45"/>
    </row>
    <row r="40" spans="1:11" x14ac:dyDescent="0.25">
      <c r="B40" s="46"/>
      <c r="D40" s="542"/>
      <c r="H40" s="46"/>
      <c r="I40" s="45"/>
      <c r="J40" s="45"/>
    </row>
    <row r="41" spans="1:11" x14ac:dyDescent="0.25">
      <c r="B41" s="47"/>
      <c r="D41" s="47"/>
      <c r="H41" s="45"/>
      <c r="I41" s="45"/>
      <c r="J41" s="45"/>
    </row>
    <row r="42" spans="1:11" x14ac:dyDescent="0.25">
      <c r="B42" s="47"/>
      <c r="D42" s="47"/>
      <c r="H42" s="45"/>
      <c r="I42" s="45"/>
      <c r="J42" s="45"/>
    </row>
    <row r="43" spans="1:11" x14ac:dyDescent="0.25">
      <c r="A43" s="760" t="str">
        <f>'3. Analisa'!A67:C67</f>
        <v>TIRTO  NADI</v>
      </c>
      <c r="B43" s="760"/>
      <c r="D43" s="760" t="str">
        <f>'3. Analisa'!O67</f>
        <v>SUPARNO</v>
      </c>
      <c r="E43" s="760"/>
      <c r="H43" s="760" t="s">
        <v>321</v>
      </c>
      <c r="I43" s="760"/>
      <c r="J43" s="760"/>
    </row>
    <row r="44" spans="1:11" x14ac:dyDescent="0.25">
      <c r="B44" s="46"/>
      <c r="C44" s="47"/>
      <c r="D44" s="47"/>
      <c r="E44" s="772"/>
      <c r="F44" s="772"/>
      <c r="G44" s="772"/>
      <c r="H44" s="369"/>
      <c r="I44" s="369"/>
      <c r="J44" s="369"/>
    </row>
    <row r="46" spans="1:11" s="127" customFormat="1" ht="27" customHeight="1" x14ac:dyDescent="0.3">
      <c r="A46" s="797" t="str">
        <f>A1</f>
        <v>PEMERINTAH DAERAH KABUPATEN MUARO JAMBI</v>
      </c>
      <c r="B46" s="797"/>
      <c r="C46" s="797"/>
      <c r="D46" s="797"/>
      <c r="E46" s="797"/>
      <c r="F46" s="797"/>
      <c r="G46" s="797"/>
      <c r="H46" s="797"/>
      <c r="I46" s="797"/>
      <c r="J46" s="797"/>
    </row>
    <row r="47" spans="1:11" s="127" customFormat="1" ht="27" customHeight="1" x14ac:dyDescent="0.3">
      <c r="A47" s="797" t="str">
        <f>A2</f>
        <v>KECAMATAN BAHAR SELATAN</v>
      </c>
      <c r="B47" s="797"/>
      <c r="C47" s="797"/>
      <c r="D47" s="797"/>
      <c r="E47" s="797"/>
      <c r="F47" s="797"/>
      <c r="G47" s="797"/>
      <c r="H47" s="797"/>
      <c r="I47" s="797"/>
      <c r="J47" s="797"/>
    </row>
    <row r="48" spans="1:11" s="127" customFormat="1" ht="27" customHeight="1" thickBot="1" x14ac:dyDescent="0.35">
      <c r="A48" s="798" t="str">
        <f>A3</f>
        <v>DESA TANJUNG MULYA</v>
      </c>
      <c r="B48" s="798"/>
      <c r="C48" s="798"/>
      <c r="D48" s="798"/>
      <c r="E48" s="798"/>
      <c r="F48" s="798"/>
      <c r="G48" s="798"/>
      <c r="H48" s="798"/>
      <c r="I48" s="798"/>
      <c r="J48" s="798"/>
    </row>
    <row r="49" spans="1:10" ht="16.5" thickTop="1" x14ac:dyDescent="0.25">
      <c r="B49" s="772"/>
      <c r="C49" s="772"/>
      <c r="D49" s="772"/>
      <c r="E49" s="772"/>
      <c r="F49" s="772"/>
      <c r="G49" s="772"/>
      <c r="H49" s="772"/>
      <c r="I49" s="772"/>
      <c r="J49" s="772"/>
    </row>
    <row r="50" spans="1:10" x14ac:dyDescent="0.25">
      <c r="A50" s="760" t="s">
        <v>23</v>
      </c>
      <c r="B50" s="760"/>
      <c r="C50" s="760"/>
      <c r="D50" s="760"/>
      <c r="E50" s="760"/>
      <c r="F50" s="760"/>
      <c r="G50" s="760"/>
      <c r="H50" s="760"/>
      <c r="I50" s="760"/>
      <c r="J50" s="760"/>
    </row>
    <row r="52" spans="1:10" x14ac:dyDescent="0.25">
      <c r="A52" s="45" t="s">
        <v>89</v>
      </c>
      <c r="C52" s="45" t="str">
        <f>C7</f>
        <v>: Jambi</v>
      </c>
      <c r="E52" s="51"/>
      <c r="F52" s="51" t="s">
        <v>32</v>
      </c>
      <c r="H52" s="97" t="s">
        <v>27</v>
      </c>
      <c r="I52" s="370" t="s">
        <v>170</v>
      </c>
    </row>
    <row r="53" spans="1:10" x14ac:dyDescent="0.25">
      <c r="A53" s="45" t="s">
        <v>90</v>
      </c>
      <c r="C53" s="45" t="str">
        <f>C8</f>
        <v>: Muaro Jambi</v>
      </c>
      <c r="E53" s="51"/>
      <c r="F53" s="51" t="s">
        <v>24</v>
      </c>
      <c r="H53" s="97" t="s">
        <v>27</v>
      </c>
      <c r="I53" s="366" t="str">
        <f>I8</f>
        <v>DDs Tahun Anggaran 2018</v>
      </c>
    </row>
    <row r="54" spans="1:10" x14ac:dyDescent="0.25">
      <c r="A54" s="45" t="s">
        <v>67</v>
      </c>
      <c r="C54" s="45" t="str">
        <f>C9</f>
        <v>: Bahar Selatan</v>
      </c>
      <c r="E54" s="47"/>
      <c r="F54" s="51" t="s">
        <v>25</v>
      </c>
      <c r="H54" s="97" t="s">
        <v>27</v>
      </c>
      <c r="I54" s="97" t="s">
        <v>171</v>
      </c>
    </row>
    <row r="55" spans="1:10" x14ac:dyDescent="0.25">
      <c r="A55" s="45" t="s">
        <v>91</v>
      </c>
      <c r="C55" s="45" t="str">
        <f>C10</f>
        <v>: Tanjung Mulya</v>
      </c>
      <c r="E55" s="47"/>
      <c r="F55" s="51" t="s">
        <v>26</v>
      </c>
      <c r="H55" s="97" t="s">
        <v>27</v>
      </c>
      <c r="I55" s="660">
        <f>'2. TOS'!M52</f>
        <v>21</v>
      </c>
    </row>
    <row r="56" spans="1:10" ht="16.5" thickBot="1" x14ac:dyDescent="0.3">
      <c r="E56" s="47"/>
      <c r="F56" s="51"/>
    </row>
    <row r="57" spans="1:10" ht="16.5" customHeight="1" thickTop="1" x14ac:dyDescent="0.25">
      <c r="A57" s="799" t="s">
        <v>73</v>
      </c>
      <c r="B57" s="802" t="s">
        <v>28</v>
      </c>
      <c r="C57" s="805" t="s">
        <v>84</v>
      </c>
      <c r="D57" s="805"/>
      <c r="E57" s="805"/>
      <c r="F57" s="802" t="s">
        <v>86</v>
      </c>
      <c r="G57" s="802" t="s">
        <v>87</v>
      </c>
      <c r="H57" s="806" t="s">
        <v>88</v>
      </c>
      <c r="I57" s="807"/>
      <c r="J57" s="808"/>
    </row>
    <row r="58" spans="1:10" ht="15.75" customHeight="1" x14ac:dyDescent="0.25">
      <c r="A58" s="800"/>
      <c r="B58" s="803"/>
      <c r="C58" s="803" t="s">
        <v>29</v>
      </c>
      <c r="D58" s="803" t="s">
        <v>85</v>
      </c>
      <c r="E58" s="803" t="s">
        <v>116</v>
      </c>
      <c r="F58" s="803"/>
      <c r="G58" s="803"/>
      <c r="H58" s="809" t="s">
        <v>85</v>
      </c>
      <c r="I58" s="810"/>
      <c r="J58" s="813" t="s">
        <v>115</v>
      </c>
    </row>
    <row r="59" spans="1:10" ht="16.5" thickBot="1" x14ac:dyDescent="0.3">
      <c r="A59" s="801"/>
      <c r="B59" s="804"/>
      <c r="C59" s="804"/>
      <c r="D59" s="804"/>
      <c r="E59" s="804"/>
      <c r="F59" s="804"/>
      <c r="G59" s="804"/>
      <c r="H59" s="811"/>
      <c r="I59" s="812"/>
      <c r="J59" s="814"/>
    </row>
    <row r="60" spans="1:10" ht="16.5" thickTop="1" x14ac:dyDescent="0.25">
      <c r="A60" s="52" t="s">
        <v>18</v>
      </c>
      <c r="B60" s="53" t="s">
        <v>11</v>
      </c>
      <c r="C60" s="54"/>
      <c r="D60" s="54"/>
      <c r="E60" s="54"/>
      <c r="F60" s="54"/>
      <c r="G60" s="54"/>
      <c r="H60" s="789"/>
      <c r="I60" s="790"/>
      <c r="J60" s="372"/>
    </row>
    <row r="61" spans="1:10" x14ac:dyDescent="0.25">
      <c r="A61" s="70">
        <v>1</v>
      </c>
      <c r="B61" s="56" t="str">
        <f>'3. Analisa'!C19</f>
        <v>Papan Kelas III</v>
      </c>
      <c r="C61" s="57">
        <f>E61+D61</f>
        <v>0.30000000000000004</v>
      </c>
      <c r="D61" s="57"/>
      <c r="E61" s="57">
        <f>'3. Analisa'!Q19</f>
        <v>0.30000000000000004</v>
      </c>
      <c r="F61" s="58">
        <f>'3. Analisa'!R74</f>
        <v>0</v>
      </c>
      <c r="G61" s="59">
        <f>'5. Rekap Bahan &amp; Upah'!G18</f>
        <v>2200000</v>
      </c>
      <c r="H61" s="773"/>
      <c r="I61" s="774"/>
      <c r="J61" s="373">
        <f>E61*G61</f>
        <v>660000.00000000012</v>
      </c>
    </row>
    <row r="62" spans="1:10" x14ac:dyDescent="0.25">
      <c r="A62" s="70">
        <v>2</v>
      </c>
      <c r="B62" s="56" t="s">
        <v>287</v>
      </c>
      <c r="C62" s="57">
        <f>+E62+D62</f>
        <v>0.08</v>
      </c>
      <c r="D62" s="57"/>
      <c r="E62" s="57">
        <f>'3. Analisa'!Q18</f>
        <v>0.08</v>
      </c>
      <c r="F62" s="58"/>
      <c r="G62" s="59">
        <f>'5. Rekap Bahan &amp; Upah'!G19</f>
        <v>2200000</v>
      </c>
      <c r="H62" s="535"/>
      <c r="I62" s="536"/>
      <c r="J62" s="373"/>
    </row>
    <row r="63" spans="1:10" x14ac:dyDescent="0.25">
      <c r="A63" s="70">
        <v>3</v>
      </c>
      <c r="B63" s="56" t="str">
        <f>'3. Analisa'!C20</f>
        <v>Paku</v>
      </c>
      <c r="C63" s="57">
        <f>E63+D63</f>
        <v>1</v>
      </c>
      <c r="D63" s="57"/>
      <c r="E63" s="57">
        <f>'3. Analisa'!Q20</f>
        <v>1</v>
      </c>
      <c r="F63" s="58">
        <f>'3. Analisa'!R76</f>
        <v>0</v>
      </c>
      <c r="G63" s="59">
        <f>'5. Rekap Bahan &amp; Upah'!G20</f>
        <v>22000</v>
      </c>
      <c r="H63" s="773"/>
      <c r="I63" s="774"/>
      <c r="J63" s="373">
        <f>E63*G63</f>
        <v>22000</v>
      </c>
    </row>
    <row r="64" spans="1:10" x14ac:dyDescent="0.25">
      <c r="A64" s="55"/>
      <c r="B64" s="56"/>
      <c r="C64" s="57"/>
      <c r="D64" s="57"/>
      <c r="E64" s="57"/>
      <c r="F64" s="58"/>
      <c r="G64" s="59"/>
      <c r="H64" s="773"/>
      <c r="I64" s="774"/>
      <c r="J64" s="373"/>
    </row>
    <row r="65" spans="1:10" x14ac:dyDescent="0.25">
      <c r="A65" s="55"/>
      <c r="B65" s="56"/>
      <c r="C65" s="57"/>
      <c r="D65" s="57"/>
      <c r="E65" s="60"/>
      <c r="F65" s="58"/>
      <c r="G65" s="59"/>
      <c r="H65" s="773"/>
      <c r="I65" s="774"/>
      <c r="J65" s="373"/>
    </row>
    <row r="66" spans="1:10" x14ac:dyDescent="0.25">
      <c r="A66" s="55"/>
      <c r="B66" s="56"/>
      <c r="C66" s="57"/>
      <c r="D66" s="57"/>
      <c r="E66" s="57"/>
      <c r="F66" s="58"/>
      <c r="G66" s="59"/>
      <c r="H66" s="773"/>
      <c r="I66" s="774"/>
      <c r="J66" s="373"/>
    </row>
    <row r="67" spans="1:10" ht="16.5" thickBot="1" x14ac:dyDescent="0.3">
      <c r="A67" s="61"/>
      <c r="B67" s="62"/>
      <c r="C67" s="63"/>
      <c r="D67" s="64"/>
      <c r="E67" s="63"/>
      <c r="F67" s="63"/>
      <c r="G67" s="62"/>
      <c r="H67" s="773"/>
      <c r="I67" s="774"/>
      <c r="J67" s="374"/>
    </row>
    <row r="68" spans="1:10" ht="17.25" thickTop="1" thickBot="1" x14ac:dyDescent="0.3">
      <c r="A68" s="793" t="s">
        <v>43</v>
      </c>
      <c r="B68" s="794"/>
      <c r="C68" s="794"/>
      <c r="D68" s="794"/>
      <c r="E68" s="794"/>
      <c r="F68" s="794"/>
      <c r="G68" s="794"/>
      <c r="H68" s="778">
        <f>SUM(I65:I67)</f>
        <v>0</v>
      </c>
      <c r="I68" s="779"/>
      <c r="J68" s="375">
        <f>SUM(J61:J67)</f>
        <v>682000.00000000012</v>
      </c>
    </row>
    <row r="69" spans="1:10" ht="16.5" thickTop="1" x14ac:dyDescent="0.25">
      <c r="A69" s="52" t="s">
        <v>22</v>
      </c>
      <c r="B69" s="65" t="s">
        <v>69</v>
      </c>
      <c r="C69" s="66"/>
      <c r="D69" s="66"/>
      <c r="E69" s="66"/>
      <c r="F69" s="66"/>
      <c r="G69" s="66"/>
      <c r="H69" s="789"/>
      <c r="I69" s="790"/>
      <c r="J69" s="372"/>
    </row>
    <row r="70" spans="1:10" x14ac:dyDescent="0.25">
      <c r="A70" s="55"/>
      <c r="B70" s="56"/>
      <c r="C70" s="57"/>
      <c r="D70" s="57"/>
      <c r="E70" s="57"/>
      <c r="F70" s="67"/>
      <c r="G70" s="56"/>
      <c r="H70" s="773"/>
      <c r="I70" s="774"/>
      <c r="J70" s="373"/>
    </row>
    <row r="71" spans="1:10" x14ac:dyDescent="0.25">
      <c r="A71" s="55"/>
      <c r="B71" s="56"/>
      <c r="C71" s="57"/>
      <c r="D71" s="68"/>
      <c r="E71" s="57"/>
      <c r="F71" s="67"/>
      <c r="G71" s="56"/>
      <c r="H71" s="773"/>
      <c r="I71" s="774"/>
      <c r="J71" s="373"/>
    </row>
    <row r="72" spans="1:10" x14ac:dyDescent="0.25">
      <c r="A72" s="55"/>
      <c r="B72" s="56"/>
      <c r="C72" s="57"/>
      <c r="D72" s="68"/>
      <c r="E72" s="57"/>
      <c r="F72" s="67"/>
      <c r="G72" s="56"/>
      <c r="H72" s="773"/>
      <c r="I72" s="774"/>
      <c r="J72" s="373"/>
    </row>
    <row r="73" spans="1:10" ht="16.5" thickBot="1" x14ac:dyDescent="0.3">
      <c r="A73" s="61"/>
      <c r="B73" s="62"/>
      <c r="C73" s="63"/>
      <c r="D73" s="63"/>
      <c r="E73" s="63"/>
      <c r="F73" s="63"/>
      <c r="G73" s="62"/>
      <c r="H73" s="773"/>
      <c r="I73" s="774"/>
      <c r="J73" s="374"/>
    </row>
    <row r="74" spans="1:10" ht="17.25" thickTop="1" thickBot="1" x14ac:dyDescent="0.3">
      <c r="A74" s="783" t="s">
        <v>42</v>
      </c>
      <c r="B74" s="784"/>
      <c r="C74" s="784"/>
      <c r="D74" s="784"/>
      <c r="E74" s="784"/>
      <c r="F74" s="784"/>
      <c r="G74" s="785"/>
      <c r="H74" s="778">
        <f>SUM(I70:I73)</f>
        <v>0</v>
      </c>
      <c r="I74" s="779"/>
      <c r="J74" s="375">
        <f>SUM(J70:J73)</f>
        <v>0</v>
      </c>
    </row>
    <row r="75" spans="1:10" ht="16.5" thickTop="1" x14ac:dyDescent="0.25">
      <c r="A75" s="52" t="s">
        <v>41</v>
      </c>
      <c r="B75" s="69" t="s">
        <v>12</v>
      </c>
      <c r="C75" s="66"/>
      <c r="D75" s="66"/>
      <c r="E75" s="66"/>
      <c r="F75" s="66"/>
      <c r="G75" s="66"/>
      <c r="H75" s="789"/>
      <c r="I75" s="790"/>
      <c r="J75" s="372"/>
    </row>
    <row r="76" spans="1:10" x14ac:dyDescent="0.25">
      <c r="A76" s="70">
        <v>1</v>
      </c>
      <c r="B76" s="56" t="s">
        <v>83</v>
      </c>
      <c r="C76" s="558">
        <f>+D76+E76</f>
        <v>1</v>
      </c>
      <c r="D76" s="57">
        <v>0</v>
      </c>
      <c r="E76" s="57">
        <f>'3. Analisa'!Q24</f>
        <v>1</v>
      </c>
      <c r="F76" s="58" t="s">
        <v>14</v>
      </c>
      <c r="G76" s="59">
        <f>G24</f>
        <v>100000</v>
      </c>
      <c r="H76" s="773"/>
      <c r="I76" s="774"/>
      <c r="J76" s="373">
        <f>E76*G76</f>
        <v>100000</v>
      </c>
    </row>
    <row r="77" spans="1:10" x14ac:dyDescent="0.25">
      <c r="A77" s="70">
        <v>2</v>
      </c>
      <c r="B77" s="56" t="s">
        <v>82</v>
      </c>
      <c r="C77" s="57">
        <f>+D77+E77</f>
        <v>1</v>
      </c>
      <c r="D77" s="57">
        <v>0</v>
      </c>
      <c r="E77" s="57">
        <f>'3. Analisa'!Q23</f>
        <v>1</v>
      </c>
      <c r="F77" s="58" t="s">
        <v>14</v>
      </c>
      <c r="G77" s="59">
        <f>G25</f>
        <v>140000</v>
      </c>
      <c r="H77" s="773"/>
      <c r="I77" s="774"/>
      <c r="J77" s="373">
        <f>E77*G77</f>
        <v>140000</v>
      </c>
    </row>
    <row r="78" spans="1:10" x14ac:dyDescent="0.25">
      <c r="A78" s="55"/>
      <c r="B78" s="56"/>
      <c r="C78" s="57"/>
      <c r="D78" s="57"/>
      <c r="E78" s="57"/>
      <c r="F78" s="58"/>
      <c r="G78" s="59"/>
      <c r="H78" s="773"/>
      <c r="I78" s="774"/>
      <c r="J78" s="373"/>
    </row>
    <row r="79" spans="1:10" ht="16.5" thickBot="1" x14ac:dyDescent="0.3">
      <c r="A79" s="61"/>
      <c r="B79" s="62"/>
      <c r="C79" s="63"/>
      <c r="D79" s="63"/>
      <c r="E79" s="63"/>
      <c r="F79" s="63"/>
      <c r="G79" s="62"/>
      <c r="H79" s="773"/>
      <c r="I79" s="774"/>
      <c r="J79" s="374"/>
    </row>
    <row r="80" spans="1:10" ht="17.25" thickTop="1" thickBot="1" x14ac:dyDescent="0.3">
      <c r="A80" s="775" t="s">
        <v>44</v>
      </c>
      <c r="B80" s="776"/>
      <c r="C80" s="776"/>
      <c r="D80" s="776"/>
      <c r="E80" s="776"/>
      <c r="F80" s="776"/>
      <c r="G80" s="777"/>
      <c r="H80" s="778">
        <f>SUM(I76:I79)</f>
        <v>0</v>
      </c>
      <c r="I80" s="779"/>
      <c r="J80" s="376">
        <f>SUM(J76:J79)</f>
        <v>240000</v>
      </c>
    </row>
    <row r="81" spans="1:10" ht="17.25" thickTop="1" thickBot="1" x14ac:dyDescent="0.3">
      <c r="A81" s="780"/>
      <c r="B81" s="781"/>
      <c r="C81" s="781"/>
      <c r="D81" s="781"/>
      <c r="E81" s="781"/>
      <c r="F81" s="781"/>
      <c r="G81" s="781"/>
      <c r="H81" s="781"/>
      <c r="I81" s="781"/>
      <c r="J81" s="782"/>
    </row>
    <row r="82" spans="1:10" ht="17.25" thickTop="1" thickBot="1" x14ac:dyDescent="0.3">
      <c r="A82" s="783" t="s">
        <v>33</v>
      </c>
      <c r="B82" s="784"/>
      <c r="C82" s="784"/>
      <c r="D82" s="784"/>
      <c r="E82" s="784"/>
      <c r="F82" s="784"/>
      <c r="G82" s="785"/>
      <c r="H82" s="786">
        <f>+J80+I80+J74+I74+J68+I68</f>
        <v>922000.00000000012</v>
      </c>
      <c r="I82" s="787"/>
      <c r="J82" s="788"/>
    </row>
    <row r="83" spans="1:10" ht="17.25" thickTop="1" thickBot="1" x14ac:dyDescent="0.3">
      <c r="B83" s="72"/>
      <c r="C83" s="72"/>
      <c r="D83" s="72"/>
      <c r="E83" s="72"/>
      <c r="F83" s="72"/>
      <c r="G83" s="72"/>
      <c r="H83" s="367"/>
      <c r="I83" s="367"/>
      <c r="J83" s="367"/>
    </row>
    <row r="84" spans="1:10" ht="16.5" thickTop="1" x14ac:dyDescent="0.25">
      <c r="B84" s="72"/>
      <c r="C84" s="72"/>
      <c r="D84" s="761" t="s">
        <v>34</v>
      </c>
      <c r="E84" s="762"/>
      <c r="F84" s="767" t="s">
        <v>116</v>
      </c>
      <c r="G84" s="767"/>
      <c r="H84" s="767"/>
      <c r="I84" s="767"/>
      <c r="J84" s="377">
        <f>+H82</f>
        <v>922000.00000000012</v>
      </c>
    </row>
    <row r="85" spans="1:10" x14ac:dyDescent="0.25">
      <c r="B85" s="72"/>
      <c r="C85" s="72"/>
      <c r="D85" s="763"/>
      <c r="E85" s="764"/>
      <c r="F85" s="768" t="s">
        <v>79</v>
      </c>
      <c r="G85" s="769"/>
      <c r="H85" s="769"/>
      <c r="I85" s="770"/>
      <c r="J85" s="378"/>
    </row>
    <row r="86" spans="1:10" ht="29.25" customHeight="1" thickBot="1" x14ac:dyDescent="0.3">
      <c r="B86" s="72"/>
      <c r="C86" s="72"/>
      <c r="D86" s="765"/>
      <c r="E86" s="766"/>
      <c r="F86" s="771" t="s">
        <v>80</v>
      </c>
      <c r="G86" s="771"/>
      <c r="H86" s="771"/>
      <c r="I86" s="771"/>
      <c r="J86" s="379">
        <f>J84+J85</f>
        <v>922000.00000000012</v>
      </c>
    </row>
    <row r="87" spans="1:10" ht="29.25" customHeight="1" thickTop="1" x14ac:dyDescent="0.25">
      <c r="B87" s="72"/>
      <c r="C87" s="72"/>
      <c r="D87" s="75"/>
      <c r="E87" s="75"/>
      <c r="F87" s="76"/>
      <c r="G87" s="76"/>
      <c r="H87" s="368"/>
      <c r="I87" s="368"/>
      <c r="J87" s="380"/>
    </row>
    <row r="88" spans="1:10" ht="29.25" customHeight="1" x14ac:dyDescent="0.25"/>
    <row r="89" spans="1:10" x14ac:dyDescent="0.25">
      <c r="A89" s="772" t="s">
        <v>96</v>
      </c>
      <c r="B89" s="772"/>
      <c r="D89" s="772" t="s">
        <v>93</v>
      </c>
      <c r="E89" s="772"/>
      <c r="H89" s="772" t="s">
        <v>95</v>
      </c>
      <c r="I89" s="772"/>
      <c r="J89" s="772"/>
    </row>
    <row r="90" spans="1:10" x14ac:dyDescent="0.25">
      <c r="A90" s="772" t="str">
        <f>A38</f>
        <v>Kepala Desa Tanjung Mulya</v>
      </c>
      <c r="B90" s="772"/>
      <c r="D90" s="772" t="s">
        <v>94</v>
      </c>
      <c r="E90" s="772"/>
      <c r="H90" s="772" t="s">
        <v>71</v>
      </c>
      <c r="I90" s="772"/>
      <c r="J90" s="772"/>
    </row>
    <row r="91" spans="1:10" x14ac:dyDescent="0.25">
      <c r="B91" s="46"/>
      <c r="D91" s="542"/>
      <c r="E91" s="47"/>
      <c r="H91" s="47"/>
      <c r="I91" s="45"/>
      <c r="J91" s="45"/>
    </row>
    <row r="92" spans="1:10" x14ac:dyDescent="0.25">
      <c r="B92" s="46"/>
      <c r="D92" s="542"/>
      <c r="E92" s="542"/>
      <c r="H92" s="46"/>
      <c r="I92" s="45"/>
      <c r="J92" s="45"/>
    </row>
    <row r="93" spans="1:10" x14ac:dyDescent="0.25">
      <c r="B93" s="47"/>
      <c r="D93" s="47"/>
      <c r="H93" s="45"/>
      <c r="I93" s="45"/>
      <c r="J93" s="45"/>
    </row>
    <row r="94" spans="1:10" x14ac:dyDescent="0.25">
      <c r="B94" s="47"/>
      <c r="D94" s="47"/>
      <c r="H94" s="45"/>
      <c r="I94" s="45"/>
      <c r="J94" s="45"/>
    </row>
    <row r="95" spans="1:10" x14ac:dyDescent="0.25">
      <c r="A95" s="760" t="str">
        <f>A43</f>
        <v>TIRTO  NADI</v>
      </c>
      <c r="B95" s="760"/>
      <c r="D95" s="760" t="str">
        <f>D43</f>
        <v>SUPARNO</v>
      </c>
      <c r="E95" s="760"/>
      <c r="H95" s="760" t="str">
        <f>H43</f>
        <v>UJANG RAHMAT HIDAYAT</v>
      </c>
      <c r="I95" s="760"/>
      <c r="J95" s="760"/>
    </row>
    <row r="96" spans="1:10" x14ac:dyDescent="0.25">
      <c r="B96" s="153"/>
      <c r="C96" s="47"/>
      <c r="D96" s="47"/>
      <c r="E96" s="772"/>
      <c r="F96" s="772"/>
      <c r="G96" s="772"/>
      <c r="H96" s="369"/>
      <c r="I96" s="369"/>
      <c r="J96" s="369"/>
    </row>
    <row r="97" spans="1:10" x14ac:dyDescent="0.25">
      <c r="B97" s="46"/>
      <c r="C97" s="47"/>
      <c r="D97" s="47"/>
      <c r="E97" s="46"/>
      <c r="F97" s="46"/>
      <c r="G97" s="47"/>
      <c r="H97" s="371"/>
      <c r="I97" s="369"/>
      <c r="J97" s="369"/>
    </row>
    <row r="98" spans="1:10" s="128" customFormat="1" ht="26.25" x14ac:dyDescent="0.4">
      <c r="A98" s="797" t="str">
        <f>A46</f>
        <v>PEMERINTAH DAERAH KABUPATEN MUARO JAMBI</v>
      </c>
      <c r="B98" s="797"/>
      <c r="C98" s="797"/>
      <c r="D98" s="797"/>
      <c r="E98" s="797"/>
      <c r="F98" s="797"/>
      <c r="G98" s="797"/>
      <c r="H98" s="797"/>
      <c r="I98" s="797"/>
      <c r="J98" s="797"/>
    </row>
    <row r="99" spans="1:10" s="128" customFormat="1" ht="26.25" x14ac:dyDescent="0.4">
      <c r="A99" s="797" t="str">
        <f>A47</f>
        <v>KECAMATAN BAHAR SELATAN</v>
      </c>
      <c r="B99" s="797"/>
      <c r="C99" s="797"/>
      <c r="D99" s="797"/>
      <c r="E99" s="797"/>
      <c r="F99" s="797"/>
      <c r="G99" s="797"/>
      <c r="H99" s="797"/>
      <c r="I99" s="797"/>
      <c r="J99" s="797"/>
    </row>
    <row r="100" spans="1:10" s="128" customFormat="1" ht="27" thickBot="1" x14ac:dyDescent="0.45">
      <c r="A100" s="816" t="str">
        <f>A48</f>
        <v>DESA TANJUNG MULYA</v>
      </c>
      <c r="B100" s="816"/>
      <c r="C100" s="816"/>
      <c r="D100" s="816"/>
      <c r="E100" s="816"/>
      <c r="F100" s="816"/>
      <c r="G100" s="816"/>
      <c r="H100" s="816"/>
      <c r="I100" s="816"/>
      <c r="J100" s="816"/>
    </row>
    <row r="101" spans="1:10" x14ac:dyDescent="0.25">
      <c r="B101" s="46"/>
      <c r="C101" s="47"/>
      <c r="D101" s="47"/>
      <c r="E101" s="46"/>
      <c r="F101" s="46"/>
      <c r="G101" s="47"/>
      <c r="H101" s="371"/>
      <c r="I101" s="369"/>
      <c r="J101" s="369"/>
    </row>
    <row r="102" spans="1:10" x14ac:dyDescent="0.25">
      <c r="A102" s="760" t="s">
        <v>23</v>
      </c>
      <c r="B102" s="760"/>
      <c r="C102" s="760"/>
      <c r="D102" s="760"/>
      <c r="E102" s="760"/>
      <c r="F102" s="760"/>
      <c r="G102" s="760"/>
      <c r="H102" s="760"/>
      <c r="I102" s="760"/>
      <c r="J102" s="760"/>
    </row>
    <row r="104" spans="1:10" x14ac:dyDescent="0.25">
      <c r="A104" s="45" t="s">
        <v>89</v>
      </c>
      <c r="C104" s="45" t="str">
        <f>C52</f>
        <v>: Jambi</v>
      </c>
      <c r="E104" s="51"/>
      <c r="F104" s="51" t="s">
        <v>32</v>
      </c>
      <c r="H104" s="97" t="s">
        <v>27</v>
      </c>
      <c r="I104" s="370" t="s">
        <v>235</v>
      </c>
    </row>
    <row r="105" spans="1:10" x14ac:dyDescent="0.25">
      <c r="A105" s="45" t="s">
        <v>90</v>
      </c>
      <c r="C105" s="45" t="str">
        <f>'3. Analisa'!E3</f>
        <v>: Muaro Jambi</v>
      </c>
      <c r="E105" s="51"/>
      <c r="F105" s="51" t="s">
        <v>24</v>
      </c>
      <c r="H105" s="97" t="s">
        <v>27</v>
      </c>
      <c r="I105" s="97" t="str">
        <f>I53</f>
        <v>DDs Tahun Anggaran 2018</v>
      </c>
    </row>
    <row r="106" spans="1:10" x14ac:dyDescent="0.25">
      <c r="A106" s="45" t="s">
        <v>67</v>
      </c>
      <c r="C106" s="45" t="str">
        <f>'3. Analisa'!E4</f>
        <v>: Bahar Selatan</v>
      </c>
      <c r="E106" s="47"/>
      <c r="F106" s="51" t="s">
        <v>25</v>
      </c>
      <c r="H106" s="97" t="s">
        <v>27</v>
      </c>
      <c r="I106" s="97" t="s">
        <v>172</v>
      </c>
    </row>
    <row r="107" spans="1:10" x14ac:dyDescent="0.25">
      <c r="A107" s="45" t="s">
        <v>91</v>
      </c>
      <c r="C107" s="45" t="str">
        <f>'3. Analisa'!E5</f>
        <v>: Tanjung Mulya</v>
      </c>
      <c r="E107" s="47"/>
      <c r="F107" s="51" t="s">
        <v>26</v>
      </c>
      <c r="H107" s="97" t="s">
        <v>27</v>
      </c>
      <c r="I107" s="97">
        <f>'2. TOS'!M117</f>
        <v>49</v>
      </c>
      <c r="J107" s="97" t="s">
        <v>277</v>
      </c>
    </row>
    <row r="108" spans="1:10" ht="16.5" thickBot="1" x14ac:dyDescent="0.3">
      <c r="E108" s="47"/>
      <c r="F108" s="51"/>
    </row>
    <row r="109" spans="1:10" ht="16.5" customHeight="1" thickTop="1" x14ac:dyDescent="0.25">
      <c r="A109" s="799" t="s">
        <v>73</v>
      </c>
      <c r="B109" s="802" t="s">
        <v>28</v>
      </c>
      <c r="C109" s="805" t="s">
        <v>84</v>
      </c>
      <c r="D109" s="805"/>
      <c r="E109" s="805"/>
      <c r="F109" s="802" t="s">
        <v>86</v>
      </c>
      <c r="G109" s="802" t="s">
        <v>87</v>
      </c>
      <c r="H109" s="806" t="s">
        <v>88</v>
      </c>
      <c r="I109" s="807"/>
      <c r="J109" s="808"/>
    </row>
    <row r="110" spans="1:10" ht="15.75" customHeight="1" x14ac:dyDescent="0.25">
      <c r="A110" s="800"/>
      <c r="B110" s="803"/>
      <c r="C110" s="803" t="s">
        <v>29</v>
      </c>
      <c r="D110" s="803" t="s">
        <v>85</v>
      </c>
      <c r="E110" s="803" t="s">
        <v>116</v>
      </c>
      <c r="F110" s="803"/>
      <c r="G110" s="803"/>
      <c r="H110" s="809" t="s">
        <v>85</v>
      </c>
      <c r="I110" s="810"/>
      <c r="J110" s="813" t="s">
        <v>115</v>
      </c>
    </row>
    <row r="111" spans="1:10" ht="16.5" thickBot="1" x14ac:dyDescent="0.3">
      <c r="A111" s="801"/>
      <c r="B111" s="804"/>
      <c r="C111" s="804"/>
      <c r="D111" s="804"/>
      <c r="E111" s="804"/>
      <c r="F111" s="804"/>
      <c r="G111" s="804"/>
      <c r="H111" s="811"/>
      <c r="I111" s="812"/>
      <c r="J111" s="814"/>
    </row>
    <row r="112" spans="1:10" ht="16.5" thickTop="1" x14ac:dyDescent="0.25">
      <c r="A112" s="77" t="s">
        <v>18</v>
      </c>
      <c r="B112" s="78" t="s">
        <v>11</v>
      </c>
      <c r="C112" s="79"/>
      <c r="D112" s="79"/>
      <c r="E112" s="79"/>
      <c r="F112" s="79"/>
      <c r="G112" s="79"/>
      <c r="H112" s="789"/>
      <c r="I112" s="790"/>
      <c r="J112" s="381"/>
    </row>
    <row r="113" spans="1:11" x14ac:dyDescent="0.25">
      <c r="A113" s="70">
        <v>1</v>
      </c>
      <c r="B113" s="71" t="str">
        <f>'3. Analisa'!C37</f>
        <v>Semen PCC 50 Kg</v>
      </c>
      <c r="C113" s="57">
        <f t="shared" ref="C113:C117" si="0">+D113+E113</f>
        <v>294</v>
      </c>
      <c r="D113" s="57"/>
      <c r="E113" s="57">
        <f>'3. Analisa'!Q37</f>
        <v>294</v>
      </c>
      <c r="F113" s="80" t="str">
        <f>'3. Analisa'!R37</f>
        <v>Zak</v>
      </c>
      <c r="G113" s="71">
        <f>+'5. Rekap Bahan &amp; Upah'!G15</f>
        <v>80000</v>
      </c>
      <c r="H113" s="773"/>
      <c r="I113" s="774"/>
      <c r="J113" s="373">
        <f t="shared" ref="J113:J116" si="1">+G113*E113</f>
        <v>23520000</v>
      </c>
    </row>
    <row r="114" spans="1:11" x14ac:dyDescent="0.25">
      <c r="A114" s="70">
        <v>2</v>
      </c>
      <c r="B114" s="71" t="str">
        <f>'3. Analisa'!C38</f>
        <v>Pasir</v>
      </c>
      <c r="C114" s="57">
        <f t="shared" si="0"/>
        <v>28</v>
      </c>
      <c r="D114" s="57"/>
      <c r="E114" s="57">
        <f>'3. Analisa'!Q38</f>
        <v>28</v>
      </c>
      <c r="F114" s="80" t="str">
        <f>'3. Analisa'!R38</f>
        <v>M³</v>
      </c>
      <c r="G114" s="71">
        <f>+'5. Rekap Bahan &amp; Upah'!G16</f>
        <v>250000</v>
      </c>
      <c r="H114" s="773"/>
      <c r="I114" s="774"/>
      <c r="J114" s="373">
        <f t="shared" si="1"/>
        <v>7000000</v>
      </c>
    </row>
    <row r="115" spans="1:11" x14ac:dyDescent="0.25">
      <c r="A115" s="70">
        <v>3</v>
      </c>
      <c r="B115" s="71" t="str">
        <f>'3. Analisa'!C39</f>
        <v>Kerkil</v>
      </c>
      <c r="C115" s="57">
        <f t="shared" si="0"/>
        <v>37</v>
      </c>
      <c r="D115" s="57"/>
      <c r="E115" s="57">
        <f>'3. Analisa'!Q39</f>
        <v>37</v>
      </c>
      <c r="F115" s="80" t="str">
        <f>'3. Analisa'!R39</f>
        <v>M³</v>
      </c>
      <c r="G115" s="71">
        <f>+'5. Rekap Bahan &amp; Upah'!G17</f>
        <v>450000</v>
      </c>
      <c r="H115" s="773"/>
      <c r="I115" s="774"/>
      <c r="J115" s="373">
        <f t="shared" si="1"/>
        <v>16650000</v>
      </c>
    </row>
    <row r="116" spans="1:11" x14ac:dyDescent="0.25">
      <c r="A116" s="70">
        <v>5</v>
      </c>
      <c r="B116" s="71" t="str">
        <f>'3. Analisa'!C28</f>
        <v>Besi Ø 08</v>
      </c>
      <c r="C116" s="57">
        <f t="shared" si="0"/>
        <v>215</v>
      </c>
      <c r="D116" s="57"/>
      <c r="E116" s="57">
        <f>'3. Analisa'!Q28</f>
        <v>215</v>
      </c>
      <c r="F116" s="80" t="s">
        <v>58</v>
      </c>
      <c r="G116" s="71">
        <f>'5. Rekap Bahan &amp; Upah'!G21</f>
        <v>65000</v>
      </c>
      <c r="H116" s="773"/>
      <c r="I116" s="774"/>
      <c r="J116" s="373">
        <f t="shared" si="1"/>
        <v>13975000</v>
      </c>
    </row>
    <row r="117" spans="1:11" x14ac:dyDescent="0.25">
      <c r="A117" s="70">
        <v>6</v>
      </c>
      <c r="B117" s="71" t="str">
        <f>'3. Analisa'!C29</f>
        <v>Kawat Ikat</v>
      </c>
      <c r="C117" s="57">
        <f t="shared" si="0"/>
        <v>4</v>
      </c>
      <c r="D117" s="57"/>
      <c r="E117" s="57">
        <f>'3. Analisa'!Q29</f>
        <v>4</v>
      </c>
      <c r="F117" s="80" t="s">
        <v>15</v>
      </c>
      <c r="G117" s="71">
        <f>'5. Rekap Bahan &amp; Upah'!G22</f>
        <v>25000</v>
      </c>
      <c r="H117" s="773"/>
      <c r="I117" s="774"/>
      <c r="J117" s="373">
        <f>+G117*E117</f>
        <v>100000</v>
      </c>
    </row>
    <row r="118" spans="1:11" x14ac:dyDescent="0.25">
      <c r="A118" s="70"/>
      <c r="B118" s="71"/>
      <c r="C118" s="57"/>
      <c r="D118" s="57"/>
      <c r="E118" s="57"/>
      <c r="F118" s="80"/>
      <c r="G118" s="71"/>
      <c r="H118" s="773"/>
      <c r="I118" s="774"/>
      <c r="J118" s="373"/>
    </row>
    <row r="119" spans="1:11" x14ac:dyDescent="0.25">
      <c r="A119" s="55"/>
      <c r="B119" s="71"/>
      <c r="C119" s="57"/>
      <c r="D119" s="57"/>
      <c r="E119" s="57"/>
      <c r="F119" s="80"/>
      <c r="G119" s="71"/>
      <c r="H119" s="773"/>
      <c r="I119" s="774"/>
      <c r="J119" s="373"/>
    </row>
    <row r="120" spans="1:11" ht="16.5" thickBot="1" x14ac:dyDescent="0.3">
      <c r="A120" s="81"/>
      <c r="B120" s="82"/>
      <c r="C120" s="83"/>
      <c r="D120" s="83"/>
      <c r="E120" s="83"/>
      <c r="F120" s="84"/>
      <c r="G120" s="82"/>
      <c r="H120" s="773"/>
      <c r="I120" s="774"/>
      <c r="J120" s="382"/>
    </row>
    <row r="121" spans="1:11" ht="17.25" thickTop="1" thickBot="1" x14ac:dyDescent="0.3">
      <c r="A121" s="85"/>
      <c r="B121" s="815" t="s">
        <v>43</v>
      </c>
      <c r="C121" s="815"/>
      <c r="D121" s="815"/>
      <c r="E121" s="815"/>
      <c r="F121" s="815"/>
      <c r="G121" s="815"/>
      <c r="H121" s="778">
        <f>SUM(I117:I120)</f>
        <v>0</v>
      </c>
      <c r="I121" s="779"/>
      <c r="J121" s="375">
        <f>SUM(J113:J120)</f>
        <v>61245000</v>
      </c>
    </row>
    <row r="122" spans="1:11" ht="16.5" thickTop="1" x14ac:dyDescent="0.25">
      <c r="A122" s="77" t="s">
        <v>22</v>
      </c>
      <c r="B122" s="78" t="s">
        <v>69</v>
      </c>
      <c r="C122" s="79"/>
      <c r="D122" s="79"/>
      <c r="E122" s="79"/>
      <c r="F122" s="79"/>
      <c r="G122" s="79"/>
      <c r="H122" s="773"/>
      <c r="I122" s="774"/>
      <c r="J122" s="381"/>
    </row>
    <row r="123" spans="1:11" x14ac:dyDescent="0.25">
      <c r="A123" s="70">
        <v>1</v>
      </c>
      <c r="B123" s="71" t="str">
        <f>'3. Analisa'!C42</f>
        <v>Ember Cor</v>
      </c>
      <c r="C123" s="57">
        <f t="shared" ref="C123:C124" si="2">+D123+E123</f>
        <v>12</v>
      </c>
      <c r="D123" s="57"/>
      <c r="E123" s="57">
        <f>'3. Analisa'!Q42</f>
        <v>12</v>
      </c>
      <c r="F123" s="80" t="str">
        <f>'3. Analisa'!R42</f>
        <v>Buah</v>
      </c>
      <c r="G123" s="71">
        <f>+'5. Rekap Bahan &amp; Upah'!G27</f>
        <v>8000</v>
      </c>
      <c r="H123" s="773"/>
      <c r="I123" s="774"/>
      <c r="J123" s="373">
        <f>+G123*E123</f>
        <v>96000</v>
      </c>
      <c r="K123" s="86">
        <f>'5. Rekap Bahan &amp; Upah'!J42</f>
        <v>0</v>
      </c>
    </row>
    <row r="124" spans="1:11" x14ac:dyDescent="0.25">
      <c r="A124" s="70">
        <v>2</v>
      </c>
      <c r="B124" s="71" t="s">
        <v>233</v>
      </c>
      <c r="C124" s="57">
        <f t="shared" si="2"/>
        <v>41</v>
      </c>
      <c r="D124" s="87"/>
      <c r="E124" s="57">
        <f>'3. Analisa'!Q43</f>
        <v>41</v>
      </c>
      <c r="F124" s="80" t="s">
        <v>15</v>
      </c>
      <c r="G124" s="71">
        <v>25000</v>
      </c>
      <c r="H124" s="773"/>
      <c r="I124" s="774"/>
      <c r="J124" s="373">
        <f>+G124*E124</f>
        <v>1025000</v>
      </c>
    </row>
    <row r="125" spans="1:11" x14ac:dyDescent="0.25">
      <c r="A125" s="70"/>
      <c r="B125" s="71"/>
      <c r="C125" s="57"/>
      <c r="D125" s="87"/>
      <c r="E125" s="57"/>
      <c r="F125" s="80"/>
      <c r="G125" s="71"/>
      <c r="H125" s="773"/>
      <c r="I125" s="774"/>
      <c r="J125" s="373"/>
    </row>
    <row r="126" spans="1:11" x14ac:dyDescent="0.25">
      <c r="A126" s="70"/>
      <c r="B126" s="71"/>
      <c r="C126" s="57"/>
      <c r="D126" s="87"/>
      <c r="E126" s="57"/>
      <c r="F126" s="80"/>
      <c r="G126" s="71"/>
      <c r="H126" s="773"/>
      <c r="I126" s="774"/>
      <c r="J126" s="373"/>
    </row>
    <row r="127" spans="1:11" ht="16.5" thickBot="1" x14ac:dyDescent="0.3">
      <c r="A127" s="70"/>
      <c r="B127" s="71"/>
      <c r="C127" s="88"/>
      <c r="D127" s="89"/>
      <c r="E127" s="57"/>
      <c r="F127" s="80"/>
      <c r="G127" s="90"/>
      <c r="H127" s="773"/>
      <c r="I127" s="774"/>
      <c r="J127" s="374"/>
    </row>
    <row r="128" spans="1:11" ht="17.25" thickTop="1" thickBot="1" x14ac:dyDescent="0.3">
      <c r="A128" s="85"/>
      <c r="B128" s="815" t="s">
        <v>42</v>
      </c>
      <c r="C128" s="815"/>
      <c r="D128" s="815"/>
      <c r="E128" s="815"/>
      <c r="F128" s="815"/>
      <c r="G128" s="815"/>
      <c r="H128" s="778">
        <f>SUM(I124:I127)</f>
        <v>0</v>
      </c>
      <c r="I128" s="779"/>
      <c r="J128" s="375">
        <f>SUM(J123:J127)</f>
        <v>1121000</v>
      </c>
    </row>
    <row r="129" spans="1:11" ht="16.5" thickTop="1" x14ac:dyDescent="0.25">
      <c r="A129" s="91" t="s">
        <v>41</v>
      </c>
      <c r="B129" s="92" t="s">
        <v>12</v>
      </c>
      <c r="C129" s="71"/>
      <c r="D129" s="71"/>
      <c r="E129" s="71"/>
      <c r="F129" s="71"/>
      <c r="G129" s="71"/>
      <c r="H129" s="773"/>
      <c r="I129" s="774"/>
      <c r="J129" s="373"/>
    </row>
    <row r="130" spans="1:11" x14ac:dyDescent="0.25">
      <c r="A130" s="70">
        <v>1</v>
      </c>
      <c r="B130" s="56" t="s">
        <v>83</v>
      </c>
      <c r="C130" s="93">
        <f>+D130+E130</f>
        <v>88</v>
      </c>
      <c r="D130" s="93"/>
      <c r="E130" s="93">
        <f>'3. Analisa'!Q46+'3. Analisa'!Q33</f>
        <v>88</v>
      </c>
      <c r="F130" s="80" t="s">
        <v>14</v>
      </c>
      <c r="G130" s="71">
        <f>+'5. Rekap Bahan &amp; Upah'!G32</f>
        <v>100000</v>
      </c>
      <c r="H130" s="773"/>
      <c r="I130" s="774"/>
      <c r="J130" s="373">
        <f>G130*E130</f>
        <v>8800000</v>
      </c>
    </row>
    <row r="131" spans="1:11" x14ac:dyDescent="0.25">
      <c r="A131" s="70">
        <v>2</v>
      </c>
      <c r="B131" s="56" t="s">
        <v>82</v>
      </c>
      <c r="C131" s="93">
        <f>+D131+E131</f>
        <v>9</v>
      </c>
      <c r="D131" s="93"/>
      <c r="E131" s="93">
        <f>'3. Analisa'!Q47+'3. Analisa'!Q32</f>
        <v>9</v>
      </c>
      <c r="F131" s="80" t="s">
        <v>14</v>
      </c>
      <c r="G131" s="71">
        <f>+'5. Rekap Bahan &amp; Upah'!G33</f>
        <v>140000</v>
      </c>
      <c r="H131" s="773"/>
      <c r="I131" s="774"/>
      <c r="J131" s="373">
        <f>G131*E131</f>
        <v>1260000</v>
      </c>
    </row>
    <row r="132" spans="1:11" x14ac:dyDescent="0.25">
      <c r="A132" s="70">
        <v>3</v>
      </c>
      <c r="B132" s="56" t="s">
        <v>151</v>
      </c>
      <c r="C132" s="93">
        <f>+D132+E132</f>
        <v>7</v>
      </c>
      <c r="D132" s="93"/>
      <c r="E132" s="93">
        <f>'3. Analisa'!Q48</f>
        <v>7</v>
      </c>
      <c r="F132" s="80" t="s">
        <v>14</v>
      </c>
      <c r="G132" s="71">
        <f>'5. Rekap Bahan &amp; Upah'!G34</f>
        <v>250000</v>
      </c>
      <c r="H132" s="773"/>
      <c r="I132" s="774"/>
      <c r="J132" s="373">
        <f>G132*E132</f>
        <v>1750000</v>
      </c>
    </row>
    <row r="133" spans="1:11" ht="16.5" thickBot="1" x14ac:dyDescent="0.3">
      <c r="A133" s="55"/>
      <c r="B133" s="71"/>
      <c r="C133" s="80"/>
      <c r="D133" s="80"/>
      <c r="E133" s="80"/>
      <c r="F133" s="80"/>
      <c r="G133" s="71"/>
      <c r="H133" s="773"/>
      <c r="I133" s="774"/>
      <c r="J133" s="373"/>
    </row>
    <row r="134" spans="1:11" ht="17.25" thickTop="1" thickBot="1" x14ac:dyDescent="0.3">
      <c r="A134" s="85"/>
      <c r="B134" s="815" t="s">
        <v>44</v>
      </c>
      <c r="C134" s="815"/>
      <c r="D134" s="815"/>
      <c r="E134" s="815"/>
      <c r="F134" s="815"/>
      <c r="G134" s="815"/>
      <c r="H134" s="778">
        <f>SUM(I130:I133)</f>
        <v>0</v>
      </c>
      <c r="I134" s="779"/>
      <c r="J134" s="375">
        <f>SUM(J130:J133)</f>
        <v>11810000</v>
      </c>
    </row>
    <row r="135" spans="1:11" ht="17.25" thickTop="1" thickBot="1" x14ac:dyDescent="0.3">
      <c r="A135" s="85"/>
      <c r="B135" s="815"/>
      <c r="C135" s="815"/>
      <c r="D135" s="815"/>
      <c r="E135" s="815"/>
      <c r="F135" s="815"/>
      <c r="G135" s="815"/>
      <c r="H135" s="778"/>
      <c r="I135" s="779"/>
      <c r="J135" s="375"/>
    </row>
    <row r="136" spans="1:11" ht="17.25" thickTop="1" thickBot="1" x14ac:dyDescent="0.3">
      <c r="A136" s="85"/>
      <c r="B136" s="815" t="s">
        <v>33</v>
      </c>
      <c r="C136" s="815"/>
      <c r="D136" s="815"/>
      <c r="E136" s="815"/>
      <c r="F136" s="815" t="s">
        <v>33</v>
      </c>
      <c r="G136" s="815"/>
      <c r="H136" s="786">
        <f>J134+J128+J121</f>
        <v>74176000</v>
      </c>
      <c r="I136" s="787"/>
      <c r="J136" s="788"/>
    </row>
    <row r="137" spans="1:11" ht="17.25" thickTop="1" thickBot="1" x14ac:dyDescent="0.3">
      <c r="B137" s="94"/>
      <c r="C137" s="94"/>
      <c r="D137" s="94"/>
      <c r="E137" s="94"/>
      <c r="F137" s="94"/>
      <c r="G137" s="94"/>
      <c r="H137" s="367"/>
      <c r="I137" s="367"/>
      <c r="J137" s="367"/>
    </row>
    <row r="138" spans="1:11" ht="16.5" customHeight="1" thickTop="1" x14ac:dyDescent="0.25">
      <c r="B138" s="94"/>
      <c r="C138" s="94"/>
      <c r="D138" s="761" t="s">
        <v>34</v>
      </c>
      <c r="E138" s="762"/>
      <c r="F138" s="767" t="s">
        <v>116</v>
      </c>
      <c r="G138" s="767"/>
      <c r="H138" s="767"/>
      <c r="I138" s="767"/>
      <c r="J138" s="377">
        <f>H136</f>
        <v>74176000</v>
      </c>
      <c r="K138" s="74">
        <f>+J138</f>
        <v>74176000</v>
      </c>
    </row>
    <row r="139" spans="1:11" x14ac:dyDescent="0.25">
      <c r="B139" s="94"/>
      <c r="C139" s="94"/>
      <c r="D139" s="763"/>
      <c r="E139" s="764"/>
      <c r="F139" s="768" t="s">
        <v>79</v>
      </c>
      <c r="G139" s="769"/>
      <c r="H139" s="769"/>
      <c r="I139" s="770"/>
      <c r="J139" s="378"/>
      <c r="K139" s="74"/>
    </row>
    <row r="140" spans="1:11" ht="16.5" thickBot="1" x14ac:dyDescent="0.3">
      <c r="B140" s="94"/>
      <c r="C140" s="94"/>
      <c r="D140" s="765"/>
      <c r="E140" s="766"/>
      <c r="F140" s="771" t="s">
        <v>80</v>
      </c>
      <c r="G140" s="771"/>
      <c r="H140" s="771"/>
      <c r="I140" s="771"/>
      <c r="J140" s="379">
        <f>J138+J139</f>
        <v>74176000</v>
      </c>
    </row>
    <row r="141" spans="1:11" ht="16.5" thickTop="1" x14ac:dyDescent="0.25">
      <c r="B141" s="94"/>
      <c r="C141" s="94"/>
      <c r="D141" s="95"/>
      <c r="E141" s="95"/>
      <c r="F141" s="96"/>
      <c r="G141" s="96"/>
      <c r="H141" s="368"/>
      <c r="I141" s="368"/>
      <c r="J141" s="380"/>
    </row>
    <row r="143" spans="1:11" x14ac:dyDescent="0.25">
      <c r="A143" s="772" t="s">
        <v>96</v>
      </c>
      <c r="B143" s="772"/>
      <c r="D143" s="772" t="s">
        <v>93</v>
      </c>
      <c r="E143" s="772"/>
      <c r="H143" s="772" t="s">
        <v>95</v>
      </c>
      <c r="I143" s="772"/>
      <c r="J143" s="772"/>
    </row>
    <row r="144" spans="1:11" x14ac:dyDescent="0.25">
      <c r="A144" s="772" t="str">
        <f>A90</f>
        <v>Kepala Desa Tanjung Mulya</v>
      </c>
      <c r="B144" s="772"/>
      <c r="D144" s="772" t="s">
        <v>94</v>
      </c>
      <c r="E144" s="772"/>
      <c r="H144" s="772" t="s">
        <v>71</v>
      </c>
      <c r="I144" s="772"/>
      <c r="J144" s="772"/>
    </row>
    <row r="145" spans="1:10" x14ac:dyDescent="0.25">
      <c r="B145" s="46"/>
      <c r="D145" s="542"/>
      <c r="E145" s="47"/>
      <c r="H145" s="47"/>
      <c r="I145" s="45"/>
      <c r="J145" s="45"/>
    </row>
    <row r="146" spans="1:10" x14ac:dyDescent="0.25">
      <c r="B146" s="46"/>
      <c r="D146" s="542"/>
      <c r="E146" s="542"/>
      <c r="H146" s="46"/>
      <c r="I146" s="45"/>
      <c r="J146" s="45"/>
    </row>
    <row r="147" spans="1:10" x14ac:dyDescent="0.25">
      <c r="B147" s="47"/>
      <c r="D147" s="47"/>
      <c r="H147" s="45"/>
      <c r="I147" s="45"/>
      <c r="J147" s="45"/>
    </row>
    <row r="148" spans="1:10" x14ac:dyDescent="0.25">
      <c r="B148" s="47"/>
      <c r="D148" s="47"/>
      <c r="H148" s="45"/>
      <c r="I148" s="45"/>
      <c r="J148" s="45"/>
    </row>
    <row r="149" spans="1:10" x14ac:dyDescent="0.25">
      <c r="A149" s="760" t="str">
        <f>A95</f>
        <v>TIRTO  NADI</v>
      </c>
      <c r="B149" s="760"/>
      <c r="D149" s="760" t="str">
        <f>D95</f>
        <v>SUPARNO</v>
      </c>
      <c r="E149" s="760"/>
      <c r="H149" s="760" t="s">
        <v>361</v>
      </c>
      <c r="I149" s="760"/>
      <c r="J149" s="760"/>
    </row>
    <row r="150" spans="1:10" ht="24" customHeight="1" x14ac:dyDescent="0.25"/>
    <row r="151" spans="1:10" ht="25.5" x14ac:dyDescent="0.25">
      <c r="A151" s="797" t="s">
        <v>131</v>
      </c>
      <c r="B151" s="797"/>
      <c r="C151" s="797"/>
      <c r="D151" s="797"/>
      <c r="E151" s="797"/>
      <c r="F151" s="797"/>
      <c r="G151" s="797"/>
      <c r="H151" s="797"/>
      <c r="I151" s="797"/>
      <c r="J151" s="797"/>
    </row>
    <row r="152" spans="1:10" ht="25.5" x14ac:dyDescent="0.25">
      <c r="A152" s="797" t="s">
        <v>130</v>
      </c>
      <c r="B152" s="797"/>
      <c r="C152" s="797"/>
      <c r="D152" s="797"/>
      <c r="E152" s="797"/>
      <c r="F152" s="797"/>
      <c r="G152" s="797"/>
      <c r="H152" s="797"/>
      <c r="I152" s="797"/>
      <c r="J152" s="797"/>
    </row>
    <row r="153" spans="1:10" ht="26.25" thickBot="1" x14ac:dyDescent="0.3">
      <c r="A153" s="798" t="s">
        <v>359</v>
      </c>
      <c r="B153" s="798"/>
      <c r="C153" s="798"/>
      <c r="D153" s="798"/>
      <c r="E153" s="798"/>
      <c r="F153" s="798"/>
      <c r="G153" s="798"/>
      <c r="H153" s="798"/>
      <c r="I153" s="798"/>
      <c r="J153" s="798"/>
    </row>
    <row r="154" spans="1:10" ht="16.5" thickTop="1" x14ac:dyDescent="0.25">
      <c r="B154" s="772"/>
      <c r="C154" s="772"/>
      <c r="D154" s="772"/>
      <c r="E154" s="772"/>
      <c r="F154" s="772"/>
      <c r="G154" s="772"/>
      <c r="H154" s="772"/>
      <c r="I154" s="772"/>
      <c r="J154" s="772"/>
    </row>
    <row r="155" spans="1:10" x14ac:dyDescent="0.25">
      <c r="A155" s="760" t="s">
        <v>23</v>
      </c>
      <c r="B155" s="760"/>
      <c r="C155" s="760"/>
      <c r="D155" s="760"/>
      <c r="E155" s="760"/>
      <c r="F155" s="760"/>
      <c r="G155" s="760"/>
      <c r="H155" s="760"/>
      <c r="I155" s="760"/>
      <c r="J155" s="760"/>
    </row>
    <row r="157" spans="1:10" x14ac:dyDescent="0.25">
      <c r="A157" s="45" t="s">
        <v>89</v>
      </c>
      <c r="C157" s="45" t="s">
        <v>191</v>
      </c>
      <c r="E157" s="51"/>
      <c r="F157" s="51" t="s">
        <v>32</v>
      </c>
      <c r="H157" s="97" t="s">
        <v>27</v>
      </c>
      <c r="I157" s="365" t="s">
        <v>173</v>
      </c>
    </row>
    <row r="158" spans="1:10" x14ac:dyDescent="0.25">
      <c r="A158" s="45" t="s">
        <v>90</v>
      </c>
      <c r="C158" s="45" t="str">
        <f>'3. Analisa'!E3</f>
        <v>: Muaro Jambi</v>
      </c>
      <c r="E158" s="51"/>
      <c r="F158" s="51" t="s">
        <v>24</v>
      </c>
      <c r="H158" s="97" t="s">
        <v>27</v>
      </c>
      <c r="I158" s="97" t="s">
        <v>169</v>
      </c>
    </row>
    <row r="159" spans="1:10" x14ac:dyDescent="0.25">
      <c r="A159" s="45" t="s">
        <v>67</v>
      </c>
      <c r="C159" s="45" t="str">
        <f>'3. Analisa'!E4</f>
        <v>: Bahar Selatan</v>
      </c>
      <c r="E159" s="47"/>
      <c r="F159" s="51" t="s">
        <v>25</v>
      </c>
      <c r="H159" s="97" t="s">
        <v>27</v>
      </c>
      <c r="I159" s="97" t="s">
        <v>362</v>
      </c>
    </row>
    <row r="160" spans="1:10" x14ac:dyDescent="0.25">
      <c r="A160" s="45" t="s">
        <v>91</v>
      </c>
      <c r="C160" s="45" t="str">
        <f>'3. Analisa'!E5</f>
        <v>: Tanjung Mulya</v>
      </c>
      <c r="E160" s="47"/>
      <c r="F160" s="51" t="s">
        <v>26</v>
      </c>
      <c r="H160" s="97" t="s">
        <v>27</v>
      </c>
      <c r="I160" s="616">
        <f>'2. TOS'!M131</f>
        <v>7</v>
      </c>
      <c r="J160" s="97" t="s">
        <v>277</v>
      </c>
    </row>
    <row r="161" spans="1:10" ht="16.5" thickBot="1" x14ac:dyDescent="0.3">
      <c r="E161" s="47"/>
      <c r="F161" s="51"/>
    </row>
    <row r="162" spans="1:10" ht="16.5" thickTop="1" x14ac:dyDescent="0.25">
      <c r="A162" s="799" t="s">
        <v>73</v>
      </c>
      <c r="B162" s="802" t="s">
        <v>28</v>
      </c>
      <c r="C162" s="805" t="s">
        <v>84</v>
      </c>
      <c r="D162" s="805"/>
      <c r="E162" s="805"/>
      <c r="F162" s="802" t="s">
        <v>86</v>
      </c>
      <c r="G162" s="802" t="s">
        <v>87</v>
      </c>
      <c r="H162" s="806" t="s">
        <v>88</v>
      </c>
      <c r="I162" s="807"/>
      <c r="J162" s="808"/>
    </row>
    <row r="163" spans="1:10" x14ac:dyDescent="0.25">
      <c r="A163" s="800"/>
      <c r="B163" s="803"/>
      <c r="C163" s="803" t="s">
        <v>29</v>
      </c>
      <c r="D163" s="803" t="s">
        <v>85</v>
      </c>
      <c r="E163" s="803" t="s">
        <v>116</v>
      </c>
      <c r="F163" s="803"/>
      <c r="G163" s="803"/>
      <c r="H163" s="809" t="s">
        <v>85</v>
      </c>
      <c r="I163" s="810"/>
      <c r="J163" s="813" t="s">
        <v>115</v>
      </c>
    </row>
    <row r="164" spans="1:10" ht="16.5" thickBot="1" x14ac:dyDescent="0.3">
      <c r="A164" s="801"/>
      <c r="B164" s="804"/>
      <c r="C164" s="804"/>
      <c r="D164" s="804"/>
      <c r="E164" s="804"/>
      <c r="F164" s="804"/>
      <c r="G164" s="804"/>
      <c r="H164" s="811"/>
      <c r="I164" s="812"/>
      <c r="J164" s="814"/>
    </row>
    <row r="165" spans="1:10" ht="16.5" thickTop="1" x14ac:dyDescent="0.25">
      <c r="A165" s="52" t="s">
        <v>18</v>
      </c>
      <c r="B165" s="53" t="s">
        <v>11</v>
      </c>
      <c r="C165" s="54"/>
      <c r="D165" s="54"/>
      <c r="E165" s="54"/>
      <c r="F165" s="54"/>
      <c r="G165" s="54"/>
      <c r="H165" s="789"/>
      <c r="I165" s="790"/>
      <c r="J165" s="372"/>
    </row>
    <row r="166" spans="1:10" x14ac:dyDescent="0.25">
      <c r="A166" s="55"/>
      <c r="B166" s="56"/>
      <c r="C166" s="57"/>
      <c r="D166" s="57"/>
      <c r="E166" s="57"/>
      <c r="F166" s="58"/>
      <c r="G166" s="59"/>
      <c r="H166" s="773"/>
      <c r="I166" s="774"/>
      <c r="J166" s="373"/>
    </row>
    <row r="167" spans="1:10" ht="16.5" thickBot="1" x14ac:dyDescent="0.3">
      <c r="A167" s="61"/>
      <c r="B167" s="62"/>
      <c r="C167" s="63"/>
      <c r="D167" s="64"/>
      <c r="E167" s="63"/>
      <c r="F167" s="63"/>
      <c r="G167" s="62"/>
      <c r="H167" s="791"/>
      <c r="I167" s="792"/>
      <c r="J167" s="374"/>
    </row>
    <row r="168" spans="1:10" ht="17.25" thickTop="1" thickBot="1" x14ac:dyDescent="0.3">
      <c r="A168" s="793" t="s">
        <v>43</v>
      </c>
      <c r="B168" s="794"/>
      <c r="C168" s="794"/>
      <c r="D168" s="794"/>
      <c r="E168" s="794"/>
      <c r="F168" s="794"/>
      <c r="G168" s="794"/>
      <c r="H168" s="795">
        <f>SUM(I166:I167)</f>
        <v>0</v>
      </c>
      <c r="I168" s="796"/>
      <c r="J168" s="375">
        <f>SUM(J166:J167)</f>
        <v>0</v>
      </c>
    </row>
    <row r="169" spans="1:10" ht="16.5" thickTop="1" x14ac:dyDescent="0.25">
      <c r="A169" s="52" t="s">
        <v>22</v>
      </c>
      <c r="B169" s="65" t="s">
        <v>69</v>
      </c>
      <c r="C169" s="66"/>
      <c r="D169" s="66"/>
      <c r="E169" s="66"/>
      <c r="F169" s="66"/>
      <c r="G169" s="66"/>
      <c r="H169" s="773"/>
      <c r="I169" s="774"/>
      <c r="J169" s="372"/>
    </row>
    <row r="170" spans="1:10" x14ac:dyDescent="0.25">
      <c r="A170" s="55"/>
      <c r="B170" s="56"/>
      <c r="C170" s="57"/>
      <c r="D170" s="68"/>
      <c r="E170" s="57"/>
      <c r="F170" s="67"/>
      <c r="G170" s="56"/>
      <c r="H170" s="773"/>
      <c r="I170" s="774"/>
      <c r="J170" s="373"/>
    </row>
    <row r="171" spans="1:10" ht="16.5" thickBot="1" x14ac:dyDescent="0.3">
      <c r="A171" s="61"/>
      <c r="B171" s="62"/>
      <c r="C171" s="63"/>
      <c r="D171" s="63"/>
      <c r="E171" s="63"/>
      <c r="F171" s="63"/>
      <c r="G171" s="62"/>
      <c r="H171" s="773"/>
      <c r="I171" s="774"/>
      <c r="J171" s="374"/>
    </row>
    <row r="172" spans="1:10" ht="17.25" thickTop="1" thickBot="1" x14ac:dyDescent="0.3">
      <c r="A172" s="783" t="s">
        <v>42</v>
      </c>
      <c r="B172" s="784"/>
      <c r="C172" s="784"/>
      <c r="D172" s="784"/>
      <c r="E172" s="784"/>
      <c r="F172" s="784"/>
      <c r="G172" s="785"/>
      <c r="H172" s="795">
        <f>SUM(I170:I171)</f>
        <v>0</v>
      </c>
      <c r="I172" s="796"/>
      <c r="J172" s="375">
        <f>SUM(J170:J171)</f>
        <v>0</v>
      </c>
    </row>
    <row r="173" spans="1:10" ht="16.5" thickTop="1" x14ac:dyDescent="0.25">
      <c r="A173" s="52" t="s">
        <v>41</v>
      </c>
      <c r="B173" s="69" t="s">
        <v>12</v>
      </c>
      <c r="C173" s="66"/>
      <c r="D173" s="66"/>
      <c r="E173" s="66"/>
      <c r="F173" s="66"/>
      <c r="G173" s="66"/>
      <c r="H173" s="773"/>
      <c r="I173" s="774"/>
      <c r="J173" s="372"/>
    </row>
    <row r="174" spans="1:10" x14ac:dyDescent="0.25">
      <c r="A174" s="70">
        <v>1</v>
      </c>
      <c r="B174" s="56" t="s">
        <v>83</v>
      </c>
      <c r="C174" s="57">
        <f>+D174+E174</f>
        <v>2.331</v>
      </c>
      <c r="D174" s="57">
        <v>0</v>
      </c>
      <c r="E174" s="57">
        <f>'3. Analisa'!Q56</f>
        <v>2.331</v>
      </c>
      <c r="F174" s="58" t="s">
        <v>14</v>
      </c>
      <c r="G174" s="59">
        <v>100000</v>
      </c>
      <c r="H174" s="773"/>
      <c r="I174" s="774"/>
      <c r="J174" s="373">
        <f>E174*G174</f>
        <v>233100</v>
      </c>
    </row>
    <row r="175" spans="1:10" x14ac:dyDescent="0.25">
      <c r="A175" s="70">
        <v>2</v>
      </c>
      <c r="B175" s="56" t="s">
        <v>82</v>
      </c>
      <c r="C175" s="57">
        <f>+D175+E175</f>
        <v>0</v>
      </c>
      <c r="D175" s="57">
        <v>0</v>
      </c>
      <c r="E175" s="57">
        <f>'3. Analisa'!Q163</f>
        <v>0</v>
      </c>
      <c r="F175" s="58" t="s">
        <v>14</v>
      </c>
      <c r="G175" s="59">
        <f>+'5. Rekap Bahan &amp; Upah'!G183</f>
        <v>0</v>
      </c>
      <c r="H175" s="773"/>
      <c r="I175" s="774"/>
      <c r="J175" s="373">
        <f>E175*G175</f>
        <v>0</v>
      </c>
    </row>
    <row r="176" spans="1:10" x14ac:dyDescent="0.25">
      <c r="A176" s="55"/>
      <c r="B176" s="56"/>
      <c r="C176" s="57"/>
      <c r="D176" s="57"/>
      <c r="E176" s="57"/>
      <c r="F176" s="58"/>
      <c r="G176" s="59"/>
      <c r="H176" s="773"/>
      <c r="I176" s="774"/>
      <c r="J176" s="373"/>
    </row>
    <row r="177" spans="1:10" ht="16.5" thickBot="1" x14ac:dyDescent="0.3">
      <c r="A177" s="61"/>
      <c r="B177" s="62"/>
      <c r="C177" s="63"/>
      <c r="D177" s="63"/>
      <c r="E177" s="63"/>
      <c r="F177" s="63"/>
      <c r="G177" s="62"/>
      <c r="H177" s="773"/>
      <c r="I177" s="774"/>
      <c r="J177" s="374"/>
    </row>
    <row r="178" spans="1:10" ht="17.25" thickTop="1" thickBot="1" x14ac:dyDescent="0.3">
      <c r="A178" s="775" t="s">
        <v>44</v>
      </c>
      <c r="B178" s="776"/>
      <c r="C178" s="776"/>
      <c r="D178" s="776"/>
      <c r="E178" s="776"/>
      <c r="F178" s="776"/>
      <c r="G178" s="777"/>
      <c r="H178" s="778">
        <f>SUM(I174:I177)</f>
        <v>0</v>
      </c>
      <c r="I178" s="779"/>
      <c r="J178" s="376">
        <f>SUM(J174:J177)</f>
        <v>233100</v>
      </c>
    </row>
    <row r="179" spans="1:10" ht="17.25" thickTop="1" thickBot="1" x14ac:dyDescent="0.3">
      <c r="A179" s="780"/>
      <c r="B179" s="781"/>
      <c r="C179" s="781"/>
      <c r="D179" s="781"/>
      <c r="E179" s="781"/>
      <c r="F179" s="781"/>
      <c r="G179" s="781"/>
      <c r="H179" s="781"/>
      <c r="I179" s="781"/>
      <c r="J179" s="782"/>
    </row>
    <row r="180" spans="1:10" ht="17.25" thickTop="1" thickBot="1" x14ac:dyDescent="0.3">
      <c r="A180" s="783" t="s">
        <v>33</v>
      </c>
      <c r="B180" s="784"/>
      <c r="C180" s="784"/>
      <c r="D180" s="784"/>
      <c r="E180" s="784"/>
      <c r="F180" s="784"/>
      <c r="G180" s="785"/>
      <c r="H180" s="786">
        <f>+J178+H178+J172+H172+J168+H168</f>
        <v>233100</v>
      </c>
      <c r="I180" s="787"/>
      <c r="J180" s="788"/>
    </row>
    <row r="181" spans="1:10" ht="17.25" thickTop="1" thickBot="1" x14ac:dyDescent="0.3">
      <c r="B181" s="72"/>
      <c r="C181" s="72"/>
      <c r="D181" s="72"/>
      <c r="E181" s="72"/>
      <c r="F181" s="72"/>
      <c r="G181" s="72"/>
      <c r="H181" s="367"/>
      <c r="I181" s="367"/>
      <c r="J181" s="367"/>
    </row>
    <row r="182" spans="1:10" ht="16.5" thickTop="1" x14ac:dyDescent="0.25">
      <c r="B182" s="72"/>
      <c r="C182" s="72"/>
      <c r="D182" s="761" t="s">
        <v>34</v>
      </c>
      <c r="E182" s="762"/>
      <c r="F182" s="767" t="s">
        <v>116</v>
      </c>
      <c r="G182" s="767"/>
      <c r="H182" s="767"/>
      <c r="I182" s="767"/>
      <c r="J182" s="377">
        <f>+H180</f>
        <v>233100</v>
      </c>
    </row>
    <row r="183" spans="1:10" x14ac:dyDescent="0.25">
      <c r="B183" s="72"/>
      <c r="C183" s="72"/>
      <c r="D183" s="763"/>
      <c r="E183" s="764"/>
      <c r="F183" s="768" t="s">
        <v>79</v>
      </c>
      <c r="G183" s="769"/>
      <c r="H183" s="769"/>
      <c r="I183" s="770"/>
      <c r="J183" s="378"/>
    </row>
    <row r="184" spans="1:10" ht="16.5" thickBot="1" x14ac:dyDescent="0.3">
      <c r="B184" s="72"/>
      <c r="C184" s="72"/>
      <c r="D184" s="765"/>
      <c r="E184" s="766"/>
      <c r="F184" s="771" t="s">
        <v>80</v>
      </c>
      <c r="G184" s="771"/>
      <c r="H184" s="771"/>
      <c r="I184" s="771"/>
      <c r="J184" s="379">
        <f>J182+J183</f>
        <v>233100</v>
      </c>
    </row>
    <row r="185" spans="1:10" ht="16.5" thickTop="1" x14ac:dyDescent="0.25">
      <c r="B185" s="72"/>
      <c r="C185" s="72"/>
      <c r="D185" s="75"/>
      <c r="E185" s="75"/>
      <c r="F185" s="76"/>
      <c r="G185" s="76"/>
      <c r="H185" s="368"/>
      <c r="I185" s="368"/>
      <c r="J185" s="380"/>
    </row>
    <row r="187" spans="1:10" x14ac:dyDescent="0.25">
      <c r="A187" s="772" t="s">
        <v>96</v>
      </c>
      <c r="B187" s="772"/>
      <c r="D187" s="772" t="s">
        <v>93</v>
      </c>
      <c r="E187" s="772"/>
      <c r="H187" s="772" t="s">
        <v>95</v>
      </c>
      <c r="I187" s="772"/>
      <c r="J187" s="772"/>
    </row>
    <row r="188" spans="1:10" x14ac:dyDescent="0.25">
      <c r="A188" s="772" t="s">
        <v>317</v>
      </c>
      <c r="B188" s="772"/>
      <c r="D188" s="772" t="s">
        <v>94</v>
      </c>
      <c r="E188" s="772"/>
      <c r="H188" s="772" t="s">
        <v>135</v>
      </c>
      <c r="I188" s="772"/>
      <c r="J188" s="772"/>
    </row>
    <row r="189" spans="1:10" x14ac:dyDescent="0.25">
      <c r="B189" s="584"/>
      <c r="D189" s="584"/>
      <c r="H189" s="47"/>
      <c r="I189" s="45"/>
      <c r="J189" s="45"/>
    </row>
    <row r="190" spans="1:10" x14ac:dyDescent="0.25">
      <c r="B190" s="584"/>
      <c r="D190" s="584"/>
      <c r="H190" s="584"/>
      <c r="I190" s="45"/>
      <c r="J190" s="45"/>
    </row>
    <row r="191" spans="1:10" x14ac:dyDescent="0.25">
      <c r="B191" s="47"/>
      <c r="D191" s="47"/>
      <c r="H191" s="45"/>
      <c r="I191" s="45"/>
      <c r="J191" s="45"/>
    </row>
    <row r="192" spans="1:10" x14ac:dyDescent="0.25">
      <c r="B192" s="47"/>
      <c r="D192" s="47"/>
      <c r="H192" s="45"/>
      <c r="I192" s="45"/>
      <c r="J192" s="45"/>
    </row>
    <row r="193" spans="1:10" x14ac:dyDescent="0.25">
      <c r="A193" s="760" t="str">
        <f>'3. Analisa'!A67:C67</f>
        <v>TIRTO  NADI</v>
      </c>
      <c r="B193" s="760"/>
      <c r="D193" s="760" t="str">
        <f>'3. Analisa'!O67</f>
        <v>SUPARNO</v>
      </c>
      <c r="E193" s="760"/>
      <c r="H193" s="760" t="s">
        <v>361</v>
      </c>
      <c r="I193" s="760"/>
      <c r="J193" s="760"/>
    </row>
    <row r="201" spans="1:10" ht="25.5" x14ac:dyDescent="0.25">
      <c r="A201" s="797" t="s">
        <v>131</v>
      </c>
      <c r="B201" s="797"/>
      <c r="C201" s="797"/>
      <c r="D201" s="797"/>
      <c r="E201" s="797"/>
      <c r="F201" s="797"/>
      <c r="G201" s="797"/>
      <c r="H201" s="797"/>
      <c r="I201" s="797"/>
      <c r="J201" s="797"/>
    </row>
    <row r="202" spans="1:10" ht="25.5" x14ac:dyDescent="0.25">
      <c r="A202" s="797" t="s">
        <v>130</v>
      </c>
      <c r="B202" s="797"/>
      <c r="C202" s="797"/>
      <c r="D202" s="797"/>
      <c r="E202" s="797"/>
      <c r="F202" s="797"/>
      <c r="G202" s="797"/>
      <c r="H202" s="797"/>
      <c r="I202" s="797"/>
      <c r="J202" s="797"/>
    </row>
    <row r="203" spans="1:10" ht="26.25" thickBot="1" x14ac:dyDescent="0.3">
      <c r="A203" s="798" t="s">
        <v>359</v>
      </c>
      <c r="B203" s="798"/>
      <c r="C203" s="798"/>
      <c r="D203" s="798"/>
      <c r="E203" s="798"/>
      <c r="F203" s="798"/>
      <c r="G203" s="798"/>
      <c r="H203" s="798"/>
      <c r="I203" s="798"/>
      <c r="J203" s="798"/>
    </row>
    <row r="204" spans="1:10" ht="16.5" thickTop="1" x14ac:dyDescent="0.25">
      <c r="B204" s="772"/>
      <c r="C204" s="772"/>
      <c r="D204" s="772"/>
      <c r="E204" s="772"/>
      <c r="F204" s="772"/>
      <c r="G204" s="772"/>
      <c r="H204" s="772"/>
      <c r="I204" s="772"/>
      <c r="J204" s="772"/>
    </row>
    <row r="205" spans="1:10" x14ac:dyDescent="0.25">
      <c r="A205" s="760" t="s">
        <v>23</v>
      </c>
      <c r="B205" s="760"/>
      <c r="C205" s="760"/>
      <c r="D205" s="760"/>
      <c r="E205" s="760"/>
      <c r="F205" s="760"/>
      <c r="G205" s="760"/>
      <c r="H205" s="760"/>
      <c r="I205" s="760"/>
      <c r="J205" s="760"/>
    </row>
    <row r="207" spans="1:10" x14ac:dyDescent="0.25">
      <c r="A207" s="45" t="s">
        <v>89</v>
      </c>
      <c r="C207" s="45" t="s">
        <v>191</v>
      </c>
      <c r="E207" s="51"/>
      <c r="F207" s="51" t="s">
        <v>32</v>
      </c>
      <c r="H207" s="97" t="s">
        <v>27</v>
      </c>
      <c r="I207" s="365" t="s">
        <v>272</v>
      </c>
    </row>
    <row r="208" spans="1:10" x14ac:dyDescent="0.25">
      <c r="A208" s="45" t="s">
        <v>90</v>
      </c>
      <c r="C208" s="45" t="str">
        <f>'3. Analisa'!E3</f>
        <v>: Muaro Jambi</v>
      </c>
      <c r="E208" s="51"/>
      <c r="F208" s="51" t="s">
        <v>24</v>
      </c>
      <c r="H208" s="97" t="s">
        <v>27</v>
      </c>
      <c r="I208" s="97" t="s">
        <v>169</v>
      </c>
    </row>
    <row r="209" spans="1:10" x14ac:dyDescent="0.25">
      <c r="A209" s="45" t="s">
        <v>67</v>
      </c>
      <c r="C209" s="45" t="str">
        <f>'3. Analisa'!E4</f>
        <v>: Bahar Selatan</v>
      </c>
      <c r="E209" s="47"/>
      <c r="F209" s="51" t="s">
        <v>25</v>
      </c>
      <c r="H209" s="97" t="s">
        <v>27</v>
      </c>
      <c r="I209" s="97" t="s">
        <v>360</v>
      </c>
    </row>
    <row r="210" spans="1:10" x14ac:dyDescent="0.25">
      <c r="A210" s="45" t="s">
        <v>91</v>
      </c>
      <c r="C210" s="45" t="str">
        <f>'3. Analisa'!E5</f>
        <v>: Tanjung Mulya</v>
      </c>
      <c r="E210" s="47"/>
      <c r="F210" s="51" t="s">
        <v>26</v>
      </c>
      <c r="H210" s="97" t="s">
        <v>27</v>
      </c>
      <c r="I210" s="366">
        <f>'2. TOS'!M124</f>
        <v>16.8</v>
      </c>
      <c r="J210" s="97" t="s">
        <v>277</v>
      </c>
    </row>
    <row r="211" spans="1:10" ht="16.5" thickBot="1" x14ac:dyDescent="0.3">
      <c r="E211" s="47"/>
      <c r="F211" s="51"/>
    </row>
    <row r="212" spans="1:10" ht="16.5" thickTop="1" x14ac:dyDescent="0.25">
      <c r="A212" s="799" t="s">
        <v>73</v>
      </c>
      <c r="B212" s="802" t="s">
        <v>28</v>
      </c>
      <c r="C212" s="805" t="s">
        <v>84</v>
      </c>
      <c r="D212" s="805"/>
      <c r="E212" s="805"/>
      <c r="F212" s="802" t="s">
        <v>86</v>
      </c>
      <c r="G212" s="802" t="s">
        <v>87</v>
      </c>
      <c r="H212" s="806" t="s">
        <v>88</v>
      </c>
      <c r="I212" s="807"/>
      <c r="J212" s="808"/>
    </row>
    <row r="213" spans="1:10" x14ac:dyDescent="0.25">
      <c r="A213" s="800"/>
      <c r="B213" s="803"/>
      <c r="C213" s="803" t="s">
        <v>29</v>
      </c>
      <c r="D213" s="803" t="s">
        <v>85</v>
      </c>
      <c r="E213" s="803" t="s">
        <v>116</v>
      </c>
      <c r="F213" s="803"/>
      <c r="G213" s="803"/>
      <c r="H213" s="809" t="s">
        <v>85</v>
      </c>
      <c r="I213" s="810"/>
      <c r="J213" s="813" t="s">
        <v>115</v>
      </c>
    </row>
    <row r="214" spans="1:10" ht="16.5" thickBot="1" x14ac:dyDescent="0.3">
      <c r="A214" s="801"/>
      <c r="B214" s="804"/>
      <c r="C214" s="804"/>
      <c r="D214" s="804"/>
      <c r="E214" s="804"/>
      <c r="F214" s="804"/>
      <c r="G214" s="804"/>
      <c r="H214" s="811"/>
      <c r="I214" s="812"/>
      <c r="J214" s="814"/>
    </row>
    <row r="215" spans="1:10" ht="16.5" thickTop="1" x14ac:dyDescent="0.25">
      <c r="A215" s="52" t="s">
        <v>18</v>
      </c>
      <c r="B215" s="53" t="s">
        <v>11</v>
      </c>
      <c r="C215" s="54"/>
      <c r="D215" s="54"/>
      <c r="E215" s="54"/>
      <c r="F215" s="54"/>
      <c r="G215" s="54"/>
      <c r="H215" s="789"/>
      <c r="I215" s="790"/>
      <c r="J215" s="372"/>
    </row>
    <row r="216" spans="1:10" x14ac:dyDescent="0.25">
      <c r="A216" s="55"/>
      <c r="B216" s="56"/>
      <c r="C216" s="57"/>
      <c r="D216" s="57"/>
      <c r="E216" s="57"/>
      <c r="F216" s="58"/>
      <c r="G216" s="59"/>
      <c r="H216" s="773"/>
      <c r="I216" s="774"/>
      <c r="J216" s="373"/>
    </row>
    <row r="217" spans="1:10" ht="16.5" thickBot="1" x14ac:dyDescent="0.3">
      <c r="A217" s="61"/>
      <c r="B217" s="62"/>
      <c r="C217" s="63"/>
      <c r="D217" s="64"/>
      <c r="E217" s="63"/>
      <c r="F217" s="63"/>
      <c r="G217" s="62"/>
      <c r="H217" s="791"/>
      <c r="I217" s="792"/>
      <c r="J217" s="374"/>
    </row>
    <row r="218" spans="1:10" ht="17.25" thickTop="1" thickBot="1" x14ac:dyDescent="0.3">
      <c r="A218" s="793" t="s">
        <v>43</v>
      </c>
      <c r="B218" s="794"/>
      <c r="C218" s="794"/>
      <c r="D218" s="794"/>
      <c r="E218" s="794"/>
      <c r="F218" s="794"/>
      <c r="G218" s="794"/>
      <c r="H218" s="795">
        <f>SUM(I216:I217)</f>
        <v>0</v>
      </c>
      <c r="I218" s="796"/>
      <c r="J218" s="375">
        <f>SUM(J216:J217)</f>
        <v>0</v>
      </c>
    </row>
    <row r="219" spans="1:10" ht="16.5" thickTop="1" x14ac:dyDescent="0.25">
      <c r="A219" s="52" t="s">
        <v>22</v>
      </c>
      <c r="B219" s="65" t="s">
        <v>69</v>
      </c>
      <c r="C219" s="66"/>
      <c r="D219" s="66"/>
      <c r="E219" s="66"/>
      <c r="F219" s="66"/>
      <c r="G219" s="66"/>
      <c r="H219" s="773"/>
      <c r="I219" s="774"/>
      <c r="J219" s="372"/>
    </row>
    <row r="220" spans="1:10" x14ac:dyDescent="0.25">
      <c r="A220" s="55"/>
      <c r="B220" s="56"/>
      <c r="C220" s="57"/>
      <c r="D220" s="68"/>
      <c r="E220" s="57"/>
      <c r="F220" s="67"/>
      <c r="G220" s="56"/>
      <c r="H220" s="773"/>
      <c r="I220" s="774"/>
      <c r="J220" s="373"/>
    </row>
    <row r="221" spans="1:10" ht="16.5" thickBot="1" x14ac:dyDescent="0.3">
      <c r="A221" s="61"/>
      <c r="B221" s="62"/>
      <c r="C221" s="63"/>
      <c r="D221" s="63"/>
      <c r="E221" s="63"/>
      <c r="F221" s="63"/>
      <c r="G221" s="62"/>
      <c r="H221" s="773"/>
      <c r="I221" s="774"/>
      <c r="J221" s="374"/>
    </row>
    <row r="222" spans="1:10" ht="17.25" thickTop="1" thickBot="1" x14ac:dyDescent="0.3">
      <c r="A222" s="783" t="s">
        <v>42</v>
      </c>
      <c r="B222" s="784"/>
      <c r="C222" s="784"/>
      <c r="D222" s="784"/>
      <c r="E222" s="784"/>
      <c r="F222" s="784"/>
      <c r="G222" s="785"/>
      <c r="H222" s="795">
        <f>SUM(I220:I221)</f>
        <v>0</v>
      </c>
      <c r="I222" s="796"/>
      <c r="J222" s="375">
        <f>SUM(J220:J221)</f>
        <v>0</v>
      </c>
    </row>
    <row r="223" spans="1:10" ht="16.5" thickTop="1" x14ac:dyDescent="0.25">
      <c r="A223" s="52" t="s">
        <v>41</v>
      </c>
      <c r="B223" s="69" t="s">
        <v>12</v>
      </c>
      <c r="C223" s="66"/>
      <c r="D223" s="66"/>
      <c r="E223" s="66"/>
      <c r="F223" s="66"/>
      <c r="G223" s="66"/>
      <c r="H223" s="773"/>
      <c r="I223" s="774"/>
      <c r="J223" s="372"/>
    </row>
    <row r="224" spans="1:10" x14ac:dyDescent="0.25">
      <c r="A224" s="70">
        <v>1</v>
      </c>
      <c r="B224" s="56" t="s">
        <v>83</v>
      </c>
      <c r="C224" s="57">
        <f>+D224+E224</f>
        <v>12.600000000000001</v>
      </c>
      <c r="D224" s="57">
        <v>0</v>
      </c>
      <c r="E224" s="57">
        <f>'3. Analisa'!Q52</f>
        <v>12.600000000000001</v>
      </c>
      <c r="F224" s="58" t="s">
        <v>14</v>
      </c>
      <c r="G224" s="59">
        <v>100000</v>
      </c>
      <c r="H224" s="773"/>
      <c r="I224" s="774"/>
      <c r="J224" s="373">
        <f>E224*G224</f>
        <v>1260000.0000000002</v>
      </c>
    </row>
    <row r="225" spans="1:10" x14ac:dyDescent="0.25">
      <c r="A225" s="70">
        <v>2</v>
      </c>
      <c r="B225" s="56" t="s">
        <v>82</v>
      </c>
      <c r="C225" s="57">
        <f>+D225+E225</f>
        <v>0</v>
      </c>
      <c r="D225" s="57">
        <v>0</v>
      </c>
      <c r="E225" s="57">
        <f>'3. Analisa'!Q213</f>
        <v>0</v>
      </c>
      <c r="F225" s="58" t="s">
        <v>14</v>
      </c>
      <c r="G225" s="59">
        <f>+'5. Rekap Bahan &amp; Upah'!G233</f>
        <v>0</v>
      </c>
      <c r="H225" s="773"/>
      <c r="I225" s="774"/>
      <c r="J225" s="373">
        <f>E225*G225</f>
        <v>0</v>
      </c>
    </row>
    <row r="226" spans="1:10" x14ac:dyDescent="0.25">
      <c r="A226" s="55"/>
      <c r="B226" s="56"/>
      <c r="C226" s="57"/>
      <c r="D226" s="57"/>
      <c r="E226" s="57"/>
      <c r="F226" s="58"/>
      <c r="G226" s="59"/>
      <c r="H226" s="773"/>
      <c r="I226" s="774"/>
      <c r="J226" s="373"/>
    </row>
    <row r="227" spans="1:10" ht="16.5" thickBot="1" x14ac:dyDescent="0.3">
      <c r="A227" s="61"/>
      <c r="B227" s="62"/>
      <c r="C227" s="63"/>
      <c r="D227" s="63"/>
      <c r="E227" s="63"/>
      <c r="F227" s="63"/>
      <c r="G227" s="62"/>
      <c r="H227" s="773"/>
      <c r="I227" s="774"/>
      <c r="J227" s="374"/>
    </row>
    <row r="228" spans="1:10" ht="17.25" thickTop="1" thickBot="1" x14ac:dyDescent="0.3">
      <c r="A228" s="775" t="s">
        <v>44</v>
      </c>
      <c r="B228" s="776"/>
      <c r="C228" s="776"/>
      <c r="D228" s="776"/>
      <c r="E228" s="776"/>
      <c r="F228" s="776"/>
      <c r="G228" s="777"/>
      <c r="H228" s="778">
        <f>SUM(I224:I227)</f>
        <v>0</v>
      </c>
      <c r="I228" s="779"/>
      <c r="J228" s="376">
        <f>SUM(J224:J227)</f>
        <v>1260000.0000000002</v>
      </c>
    </row>
    <row r="229" spans="1:10" ht="17.25" thickTop="1" thickBot="1" x14ac:dyDescent="0.3">
      <c r="A229" s="780"/>
      <c r="B229" s="781"/>
      <c r="C229" s="781"/>
      <c r="D229" s="781"/>
      <c r="E229" s="781"/>
      <c r="F229" s="781"/>
      <c r="G229" s="781"/>
      <c r="H229" s="781"/>
      <c r="I229" s="781"/>
      <c r="J229" s="782"/>
    </row>
    <row r="230" spans="1:10" ht="17.25" thickTop="1" thickBot="1" x14ac:dyDescent="0.3">
      <c r="A230" s="783" t="s">
        <v>33</v>
      </c>
      <c r="B230" s="784"/>
      <c r="C230" s="784"/>
      <c r="D230" s="784"/>
      <c r="E230" s="784"/>
      <c r="F230" s="784"/>
      <c r="G230" s="785"/>
      <c r="H230" s="786">
        <f>+J228+H228+J222+H222+J218+H218</f>
        <v>1260000.0000000002</v>
      </c>
      <c r="I230" s="787"/>
      <c r="J230" s="788"/>
    </row>
    <row r="231" spans="1:10" ht="17.25" thickTop="1" thickBot="1" x14ac:dyDescent="0.3">
      <c r="B231" s="72"/>
      <c r="C231" s="72"/>
      <c r="D231" s="72"/>
      <c r="E231" s="72"/>
      <c r="F231" s="72"/>
      <c r="G231" s="72"/>
      <c r="H231" s="367"/>
      <c r="I231" s="367"/>
      <c r="J231" s="367"/>
    </row>
    <row r="232" spans="1:10" ht="16.5" thickTop="1" x14ac:dyDescent="0.25">
      <c r="B232" s="72"/>
      <c r="C232" s="72"/>
      <c r="D232" s="761" t="s">
        <v>34</v>
      </c>
      <c r="E232" s="762"/>
      <c r="F232" s="767" t="s">
        <v>116</v>
      </c>
      <c r="G232" s="767"/>
      <c r="H232" s="767"/>
      <c r="I232" s="767"/>
      <c r="J232" s="377">
        <f>+H230</f>
        <v>1260000.0000000002</v>
      </c>
    </row>
    <row r="233" spans="1:10" x14ac:dyDescent="0.25">
      <c r="B233" s="72"/>
      <c r="C233" s="72"/>
      <c r="D233" s="763"/>
      <c r="E233" s="764"/>
      <c r="F233" s="768" t="s">
        <v>79</v>
      </c>
      <c r="G233" s="769"/>
      <c r="H233" s="769"/>
      <c r="I233" s="770"/>
      <c r="J233" s="378"/>
    </row>
    <row r="234" spans="1:10" ht="16.5" thickBot="1" x14ac:dyDescent="0.3">
      <c r="B234" s="72"/>
      <c r="C234" s="72"/>
      <c r="D234" s="765"/>
      <c r="E234" s="766"/>
      <c r="F234" s="771" t="s">
        <v>80</v>
      </c>
      <c r="G234" s="771"/>
      <c r="H234" s="771"/>
      <c r="I234" s="771"/>
      <c r="J234" s="379">
        <f>J232+J233</f>
        <v>1260000.0000000002</v>
      </c>
    </row>
    <row r="235" spans="1:10" ht="16.5" thickTop="1" x14ac:dyDescent="0.25">
      <c r="B235" s="72"/>
      <c r="C235" s="72"/>
      <c r="D235" s="75"/>
      <c r="E235" s="75"/>
      <c r="F235" s="76"/>
      <c r="G235" s="76"/>
      <c r="H235" s="368"/>
      <c r="I235" s="368"/>
      <c r="J235" s="380"/>
    </row>
    <row r="237" spans="1:10" x14ac:dyDescent="0.25">
      <c r="A237" s="772" t="s">
        <v>96</v>
      </c>
      <c r="B237" s="772"/>
      <c r="D237" s="772" t="s">
        <v>93</v>
      </c>
      <c r="E237" s="772"/>
      <c r="H237" s="772" t="s">
        <v>95</v>
      </c>
      <c r="I237" s="772"/>
      <c r="J237" s="772"/>
    </row>
    <row r="238" spans="1:10" x14ac:dyDescent="0.25">
      <c r="A238" s="772" t="s">
        <v>317</v>
      </c>
      <c r="B238" s="772"/>
      <c r="D238" s="772" t="s">
        <v>94</v>
      </c>
      <c r="E238" s="772"/>
      <c r="H238" s="772" t="s">
        <v>135</v>
      </c>
      <c r="I238" s="772"/>
      <c r="J238" s="772"/>
    </row>
    <row r="239" spans="1:10" x14ac:dyDescent="0.25">
      <c r="B239" s="584"/>
      <c r="D239" s="584"/>
      <c r="H239" s="47"/>
      <c r="I239" s="45"/>
      <c r="J239" s="45"/>
    </row>
    <row r="240" spans="1:10" x14ac:dyDescent="0.25">
      <c r="B240" s="584"/>
      <c r="D240" s="584"/>
      <c r="H240" s="584"/>
      <c r="I240" s="45"/>
      <c r="J240" s="45"/>
    </row>
    <row r="241" spans="1:10" x14ac:dyDescent="0.25">
      <c r="B241" s="47"/>
      <c r="D241" s="47"/>
      <c r="H241" s="45"/>
      <c r="I241" s="45"/>
      <c r="J241" s="45"/>
    </row>
    <row r="242" spans="1:10" x14ac:dyDescent="0.25">
      <c r="B242" s="47"/>
      <c r="D242" s="47"/>
      <c r="H242" s="45"/>
      <c r="I242" s="45"/>
      <c r="J242" s="45"/>
    </row>
    <row r="243" spans="1:10" x14ac:dyDescent="0.25">
      <c r="A243" s="760" t="s">
        <v>377</v>
      </c>
      <c r="B243" s="760"/>
      <c r="D243" s="760" t="s">
        <v>314</v>
      </c>
      <c r="E243" s="760"/>
      <c r="H243" s="760" t="s">
        <v>361</v>
      </c>
      <c r="I243" s="760"/>
      <c r="J243" s="760"/>
    </row>
  </sheetData>
  <mergeCells count="262">
    <mergeCell ref="H144:J144"/>
    <mergeCell ref="H76:I76"/>
    <mergeCell ref="H77:I77"/>
    <mergeCell ref="H74:I74"/>
    <mergeCell ref="H124:I124"/>
    <mergeCell ref="H125:I125"/>
    <mergeCell ref="A81:J81"/>
    <mergeCell ref="A82:G82"/>
    <mergeCell ref="A80:G80"/>
    <mergeCell ref="H80:I80"/>
    <mergeCell ref="H115:I115"/>
    <mergeCell ref="H116:I116"/>
    <mergeCell ref="H117:I117"/>
    <mergeCell ref="B136:G136"/>
    <mergeCell ref="A144:B144"/>
    <mergeCell ref="D84:E86"/>
    <mergeCell ref="E96:G96"/>
    <mergeCell ref="D110:D111"/>
    <mergeCell ref="D95:E95"/>
    <mergeCell ref="A100:J100"/>
    <mergeCell ref="H119:I119"/>
    <mergeCell ref="H120:I120"/>
    <mergeCell ref="F140:I140"/>
    <mergeCell ref="J110:J111"/>
    <mergeCell ref="H15:I15"/>
    <mergeCell ref="H16:I16"/>
    <mergeCell ref="H19:I19"/>
    <mergeCell ref="F33:I33"/>
    <mergeCell ref="H67:I67"/>
    <mergeCell ref="H68:I68"/>
    <mergeCell ref="H69:I69"/>
    <mergeCell ref="H61:I61"/>
    <mergeCell ref="H63:I63"/>
    <mergeCell ref="H64:I64"/>
    <mergeCell ref="H65:I65"/>
    <mergeCell ref="H66:I66"/>
    <mergeCell ref="A22:G22"/>
    <mergeCell ref="A28:G28"/>
    <mergeCell ref="A29:J29"/>
    <mergeCell ref="H17:I17"/>
    <mergeCell ref="H18:I18"/>
    <mergeCell ref="B57:B59"/>
    <mergeCell ref="H30:J30"/>
    <mergeCell ref="A47:J47"/>
    <mergeCell ref="A18:G18"/>
    <mergeCell ref="B49:J49"/>
    <mergeCell ref="A43:B43"/>
    <mergeCell ref="H20:I20"/>
    <mergeCell ref="A1:J1"/>
    <mergeCell ref="A5:J5"/>
    <mergeCell ref="B12:B14"/>
    <mergeCell ref="C12:E12"/>
    <mergeCell ref="F12:F14"/>
    <mergeCell ref="B4:J4"/>
    <mergeCell ref="A12:A14"/>
    <mergeCell ref="E13:E14"/>
    <mergeCell ref="H12:J12"/>
    <mergeCell ref="H13:I14"/>
    <mergeCell ref="A2:J2"/>
    <mergeCell ref="A3:J3"/>
    <mergeCell ref="G12:G14"/>
    <mergeCell ref="C13:C14"/>
    <mergeCell ref="D13:D14"/>
    <mergeCell ref="J13:J14"/>
    <mergeCell ref="A50:J50"/>
    <mergeCell ref="A57:A59"/>
    <mergeCell ref="A37:B37"/>
    <mergeCell ref="A46:J46"/>
    <mergeCell ref="H37:J37"/>
    <mergeCell ref="H21:I21"/>
    <mergeCell ref="H22:I22"/>
    <mergeCell ref="H23:I23"/>
    <mergeCell ref="A30:G30"/>
    <mergeCell ref="H24:I24"/>
    <mergeCell ref="H25:I25"/>
    <mergeCell ref="H26:I26"/>
    <mergeCell ref="H27:I27"/>
    <mergeCell ref="H28:I28"/>
    <mergeCell ref="C58:C59"/>
    <mergeCell ref="H71:I71"/>
    <mergeCell ref="H72:I72"/>
    <mergeCell ref="H73:I73"/>
    <mergeCell ref="H82:J82"/>
    <mergeCell ref="F86:I86"/>
    <mergeCell ref="D32:E34"/>
    <mergeCell ref="F32:I32"/>
    <mergeCell ref="F34:I34"/>
    <mergeCell ref="D58:D59"/>
    <mergeCell ref="E58:E59"/>
    <mergeCell ref="C57:E57"/>
    <mergeCell ref="F57:F59"/>
    <mergeCell ref="G57:G59"/>
    <mergeCell ref="A48:J48"/>
    <mergeCell ref="D37:E37"/>
    <mergeCell ref="D38:E38"/>
    <mergeCell ref="D43:E43"/>
    <mergeCell ref="A38:B38"/>
    <mergeCell ref="H38:J38"/>
    <mergeCell ref="H43:J43"/>
    <mergeCell ref="E44:G44"/>
    <mergeCell ref="J58:J59"/>
    <mergeCell ref="H57:J57"/>
    <mergeCell ref="H58:I59"/>
    <mergeCell ref="A68:G68"/>
    <mergeCell ref="A74:G74"/>
    <mergeCell ref="H78:I78"/>
    <mergeCell ref="H79:I79"/>
    <mergeCell ref="H75:I75"/>
    <mergeCell ref="F84:I84"/>
    <mergeCell ref="F85:I85"/>
    <mergeCell ref="H135:I135"/>
    <mergeCell ref="H60:I60"/>
    <mergeCell ref="H126:I126"/>
    <mergeCell ref="H127:I127"/>
    <mergeCell ref="A99:J99"/>
    <mergeCell ref="H109:J109"/>
    <mergeCell ref="H110:I111"/>
    <mergeCell ref="F109:F111"/>
    <mergeCell ref="G109:G111"/>
    <mergeCell ref="A109:A111"/>
    <mergeCell ref="B109:B111"/>
    <mergeCell ref="E110:E111"/>
    <mergeCell ref="C109:E109"/>
    <mergeCell ref="C110:C111"/>
    <mergeCell ref="H95:J95"/>
    <mergeCell ref="H89:J89"/>
    <mergeCell ref="H70:I70"/>
    <mergeCell ref="D138:E140"/>
    <mergeCell ref="A89:B89"/>
    <mergeCell ref="D89:E89"/>
    <mergeCell ref="D90:E90"/>
    <mergeCell ref="A102:J102"/>
    <mergeCell ref="B134:G134"/>
    <mergeCell ref="H121:I121"/>
    <mergeCell ref="A98:J98"/>
    <mergeCell ref="A95:B95"/>
    <mergeCell ref="H112:I112"/>
    <mergeCell ref="H113:I113"/>
    <mergeCell ref="H134:I134"/>
    <mergeCell ref="B121:G121"/>
    <mergeCell ref="H118:I118"/>
    <mergeCell ref="H128:I128"/>
    <mergeCell ref="H122:I122"/>
    <mergeCell ref="H123:I123"/>
    <mergeCell ref="H90:J90"/>
    <mergeCell ref="A90:B90"/>
    <mergeCell ref="H114:I114"/>
    <mergeCell ref="A149:B149"/>
    <mergeCell ref="D163:D164"/>
    <mergeCell ref="E163:E164"/>
    <mergeCell ref="F138:I138"/>
    <mergeCell ref="H136:J136"/>
    <mergeCell ref="C163:C164"/>
    <mergeCell ref="B128:G128"/>
    <mergeCell ref="B135:G135"/>
    <mergeCell ref="H129:I129"/>
    <mergeCell ref="H130:I130"/>
    <mergeCell ref="H131:I131"/>
    <mergeCell ref="H132:I132"/>
    <mergeCell ref="H133:I133"/>
    <mergeCell ref="B162:B164"/>
    <mergeCell ref="C162:E162"/>
    <mergeCell ref="F162:F164"/>
    <mergeCell ref="G162:G164"/>
    <mergeCell ref="A151:J151"/>
    <mergeCell ref="A152:J152"/>
    <mergeCell ref="A162:A164"/>
    <mergeCell ref="A153:J153"/>
    <mergeCell ref="F139:I139"/>
    <mergeCell ref="A143:B143"/>
    <mergeCell ref="H143:J143"/>
    <mergeCell ref="H177:I177"/>
    <mergeCell ref="H166:I166"/>
    <mergeCell ref="H167:I167"/>
    <mergeCell ref="H162:J162"/>
    <mergeCell ref="D143:E143"/>
    <mergeCell ref="D144:E144"/>
    <mergeCell ref="D149:E149"/>
    <mergeCell ref="J163:J164"/>
    <mergeCell ref="H149:J149"/>
    <mergeCell ref="B154:J154"/>
    <mergeCell ref="H163:I164"/>
    <mergeCell ref="H165:I165"/>
    <mergeCell ref="A168:G168"/>
    <mergeCell ref="H168:I168"/>
    <mergeCell ref="H169:I169"/>
    <mergeCell ref="H170:I170"/>
    <mergeCell ref="H171:I171"/>
    <mergeCell ref="A172:G172"/>
    <mergeCell ref="H172:I172"/>
    <mergeCell ref="A155:J155"/>
    <mergeCell ref="H173:I173"/>
    <mergeCell ref="H174:I174"/>
    <mergeCell ref="H175:I175"/>
    <mergeCell ref="H176:I176"/>
    <mergeCell ref="A178:G178"/>
    <mergeCell ref="A179:J179"/>
    <mergeCell ref="A180:G180"/>
    <mergeCell ref="H180:J180"/>
    <mergeCell ref="D182:E184"/>
    <mergeCell ref="F182:I182"/>
    <mergeCell ref="F183:I183"/>
    <mergeCell ref="F184:I184"/>
    <mergeCell ref="H178:I178"/>
    <mergeCell ref="A187:B187"/>
    <mergeCell ref="D187:E187"/>
    <mergeCell ref="H187:J187"/>
    <mergeCell ref="A188:B188"/>
    <mergeCell ref="D188:E188"/>
    <mergeCell ref="H188:J188"/>
    <mergeCell ref="A193:B193"/>
    <mergeCell ref="D193:E193"/>
    <mergeCell ref="H193:J193"/>
    <mergeCell ref="A201:J201"/>
    <mergeCell ref="A202:J202"/>
    <mergeCell ref="A203:J203"/>
    <mergeCell ref="B204:J204"/>
    <mergeCell ref="A205:J205"/>
    <mergeCell ref="A212:A214"/>
    <mergeCell ref="B212:B214"/>
    <mergeCell ref="C212:E212"/>
    <mergeCell ref="F212:F214"/>
    <mergeCell ref="G212:G214"/>
    <mergeCell ref="H212:J212"/>
    <mergeCell ref="C213:C214"/>
    <mergeCell ref="D213:D214"/>
    <mergeCell ref="E213:E214"/>
    <mergeCell ref="H213:I214"/>
    <mergeCell ref="J213:J214"/>
    <mergeCell ref="H215:I215"/>
    <mergeCell ref="H216:I216"/>
    <mergeCell ref="H217:I217"/>
    <mergeCell ref="A218:G218"/>
    <mergeCell ref="H218:I218"/>
    <mergeCell ref="H219:I219"/>
    <mergeCell ref="H220:I220"/>
    <mergeCell ref="H221:I221"/>
    <mergeCell ref="A222:G222"/>
    <mergeCell ref="H222:I222"/>
    <mergeCell ref="H223:I223"/>
    <mergeCell ref="H224:I224"/>
    <mergeCell ref="H225:I225"/>
    <mergeCell ref="H226:I226"/>
    <mergeCell ref="H227:I227"/>
    <mergeCell ref="A228:G228"/>
    <mergeCell ref="H228:I228"/>
    <mergeCell ref="A229:J229"/>
    <mergeCell ref="A230:G230"/>
    <mergeCell ref="H230:J230"/>
    <mergeCell ref="A243:B243"/>
    <mergeCell ref="D243:E243"/>
    <mergeCell ref="H243:J243"/>
    <mergeCell ref="D232:E234"/>
    <mergeCell ref="F232:I232"/>
    <mergeCell ref="F233:I233"/>
    <mergeCell ref="F234:I234"/>
    <mergeCell ref="A237:B237"/>
    <mergeCell ref="D237:E237"/>
    <mergeCell ref="H237:J237"/>
    <mergeCell ref="A238:B238"/>
    <mergeCell ref="D238:E238"/>
    <mergeCell ref="H238:J238"/>
  </mergeCells>
  <printOptions horizontalCentered="1"/>
  <pageMargins left="0.13" right="0.33" top="0.5" bottom="0.74803149606299213" header="0.31496062992125984" footer="0.31496062992125984"/>
  <pageSetup paperSize="256" scale="63" orientation="portrait" horizontalDpi="4294967293" verticalDpi="4294967294" r:id="rId1"/>
  <rowBreaks count="4" manualBreakCount="4">
    <brk id="44" max="9" man="1"/>
    <brk id="96" max="9" man="1"/>
    <brk id="150" max="9" man="1"/>
    <brk id="200" max="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38"/>
  <sheetViews>
    <sheetView view="pageBreakPreview" zoomScale="70" zoomScaleSheetLayoutView="70" workbookViewId="0">
      <selection activeCell="N20" sqref="N20"/>
    </sheetView>
  </sheetViews>
  <sheetFormatPr defaultRowHeight="15" x14ac:dyDescent="0.2"/>
  <cols>
    <col min="1" max="1" width="6.140625" style="20" customWidth="1"/>
    <col min="2" max="2" width="31.28515625" style="20" bestFit="1" customWidth="1"/>
    <col min="3" max="3" width="23.85546875" style="20" customWidth="1"/>
    <col min="4" max="4" width="15.140625" style="20" customWidth="1"/>
    <col min="5" max="5" width="14.42578125" style="20" customWidth="1"/>
    <col min="6" max="6" width="18.85546875" style="20" customWidth="1"/>
    <col min="7" max="7" width="17.7109375" style="20" bestFit="1" customWidth="1"/>
    <col min="8" max="8" width="9.42578125" style="20" bestFit="1" customWidth="1"/>
    <col min="9" max="9" width="18.7109375" style="20" customWidth="1"/>
    <col min="10" max="10" width="9.140625" style="20"/>
    <col min="11" max="11" width="14.140625" style="20" bestFit="1" customWidth="1"/>
    <col min="12" max="16384" width="9.140625" style="20"/>
  </cols>
  <sheetData>
    <row r="1" spans="1:12" x14ac:dyDescent="0.2">
      <c r="A1" s="1"/>
      <c r="B1" s="1"/>
      <c r="C1" s="1"/>
      <c r="D1" s="1"/>
      <c r="E1" s="1"/>
      <c r="F1" s="1"/>
      <c r="G1" s="1"/>
      <c r="H1" s="1"/>
      <c r="I1" s="1"/>
    </row>
    <row r="2" spans="1:12" ht="25.5" x14ac:dyDescent="0.35">
      <c r="A2" s="825" t="s">
        <v>40</v>
      </c>
      <c r="B2" s="825"/>
      <c r="C2" s="825"/>
      <c r="D2" s="825"/>
      <c r="E2" s="825"/>
      <c r="F2" s="825"/>
      <c r="G2" s="825"/>
      <c r="H2" s="1"/>
      <c r="I2" s="1"/>
    </row>
    <row r="3" spans="1:12" x14ac:dyDescent="0.2">
      <c r="A3" s="21"/>
      <c r="B3" s="21"/>
      <c r="C3" s="21"/>
      <c r="D3" s="21"/>
      <c r="E3" s="21"/>
      <c r="F3" s="21"/>
      <c r="G3" s="21"/>
      <c r="H3" s="1"/>
      <c r="I3" s="1"/>
    </row>
    <row r="4" spans="1:12" x14ac:dyDescent="0.2">
      <c r="A4" s="2" t="s">
        <v>25</v>
      </c>
      <c r="B4" s="2"/>
      <c r="C4" s="2" t="str">
        <f>'5. Rekap Bahan &amp; Upah'!H8</f>
        <v>Pemb.Jalan Rabat Beton</v>
      </c>
      <c r="D4" s="3"/>
      <c r="E4" s="3"/>
      <c r="F4" s="3"/>
      <c r="G4" s="3"/>
      <c r="H4" s="1"/>
      <c r="I4" s="1"/>
    </row>
    <row r="5" spans="1:12" x14ac:dyDescent="0.2">
      <c r="A5" s="2" t="s">
        <v>46</v>
      </c>
      <c r="B5" s="2"/>
      <c r="C5" s="2" t="s">
        <v>138</v>
      </c>
      <c r="D5" s="3"/>
      <c r="E5" s="3"/>
      <c r="F5" s="3"/>
      <c r="G5" s="3"/>
      <c r="H5" s="1"/>
      <c r="I5" s="1"/>
    </row>
    <row r="6" spans="1:12" x14ac:dyDescent="0.2">
      <c r="A6" s="2" t="s">
        <v>1</v>
      </c>
      <c r="B6" s="2"/>
      <c r="C6" s="2" t="s">
        <v>137</v>
      </c>
      <c r="D6" s="3"/>
      <c r="E6" s="3"/>
      <c r="F6" s="3"/>
      <c r="G6" s="3"/>
      <c r="H6" s="1"/>
      <c r="I6" s="1"/>
    </row>
    <row r="7" spans="1:12" ht="15.75" thickBot="1" x14ac:dyDescent="0.25">
      <c r="A7" s="1"/>
      <c r="B7" s="1"/>
      <c r="C7" s="1"/>
      <c r="D7" s="1"/>
      <c r="E7" s="1"/>
      <c r="F7" s="1"/>
      <c r="G7" s="1"/>
      <c r="H7" s="1"/>
      <c r="I7" s="1"/>
    </row>
    <row r="8" spans="1:12" x14ac:dyDescent="0.2">
      <c r="A8" s="826" t="s">
        <v>63</v>
      </c>
      <c r="B8" s="828" t="s">
        <v>28</v>
      </c>
      <c r="C8" s="829"/>
      <c r="D8" s="130" t="s">
        <v>63</v>
      </c>
      <c r="E8" s="835" t="s">
        <v>117</v>
      </c>
      <c r="F8" s="836"/>
      <c r="G8" s="832" t="s">
        <v>65</v>
      </c>
      <c r="H8" s="1"/>
      <c r="I8" s="1"/>
    </row>
    <row r="9" spans="1:12" ht="15.75" thickBot="1" x14ac:dyDescent="0.25">
      <c r="A9" s="827"/>
      <c r="B9" s="830"/>
      <c r="C9" s="831"/>
      <c r="D9" s="22" t="s">
        <v>64</v>
      </c>
      <c r="E9" s="837"/>
      <c r="F9" s="838"/>
      <c r="G9" s="833"/>
      <c r="H9" s="1" t="s">
        <v>65</v>
      </c>
      <c r="I9" s="1"/>
      <c r="L9" s="132">
        <v>7.5923623121012804</v>
      </c>
    </row>
    <row r="10" spans="1:12" s="41" customFormat="1" ht="31.5" customHeight="1" thickTop="1" x14ac:dyDescent="0.2">
      <c r="A10" s="131">
        <v>1</v>
      </c>
      <c r="B10" s="35" t="str">
        <f>'4. Rekap'!I9</f>
        <v>Pembentukan Badan Jalan</v>
      </c>
      <c r="C10" s="35"/>
      <c r="D10" s="36">
        <v>1</v>
      </c>
      <c r="E10" s="37"/>
      <c r="F10" s="38">
        <f>'4. Rekap'!J32</f>
        <v>2500000</v>
      </c>
      <c r="G10" s="132" t="e">
        <f>F10/F16*100</f>
        <v>#REF!</v>
      </c>
      <c r="H10" s="39" t="e">
        <f>F10/F16*100</f>
        <v>#REF!</v>
      </c>
      <c r="I10" s="129" t="e">
        <f>F10/F17*1</f>
        <v>#REF!</v>
      </c>
      <c r="K10" s="42"/>
      <c r="L10" s="132">
        <v>1.3907901542898644</v>
      </c>
    </row>
    <row r="11" spans="1:12" s="41" customFormat="1" ht="31.5" customHeight="1" x14ac:dyDescent="0.2">
      <c r="A11" s="131">
        <v>2</v>
      </c>
      <c r="B11" s="35" t="str">
        <f>'4. Rekap'!I54</f>
        <v>Pemasangan Papan Cor</v>
      </c>
      <c r="C11" s="35"/>
      <c r="D11" s="36">
        <v>2</v>
      </c>
      <c r="E11" s="37"/>
      <c r="F11" s="38">
        <f>'4. Rekap'!J84</f>
        <v>922000.00000000012</v>
      </c>
      <c r="G11" s="132" t="e">
        <f t="shared" ref="G11" si="0">F11/F17*100</f>
        <v>#REF!</v>
      </c>
      <c r="H11" s="39" t="e">
        <f>F11/F16*100</f>
        <v>#REF!</v>
      </c>
      <c r="I11" s="40">
        <v>20.100000000000001</v>
      </c>
      <c r="K11" s="42"/>
      <c r="L11" s="132">
        <v>90.273938963284976</v>
      </c>
    </row>
    <row r="12" spans="1:12" s="41" customFormat="1" ht="31.5" customHeight="1" x14ac:dyDescent="0.2">
      <c r="A12" s="131">
        <v>3</v>
      </c>
      <c r="B12" s="35" t="str">
        <f>'4. Rekap'!I106</f>
        <v>Pembesian dan Pengecoran</v>
      </c>
      <c r="C12" s="35"/>
      <c r="D12" s="36">
        <v>3</v>
      </c>
      <c r="E12" s="37"/>
      <c r="F12" s="38">
        <f>'4. Rekap'!J138</f>
        <v>74176000</v>
      </c>
      <c r="G12" s="132" t="e">
        <f>F12/F15*100</f>
        <v>#REF!</v>
      </c>
      <c r="H12" s="39" t="e">
        <f>F12/F16*100</f>
        <v>#REF!</v>
      </c>
      <c r="I12" s="40"/>
      <c r="L12" s="132">
        <v>0.74290857032388857</v>
      </c>
    </row>
    <row r="13" spans="1:12" ht="25.5" customHeight="1" x14ac:dyDescent="0.2">
      <c r="A13" s="131">
        <v>4</v>
      </c>
      <c r="B13" s="23" t="e">
        <f>'4. Rekap'!#REF!</f>
        <v>#REF!</v>
      </c>
      <c r="C13" s="23"/>
      <c r="D13" s="36">
        <v>4</v>
      </c>
      <c r="E13" s="25"/>
      <c r="F13" s="26" t="e">
        <f>'4. Rekap'!#REF!</f>
        <v>#REF!</v>
      </c>
      <c r="G13" s="132" t="e">
        <f>F13/F16*100</f>
        <v>#REF!</v>
      </c>
      <c r="H13" s="39" t="e">
        <f>F13/F17*100</f>
        <v>#REF!</v>
      </c>
      <c r="I13" s="1"/>
    </row>
    <row r="14" spans="1:12" ht="15.75" thickBot="1" x14ac:dyDescent="0.25">
      <c r="A14" s="133"/>
      <c r="B14" s="23"/>
      <c r="C14" s="23"/>
      <c r="D14" s="24"/>
      <c r="E14" s="25"/>
      <c r="F14" s="26"/>
      <c r="G14" s="134"/>
      <c r="H14" s="27"/>
      <c r="I14" s="1"/>
    </row>
    <row r="15" spans="1:12" ht="16.5" thickTop="1" thickBot="1" x14ac:dyDescent="0.25">
      <c r="A15" s="135"/>
      <c r="B15" s="822" t="s">
        <v>33</v>
      </c>
      <c r="C15" s="822"/>
      <c r="D15" s="822"/>
      <c r="E15" s="28"/>
      <c r="F15" s="29" t="e">
        <f>SUM(F10:F13)</f>
        <v>#REF!</v>
      </c>
      <c r="G15" s="136" t="e">
        <f>SUM(G10:G13)</f>
        <v>#REF!</v>
      </c>
      <c r="H15" s="27" t="e">
        <f>SUM(H10:H13)</f>
        <v>#REF!</v>
      </c>
      <c r="I15" s="27" t="e">
        <f>SUM(I10:I11)</f>
        <v>#REF!</v>
      </c>
      <c r="K15" s="30" t="e">
        <f>F15/F16</f>
        <v>#REF!</v>
      </c>
    </row>
    <row r="16" spans="1:12" ht="16.5" thickTop="1" thickBot="1" x14ac:dyDescent="0.25">
      <c r="A16" s="135"/>
      <c r="B16" s="822" t="s">
        <v>118</v>
      </c>
      <c r="C16" s="822"/>
      <c r="D16" s="822"/>
      <c r="E16" s="28"/>
      <c r="F16" s="29" t="e">
        <f>F15</f>
        <v>#REF!</v>
      </c>
      <c r="G16" s="137" t="e">
        <f>SUM(G15:G15)</f>
        <v>#REF!</v>
      </c>
      <c r="H16" s="1"/>
      <c r="I16" s="43">
        <f>+'5. Rekap Bahan &amp; Upah'!I40</f>
        <v>88806000</v>
      </c>
    </row>
    <row r="17" spans="1:9" ht="16.5" thickTop="1" thickBot="1" x14ac:dyDescent="0.25">
      <c r="A17" s="135"/>
      <c r="B17" s="822" t="s">
        <v>33</v>
      </c>
      <c r="C17" s="822"/>
      <c r="D17" s="822"/>
      <c r="E17" s="28"/>
      <c r="F17" s="32" t="e">
        <f>F16</f>
        <v>#REF!</v>
      </c>
      <c r="G17" s="137"/>
      <c r="H17" s="1"/>
      <c r="I17" s="44" t="e">
        <f>I16-F15</f>
        <v>#REF!</v>
      </c>
    </row>
    <row r="18" spans="1:9" ht="15.75" thickTop="1" x14ac:dyDescent="0.2">
      <c r="A18" s="818"/>
      <c r="B18" s="819"/>
      <c r="C18" s="819"/>
      <c r="D18" s="819"/>
      <c r="E18" s="819"/>
      <c r="F18" s="819"/>
      <c r="G18" s="820"/>
      <c r="H18" s="1"/>
      <c r="I18" s="1"/>
    </row>
    <row r="19" spans="1:9" ht="15.75" thickBot="1" x14ac:dyDescent="0.25">
      <c r="A19" s="138"/>
      <c r="B19" s="139"/>
      <c r="C19" s="139"/>
      <c r="D19" s="139"/>
      <c r="E19" s="139"/>
      <c r="F19" s="139"/>
      <c r="G19" s="140"/>
      <c r="H19" s="1"/>
      <c r="I19" s="1"/>
    </row>
    <row r="20" spans="1:9" x14ac:dyDescent="0.2">
      <c r="A20" s="33"/>
      <c r="B20" s="33"/>
      <c r="C20" s="33"/>
      <c r="D20" s="33"/>
      <c r="E20" s="33"/>
      <c r="F20" s="33"/>
      <c r="G20" s="33"/>
      <c r="H20" s="1"/>
      <c r="I20" s="1"/>
    </row>
    <row r="21" spans="1:9" x14ac:dyDescent="0.2">
      <c r="A21" s="33"/>
      <c r="B21" s="33"/>
      <c r="C21" s="33"/>
      <c r="D21" s="33"/>
      <c r="E21" s="834" t="s">
        <v>175</v>
      </c>
      <c r="F21" s="834"/>
      <c r="G21" s="834"/>
      <c r="H21" s="1"/>
      <c r="I21" s="1"/>
    </row>
    <row r="22" spans="1:9" ht="15.75" x14ac:dyDescent="0.25">
      <c r="A22" s="821" t="s">
        <v>96</v>
      </c>
      <c r="B22" s="821"/>
      <c r="C22" s="821" t="s">
        <v>93</v>
      </c>
      <c r="D22" s="821"/>
      <c r="E22" s="823" t="s">
        <v>95</v>
      </c>
      <c r="F22" s="823"/>
      <c r="G22" s="49" t="s">
        <v>56</v>
      </c>
      <c r="H22" s="50"/>
      <c r="I22" s="50"/>
    </row>
    <row r="23" spans="1:9" ht="15.75" x14ac:dyDescent="0.25">
      <c r="A23" s="821" t="s">
        <v>132</v>
      </c>
      <c r="B23" s="821"/>
      <c r="C23" s="821" t="s">
        <v>94</v>
      </c>
      <c r="D23" s="821"/>
      <c r="E23" s="823" t="s">
        <v>71</v>
      </c>
      <c r="F23" s="823"/>
      <c r="G23" s="49" t="s">
        <v>134</v>
      </c>
      <c r="H23" s="50"/>
      <c r="I23" s="50"/>
    </row>
    <row r="24" spans="1:9" ht="15.75" x14ac:dyDescent="0.25">
      <c r="A24" s="48"/>
      <c r="B24" s="49"/>
      <c r="C24" s="49"/>
      <c r="D24" s="50"/>
      <c r="E24" s="158"/>
      <c r="F24" s="158"/>
      <c r="G24" s="49"/>
      <c r="H24" s="48"/>
      <c r="I24" s="48"/>
    </row>
    <row r="25" spans="1:9" ht="15.75" x14ac:dyDescent="0.25">
      <c r="A25" s="48"/>
      <c r="B25" s="49"/>
      <c r="C25" s="49"/>
      <c r="D25" s="49"/>
      <c r="E25" s="159"/>
      <c r="F25" s="158"/>
      <c r="G25" s="49"/>
      <c r="H25" s="48"/>
      <c r="I25" s="48"/>
    </row>
    <row r="26" spans="1:9" ht="15.75" x14ac:dyDescent="0.25">
      <c r="A26" s="48"/>
      <c r="B26" s="50"/>
      <c r="C26" s="50"/>
      <c r="D26" s="48"/>
      <c r="E26" s="158"/>
      <c r="F26" s="158"/>
      <c r="G26" s="49"/>
      <c r="H26" s="48"/>
      <c r="I26" s="48"/>
    </row>
    <row r="27" spans="1:9" ht="15.75" x14ac:dyDescent="0.25">
      <c r="A27" s="48"/>
      <c r="B27" s="50"/>
      <c r="C27" s="50"/>
      <c r="D27" s="48"/>
      <c r="E27" s="158"/>
      <c r="F27" s="158"/>
      <c r="G27" s="49"/>
      <c r="H27" s="48"/>
      <c r="I27" s="48"/>
    </row>
    <row r="28" spans="1:9" x14ac:dyDescent="0.2">
      <c r="A28" s="817" t="s">
        <v>133</v>
      </c>
      <c r="B28" s="817"/>
      <c r="C28" s="817" t="s">
        <v>166</v>
      </c>
      <c r="D28" s="817"/>
      <c r="E28" s="824" t="s">
        <v>167</v>
      </c>
      <c r="F28" s="824"/>
      <c r="G28" s="152" t="s">
        <v>174</v>
      </c>
      <c r="H28" s="126"/>
      <c r="I28" s="126"/>
    </row>
    <row r="29" spans="1:9" ht="15.75" x14ac:dyDescent="0.25">
      <c r="A29" s="48"/>
      <c r="B29" s="49"/>
      <c r="C29" s="50"/>
      <c r="D29" s="50"/>
      <c r="E29" s="821"/>
      <c r="F29" s="821"/>
      <c r="G29" s="50"/>
      <c r="H29" s="49"/>
      <c r="I29" s="49"/>
    </row>
    <row r="30" spans="1:9" x14ac:dyDescent="0.2">
      <c r="I30" s="31">
        <v>600000</v>
      </c>
    </row>
    <row r="31" spans="1:9" x14ac:dyDescent="0.2">
      <c r="I31" s="31">
        <v>400000</v>
      </c>
    </row>
    <row r="32" spans="1:9" x14ac:dyDescent="0.2">
      <c r="I32" s="31">
        <v>350000</v>
      </c>
    </row>
    <row r="33" spans="9:9" x14ac:dyDescent="0.2">
      <c r="I33" s="31">
        <v>200000</v>
      </c>
    </row>
    <row r="34" spans="9:9" x14ac:dyDescent="0.2">
      <c r="I34" s="31">
        <v>400000</v>
      </c>
    </row>
    <row r="35" spans="9:9" x14ac:dyDescent="0.2">
      <c r="I35" s="31">
        <v>2000000</v>
      </c>
    </row>
    <row r="36" spans="9:9" x14ac:dyDescent="0.2">
      <c r="I36" s="34">
        <v>255650</v>
      </c>
    </row>
    <row r="37" spans="9:9" x14ac:dyDescent="0.2">
      <c r="I37" s="34">
        <f>SUM(I27:I36)</f>
        <v>4205650</v>
      </c>
    </row>
    <row r="38" spans="9:9" x14ac:dyDescent="0.2">
      <c r="I38" s="34">
        <f>9205650-I37</f>
        <v>5000000</v>
      </c>
    </row>
  </sheetData>
  <mergeCells count="20">
    <mergeCell ref="E29:F29"/>
    <mergeCell ref="C22:D22"/>
    <mergeCell ref="C23:D23"/>
    <mergeCell ref="C28:D28"/>
    <mergeCell ref="E8:F9"/>
    <mergeCell ref="A2:G2"/>
    <mergeCell ref="A8:A9"/>
    <mergeCell ref="B8:C9"/>
    <mergeCell ref="G8:G9"/>
    <mergeCell ref="E22:F22"/>
    <mergeCell ref="E21:G21"/>
    <mergeCell ref="A28:B28"/>
    <mergeCell ref="A18:G18"/>
    <mergeCell ref="A23:B23"/>
    <mergeCell ref="B15:D15"/>
    <mergeCell ref="B16:D16"/>
    <mergeCell ref="A22:B22"/>
    <mergeCell ref="B17:D17"/>
    <mergeCell ref="E23:F23"/>
    <mergeCell ref="E28:F28"/>
  </mergeCells>
  <phoneticPr fontId="2" type="noConversion"/>
  <printOptions horizontalCentered="1"/>
  <pageMargins left="0.39370078740157483" right="0.19685039370078741" top="0.51181102362204722" bottom="0.51181102362204722" header="0.51181102362204722" footer="0.51181102362204722"/>
  <pageSetup paperSize="9" scale="75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V318"/>
  <sheetViews>
    <sheetView view="pageBreakPreview" topLeftCell="A22" zoomScale="115" zoomScaleSheetLayoutView="115" workbookViewId="0">
      <selection activeCell="E15" sqref="E15"/>
    </sheetView>
  </sheetViews>
  <sheetFormatPr defaultRowHeight="15" x14ac:dyDescent="0.25"/>
  <cols>
    <col min="1" max="1" width="3.7109375" style="48" customWidth="1"/>
    <col min="2" max="2" width="22" style="48" bestFit="1" customWidth="1"/>
    <col min="3" max="3" width="15.7109375" style="48" customWidth="1"/>
    <col min="4" max="4" width="13.5703125" style="48" customWidth="1"/>
    <col min="5" max="5" width="15.7109375" style="48" customWidth="1"/>
    <col min="6" max="6" width="14.5703125" style="48" customWidth="1"/>
    <col min="7" max="7" width="12.42578125" style="48" customWidth="1"/>
    <col min="8" max="8" width="13.7109375" style="48" customWidth="1"/>
    <col min="9" max="9" width="14.7109375" style="48" customWidth="1"/>
    <col min="10" max="10" width="20.5703125" style="48" customWidth="1"/>
    <col min="11" max="11" width="15.42578125" style="48" bestFit="1" customWidth="1"/>
    <col min="12" max="12" width="13.140625" style="48" customWidth="1"/>
    <col min="13" max="13" width="13.5703125" style="48" bestFit="1" customWidth="1"/>
    <col min="14" max="14" width="14" style="48" bestFit="1" customWidth="1"/>
    <col min="15" max="15" width="9.140625" style="48"/>
    <col min="16" max="16" width="13.85546875" style="48" bestFit="1" customWidth="1"/>
    <col min="17" max="16384" width="9.140625" style="48"/>
  </cols>
  <sheetData>
    <row r="1" spans="1:12" ht="26.25" customHeight="1" x14ac:dyDescent="0.3">
      <c r="A1" s="840" t="s">
        <v>136</v>
      </c>
      <c r="B1" s="840"/>
      <c r="C1" s="840"/>
      <c r="D1" s="840"/>
      <c r="E1" s="840"/>
      <c r="F1" s="840"/>
      <c r="G1" s="840"/>
      <c r="H1" s="840"/>
      <c r="I1" s="840"/>
    </row>
    <row r="2" spans="1:12" ht="26.25" customHeight="1" x14ac:dyDescent="0.3">
      <c r="A2" s="840" t="s">
        <v>130</v>
      </c>
      <c r="B2" s="840"/>
      <c r="C2" s="840"/>
      <c r="D2" s="840"/>
      <c r="E2" s="840"/>
      <c r="F2" s="840"/>
      <c r="G2" s="840"/>
      <c r="H2" s="840"/>
      <c r="I2" s="840"/>
    </row>
    <row r="3" spans="1:12" ht="26.25" customHeight="1" thickBot="1" x14ac:dyDescent="0.35">
      <c r="A3" s="841" t="s">
        <v>383</v>
      </c>
      <c r="B3" s="841"/>
      <c r="C3" s="841"/>
      <c r="D3" s="841"/>
      <c r="E3" s="841"/>
      <c r="F3" s="841"/>
      <c r="G3" s="841"/>
      <c r="H3" s="841"/>
      <c r="I3" s="841"/>
    </row>
    <row r="4" spans="1:12" ht="16.5" customHeight="1" thickTop="1" x14ac:dyDescent="0.25">
      <c r="A4" s="842" t="s">
        <v>23</v>
      </c>
      <c r="B4" s="842"/>
      <c r="C4" s="842"/>
      <c r="D4" s="842"/>
      <c r="E4" s="842"/>
      <c r="F4" s="842"/>
      <c r="G4" s="842"/>
      <c r="H4" s="842"/>
      <c r="I4" s="842"/>
      <c r="J4" s="275"/>
      <c r="K4" s="275"/>
      <c r="L4" s="275"/>
    </row>
    <row r="5" spans="1:12" ht="11.25" customHeight="1" x14ac:dyDescent="0.25"/>
    <row r="6" spans="1:12" s="158" customFormat="1" ht="16.5" customHeight="1" x14ac:dyDescent="0.2">
      <c r="A6" s="158" t="s">
        <v>74</v>
      </c>
      <c r="C6" s="158" t="str">
        <f>'4. Rekap'!C7</f>
        <v>: Jambi</v>
      </c>
      <c r="E6" s="276"/>
      <c r="F6" s="276" t="s">
        <v>32</v>
      </c>
      <c r="G6" s="277" t="s">
        <v>27</v>
      </c>
      <c r="H6" s="278" t="str">
        <f>'7. RAB'!F4</f>
        <v>: 2.10</v>
      </c>
      <c r="J6" s="276"/>
    </row>
    <row r="7" spans="1:12" s="158" customFormat="1" ht="16.5" customHeight="1" x14ac:dyDescent="0.2">
      <c r="A7" s="158" t="s">
        <v>0</v>
      </c>
      <c r="C7" s="158" t="str">
        <f>'4. Rekap'!C8</f>
        <v>: Muaro Jambi</v>
      </c>
      <c r="E7" s="276"/>
      <c r="F7" s="276" t="s">
        <v>24</v>
      </c>
      <c r="G7" s="277" t="s">
        <v>27</v>
      </c>
      <c r="H7" s="158" t="s">
        <v>222</v>
      </c>
      <c r="J7" s="276"/>
    </row>
    <row r="8" spans="1:12" s="158" customFormat="1" ht="16.5" customHeight="1" x14ac:dyDescent="0.2">
      <c r="A8" s="158" t="s">
        <v>1</v>
      </c>
      <c r="C8" s="158" t="str">
        <f>'4. Rekap'!C9</f>
        <v>: Bahar Selatan</v>
      </c>
      <c r="F8" s="276" t="s">
        <v>25</v>
      </c>
      <c r="G8" s="277" t="s">
        <v>27</v>
      </c>
      <c r="H8" s="158" t="str">
        <f>'3. Analisa'!O3</f>
        <v>Pemb.Jalan Rabat Beton</v>
      </c>
      <c r="J8" s="276"/>
    </row>
    <row r="9" spans="1:12" s="158" customFormat="1" ht="16.5" customHeight="1" x14ac:dyDescent="0.2">
      <c r="A9" s="158" t="s">
        <v>75</v>
      </c>
      <c r="C9" s="158" t="str">
        <f>'4. Rekap'!C10</f>
        <v>: Tanjung Mulya</v>
      </c>
      <c r="F9" s="276" t="s">
        <v>26</v>
      </c>
      <c r="G9" s="277" t="s">
        <v>27</v>
      </c>
      <c r="H9" s="158" t="str">
        <f>'3. Analisa'!O5</f>
        <v>70 x 3.5 x 0.2 Meter</v>
      </c>
      <c r="J9" s="276"/>
    </row>
    <row r="10" spans="1:12" s="158" customFormat="1" ht="16.5" customHeight="1" thickBot="1" x14ac:dyDescent="0.25">
      <c r="F10" s="276"/>
      <c r="J10" s="276"/>
    </row>
    <row r="11" spans="1:12" ht="17.25" customHeight="1" thickTop="1" x14ac:dyDescent="0.25">
      <c r="A11" s="867" t="s">
        <v>73</v>
      </c>
      <c r="B11" s="847" t="s">
        <v>28</v>
      </c>
      <c r="C11" s="848" t="s">
        <v>4</v>
      </c>
      <c r="D11" s="848"/>
      <c r="E11" s="848"/>
      <c r="F11" s="847" t="s">
        <v>10</v>
      </c>
      <c r="G11" s="847" t="s">
        <v>31</v>
      </c>
      <c r="H11" s="847" t="s">
        <v>45</v>
      </c>
      <c r="I11" s="866"/>
    </row>
    <row r="12" spans="1:12" ht="17.25" customHeight="1" x14ac:dyDescent="0.25">
      <c r="A12" s="868"/>
      <c r="B12" s="845"/>
      <c r="C12" s="845" t="s">
        <v>29</v>
      </c>
      <c r="D12" s="845" t="s">
        <v>30</v>
      </c>
      <c r="E12" s="845" t="s">
        <v>116</v>
      </c>
      <c r="F12" s="845"/>
      <c r="G12" s="845"/>
      <c r="H12" s="845" t="s">
        <v>30</v>
      </c>
      <c r="I12" s="843" t="s">
        <v>116</v>
      </c>
    </row>
    <row r="13" spans="1:12" ht="17.25" customHeight="1" thickBot="1" x14ac:dyDescent="0.3">
      <c r="A13" s="869"/>
      <c r="B13" s="846"/>
      <c r="C13" s="846"/>
      <c r="D13" s="846"/>
      <c r="E13" s="846"/>
      <c r="F13" s="846"/>
      <c r="G13" s="846"/>
      <c r="H13" s="846"/>
      <c r="I13" s="844"/>
    </row>
    <row r="14" spans="1:12" s="158" customFormat="1" ht="15" customHeight="1" thickTop="1" x14ac:dyDescent="0.2">
      <c r="A14" s="279" t="s">
        <v>18</v>
      </c>
      <c r="B14" s="280" t="s">
        <v>76</v>
      </c>
      <c r="C14" s="281"/>
      <c r="D14" s="281"/>
      <c r="E14" s="281"/>
      <c r="F14" s="281"/>
      <c r="G14" s="281"/>
      <c r="H14" s="281"/>
      <c r="I14" s="282"/>
    </row>
    <row r="15" spans="1:12" s="158" customFormat="1" ht="15" customHeight="1" x14ac:dyDescent="0.2">
      <c r="A15" s="283">
        <v>1</v>
      </c>
      <c r="B15" s="284" t="s">
        <v>81</v>
      </c>
      <c r="C15" s="285">
        <f>+D15+E15</f>
        <v>294</v>
      </c>
      <c r="D15" s="285"/>
      <c r="E15" s="285">
        <f>'4. Rekap'!C113</f>
        <v>294</v>
      </c>
      <c r="F15" s="286" t="s">
        <v>13</v>
      </c>
      <c r="G15" s="287">
        <v>80000</v>
      </c>
      <c r="H15" s="287">
        <f t="shared" ref="H15:H23" si="0">G15*D15</f>
        <v>0</v>
      </c>
      <c r="I15" s="288">
        <f t="shared" ref="I15:I23" si="1">+G15*E15</f>
        <v>23520000</v>
      </c>
      <c r="J15" s="289"/>
      <c r="K15" s="290"/>
      <c r="L15" s="291"/>
    </row>
    <row r="16" spans="1:12" s="158" customFormat="1" ht="15" customHeight="1" x14ac:dyDescent="0.2">
      <c r="A16" s="283">
        <v>2</v>
      </c>
      <c r="B16" s="284" t="s">
        <v>19</v>
      </c>
      <c r="C16" s="285">
        <f t="shared" ref="C16:C23" si="2">+D16+E16</f>
        <v>28</v>
      </c>
      <c r="D16" s="285"/>
      <c r="E16" s="285">
        <f>'4. Rekap'!C114</f>
        <v>28</v>
      </c>
      <c r="F16" s="286" t="s">
        <v>9</v>
      </c>
      <c r="G16" s="287">
        <v>250000</v>
      </c>
      <c r="H16" s="287">
        <f t="shared" si="0"/>
        <v>0</v>
      </c>
      <c r="I16" s="288">
        <f t="shared" si="1"/>
        <v>7000000</v>
      </c>
      <c r="J16" s="289"/>
      <c r="K16" s="290"/>
    </row>
    <row r="17" spans="1:16" s="158" customFormat="1" ht="15" customHeight="1" x14ac:dyDescent="0.2">
      <c r="A17" s="283">
        <v>3</v>
      </c>
      <c r="B17" s="284" t="s">
        <v>20</v>
      </c>
      <c r="C17" s="285">
        <f t="shared" si="2"/>
        <v>37</v>
      </c>
      <c r="D17" s="285"/>
      <c r="E17" s="285">
        <f>'4. Rekap'!C115</f>
        <v>37</v>
      </c>
      <c r="F17" s="286" t="s">
        <v>9</v>
      </c>
      <c r="G17" s="287">
        <v>450000</v>
      </c>
      <c r="H17" s="287">
        <f t="shared" si="0"/>
        <v>0</v>
      </c>
      <c r="I17" s="288">
        <f>+G17*E17</f>
        <v>16650000</v>
      </c>
      <c r="J17" s="289"/>
      <c r="K17" s="290"/>
    </row>
    <row r="18" spans="1:16" s="158" customFormat="1" ht="15" customHeight="1" x14ac:dyDescent="0.2">
      <c r="A18" s="283">
        <v>4</v>
      </c>
      <c r="B18" s="284" t="s">
        <v>286</v>
      </c>
      <c r="C18" s="285">
        <f t="shared" si="2"/>
        <v>0.30000000000000004</v>
      </c>
      <c r="D18" s="285"/>
      <c r="E18" s="292">
        <f>'4. Rekap'!C61</f>
        <v>0.30000000000000004</v>
      </c>
      <c r="F18" s="286" t="s">
        <v>9</v>
      </c>
      <c r="G18" s="287">
        <v>2200000</v>
      </c>
      <c r="H18" s="287">
        <f t="shared" si="0"/>
        <v>0</v>
      </c>
      <c r="I18" s="288">
        <f t="shared" si="1"/>
        <v>660000.00000000012</v>
      </c>
      <c r="J18" s="289"/>
      <c r="K18" s="290"/>
    </row>
    <row r="19" spans="1:16" s="158" customFormat="1" ht="15" customHeight="1" x14ac:dyDescent="0.2">
      <c r="A19" s="283">
        <v>5</v>
      </c>
      <c r="B19" s="284" t="s">
        <v>287</v>
      </c>
      <c r="C19" s="285">
        <f>+E19+D19</f>
        <v>0.08</v>
      </c>
      <c r="D19" s="285"/>
      <c r="E19" s="292">
        <f>'4. Rekap'!E62</f>
        <v>0.08</v>
      </c>
      <c r="F19" s="286" t="s">
        <v>9</v>
      </c>
      <c r="G19" s="287">
        <v>2200000</v>
      </c>
      <c r="H19" s="287"/>
      <c r="I19" s="288">
        <f t="shared" si="1"/>
        <v>176000</v>
      </c>
      <c r="J19" s="289"/>
      <c r="K19" s="290"/>
    </row>
    <row r="20" spans="1:16" s="158" customFormat="1" ht="15" customHeight="1" x14ac:dyDescent="0.2">
      <c r="A20" s="283">
        <v>6</v>
      </c>
      <c r="B20" s="284" t="s">
        <v>21</v>
      </c>
      <c r="C20" s="285">
        <f t="shared" si="2"/>
        <v>1</v>
      </c>
      <c r="D20" s="285"/>
      <c r="E20" s="285">
        <f>'4. Rekap'!C63</f>
        <v>1</v>
      </c>
      <c r="F20" s="286" t="s">
        <v>15</v>
      </c>
      <c r="G20" s="287">
        <v>22000</v>
      </c>
      <c r="H20" s="287">
        <f t="shared" si="0"/>
        <v>0</v>
      </c>
      <c r="I20" s="288">
        <f t="shared" si="1"/>
        <v>22000</v>
      </c>
      <c r="J20" s="289"/>
      <c r="K20" s="290" t="s">
        <v>310</v>
      </c>
      <c r="L20" s="293"/>
    </row>
    <row r="21" spans="1:16" s="158" customFormat="1" ht="15" customHeight="1" x14ac:dyDescent="0.25">
      <c r="A21" s="283">
        <v>7</v>
      </c>
      <c r="B21" s="99" t="s">
        <v>312</v>
      </c>
      <c r="C21" s="285">
        <f>+D21+E21</f>
        <v>215</v>
      </c>
      <c r="D21" s="285"/>
      <c r="E21" s="285">
        <f>'4. Rekap'!C116</f>
        <v>215</v>
      </c>
      <c r="F21" s="286" t="s">
        <v>58</v>
      </c>
      <c r="G21" s="287">
        <v>65000</v>
      </c>
      <c r="H21" s="287">
        <f t="shared" si="0"/>
        <v>0</v>
      </c>
      <c r="I21" s="288">
        <f t="shared" si="1"/>
        <v>13975000</v>
      </c>
      <c r="J21" s="289" t="s">
        <v>309</v>
      </c>
      <c r="K21" s="290" t="s">
        <v>311</v>
      </c>
      <c r="L21" s="293"/>
    </row>
    <row r="22" spans="1:16" s="158" customFormat="1" ht="15" customHeight="1" x14ac:dyDescent="0.2">
      <c r="A22" s="283">
        <v>8</v>
      </c>
      <c r="B22" s="284" t="s">
        <v>128</v>
      </c>
      <c r="C22" s="285">
        <f t="shared" si="2"/>
        <v>4</v>
      </c>
      <c r="D22" s="285"/>
      <c r="E22" s="285">
        <f>'4. Rekap'!C117</f>
        <v>4</v>
      </c>
      <c r="F22" s="286" t="s">
        <v>15</v>
      </c>
      <c r="G22" s="287">
        <v>25000</v>
      </c>
      <c r="H22" s="287">
        <f t="shared" si="0"/>
        <v>0</v>
      </c>
      <c r="I22" s="288">
        <f t="shared" si="1"/>
        <v>100000</v>
      </c>
      <c r="J22" s="289" t="s">
        <v>308</v>
      </c>
      <c r="K22" s="290">
        <v>54000</v>
      </c>
      <c r="L22" s="293"/>
    </row>
    <row r="23" spans="1:16" s="158" customFormat="1" ht="15" customHeight="1" x14ac:dyDescent="0.2">
      <c r="A23" s="283">
        <v>9</v>
      </c>
      <c r="B23" s="284" t="s">
        <v>68</v>
      </c>
      <c r="C23" s="285">
        <f t="shared" si="2"/>
        <v>1</v>
      </c>
      <c r="D23" s="285"/>
      <c r="E23" s="292">
        <v>1</v>
      </c>
      <c r="F23" s="286" t="s">
        <v>101</v>
      </c>
      <c r="G23" s="287">
        <f>'6. Survei Harga'!L18</f>
        <v>100000</v>
      </c>
      <c r="H23" s="287">
        <f t="shared" si="0"/>
        <v>0</v>
      </c>
      <c r="I23" s="288">
        <f t="shared" si="1"/>
        <v>100000</v>
      </c>
      <c r="J23" s="158">
        <v>10</v>
      </c>
      <c r="K23" s="158">
        <v>80000</v>
      </c>
    </row>
    <row r="24" spans="1:16" s="158" customFormat="1" ht="15" customHeight="1" thickBot="1" x14ac:dyDescent="0.25">
      <c r="A24" s="294"/>
      <c r="B24" s="295"/>
      <c r="C24" s="296"/>
      <c r="D24" s="296"/>
      <c r="E24" s="296"/>
      <c r="F24" s="296"/>
      <c r="G24" s="295"/>
      <c r="H24" s="287"/>
      <c r="I24" s="288"/>
      <c r="J24" s="158">
        <v>12</v>
      </c>
      <c r="L24" s="298"/>
    </row>
    <row r="25" spans="1:16" s="158" customFormat="1" ht="15" customHeight="1" thickTop="1" thickBot="1" x14ac:dyDescent="0.25">
      <c r="A25" s="870" t="s">
        <v>43</v>
      </c>
      <c r="B25" s="871"/>
      <c r="C25" s="871"/>
      <c r="D25" s="871"/>
      <c r="E25" s="871"/>
      <c r="F25" s="871"/>
      <c r="G25" s="872"/>
      <c r="H25" s="299">
        <f>SUM(H15:H23)</f>
        <v>0</v>
      </c>
      <c r="I25" s="300">
        <f>SUM(I15:I24)</f>
        <v>62203000</v>
      </c>
      <c r="J25" s="301">
        <f>'[2]Rekap Bahan &amp; Upah'!$I$26</f>
        <v>118950000</v>
      </c>
      <c r="K25" s="301"/>
      <c r="M25" s="302"/>
    </row>
    <row r="26" spans="1:16" s="158" customFormat="1" ht="15" customHeight="1" thickTop="1" x14ac:dyDescent="0.2">
      <c r="A26" s="279" t="s">
        <v>22</v>
      </c>
      <c r="B26" s="280" t="s">
        <v>77</v>
      </c>
      <c r="C26" s="303"/>
      <c r="D26" s="303"/>
      <c r="E26" s="303"/>
      <c r="F26" s="303"/>
      <c r="G26" s="303"/>
      <c r="H26" s="303"/>
      <c r="I26" s="304"/>
      <c r="J26" s="290">
        <f>I25+I30</f>
        <v>63336000</v>
      </c>
      <c r="N26" s="290"/>
    </row>
    <row r="27" spans="1:16" s="158" customFormat="1" ht="15" customHeight="1" x14ac:dyDescent="0.2">
      <c r="A27" s="283">
        <v>1</v>
      </c>
      <c r="B27" s="287" t="s">
        <v>70</v>
      </c>
      <c r="C27" s="285">
        <f t="shared" ref="C27" si="3">+D27+E27</f>
        <v>12</v>
      </c>
      <c r="D27" s="285"/>
      <c r="E27" s="285">
        <f>'4. Rekap'!C123</f>
        <v>12</v>
      </c>
      <c r="F27" s="286" t="s">
        <v>53</v>
      </c>
      <c r="G27" s="287">
        <v>8000</v>
      </c>
      <c r="H27" s="287">
        <f>G27*D27</f>
        <v>0</v>
      </c>
      <c r="I27" s="288">
        <f t="shared" ref="I27:I29" si="4">G27*E27</f>
        <v>96000</v>
      </c>
      <c r="K27" s="291"/>
    </row>
    <row r="28" spans="1:16" s="158" customFormat="1" ht="15" customHeight="1" x14ac:dyDescent="0.2">
      <c r="A28" s="283">
        <v>3</v>
      </c>
      <c r="B28" s="305" t="s">
        <v>285</v>
      </c>
      <c r="C28" s="306">
        <f>+E28+D28</f>
        <v>41</v>
      </c>
      <c r="D28" s="306"/>
      <c r="E28" s="306">
        <f>'4. Rekap'!E124</f>
        <v>41</v>
      </c>
      <c r="F28" s="307" t="s">
        <v>15</v>
      </c>
      <c r="G28" s="305">
        <v>25000</v>
      </c>
      <c r="H28" s="305"/>
      <c r="I28" s="288">
        <f t="shared" si="4"/>
        <v>1025000</v>
      </c>
      <c r="J28" s="290">
        <f>K22*11.5%</f>
        <v>6210</v>
      </c>
      <c r="K28" s="291"/>
    </row>
    <row r="29" spans="1:16" s="158" customFormat="1" ht="15.75" customHeight="1" thickBot="1" x14ac:dyDescent="0.25">
      <c r="A29" s="283">
        <v>4</v>
      </c>
      <c r="B29" s="295" t="s">
        <v>244</v>
      </c>
      <c r="C29" s="296">
        <v>2</v>
      </c>
      <c r="D29" s="296"/>
      <c r="E29" s="296">
        <v>2</v>
      </c>
      <c r="F29" s="296" t="s">
        <v>59</v>
      </c>
      <c r="G29" s="295">
        <v>6000</v>
      </c>
      <c r="H29" s="295"/>
      <c r="I29" s="297">
        <f t="shared" si="4"/>
        <v>12000</v>
      </c>
      <c r="K29" s="291"/>
    </row>
    <row r="30" spans="1:16" s="158" customFormat="1" ht="15" customHeight="1" thickTop="1" thickBot="1" x14ac:dyDescent="0.25">
      <c r="A30" s="870" t="s">
        <v>42</v>
      </c>
      <c r="B30" s="871"/>
      <c r="C30" s="871"/>
      <c r="D30" s="871"/>
      <c r="E30" s="871"/>
      <c r="F30" s="871"/>
      <c r="G30" s="872"/>
      <c r="H30" s="299">
        <f>SUM(H27:H29)</f>
        <v>0</v>
      </c>
      <c r="I30" s="300">
        <f>SUM(I27:I29)</f>
        <v>1133000</v>
      </c>
      <c r="J30" s="301"/>
      <c r="K30" s="291"/>
      <c r="L30" s="298"/>
      <c r="P30" s="290"/>
    </row>
    <row r="31" spans="1:16" s="158" customFormat="1" ht="15" customHeight="1" thickTop="1" x14ac:dyDescent="0.2">
      <c r="A31" s="279" t="s">
        <v>41</v>
      </c>
      <c r="B31" s="280" t="s">
        <v>78</v>
      </c>
      <c r="C31" s="303"/>
      <c r="D31" s="303"/>
      <c r="E31" s="303"/>
      <c r="F31" s="303"/>
      <c r="G31" s="303"/>
      <c r="H31" s="303"/>
      <c r="I31" s="304"/>
      <c r="J31" s="550"/>
      <c r="K31" s="550"/>
      <c r="L31" s="550"/>
    </row>
    <row r="32" spans="1:16" s="158" customFormat="1" ht="15" customHeight="1" x14ac:dyDescent="0.2">
      <c r="A32" s="283">
        <v>1</v>
      </c>
      <c r="B32" s="287" t="s">
        <v>83</v>
      </c>
      <c r="C32" s="285">
        <f>E32</f>
        <v>198</v>
      </c>
      <c r="D32" s="285"/>
      <c r="E32" s="285">
        <f>ROUNDUP(('4. Rekap'!E24+'4. Rekap'!E76+'4. Rekap'!E130+'4. Rekap'!E174)*1.7,0)</f>
        <v>198</v>
      </c>
      <c r="F32" s="286" t="s">
        <v>14</v>
      </c>
      <c r="G32" s="287">
        <v>100000</v>
      </c>
      <c r="H32" s="287">
        <f>G32*D32</f>
        <v>0</v>
      </c>
      <c r="I32" s="288">
        <f>G32*E32</f>
        <v>19800000</v>
      </c>
      <c r="J32" s="849">
        <f>K40/I42*100%</f>
        <v>0.25133436929937164</v>
      </c>
      <c r="K32" s="839"/>
      <c r="L32" s="551"/>
    </row>
    <row r="33" spans="1:14" s="158" customFormat="1" ht="15" customHeight="1" x14ac:dyDescent="0.2">
      <c r="A33" s="283">
        <v>2</v>
      </c>
      <c r="B33" s="287" t="s">
        <v>82</v>
      </c>
      <c r="C33" s="285">
        <f t="shared" ref="C33:C34" si="5">E33</f>
        <v>18</v>
      </c>
      <c r="D33" s="285"/>
      <c r="E33" s="285">
        <f>ROUNDUP(('4. Rekap'!C77+'4. Rekap'!C131*1.8),0)</f>
        <v>18</v>
      </c>
      <c r="F33" s="286" t="s">
        <v>14</v>
      </c>
      <c r="G33" s="287">
        <v>140000</v>
      </c>
      <c r="H33" s="308">
        <f>G33*D33</f>
        <v>0</v>
      </c>
      <c r="I33" s="288">
        <f>G33*E33</f>
        <v>2520000</v>
      </c>
      <c r="J33" s="849"/>
      <c r="K33" s="839"/>
      <c r="L33" s="550"/>
    </row>
    <row r="34" spans="1:14" s="158" customFormat="1" ht="15" customHeight="1" x14ac:dyDescent="0.2">
      <c r="A34" s="283">
        <v>3</v>
      </c>
      <c r="B34" s="305" t="s">
        <v>151</v>
      </c>
      <c r="C34" s="285">
        <f t="shared" si="5"/>
        <v>12.6</v>
      </c>
      <c r="D34" s="285"/>
      <c r="E34" s="306">
        <f>'4. Rekap'!C132*1.8</f>
        <v>12.6</v>
      </c>
      <c r="F34" s="307" t="s">
        <v>14</v>
      </c>
      <c r="G34" s="305">
        <v>250000</v>
      </c>
      <c r="H34" s="308">
        <f>G34*D34</f>
        <v>0</v>
      </c>
      <c r="I34" s="288">
        <f>G34*E34</f>
        <v>3150000</v>
      </c>
      <c r="J34" s="849"/>
      <c r="K34" s="839"/>
      <c r="L34" s="550"/>
    </row>
    <row r="35" spans="1:14" s="158" customFormat="1" ht="15" customHeight="1" thickBot="1" x14ac:dyDescent="0.25">
      <c r="A35" s="294"/>
      <c r="B35" s="295"/>
      <c r="C35" s="296"/>
      <c r="D35" s="285"/>
      <c r="E35" s="296"/>
      <c r="F35" s="296"/>
      <c r="G35" s="295"/>
      <c r="H35" s="308"/>
      <c r="I35" s="297"/>
      <c r="J35" s="290"/>
      <c r="K35" s="309"/>
      <c r="L35" s="290"/>
    </row>
    <row r="36" spans="1:14" s="158" customFormat="1" ht="15" customHeight="1" thickTop="1" thickBot="1" x14ac:dyDescent="0.25">
      <c r="A36" s="863" t="s">
        <v>44</v>
      </c>
      <c r="B36" s="864"/>
      <c r="C36" s="864"/>
      <c r="D36" s="864"/>
      <c r="E36" s="864"/>
      <c r="F36" s="864"/>
      <c r="G36" s="865"/>
      <c r="H36" s="310">
        <f>SUM(H32:H35)</f>
        <v>0</v>
      </c>
      <c r="I36" s="311">
        <f>SUM(I32:I35)</f>
        <v>25470000</v>
      </c>
      <c r="J36" s="289"/>
      <c r="K36" s="301"/>
      <c r="L36" s="290"/>
    </row>
    <row r="37" spans="1:14" s="158" customFormat="1" ht="15" customHeight="1" thickTop="1" thickBot="1" x14ac:dyDescent="0.25">
      <c r="A37" s="312"/>
      <c r="B37" s="313"/>
      <c r="C37" s="313"/>
      <c r="D37" s="313"/>
      <c r="E37" s="313"/>
      <c r="F37" s="313"/>
      <c r="G37" s="313"/>
      <c r="H37" s="313"/>
      <c r="I37" s="314"/>
      <c r="M37" s="291"/>
    </row>
    <row r="38" spans="1:14" s="158" customFormat="1" ht="15" customHeight="1" thickTop="1" thickBot="1" x14ac:dyDescent="0.25">
      <c r="A38" s="863" t="s">
        <v>33</v>
      </c>
      <c r="B38" s="864"/>
      <c r="C38" s="864"/>
      <c r="D38" s="864"/>
      <c r="E38" s="864"/>
      <c r="F38" s="864"/>
      <c r="G38" s="865"/>
      <c r="H38" s="861">
        <f>I25+I30+I36</f>
        <v>88806000</v>
      </c>
      <c r="I38" s="862"/>
      <c r="J38" s="290"/>
      <c r="M38" s="291"/>
    </row>
    <row r="39" spans="1:14" s="158" customFormat="1" ht="15" customHeight="1" thickTop="1" thickBot="1" x14ac:dyDescent="0.25">
      <c r="B39" s="289"/>
      <c r="C39" s="289"/>
      <c r="D39" s="289"/>
      <c r="E39" s="289"/>
      <c r="F39" s="289"/>
      <c r="G39" s="289"/>
      <c r="H39" s="289"/>
      <c r="I39" s="289"/>
      <c r="K39" s="291">
        <f>170000*163</f>
        <v>27710000</v>
      </c>
    </row>
    <row r="40" spans="1:14" s="158" customFormat="1" ht="15" customHeight="1" thickTop="1" x14ac:dyDescent="0.2">
      <c r="B40" s="289"/>
      <c r="C40" s="289"/>
      <c r="D40" s="850" t="s">
        <v>34</v>
      </c>
      <c r="E40" s="851"/>
      <c r="F40" s="856" t="s">
        <v>116</v>
      </c>
      <c r="G40" s="856"/>
      <c r="H40" s="856"/>
      <c r="I40" s="315">
        <f>+H38</f>
        <v>88806000</v>
      </c>
      <c r="J40" s="291"/>
      <c r="K40" s="301">
        <f>I32+I33</f>
        <v>22320000</v>
      </c>
      <c r="L40" s="298"/>
      <c r="M40" s="298"/>
    </row>
    <row r="41" spans="1:14" s="158" customFormat="1" ht="15" customHeight="1" x14ac:dyDescent="0.2">
      <c r="B41" s="289"/>
      <c r="C41" s="289"/>
      <c r="D41" s="852"/>
      <c r="E41" s="853"/>
      <c r="F41" s="857" t="s">
        <v>79</v>
      </c>
      <c r="G41" s="858"/>
      <c r="H41" s="859"/>
      <c r="I41" s="300"/>
      <c r="J41" s="291"/>
      <c r="K41" s="301"/>
      <c r="L41" s="298"/>
      <c r="M41" s="298"/>
    </row>
    <row r="42" spans="1:14" s="158" customFormat="1" ht="15" customHeight="1" thickBot="1" x14ac:dyDescent="0.25">
      <c r="B42" s="289"/>
      <c r="C42" s="289"/>
      <c r="D42" s="854"/>
      <c r="E42" s="855"/>
      <c r="F42" s="860" t="s">
        <v>80</v>
      </c>
      <c r="G42" s="860"/>
      <c r="H42" s="860"/>
      <c r="I42" s="316">
        <f>I40+I41</f>
        <v>88806000</v>
      </c>
      <c r="J42" s="290"/>
      <c r="K42" s="289">
        <f>K40-K39</f>
        <v>-5390000</v>
      </c>
      <c r="L42" s="301"/>
      <c r="N42" s="290"/>
    </row>
    <row r="43" spans="1:14" ht="12" customHeight="1" thickTop="1" x14ac:dyDescent="0.25">
      <c r="B43" s="301"/>
      <c r="C43" s="301"/>
      <c r="D43" s="317"/>
      <c r="E43" s="317"/>
      <c r="F43" s="318"/>
      <c r="G43" s="318"/>
      <c r="H43" s="318"/>
      <c r="I43" s="319"/>
      <c r="J43" s="156"/>
      <c r="K43" s="155"/>
      <c r="L43" s="320"/>
    </row>
    <row r="44" spans="1:14" x14ac:dyDescent="0.25">
      <c r="A44" s="321" t="s">
        <v>35</v>
      </c>
      <c r="C44" s="321"/>
      <c r="D44" s="321"/>
      <c r="E44" s="321"/>
      <c r="F44" s="321"/>
      <c r="G44" s="321"/>
      <c r="H44" s="321"/>
      <c r="I44" s="321"/>
      <c r="J44" s="322"/>
      <c r="K44" s="320"/>
      <c r="L44" s="323"/>
    </row>
    <row r="45" spans="1:14" x14ac:dyDescent="0.25">
      <c r="A45" s="48" t="s">
        <v>36</v>
      </c>
      <c r="J45" s="320"/>
      <c r="K45" s="320"/>
      <c r="L45" s="320"/>
    </row>
    <row r="46" spans="1:14" x14ac:dyDescent="0.25">
      <c r="A46" s="48" t="s">
        <v>37</v>
      </c>
      <c r="J46" s="320"/>
    </row>
    <row r="47" spans="1:14" x14ac:dyDescent="0.25">
      <c r="A47" s="48" t="s">
        <v>38</v>
      </c>
    </row>
    <row r="48" spans="1:14" ht="15.75" thickBot="1" x14ac:dyDescent="0.3">
      <c r="A48" s="48" t="s">
        <v>39</v>
      </c>
      <c r="J48" s="155"/>
    </row>
    <row r="49" spans="1:22" s="143" customFormat="1" ht="15" customHeight="1" x14ac:dyDescent="0.25">
      <c r="A49" s="141"/>
      <c r="B49" s="141"/>
      <c r="C49" s="141"/>
      <c r="D49" s="141"/>
      <c r="E49" s="141"/>
      <c r="F49" s="141"/>
      <c r="G49" s="141"/>
      <c r="H49" s="141"/>
      <c r="I49" s="141"/>
      <c r="J49" s="141"/>
      <c r="K49" s="141"/>
      <c r="L49" s="141"/>
      <c r="M49" s="141"/>
      <c r="N49" s="141"/>
      <c r="O49" s="142"/>
      <c r="P49" s="142"/>
      <c r="Q49" s="142"/>
      <c r="R49" s="142"/>
      <c r="S49" s="142"/>
      <c r="T49" s="142"/>
      <c r="U49" s="143">
        <v>1</v>
      </c>
      <c r="V49" s="143">
        <f>U49*2</f>
        <v>2</v>
      </c>
    </row>
    <row r="50" spans="1:22" s="143" customFormat="1" ht="15" customHeight="1" x14ac:dyDescent="0.25">
      <c r="A50" s="144"/>
      <c r="B50" s="144"/>
      <c r="C50" s="144"/>
      <c r="D50" s="144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352"/>
      <c r="P50" s="352"/>
      <c r="Q50" s="352"/>
      <c r="R50" s="352"/>
      <c r="S50" s="352"/>
      <c r="T50" s="352"/>
    </row>
    <row r="51" spans="1:22" s="45" customFormat="1" ht="15" customHeight="1" x14ac:dyDescent="0.25">
      <c r="A51" s="144"/>
      <c r="B51" s="144"/>
      <c r="C51" s="144"/>
      <c r="D51" s="144"/>
      <c r="E51" s="144"/>
      <c r="F51" s="352"/>
      <c r="G51" s="145"/>
      <c r="H51" s="520" t="str">
        <f>'3. Analisa'!O61</f>
        <v>Tanjung Mulya,     ,              2018</v>
      </c>
      <c r="I51" s="145"/>
      <c r="J51" s="145"/>
      <c r="K51" s="145"/>
      <c r="L51" s="144"/>
      <c r="M51" s="144"/>
      <c r="N51" s="144"/>
      <c r="O51" s="352"/>
      <c r="P51" s="145" t="s">
        <v>162</v>
      </c>
      <c r="Q51" s="145"/>
      <c r="R51" s="145"/>
      <c r="S51" s="145"/>
      <c r="T51" s="145"/>
      <c r="U51" s="145"/>
    </row>
    <row r="52" spans="1:22" s="146" customFormat="1" ht="15" customHeight="1" x14ac:dyDescent="0.25">
      <c r="A52" s="741" t="s">
        <v>163</v>
      </c>
      <c r="B52" s="741"/>
      <c r="C52" s="741"/>
      <c r="D52" s="145"/>
      <c r="E52" s="145"/>
      <c r="F52" s="145"/>
      <c r="G52" s="145"/>
      <c r="H52" s="352" t="s">
        <v>164</v>
      </c>
      <c r="I52" s="145"/>
      <c r="J52" s="145"/>
      <c r="K52" s="145"/>
      <c r="L52" s="144"/>
      <c r="M52" s="144"/>
      <c r="N52" s="741" t="s">
        <v>164</v>
      </c>
      <c r="O52" s="741"/>
      <c r="P52" s="741"/>
      <c r="Q52" s="741"/>
      <c r="R52" s="741"/>
      <c r="S52" s="741"/>
      <c r="T52" s="145"/>
    </row>
    <row r="53" spans="1:22" s="146" customFormat="1" ht="15" customHeight="1" x14ac:dyDescent="0.25">
      <c r="A53" s="741" t="str">
        <f>'4. Rekap'!A38</f>
        <v>Kepala Desa Tanjung Mulya</v>
      </c>
      <c r="B53" s="741"/>
      <c r="C53" s="741"/>
      <c r="D53" s="145"/>
      <c r="E53" s="144"/>
      <c r="F53" s="145"/>
      <c r="G53" s="145"/>
      <c r="H53" s="145"/>
      <c r="I53" s="145"/>
      <c r="J53" s="145"/>
      <c r="K53" s="145"/>
      <c r="L53" s="144"/>
      <c r="M53" s="144"/>
      <c r="N53" s="144"/>
      <c r="O53" s="145"/>
      <c r="P53" s="145"/>
      <c r="Q53" s="352"/>
      <c r="R53" s="145"/>
      <c r="S53" s="145"/>
      <c r="T53" s="145"/>
    </row>
    <row r="54" spans="1:22" s="146" customFormat="1" ht="15" customHeight="1" x14ac:dyDescent="0.25">
      <c r="A54" s="144"/>
      <c r="B54" s="144"/>
      <c r="C54" s="144"/>
      <c r="D54" s="144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352"/>
      <c r="R54" s="144"/>
      <c r="S54" s="144"/>
      <c r="T54" s="144"/>
    </row>
    <row r="55" spans="1:22" s="146" customFormat="1" ht="15" customHeight="1" x14ac:dyDescent="0.25">
      <c r="A55" s="144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352"/>
      <c r="R55" s="144"/>
      <c r="S55" s="144"/>
      <c r="T55" s="144"/>
    </row>
    <row r="56" spans="1:22" s="146" customFormat="1" ht="15" customHeight="1" x14ac:dyDescent="0.25">
      <c r="A56" s="144"/>
      <c r="B56" s="144"/>
      <c r="C56" s="144"/>
      <c r="D56" s="144"/>
      <c r="E56" s="144"/>
      <c r="F56" s="147"/>
      <c r="G56" s="148"/>
      <c r="H56" s="148"/>
      <c r="I56" s="148"/>
      <c r="J56" s="148"/>
      <c r="K56" s="148"/>
      <c r="L56" s="144"/>
      <c r="M56" s="144"/>
      <c r="N56" s="144"/>
      <c r="O56" s="147"/>
      <c r="P56" s="148"/>
      <c r="Q56" s="742"/>
      <c r="R56" s="742"/>
      <c r="S56" s="742"/>
      <c r="T56" s="742"/>
    </row>
    <row r="57" spans="1:22" s="146" customFormat="1" ht="15" customHeight="1" x14ac:dyDescent="0.25">
      <c r="A57" s="742" t="s">
        <v>315</v>
      </c>
      <c r="B57" s="742"/>
      <c r="C57" s="742"/>
      <c r="D57" s="148"/>
      <c r="E57" s="148"/>
      <c r="F57" s="148"/>
      <c r="G57" s="148"/>
      <c r="H57" s="543" t="s">
        <v>314</v>
      </c>
      <c r="I57" s="148"/>
      <c r="J57" s="148"/>
      <c r="K57" s="148"/>
      <c r="L57" s="149"/>
      <c r="M57" s="149"/>
      <c r="N57" s="742" t="s">
        <v>165</v>
      </c>
      <c r="O57" s="742"/>
      <c r="P57" s="742"/>
      <c r="Q57" s="742"/>
      <c r="R57" s="742"/>
      <c r="S57" s="742"/>
      <c r="T57" s="148"/>
    </row>
    <row r="254" ht="13.5" customHeight="1" x14ac:dyDescent="0.25"/>
    <row r="255" ht="12.75" customHeight="1" x14ac:dyDescent="0.25"/>
    <row r="290" spans="2:9" ht="13.5" customHeight="1" x14ac:dyDescent="0.25"/>
    <row r="302" spans="2:9" x14ac:dyDescent="0.25">
      <c r="B302" s="353"/>
      <c r="C302" s="353"/>
      <c r="D302" s="353"/>
      <c r="E302" s="353"/>
      <c r="F302" s="353"/>
      <c r="G302" s="353"/>
      <c r="H302" s="353"/>
      <c r="I302" s="353"/>
    </row>
    <row r="303" spans="2:9" x14ac:dyDescent="0.25">
      <c r="B303" s="353"/>
      <c r="C303" s="353"/>
      <c r="D303" s="353"/>
      <c r="E303" s="353"/>
      <c r="F303" s="353"/>
      <c r="G303" s="353"/>
      <c r="H303" s="353"/>
      <c r="I303" s="353"/>
    </row>
    <row r="304" spans="2:9" x14ac:dyDescent="0.25">
      <c r="B304" s="353"/>
      <c r="C304" s="353"/>
      <c r="D304" s="353"/>
      <c r="E304" s="353"/>
      <c r="F304" s="353"/>
      <c r="G304" s="353"/>
      <c r="H304" s="353"/>
      <c r="I304" s="353"/>
    </row>
    <row r="305" spans="2:9" x14ac:dyDescent="0.25">
      <c r="B305" s="353"/>
      <c r="C305" s="353"/>
      <c r="D305" s="353"/>
      <c r="E305" s="353"/>
      <c r="F305" s="353"/>
      <c r="G305" s="353"/>
      <c r="H305" s="353"/>
      <c r="I305" s="353"/>
    </row>
    <row r="306" spans="2:9" x14ac:dyDescent="0.25">
      <c r="B306" s="353"/>
      <c r="C306" s="353"/>
      <c r="D306" s="353"/>
      <c r="E306" s="353"/>
      <c r="F306" s="353"/>
      <c r="G306" s="353"/>
      <c r="H306" s="353"/>
      <c r="I306" s="353"/>
    </row>
    <row r="307" spans="2:9" x14ac:dyDescent="0.25">
      <c r="B307" s="353"/>
      <c r="C307" s="353"/>
      <c r="D307" s="353"/>
      <c r="E307" s="353"/>
      <c r="F307" s="353"/>
      <c r="G307" s="353"/>
      <c r="H307" s="353"/>
      <c r="I307" s="353"/>
    </row>
    <row r="308" spans="2:9" x14ac:dyDescent="0.25">
      <c r="B308" s="353"/>
      <c r="C308" s="353"/>
      <c r="D308" s="353"/>
      <c r="E308" s="353"/>
      <c r="F308" s="353"/>
      <c r="G308" s="353"/>
      <c r="H308" s="353"/>
      <c r="I308" s="353"/>
    </row>
    <row r="309" spans="2:9" x14ac:dyDescent="0.25">
      <c r="B309" s="353"/>
      <c r="C309" s="353"/>
      <c r="D309" s="353"/>
      <c r="E309" s="353"/>
      <c r="F309" s="353"/>
      <c r="G309" s="353"/>
      <c r="H309" s="353"/>
      <c r="I309" s="353"/>
    </row>
    <row r="310" spans="2:9" x14ac:dyDescent="0.25">
      <c r="B310" s="353"/>
      <c r="C310" s="353"/>
      <c r="D310" s="353"/>
      <c r="E310" s="353"/>
      <c r="F310" s="353"/>
      <c r="G310" s="353"/>
      <c r="H310" s="353"/>
      <c r="I310" s="353"/>
    </row>
    <row r="311" spans="2:9" x14ac:dyDescent="0.25">
      <c r="B311" s="353"/>
      <c r="C311" s="353"/>
      <c r="D311" s="353"/>
      <c r="E311" s="353"/>
      <c r="F311" s="353"/>
      <c r="G311" s="353"/>
      <c r="H311" s="353"/>
      <c r="I311" s="353"/>
    </row>
    <row r="312" spans="2:9" x14ac:dyDescent="0.25">
      <c r="B312" s="353"/>
      <c r="C312" s="353"/>
      <c r="D312" s="353"/>
      <c r="E312" s="353"/>
      <c r="F312" s="353"/>
      <c r="G312" s="353"/>
      <c r="H312" s="353"/>
      <c r="I312" s="353"/>
    </row>
    <row r="313" spans="2:9" x14ac:dyDescent="0.25">
      <c r="B313" s="353"/>
      <c r="C313" s="353"/>
      <c r="D313" s="353"/>
      <c r="E313" s="353"/>
      <c r="F313" s="353"/>
      <c r="G313" s="353"/>
      <c r="H313" s="353"/>
      <c r="I313" s="353"/>
    </row>
    <row r="314" spans="2:9" x14ac:dyDescent="0.25">
      <c r="B314" s="353"/>
      <c r="C314" s="353"/>
      <c r="D314" s="353"/>
      <c r="E314" s="353"/>
      <c r="F314" s="353"/>
      <c r="G314" s="353"/>
      <c r="H314" s="353"/>
      <c r="I314" s="353"/>
    </row>
    <row r="315" spans="2:9" x14ac:dyDescent="0.25">
      <c r="B315" s="353"/>
      <c r="C315" s="353"/>
      <c r="D315" s="353"/>
      <c r="E315" s="353"/>
      <c r="F315" s="353"/>
      <c r="G315" s="353"/>
      <c r="H315" s="353"/>
      <c r="I315" s="353"/>
    </row>
    <row r="316" spans="2:9" x14ac:dyDescent="0.25">
      <c r="B316" s="353"/>
      <c r="C316" s="353"/>
      <c r="D316" s="353"/>
      <c r="E316" s="353"/>
      <c r="F316" s="353"/>
      <c r="G316" s="353"/>
      <c r="H316" s="353"/>
      <c r="I316" s="353"/>
    </row>
    <row r="317" spans="2:9" x14ac:dyDescent="0.25">
      <c r="B317" s="353"/>
      <c r="C317" s="353"/>
      <c r="D317" s="353"/>
      <c r="E317" s="353"/>
      <c r="F317" s="353"/>
      <c r="G317" s="353"/>
      <c r="H317" s="353"/>
      <c r="I317" s="353"/>
    </row>
    <row r="318" spans="2:9" x14ac:dyDescent="0.25">
      <c r="B318" s="353"/>
      <c r="C318" s="353"/>
      <c r="D318" s="353"/>
      <c r="E318" s="353"/>
      <c r="F318" s="353"/>
      <c r="G318" s="353"/>
      <c r="H318" s="353"/>
      <c r="I318" s="353"/>
    </row>
  </sheetData>
  <mergeCells count="32">
    <mergeCell ref="N57:S57"/>
    <mergeCell ref="A52:C52"/>
    <mergeCell ref="N52:S52"/>
    <mergeCell ref="A53:C53"/>
    <mergeCell ref="Q56:T56"/>
    <mergeCell ref="A57:C57"/>
    <mergeCell ref="D40:E42"/>
    <mergeCell ref="E12:E13"/>
    <mergeCell ref="F40:H40"/>
    <mergeCell ref="F41:H41"/>
    <mergeCell ref="F42:H42"/>
    <mergeCell ref="H38:I38"/>
    <mergeCell ref="A38:G38"/>
    <mergeCell ref="A36:G36"/>
    <mergeCell ref="G11:G13"/>
    <mergeCell ref="B11:B13"/>
    <mergeCell ref="H11:I11"/>
    <mergeCell ref="H12:H13"/>
    <mergeCell ref="C12:C13"/>
    <mergeCell ref="A11:A13"/>
    <mergeCell ref="A25:G25"/>
    <mergeCell ref="A30:G30"/>
    <mergeCell ref="K32:K34"/>
    <mergeCell ref="A1:I1"/>
    <mergeCell ref="A2:I2"/>
    <mergeCell ref="A3:I3"/>
    <mergeCell ref="A4:I4"/>
    <mergeCell ref="I12:I13"/>
    <mergeCell ref="D12:D13"/>
    <mergeCell ref="F11:F13"/>
    <mergeCell ref="C11:E11"/>
    <mergeCell ref="J32:J34"/>
  </mergeCells>
  <phoneticPr fontId="2" type="noConversion"/>
  <printOptions horizontalCentered="1"/>
  <pageMargins left="0.15748031496062992" right="0.15748031496062992" top="0.31496062992125984" bottom="0" header="0.23622047244094491" footer="0.51181102362204722"/>
  <pageSetup paperSize="256" scale="80" orientation="portrait" horizontalDpi="4294967293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P31"/>
  <sheetViews>
    <sheetView view="pageBreakPreview" zoomScale="85" zoomScaleNormal="70" zoomScaleSheetLayoutView="85" workbookViewId="0">
      <selection activeCell="L13" sqref="L13"/>
    </sheetView>
  </sheetViews>
  <sheetFormatPr defaultRowHeight="12.75" x14ac:dyDescent="0.2"/>
  <cols>
    <col min="1" max="1" width="4.85546875" style="4" customWidth="1"/>
    <col min="2" max="2" width="34.42578125" style="4" customWidth="1"/>
    <col min="3" max="3" width="10.85546875" style="4" customWidth="1"/>
    <col min="4" max="4" width="13.5703125" style="4" customWidth="1"/>
    <col min="5" max="5" width="12.28515625" style="4" customWidth="1"/>
    <col min="6" max="6" width="11" style="4" customWidth="1"/>
    <col min="7" max="7" width="15.28515625" style="4" customWidth="1"/>
    <col min="8" max="8" width="14.7109375" style="4" customWidth="1"/>
    <col min="9" max="9" width="17.28515625" style="4" bestFit="1" customWidth="1"/>
    <col min="10" max="10" width="14.85546875" style="4" customWidth="1"/>
    <col min="11" max="11" width="14.28515625" style="4" customWidth="1"/>
    <col min="12" max="12" width="24.5703125" style="7" customWidth="1"/>
    <col min="13" max="16384" width="9.140625" style="4"/>
  </cols>
  <sheetData>
    <row r="2" spans="1:16" ht="18" x14ac:dyDescent="0.2">
      <c r="A2" s="873" t="s">
        <v>103</v>
      </c>
      <c r="B2" s="873"/>
      <c r="C2" s="873"/>
      <c r="D2" s="873"/>
      <c r="E2" s="873"/>
      <c r="F2" s="873"/>
      <c r="G2" s="873"/>
      <c r="H2" s="873"/>
      <c r="I2" s="873"/>
      <c r="J2" s="873"/>
      <c r="K2" s="873"/>
      <c r="L2" s="873"/>
    </row>
    <row r="3" spans="1:16" ht="23.25" customHeight="1" thickBo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84"/>
    </row>
    <row r="4" spans="1:16" ht="34.5" customHeight="1" x14ac:dyDescent="0.2">
      <c r="A4" s="161" t="s">
        <v>73</v>
      </c>
      <c r="B4" s="162" t="s">
        <v>76</v>
      </c>
      <c r="C4" s="162" t="s">
        <v>86</v>
      </c>
      <c r="D4" s="162" t="s">
        <v>97</v>
      </c>
      <c r="E4" s="163" t="s">
        <v>98</v>
      </c>
      <c r="F4" s="162" t="s">
        <v>176</v>
      </c>
      <c r="G4" s="162" t="s">
        <v>176</v>
      </c>
      <c r="H4" s="164" t="s">
        <v>177</v>
      </c>
      <c r="I4" s="165" t="s">
        <v>99</v>
      </c>
      <c r="J4" s="181" t="s">
        <v>124</v>
      </c>
      <c r="K4" s="181" t="s">
        <v>184</v>
      </c>
      <c r="L4" s="166" t="s">
        <v>178</v>
      </c>
      <c r="M4" s="5"/>
    </row>
    <row r="5" spans="1:16" s="351" customFormat="1" ht="38.25" customHeight="1" thickBot="1" x14ac:dyDescent="0.3">
      <c r="A5" s="343">
        <v>1</v>
      </c>
      <c r="B5" s="344">
        <v>2</v>
      </c>
      <c r="C5" s="344">
        <v>3</v>
      </c>
      <c r="D5" s="344">
        <v>4</v>
      </c>
      <c r="E5" s="345" t="s">
        <v>179</v>
      </c>
      <c r="F5" s="345" t="s">
        <v>180</v>
      </c>
      <c r="G5" s="346" t="s">
        <v>181</v>
      </c>
      <c r="H5" s="347" t="s">
        <v>182</v>
      </c>
      <c r="I5" s="348">
        <v>9</v>
      </c>
      <c r="J5" s="349">
        <v>10</v>
      </c>
      <c r="K5" s="349">
        <v>11</v>
      </c>
      <c r="L5" s="350">
        <v>12</v>
      </c>
    </row>
    <row r="6" spans="1:16" s="7" customFormat="1" ht="29.25" customHeight="1" thickTop="1" x14ac:dyDescent="0.2">
      <c r="A6" s="167">
        <v>1</v>
      </c>
      <c r="B6" s="168" t="s">
        <v>92</v>
      </c>
      <c r="C6" s="169" t="s">
        <v>100</v>
      </c>
      <c r="D6" s="12">
        <v>75000</v>
      </c>
      <c r="E6" s="12">
        <f>100/110*D6*10%</f>
        <v>6818.181818181818</v>
      </c>
      <c r="F6" s="12">
        <f>(D6-E6)*1.5%</f>
        <v>1022.7272727272726</v>
      </c>
      <c r="G6" s="170"/>
      <c r="H6" s="170"/>
      <c r="I6" s="171">
        <f>ROUNDDOWN(D6+E6+F6+G6+H6,-2)</f>
        <v>82800</v>
      </c>
      <c r="J6" s="182">
        <v>200</v>
      </c>
      <c r="K6" s="182"/>
      <c r="L6" s="451">
        <f>I6+J6</f>
        <v>83000</v>
      </c>
      <c r="M6" s="6"/>
      <c r="N6" s="6"/>
    </row>
    <row r="7" spans="1:16" s="7" customFormat="1" ht="29.25" customHeight="1" x14ac:dyDescent="0.2">
      <c r="A7" s="8">
        <v>2</v>
      </c>
      <c r="B7" s="9" t="s">
        <v>19</v>
      </c>
      <c r="C7" s="10" t="s">
        <v>9</v>
      </c>
      <c r="D7" s="11">
        <v>260000</v>
      </c>
      <c r="E7" s="12"/>
      <c r="F7" s="12"/>
      <c r="G7" s="170"/>
      <c r="H7" s="170"/>
      <c r="I7" s="171">
        <f t="shared" ref="I7:I21" si="0">ROUNDDOWN(D7+E7+F7+G7+H7,-2)</f>
        <v>260000</v>
      </c>
      <c r="J7" s="182"/>
      <c r="K7" s="182"/>
      <c r="L7" s="354">
        <f>I7-K7</f>
        <v>260000</v>
      </c>
      <c r="M7" s="6"/>
      <c r="N7" s="7">
        <v>1</v>
      </c>
      <c r="O7" s="7" t="s">
        <v>226</v>
      </c>
      <c r="P7" s="539">
        <v>20000</v>
      </c>
    </row>
    <row r="8" spans="1:16" s="7" customFormat="1" ht="29.25" customHeight="1" x14ac:dyDescent="0.2">
      <c r="A8" s="8">
        <v>3</v>
      </c>
      <c r="B8" s="9" t="s">
        <v>20</v>
      </c>
      <c r="C8" s="10" t="s">
        <v>9</v>
      </c>
      <c r="D8" s="11">
        <v>460000</v>
      </c>
      <c r="E8" s="12"/>
      <c r="F8" s="12"/>
      <c r="G8" s="170"/>
      <c r="H8" s="170"/>
      <c r="I8" s="171">
        <f t="shared" si="0"/>
        <v>460000</v>
      </c>
      <c r="J8" s="182"/>
      <c r="K8" s="182"/>
      <c r="L8" s="354">
        <f>I8-K8</f>
        <v>460000</v>
      </c>
    </row>
    <row r="9" spans="1:16" s="7" customFormat="1" ht="29.25" customHeight="1" x14ac:dyDescent="0.2">
      <c r="A9" s="8">
        <v>4</v>
      </c>
      <c r="B9" s="13" t="s">
        <v>128</v>
      </c>
      <c r="C9" s="14" t="s">
        <v>104</v>
      </c>
      <c r="D9" s="15">
        <v>25400</v>
      </c>
      <c r="E9" s="12">
        <f t="shared" ref="E9" si="1">100/110*D9*10%</f>
        <v>2309.0909090909095</v>
      </c>
      <c r="F9" s="12">
        <f t="shared" ref="F9:F13" si="2">(D9-E9)*1.5%</f>
        <v>346.36363636363637</v>
      </c>
      <c r="G9" s="170"/>
      <c r="H9" s="170"/>
      <c r="I9" s="171">
        <f t="shared" si="0"/>
        <v>28000</v>
      </c>
      <c r="J9" s="182"/>
      <c r="K9" s="182"/>
      <c r="L9" s="354">
        <f>ROUNDUP(I9,I9)</f>
        <v>28000</v>
      </c>
    </row>
    <row r="10" spans="1:16" s="7" customFormat="1" ht="29.25" customHeight="1" x14ac:dyDescent="0.2">
      <c r="A10" s="8">
        <v>6</v>
      </c>
      <c r="B10" s="13" t="s">
        <v>224</v>
      </c>
      <c r="C10" s="14" t="s">
        <v>58</v>
      </c>
      <c r="D10" s="15">
        <v>55000</v>
      </c>
      <c r="E10" s="12">
        <f t="shared" ref="E10" si="3">100/110*D10*10%</f>
        <v>5000</v>
      </c>
      <c r="F10" s="12">
        <f t="shared" si="2"/>
        <v>750</v>
      </c>
      <c r="G10" s="170"/>
      <c r="H10" s="170"/>
      <c r="I10" s="171">
        <f t="shared" ref="I10" si="4">ROUNDDOWN(D10+E10+F10+G10+H10,-2)</f>
        <v>60700</v>
      </c>
      <c r="J10" s="182"/>
      <c r="K10" s="182">
        <v>700</v>
      </c>
      <c r="L10" s="354">
        <f>I10-K10</f>
        <v>60000</v>
      </c>
    </row>
    <row r="11" spans="1:16" s="7" customFormat="1" ht="29.25" customHeight="1" x14ac:dyDescent="0.2">
      <c r="A11" s="8">
        <v>6</v>
      </c>
      <c r="B11" s="13" t="s">
        <v>223</v>
      </c>
      <c r="C11" s="14" t="s">
        <v>58</v>
      </c>
      <c r="D11" s="15">
        <v>35000</v>
      </c>
      <c r="E11" s="12">
        <f>100/110*D11*10%</f>
        <v>3181.818181818182</v>
      </c>
      <c r="F11" s="12">
        <f t="shared" si="2"/>
        <v>477.27272727272725</v>
      </c>
      <c r="G11" s="170"/>
      <c r="H11" s="170"/>
      <c r="I11" s="171">
        <f t="shared" si="0"/>
        <v>38600</v>
      </c>
      <c r="J11" s="182"/>
      <c r="K11" s="182">
        <v>600</v>
      </c>
      <c r="L11" s="354">
        <f>I11-K11</f>
        <v>38000</v>
      </c>
    </row>
    <row r="12" spans="1:16" s="7" customFormat="1" ht="29.25" customHeight="1" x14ac:dyDescent="0.2">
      <c r="A12" s="8">
        <v>7</v>
      </c>
      <c r="B12" s="13" t="s">
        <v>21</v>
      </c>
      <c r="C12" s="14" t="s">
        <v>15</v>
      </c>
      <c r="D12" s="15">
        <v>18000</v>
      </c>
      <c r="E12" s="12">
        <f>100/110*D12*10%</f>
        <v>1636.3636363636365</v>
      </c>
      <c r="F12" s="12">
        <f t="shared" si="2"/>
        <v>245.45454545454544</v>
      </c>
      <c r="G12" s="170"/>
      <c r="H12" s="170"/>
      <c r="I12" s="171">
        <f t="shared" si="0"/>
        <v>19800</v>
      </c>
      <c r="J12" s="182">
        <v>200</v>
      </c>
      <c r="K12" s="182"/>
      <c r="L12" s="354">
        <f>I12+J12</f>
        <v>20000</v>
      </c>
    </row>
    <row r="13" spans="1:16" s="7" customFormat="1" ht="29.25" customHeight="1" x14ac:dyDescent="0.2">
      <c r="A13" s="172">
        <v>8</v>
      </c>
      <c r="B13" s="13" t="s">
        <v>110</v>
      </c>
      <c r="C13" s="14" t="s">
        <v>9</v>
      </c>
      <c r="D13" s="15">
        <v>2000000</v>
      </c>
      <c r="E13" s="173">
        <f t="shared" ref="E13:E16" si="5">100/110*D13*10%</f>
        <v>181818.18181818182</v>
      </c>
      <c r="F13" s="173">
        <f t="shared" si="2"/>
        <v>27272.727272727272</v>
      </c>
      <c r="G13" s="174"/>
      <c r="H13" s="174"/>
      <c r="I13" s="171">
        <f t="shared" si="0"/>
        <v>2209000</v>
      </c>
      <c r="J13" s="182"/>
      <c r="K13" s="182"/>
      <c r="L13" s="354">
        <v>2000000</v>
      </c>
    </row>
    <row r="14" spans="1:16" ht="24.75" customHeight="1" x14ac:dyDescent="0.2">
      <c r="A14" s="8">
        <v>9</v>
      </c>
      <c r="B14" s="175" t="s">
        <v>70</v>
      </c>
      <c r="C14" s="176" t="s">
        <v>53</v>
      </c>
      <c r="D14" s="177">
        <v>9000</v>
      </c>
      <c r="E14" s="11">
        <f t="shared" si="5"/>
        <v>818.18181818181824</v>
      </c>
      <c r="F14" s="11">
        <f t="shared" ref="F14:F16" si="6">(D14-E14)*1.5%</f>
        <v>122.72727272727272</v>
      </c>
      <c r="G14" s="178"/>
      <c r="H14" s="178"/>
      <c r="I14" s="171">
        <f t="shared" si="0"/>
        <v>9900</v>
      </c>
      <c r="J14" s="182">
        <v>100</v>
      </c>
      <c r="K14" s="182"/>
      <c r="L14" s="354">
        <f>I14+J14</f>
        <v>10000</v>
      </c>
    </row>
    <row r="15" spans="1:16" ht="24.75" customHeight="1" x14ac:dyDescent="0.2">
      <c r="A15" s="8">
        <v>10</v>
      </c>
      <c r="B15" s="175" t="s">
        <v>244</v>
      </c>
      <c r="C15" s="176" t="s">
        <v>59</v>
      </c>
      <c r="D15" s="177">
        <v>5000</v>
      </c>
      <c r="E15" s="11">
        <f t="shared" si="5"/>
        <v>454.5454545454545</v>
      </c>
      <c r="F15" s="11">
        <f t="shared" si="6"/>
        <v>68.181818181818187</v>
      </c>
      <c r="G15" s="178"/>
      <c r="H15" s="178"/>
      <c r="I15" s="171">
        <f t="shared" si="0"/>
        <v>5500</v>
      </c>
      <c r="J15" s="182">
        <v>500</v>
      </c>
      <c r="K15" s="182"/>
      <c r="L15" s="354">
        <f>I15+J15</f>
        <v>6000</v>
      </c>
    </row>
    <row r="16" spans="1:16" ht="24.75" customHeight="1" x14ac:dyDescent="0.2">
      <c r="A16" s="8">
        <v>11</v>
      </c>
      <c r="B16" s="175" t="s">
        <v>320</v>
      </c>
      <c r="C16" s="176" t="s">
        <v>8</v>
      </c>
      <c r="D16" s="177">
        <v>6500</v>
      </c>
      <c r="E16" s="11">
        <f t="shared" si="5"/>
        <v>590.90909090909088</v>
      </c>
      <c r="F16" s="11">
        <f t="shared" si="6"/>
        <v>88.636363636363626</v>
      </c>
      <c r="G16" s="178"/>
      <c r="H16" s="178"/>
      <c r="I16" s="171">
        <f t="shared" si="0"/>
        <v>7100</v>
      </c>
      <c r="J16" s="182"/>
      <c r="K16" s="182">
        <v>100</v>
      </c>
      <c r="L16" s="354">
        <f>I16-K16</f>
        <v>7000</v>
      </c>
    </row>
    <row r="17" spans="1:12" ht="24.75" customHeight="1" x14ac:dyDescent="0.2">
      <c r="A17" s="172">
        <v>12</v>
      </c>
      <c r="B17" s="175" t="s">
        <v>183</v>
      </c>
      <c r="C17" s="10" t="s">
        <v>153</v>
      </c>
      <c r="D17" s="11">
        <v>300000</v>
      </c>
      <c r="E17" s="11"/>
      <c r="F17" s="11"/>
      <c r="G17" s="178"/>
      <c r="H17" s="178"/>
      <c r="I17" s="171">
        <f t="shared" si="0"/>
        <v>300000</v>
      </c>
      <c r="J17" s="182"/>
      <c r="K17" s="182"/>
      <c r="L17" s="354">
        <f t="shared" ref="L17:L18" si="7">I17+J17-K17</f>
        <v>300000</v>
      </c>
    </row>
    <row r="18" spans="1:12" ht="24.75" customHeight="1" x14ac:dyDescent="0.2">
      <c r="A18" s="8">
        <v>13</v>
      </c>
      <c r="B18" s="175" t="s">
        <v>68</v>
      </c>
      <c r="C18" s="10" t="s">
        <v>53</v>
      </c>
      <c r="D18" s="11">
        <v>100000</v>
      </c>
      <c r="E18" s="11"/>
      <c r="F18" s="11"/>
      <c r="G18" s="178"/>
      <c r="H18" s="178"/>
      <c r="I18" s="171">
        <f t="shared" si="0"/>
        <v>100000</v>
      </c>
      <c r="J18" s="182"/>
      <c r="K18" s="182"/>
      <c r="L18" s="354">
        <f t="shared" si="7"/>
        <v>100000</v>
      </c>
    </row>
    <row r="19" spans="1:12" ht="24.75" customHeight="1" x14ac:dyDescent="0.2">
      <c r="A19" s="172"/>
      <c r="B19" s="540" t="s">
        <v>233</v>
      </c>
      <c r="C19" s="14" t="s">
        <v>15</v>
      </c>
      <c r="D19" s="15">
        <v>25000</v>
      </c>
      <c r="E19" s="15"/>
      <c r="F19" s="15"/>
      <c r="G19" s="361"/>
      <c r="H19" s="361"/>
      <c r="I19" s="362">
        <f t="shared" si="0"/>
        <v>25000</v>
      </c>
      <c r="J19" s="363"/>
      <c r="K19" s="363"/>
      <c r="L19" s="354"/>
    </row>
    <row r="20" spans="1:12" ht="24.75" customHeight="1" x14ac:dyDescent="0.25">
      <c r="A20" s="172">
        <v>14</v>
      </c>
      <c r="B20" s="209" t="s">
        <v>82</v>
      </c>
      <c r="C20" s="14"/>
      <c r="D20" s="15">
        <v>140000</v>
      </c>
      <c r="E20" s="15"/>
      <c r="F20" s="15"/>
      <c r="G20" s="361"/>
      <c r="H20" s="361"/>
      <c r="I20" s="362">
        <f t="shared" si="0"/>
        <v>140000</v>
      </c>
      <c r="J20" s="363"/>
      <c r="K20" s="363"/>
      <c r="L20" s="354">
        <v>120000</v>
      </c>
    </row>
    <row r="21" spans="1:12" ht="24.75" customHeight="1" thickBot="1" x14ac:dyDescent="0.3">
      <c r="A21" s="8">
        <v>15</v>
      </c>
      <c r="B21" s="216" t="s">
        <v>83</v>
      </c>
      <c r="C21" s="16"/>
      <c r="D21" s="17">
        <v>110000</v>
      </c>
      <c r="E21" s="17"/>
      <c r="F21" s="17"/>
      <c r="G21" s="179"/>
      <c r="H21" s="179"/>
      <c r="I21" s="180">
        <f t="shared" si="0"/>
        <v>110000</v>
      </c>
      <c r="J21" s="183"/>
      <c r="K21" s="183"/>
      <c r="L21" s="452">
        <v>100000</v>
      </c>
    </row>
    <row r="22" spans="1:12" x14ac:dyDescent="0.2">
      <c r="A22" s="160"/>
      <c r="B22" s="160"/>
      <c r="C22" s="160"/>
      <c r="D22" s="160"/>
      <c r="E22" s="160"/>
      <c r="F22" s="160"/>
      <c r="G22" s="160"/>
      <c r="H22" s="160"/>
      <c r="I22" s="160"/>
      <c r="J22" s="160"/>
      <c r="K22" s="160"/>
      <c r="L22" s="184"/>
    </row>
    <row r="23" spans="1:12" s="20" customFormat="1" ht="15.75" x14ac:dyDescent="0.25">
      <c r="A23" s="821" t="s">
        <v>96</v>
      </c>
      <c r="B23" s="821"/>
      <c r="G23" s="823" t="s">
        <v>93</v>
      </c>
      <c r="H23" s="823"/>
      <c r="I23" s="50"/>
      <c r="J23" s="50"/>
      <c r="K23" s="821" t="s">
        <v>95</v>
      </c>
      <c r="L23" s="821"/>
    </row>
    <row r="24" spans="1:12" s="20" customFormat="1" ht="15.75" x14ac:dyDescent="0.25">
      <c r="A24" s="821" t="str">
        <f>'5. Rekap Bahan &amp; Upah'!A53:C53</f>
        <v>Kepala Desa Tanjung Mulya</v>
      </c>
      <c r="B24" s="821"/>
      <c r="G24" s="821" t="s">
        <v>94</v>
      </c>
      <c r="H24" s="821"/>
      <c r="I24" s="50"/>
      <c r="J24" s="50"/>
      <c r="K24" s="821" t="s">
        <v>71</v>
      </c>
      <c r="L24" s="821"/>
    </row>
    <row r="25" spans="1:12" s="20" customFormat="1" ht="15.75" x14ac:dyDescent="0.25">
      <c r="A25" s="48"/>
      <c r="B25" s="151"/>
      <c r="G25" s="557"/>
      <c r="H25" s="50"/>
      <c r="I25" s="557"/>
      <c r="J25" s="557"/>
      <c r="K25" s="557"/>
      <c r="L25" s="50"/>
    </row>
    <row r="26" spans="1:12" s="20" customFormat="1" ht="15.75" x14ac:dyDescent="0.25">
      <c r="A26" s="48"/>
      <c r="B26" s="151"/>
      <c r="G26" s="557"/>
      <c r="H26" s="557"/>
      <c r="I26" s="557"/>
      <c r="J26" s="557"/>
      <c r="K26" s="557"/>
      <c r="L26" s="557"/>
    </row>
    <row r="27" spans="1:12" s="20" customFormat="1" ht="15.75" x14ac:dyDescent="0.25">
      <c r="A27" s="48"/>
      <c r="B27" s="50"/>
      <c r="G27" s="50"/>
      <c r="H27" s="48"/>
      <c r="I27" s="557"/>
      <c r="J27" s="557"/>
      <c r="K27" s="557"/>
      <c r="L27" s="48"/>
    </row>
    <row r="28" spans="1:12" s="20" customFormat="1" ht="15.75" x14ac:dyDescent="0.25">
      <c r="A28" s="48"/>
      <c r="B28" s="50"/>
      <c r="G28" s="50"/>
      <c r="H28" s="48"/>
      <c r="I28" s="557"/>
      <c r="J28" s="557"/>
      <c r="K28" s="557"/>
      <c r="L28" s="48"/>
    </row>
    <row r="29" spans="1:12" s="20" customFormat="1" ht="15" x14ac:dyDescent="0.2">
      <c r="A29" s="817" t="str">
        <f>'5. Rekap Bahan &amp; Upah'!A57:C57</f>
        <v>TIRTO  NADI</v>
      </c>
      <c r="B29" s="817"/>
      <c r="G29" s="817" t="str">
        <f>'5. Rekap Bahan &amp; Upah'!H57</f>
        <v>SUPARNO</v>
      </c>
      <c r="H29" s="817"/>
      <c r="I29" s="126"/>
      <c r="J29" s="126"/>
      <c r="K29" s="824" t="str">
        <f>'4. Rekap'!H43</f>
        <v>UJANG RAHMAT HIDAYAT</v>
      </c>
      <c r="L29" s="824"/>
    </row>
    <row r="30" spans="1:12" customFormat="1" ht="14.25" x14ac:dyDescent="0.2">
      <c r="A30" s="18"/>
      <c r="B30" s="154"/>
      <c r="C30" s="19"/>
      <c r="D30" s="19"/>
      <c r="E30" s="154"/>
      <c r="F30" s="154"/>
      <c r="G30" s="154"/>
      <c r="H30" s="154"/>
      <c r="I30" s="154"/>
      <c r="J30" s="154"/>
      <c r="K30" s="154"/>
      <c r="L30" s="184"/>
    </row>
    <row r="31" spans="1:12" customForma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185"/>
    </row>
  </sheetData>
  <mergeCells count="10">
    <mergeCell ref="A2:L2"/>
    <mergeCell ref="A29:B29"/>
    <mergeCell ref="G23:H23"/>
    <mergeCell ref="G24:H24"/>
    <mergeCell ref="G29:H29"/>
    <mergeCell ref="A24:B24"/>
    <mergeCell ref="A23:B23"/>
    <mergeCell ref="K23:L23"/>
    <mergeCell ref="K24:L24"/>
    <mergeCell ref="K29:L29"/>
  </mergeCells>
  <printOptions horizontalCentered="1"/>
  <pageMargins left="0.39370078740157499" right="0.196850393700787" top="0.74803149606299202" bottom="0.59055118110236204" header="0.31496062992126" footer="0.31496062992126"/>
  <pageSetup paperSize="9" scale="68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F0"/>
  </sheetPr>
  <dimension ref="A1:K58"/>
  <sheetViews>
    <sheetView topLeftCell="A6" zoomScale="70" zoomScaleNormal="70" workbookViewId="0">
      <selection activeCell="A29" sqref="A29:XFD29"/>
    </sheetView>
  </sheetViews>
  <sheetFormatPr defaultRowHeight="15.75" x14ac:dyDescent="0.25"/>
  <cols>
    <col min="1" max="1" width="5.7109375" style="187" customWidth="1"/>
    <col min="2" max="2" width="8" style="188" customWidth="1"/>
    <col min="3" max="3" width="26.7109375" style="188" customWidth="1"/>
    <col min="4" max="4" width="10.7109375" style="188" customWidth="1"/>
    <col min="5" max="5" width="12.28515625" style="188" bestFit="1" customWidth="1"/>
    <col min="6" max="6" width="21.85546875" style="188" customWidth="1"/>
    <col min="7" max="7" width="21.140625" style="188" customWidth="1"/>
    <col min="8" max="8" width="21.5703125" style="188" customWidth="1"/>
    <col min="9" max="9" width="9.5703125" style="188" bestFit="1" customWidth="1"/>
    <col min="10" max="10" width="33.5703125" style="188" customWidth="1"/>
    <col min="11" max="11" width="15.28515625" style="188" bestFit="1" customWidth="1"/>
    <col min="12" max="16384" width="9.140625" style="188"/>
  </cols>
  <sheetData>
    <row r="1" spans="1:11" s="269" customFormat="1" ht="26.25" customHeight="1" x14ac:dyDescent="0.35">
      <c r="A1" s="874" t="s">
        <v>136</v>
      </c>
      <c r="B1" s="874"/>
      <c r="C1" s="874"/>
      <c r="D1" s="874"/>
      <c r="E1" s="874"/>
      <c r="F1" s="874"/>
      <c r="G1" s="874"/>
      <c r="H1" s="874"/>
      <c r="I1" s="268"/>
    </row>
    <row r="2" spans="1:11" s="269" customFormat="1" ht="26.25" customHeight="1" x14ac:dyDescent="0.35">
      <c r="A2" s="874" t="s">
        <v>130</v>
      </c>
      <c r="B2" s="874"/>
      <c r="C2" s="874"/>
      <c r="D2" s="874"/>
      <c r="E2" s="874"/>
      <c r="F2" s="874"/>
      <c r="G2" s="874"/>
      <c r="H2" s="874"/>
      <c r="I2" s="268"/>
    </row>
    <row r="3" spans="1:11" s="269" customFormat="1" ht="26.25" customHeight="1" thickBot="1" x14ac:dyDescent="0.4">
      <c r="A3" s="886" t="e">
        <f>'4. Rekap'!#REF!</f>
        <v>#REF!</v>
      </c>
      <c r="B3" s="886"/>
      <c r="C3" s="886"/>
      <c r="D3" s="886"/>
      <c r="E3" s="886"/>
      <c r="F3" s="886"/>
      <c r="G3" s="886"/>
      <c r="H3" s="886"/>
      <c r="I3" s="270"/>
    </row>
    <row r="4" spans="1:11" s="186" customFormat="1" ht="18.75" thickTop="1" x14ac:dyDescent="0.25">
      <c r="A4" s="875" t="s">
        <v>186</v>
      </c>
      <c r="B4" s="875"/>
      <c r="C4" s="875"/>
      <c r="D4" s="875"/>
      <c r="E4" s="875"/>
      <c r="F4" s="875"/>
      <c r="G4" s="875"/>
      <c r="H4" s="875"/>
      <c r="I4" s="266"/>
    </row>
    <row r="5" spans="1:11" s="186" customFormat="1" ht="18" x14ac:dyDescent="0.25">
      <c r="A5" s="876"/>
      <c r="B5" s="876"/>
      <c r="C5" s="876"/>
      <c r="D5" s="876"/>
      <c r="E5" s="876"/>
      <c r="F5" s="876"/>
      <c r="G5" s="876"/>
      <c r="H5" s="876"/>
      <c r="I5" s="266"/>
    </row>
    <row r="6" spans="1:11" x14ac:dyDescent="0.25">
      <c r="A6" s="876"/>
      <c r="B6" s="876"/>
      <c r="C6" s="876"/>
      <c r="D6" s="876"/>
      <c r="E6" s="876"/>
      <c r="F6" s="876"/>
      <c r="G6" s="876"/>
      <c r="H6" s="876"/>
      <c r="I6" s="267"/>
    </row>
    <row r="7" spans="1:11" x14ac:dyDescent="0.25">
      <c r="A7" s="881" t="s">
        <v>46</v>
      </c>
      <c r="B7" s="881"/>
      <c r="C7" s="190" t="s">
        <v>138</v>
      </c>
      <c r="D7" s="191"/>
      <c r="H7" s="192"/>
    </row>
    <row r="8" spans="1:11" x14ac:dyDescent="0.25">
      <c r="A8" s="881" t="s">
        <v>1</v>
      </c>
      <c r="B8" s="881"/>
      <c r="C8" s="190" t="s">
        <v>137</v>
      </c>
      <c r="D8" s="193"/>
      <c r="F8" s="194" t="s">
        <v>187</v>
      </c>
      <c r="G8" s="187"/>
    </row>
    <row r="9" spans="1:11" x14ac:dyDescent="0.25">
      <c r="A9" s="881" t="s">
        <v>0</v>
      </c>
      <c r="B9" s="881"/>
      <c r="C9" s="190" t="s">
        <v>157</v>
      </c>
      <c r="D9" s="193"/>
      <c r="F9" s="194" t="s">
        <v>188</v>
      </c>
      <c r="G9" s="188" t="s">
        <v>189</v>
      </c>
    </row>
    <row r="10" spans="1:11" ht="69.75" customHeight="1" x14ac:dyDescent="0.25">
      <c r="A10" s="882" t="s">
        <v>190</v>
      </c>
      <c r="B10" s="882"/>
      <c r="C10" s="195" t="s">
        <v>191</v>
      </c>
      <c r="D10" s="193"/>
      <c r="F10" s="196" t="s">
        <v>192</v>
      </c>
      <c r="G10" s="883" t="s">
        <v>245</v>
      </c>
      <c r="H10" s="883"/>
    </row>
    <row r="11" spans="1:11" ht="16.5" thickBot="1" x14ac:dyDescent="0.3"/>
    <row r="12" spans="1:11" ht="16.5" thickBot="1" x14ac:dyDescent="0.3">
      <c r="A12" s="880" t="s">
        <v>28</v>
      </c>
      <c r="B12" s="880"/>
      <c r="C12" s="880"/>
      <c r="D12" s="880" t="s">
        <v>4</v>
      </c>
      <c r="E12" s="880" t="s">
        <v>10</v>
      </c>
      <c r="F12" s="880" t="s">
        <v>193</v>
      </c>
      <c r="G12" s="880" t="s">
        <v>194</v>
      </c>
      <c r="H12" s="880" t="s">
        <v>125</v>
      </c>
    </row>
    <row r="13" spans="1:11" ht="16.5" thickBot="1" x14ac:dyDescent="0.3">
      <c r="A13" s="880"/>
      <c r="B13" s="880"/>
      <c r="C13" s="880"/>
      <c r="D13" s="880"/>
      <c r="E13" s="880"/>
      <c r="F13" s="880"/>
      <c r="G13" s="880"/>
      <c r="H13" s="880"/>
      <c r="K13" s="197"/>
    </row>
    <row r="14" spans="1:11" ht="16.5" thickBot="1" x14ac:dyDescent="0.3">
      <c r="A14" s="880"/>
      <c r="B14" s="880"/>
      <c r="C14" s="880"/>
      <c r="D14" s="880"/>
      <c r="E14" s="880"/>
      <c r="F14" s="880"/>
      <c r="G14" s="880"/>
      <c r="H14" s="880"/>
      <c r="K14" s="188">
        <f>146211000+700000</f>
        <v>146911000</v>
      </c>
    </row>
    <row r="15" spans="1:11" s="200" customFormat="1" ht="16.5" thickBot="1" x14ac:dyDescent="0.25">
      <c r="A15" s="877" t="s">
        <v>195</v>
      </c>
      <c r="B15" s="877"/>
      <c r="C15" s="877"/>
      <c r="D15" s="198" t="s">
        <v>196</v>
      </c>
      <c r="E15" s="198" t="s">
        <v>197</v>
      </c>
      <c r="F15" s="198" t="s">
        <v>198</v>
      </c>
      <c r="G15" s="198" t="s">
        <v>199</v>
      </c>
      <c r="H15" s="198" t="s">
        <v>200</v>
      </c>
      <c r="I15" s="199"/>
    </row>
    <row r="16" spans="1:11" x14ac:dyDescent="0.25">
      <c r="A16" s="201">
        <v>1</v>
      </c>
      <c r="B16" s="202" t="s">
        <v>201</v>
      </c>
      <c r="C16" s="203"/>
      <c r="D16" s="204"/>
      <c r="E16" s="205"/>
      <c r="F16" s="206"/>
      <c r="G16" s="206"/>
      <c r="H16" s="207"/>
    </row>
    <row r="17" spans="1:9" x14ac:dyDescent="0.25">
      <c r="A17" s="208" t="s">
        <v>202</v>
      </c>
      <c r="B17" s="209" t="s">
        <v>82</v>
      </c>
      <c r="C17" s="210"/>
      <c r="D17" s="271">
        <v>56</v>
      </c>
      <c r="E17" s="211" t="s">
        <v>14</v>
      </c>
      <c r="F17" s="212">
        <f>'5. Rekap Bahan &amp; Upah'!G33</f>
        <v>140000</v>
      </c>
      <c r="G17" s="213">
        <f>D17*F17</f>
        <v>7840000</v>
      </c>
      <c r="H17" s="214"/>
    </row>
    <row r="18" spans="1:9" ht="16.5" thickBot="1" x14ac:dyDescent="0.3">
      <c r="A18" s="215" t="s">
        <v>203</v>
      </c>
      <c r="B18" s="216" t="s">
        <v>83</v>
      </c>
      <c r="C18" s="217"/>
      <c r="D18" s="271">
        <v>153</v>
      </c>
      <c r="E18" s="218" t="s">
        <v>14</v>
      </c>
      <c r="F18" s="219">
        <f>'5. Rekap Bahan &amp; Upah'!G32</f>
        <v>100000</v>
      </c>
      <c r="G18" s="220">
        <f t="shared" ref="G18" si="0">D18*F18</f>
        <v>15300000</v>
      </c>
      <c r="H18" s="221"/>
    </row>
    <row r="19" spans="1:9" ht="16.5" thickBot="1" x14ac:dyDescent="0.3">
      <c r="A19" s="222"/>
      <c r="B19" s="223"/>
      <c r="C19" s="224"/>
      <c r="D19" s="272"/>
      <c r="E19" s="225"/>
      <c r="F19" s="226" t="s">
        <v>204</v>
      </c>
      <c r="G19" s="227"/>
      <c r="H19" s="228">
        <f>SUM(G17:G18)</f>
        <v>23140000</v>
      </c>
      <c r="I19" s="383" t="e">
        <f>(H19:H27)/H42*100%</f>
        <v>#REF!</v>
      </c>
    </row>
    <row r="20" spans="1:9" x14ac:dyDescent="0.25">
      <c r="A20" s="201">
        <v>2</v>
      </c>
      <c r="B20" s="202" t="s">
        <v>231</v>
      </c>
      <c r="C20" s="203"/>
      <c r="D20" s="204"/>
      <c r="E20" s="205"/>
      <c r="F20" s="206"/>
      <c r="G20" s="206"/>
      <c r="H20" s="207"/>
    </row>
    <row r="21" spans="1:9" ht="16.5" thickBot="1" x14ac:dyDescent="0.3">
      <c r="A21" s="208" t="s">
        <v>205</v>
      </c>
      <c r="B21" s="209" t="str">
        <f>'5. Rekap Bahan &amp; Upah'!B34</f>
        <v>Sewa Molen</v>
      </c>
      <c r="C21" s="210"/>
      <c r="D21" s="271">
        <f>'5. Rekap Bahan &amp; Upah'!C34</f>
        <v>12.6</v>
      </c>
      <c r="E21" s="211" t="str">
        <f>'5. Rekap Bahan &amp; Upah'!F34</f>
        <v>HOK</v>
      </c>
      <c r="F21" s="212">
        <f>'5. Rekap Bahan &amp; Upah'!G34</f>
        <v>250000</v>
      </c>
      <c r="G21" s="213">
        <f>D21*F21</f>
        <v>3150000</v>
      </c>
      <c r="H21" s="214"/>
    </row>
    <row r="22" spans="1:9" ht="16.5" thickBot="1" x14ac:dyDescent="0.3">
      <c r="A22" s="222"/>
      <c r="B22" s="223"/>
      <c r="C22" s="224"/>
      <c r="D22" s="272"/>
      <c r="E22" s="225"/>
      <c r="F22" s="226" t="s">
        <v>206</v>
      </c>
      <c r="G22" s="227"/>
      <c r="H22" s="228">
        <f>SUM(G21:G21)</f>
        <v>3150000</v>
      </c>
      <c r="I22" s="383"/>
    </row>
    <row r="23" spans="1:9" s="200" customFormat="1" x14ac:dyDescent="0.25">
      <c r="A23" s="229">
        <v>3</v>
      </c>
      <c r="B23" s="397" t="s">
        <v>207</v>
      </c>
      <c r="C23" s="231"/>
      <c r="D23" s="273"/>
      <c r="E23" s="232"/>
      <c r="F23" s="233"/>
      <c r="G23" s="234"/>
      <c r="H23" s="235"/>
    </row>
    <row r="24" spans="1:9" s="200" customFormat="1" x14ac:dyDescent="0.25">
      <c r="A24" s="229" t="s">
        <v>208</v>
      </c>
      <c r="B24" s="230" t="s">
        <v>209</v>
      </c>
      <c r="C24" s="231"/>
      <c r="D24" s="273">
        <v>1</v>
      </c>
      <c r="E24" s="232" t="s">
        <v>210</v>
      </c>
      <c r="F24" s="212">
        <v>200000</v>
      </c>
      <c r="G24" s="252">
        <f t="shared" ref="G24:G26" si="1">D24*F24</f>
        <v>200000</v>
      </c>
      <c r="H24" s="235"/>
    </row>
    <row r="25" spans="1:9" x14ac:dyDescent="0.25">
      <c r="A25" s="229" t="s">
        <v>211</v>
      </c>
      <c r="B25" s="230" t="s">
        <v>212</v>
      </c>
      <c r="C25" s="231"/>
      <c r="D25" s="273">
        <v>1</v>
      </c>
      <c r="E25" s="232" t="s">
        <v>210</v>
      </c>
      <c r="F25" s="212">
        <v>175000</v>
      </c>
      <c r="G25" s="252">
        <f t="shared" si="1"/>
        <v>175000</v>
      </c>
      <c r="H25" s="237"/>
    </row>
    <row r="26" spans="1:9" ht="16.5" thickBot="1" x14ac:dyDescent="0.3">
      <c r="A26" s="229" t="s">
        <v>213</v>
      </c>
      <c r="B26" s="230" t="s">
        <v>214</v>
      </c>
      <c r="C26" s="231"/>
      <c r="D26" s="273">
        <v>1</v>
      </c>
      <c r="E26" s="232" t="s">
        <v>210</v>
      </c>
      <c r="F26" s="212">
        <v>150000</v>
      </c>
      <c r="G26" s="252">
        <f t="shared" si="1"/>
        <v>150000</v>
      </c>
      <c r="H26" s="237"/>
    </row>
    <row r="27" spans="1:9" ht="16.5" thickBot="1" x14ac:dyDescent="0.3">
      <c r="A27" s="878"/>
      <c r="B27" s="879"/>
      <c r="C27" s="879"/>
      <c r="D27" s="274"/>
      <c r="E27" s="226"/>
      <c r="F27" s="226" t="s">
        <v>215</v>
      </c>
      <c r="G27" s="238"/>
      <c r="H27" s="228">
        <f>SUM(G24:G26)</f>
        <v>525000</v>
      </c>
    </row>
    <row r="28" spans="1:9" x14ac:dyDescent="0.25">
      <c r="A28" s="239">
        <v>4</v>
      </c>
      <c r="B28" s="202" t="s">
        <v>69</v>
      </c>
      <c r="C28" s="203"/>
      <c r="D28" s="204"/>
      <c r="E28" s="205"/>
      <c r="F28" s="206"/>
      <c r="G28" s="206"/>
      <c r="H28" s="207"/>
    </row>
    <row r="29" spans="1:9" ht="16.5" thickBot="1" x14ac:dyDescent="0.3">
      <c r="A29" s="229" t="s">
        <v>227</v>
      </c>
      <c r="B29" s="255" t="s">
        <v>70</v>
      </c>
      <c r="C29" s="210"/>
      <c r="D29" s="271">
        <f>'5. Rekap Bahan &amp; Upah'!C27</f>
        <v>12</v>
      </c>
      <c r="E29" s="247" t="s">
        <v>53</v>
      </c>
      <c r="F29" s="212">
        <f>'5. Rekap Bahan &amp; Upah'!G27</f>
        <v>8000</v>
      </c>
      <c r="G29" s="248">
        <f>D29*F29</f>
        <v>96000</v>
      </c>
      <c r="H29" s="213"/>
    </row>
    <row r="30" spans="1:9" ht="16.5" thickBot="1" x14ac:dyDescent="0.3">
      <c r="A30" s="222"/>
      <c r="B30" s="223"/>
      <c r="C30" s="224"/>
      <c r="D30" s="272"/>
      <c r="E30" s="225"/>
      <c r="F30" s="226" t="s">
        <v>228</v>
      </c>
      <c r="G30" s="227"/>
      <c r="H30" s="228">
        <f>SUM(G29:G29)</f>
        <v>96000</v>
      </c>
      <c r="I30" s="383"/>
    </row>
    <row r="31" spans="1:9" s="200" customFormat="1" x14ac:dyDescent="0.2">
      <c r="A31" s="239">
        <v>5</v>
      </c>
      <c r="B31" s="240" t="s">
        <v>216</v>
      </c>
      <c r="C31" s="241"/>
      <c r="D31" s="242"/>
      <c r="E31" s="243"/>
      <c r="F31" s="243"/>
      <c r="G31" s="243"/>
      <c r="H31" s="244"/>
      <c r="I31" s="199"/>
    </row>
    <row r="32" spans="1:9" x14ac:dyDescent="0.25">
      <c r="A32" s="245" t="s">
        <v>229</v>
      </c>
      <c r="B32" s="246" t="s">
        <v>81</v>
      </c>
      <c r="C32" s="209"/>
      <c r="D32" s="271">
        <f>'5. Rekap Bahan &amp; Upah'!C15</f>
        <v>294</v>
      </c>
      <c r="E32" s="247" t="s">
        <v>13</v>
      </c>
      <c r="F32" s="212">
        <f>'5. Rekap Bahan &amp; Upah'!G15</f>
        <v>80000</v>
      </c>
      <c r="G32" s="248">
        <f>D32*F32</f>
        <v>23520000</v>
      </c>
      <c r="H32" s="249"/>
    </row>
    <row r="33" spans="1:11" x14ac:dyDescent="0.25">
      <c r="A33" s="229" t="s">
        <v>230</v>
      </c>
      <c r="B33" s="250" t="s">
        <v>19</v>
      </c>
      <c r="C33" s="231"/>
      <c r="D33" s="271">
        <f>'5. Rekap Bahan &amp; Upah'!C16</f>
        <v>28</v>
      </c>
      <c r="E33" s="251" t="s">
        <v>9</v>
      </c>
      <c r="F33" s="212">
        <f>'5. Rekap Bahan &amp; Upah'!G16</f>
        <v>250000</v>
      </c>
      <c r="G33" s="252">
        <f t="shared" ref="G33:G40" si="2">D33*F33</f>
        <v>7000000</v>
      </c>
      <c r="H33" s="253"/>
    </row>
    <row r="34" spans="1:11" x14ac:dyDescent="0.25">
      <c r="A34" s="229" t="s">
        <v>236</v>
      </c>
      <c r="B34" s="250" t="s">
        <v>20</v>
      </c>
      <c r="C34" s="231"/>
      <c r="D34" s="271">
        <f>'5. Rekap Bahan &amp; Upah'!C17</f>
        <v>37</v>
      </c>
      <c r="E34" s="251" t="s">
        <v>9</v>
      </c>
      <c r="F34" s="212">
        <f>'5. Rekap Bahan &amp; Upah'!G17</f>
        <v>450000</v>
      </c>
      <c r="G34" s="252">
        <f t="shared" si="2"/>
        <v>16650000</v>
      </c>
      <c r="H34" s="253"/>
    </row>
    <row r="35" spans="1:11" x14ac:dyDescent="0.25">
      <c r="A35" s="229" t="s">
        <v>237</v>
      </c>
      <c r="B35" s="250" t="s">
        <v>150</v>
      </c>
      <c r="C35" s="231"/>
      <c r="D35" s="271">
        <f>'5. Rekap Bahan &amp; Upah'!C18</f>
        <v>0.30000000000000004</v>
      </c>
      <c r="E35" s="251" t="s">
        <v>9</v>
      </c>
      <c r="F35" s="212">
        <f>'5. Rekap Bahan &amp; Upah'!G18</f>
        <v>2200000</v>
      </c>
      <c r="G35" s="252">
        <f>D35*F35</f>
        <v>660000.00000000012</v>
      </c>
      <c r="H35" s="253"/>
    </row>
    <row r="36" spans="1:11" x14ac:dyDescent="0.25">
      <c r="A36" s="229" t="s">
        <v>238</v>
      </c>
      <c r="B36" s="250" t="s">
        <v>21</v>
      </c>
      <c r="C36" s="231"/>
      <c r="D36" s="271">
        <f>'5. Rekap Bahan &amp; Upah'!C20</f>
        <v>1</v>
      </c>
      <c r="E36" s="251" t="s">
        <v>15</v>
      </c>
      <c r="F36" s="212">
        <f>'5. Rekap Bahan &amp; Upah'!G20</f>
        <v>22000</v>
      </c>
      <c r="G36" s="252">
        <f t="shared" si="2"/>
        <v>22000</v>
      </c>
      <c r="H36" s="254"/>
    </row>
    <row r="37" spans="1:11" x14ac:dyDescent="0.25">
      <c r="A37" s="229" t="s">
        <v>239</v>
      </c>
      <c r="B37" s="250" t="s">
        <v>217</v>
      </c>
      <c r="C37" s="231"/>
      <c r="D37" s="271">
        <f>'5. Rekap Bahan &amp; Upah'!C21</f>
        <v>215</v>
      </c>
      <c r="E37" s="251" t="s">
        <v>58</v>
      </c>
      <c r="F37" s="212">
        <f>'5. Rekap Bahan &amp; Upah'!G21</f>
        <v>65000</v>
      </c>
      <c r="G37" s="252">
        <f t="shared" si="2"/>
        <v>13975000</v>
      </c>
      <c r="H37" s="254"/>
    </row>
    <row r="38" spans="1:11" x14ac:dyDescent="0.25">
      <c r="A38" s="229" t="s">
        <v>240</v>
      </c>
      <c r="B38" s="250" t="s">
        <v>128</v>
      </c>
      <c r="C38" s="231"/>
      <c r="D38" s="271">
        <f>'5. Rekap Bahan &amp; Upah'!C22</f>
        <v>4</v>
      </c>
      <c r="E38" s="251" t="s">
        <v>15</v>
      </c>
      <c r="F38" s="212">
        <f>'5. Rekap Bahan &amp; Upah'!G22</f>
        <v>25000</v>
      </c>
      <c r="G38" s="252">
        <f t="shared" si="2"/>
        <v>100000</v>
      </c>
      <c r="H38" s="254"/>
    </row>
    <row r="39" spans="1:11" x14ac:dyDescent="0.25">
      <c r="A39" s="229" t="s">
        <v>241</v>
      </c>
      <c r="B39" s="395" t="s">
        <v>233</v>
      </c>
      <c r="C39" s="396"/>
      <c r="D39" s="271" t="e">
        <f>'5. Rekap Bahan &amp; Upah'!#REF!</f>
        <v>#REF!</v>
      </c>
      <c r="E39" s="251" t="s">
        <v>8</v>
      </c>
      <c r="F39" s="212" t="e">
        <f>'5. Rekap Bahan &amp; Upah'!#REF!</f>
        <v>#REF!</v>
      </c>
      <c r="G39" s="252" t="e">
        <f>D39*F39</f>
        <v>#REF!</v>
      </c>
      <c r="H39" s="236"/>
    </row>
    <row r="40" spans="1:11" ht="16.5" thickBot="1" x14ac:dyDescent="0.3">
      <c r="A40" s="229" t="s">
        <v>242</v>
      </c>
      <c r="B40" s="246" t="s">
        <v>68</v>
      </c>
      <c r="C40" s="209"/>
      <c r="D40" s="271">
        <f>'5. Rekap Bahan &amp; Upah'!C23</f>
        <v>1</v>
      </c>
      <c r="E40" s="251" t="s">
        <v>101</v>
      </c>
      <c r="F40" s="212">
        <f>'5. Rekap Bahan &amp; Upah'!G23</f>
        <v>100000</v>
      </c>
      <c r="G40" s="252">
        <f t="shared" si="2"/>
        <v>100000</v>
      </c>
      <c r="H40" s="254"/>
    </row>
    <row r="41" spans="1:11" ht="16.5" thickBot="1" x14ac:dyDescent="0.3">
      <c r="A41" s="878"/>
      <c r="B41" s="879"/>
      <c r="C41" s="879"/>
      <c r="D41" s="238"/>
      <c r="E41" s="226"/>
      <c r="F41" s="226" t="s">
        <v>243</v>
      </c>
      <c r="G41" s="238"/>
      <c r="H41" s="228" t="e">
        <f>SUM(G32:G40)</f>
        <v>#REF!</v>
      </c>
      <c r="J41" s="256"/>
    </row>
    <row r="42" spans="1:11" s="200" customFormat="1" ht="16.5" thickBot="1" x14ac:dyDescent="0.3">
      <c r="A42" s="887" t="s">
        <v>218</v>
      </c>
      <c r="B42" s="888"/>
      <c r="C42" s="888"/>
      <c r="D42" s="888"/>
      <c r="E42" s="888"/>
      <c r="F42" s="888"/>
      <c r="G42" s="257"/>
      <c r="H42" s="258" t="e">
        <f>SUM(H19:H41)</f>
        <v>#REF!</v>
      </c>
      <c r="J42" s="360"/>
      <c r="K42" s="360"/>
    </row>
    <row r="43" spans="1:11" s="200" customFormat="1" x14ac:dyDescent="0.25">
      <c r="A43" s="187"/>
      <c r="B43" s="188"/>
      <c r="C43" s="188"/>
      <c r="D43" s="188"/>
      <c r="E43" s="188"/>
      <c r="F43" s="188"/>
      <c r="G43" s="188"/>
      <c r="J43" s="360"/>
    </row>
    <row r="44" spans="1:11" x14ac:dyDescent="0.25">
      <c r="A44" s="884" t="s">
        <v>219</v>
      </c>
      <c r="B44" s="884"/>
      <c r="C44" s="884"/>
      <c r="D44" s="259"/>
      <c r="E44" s="259"/>
      <c r="F44" s="259"/>
      <c r="G44" s="260" t="s">
        <v>249</v>
      </c>
      <c r="H44" s="260"/>
      <c r="I44" s="260"/>
    </row>
    <row r="45" spans="1:11" x14ac:dyDescent="0.25">
      <c r="A45" s="884" t="s">
        <v>220</v>
      </c>
      <c r="B45" s="884"/>
      <c r="C45" s="884"/>
      <c r="D45" s="261"/>
      <c r="E45" s="259"/>
      <c r="F45" s="259"/>
      <c r="G45" s="261" t="s">
        <v>221</v>
      </c>
      <c r="H45" s="262"/>
      <c r="I45" s="259"/>
      <c r="K45" s="263"/>
    </row>
    <row r="46" spans="1:11" x14ac:dyDescent="0.25">
      <c r="A46" s="264"/>
      <c r="B46" s="265"/>
      <c r="C46" s="265"/>
      <c r="D46" s="259"/>
      <c r="E46" s="265"/>
      <c r="F46" s="259"/>
      <c r="G46" s="265"/>
      <c r="H46" s="259"/>
      <c r="I46" s="259"/>
    </row>
    <row r="47" spans="1:11" x14ac:dyDescent="0.25">
      <c r="A47" s="264"/>
      <c r="B47" s="265"/>
      <c r="C47" s="265"/>
      <c r="D47" s="259"/>
      <c r="E47" s="265"/>
      <c r="F47" s="259"/>
      <c r="G47" s="265"/>
      <c r="H47" s="259"/>
      <c r="I47" s="259"/>
      <c r="K47" s="256"/>
    </row>
    <row r="48" spans="1:11" x14ac:dyDescent="0.25">
      <c r="A48" s="264"/>
      <c r="B48" s="265"/>
      <c r="C48" s="265"/>
      <c r="D48" s="259"/>
      <c r="E48" s="265"/>
      <c r="F48" s="259"/>
      <c r="G48" s="265"/>
      <c r="H48" s="259"/>
      <c r="I48" s="259"/>
    </row>
    <row r="49" spans="1:9" x14ac:dyDescent="0.25">
      <c r="A49" s="264"/>
      <c r="B49" s="259"/>
      <c r="C49" s="259"/>
      <c r="D49" s="259"/>
      <c r="E49" s="259"/>
      <c r="F49" s="259"/>
      <c r="G49" s="259"/>
      <c r="H49" s="259"/>
      <c r="I49" s="259"/>
    </row>
    <row r="50" spans="1:9" x14ac:dyDescent="0.25">
      <c r="A50" s="884" t="s">
        <v>247</v>
      </c>
      <c r="B50" s="884"/>
      <c r="C50" s="884"/>
      <c r="D50" s="261"/>
      <c r="E50" s="259"/>
      <c r="F50" s="259"/>
      <c r="G50" s="259" t="s">
        <v>248</v>
      </c>
      <c r="H50" s="261"/>
      <c r="I50" s="259"/>
    </row>
    <row r="51" spans="1:9" x14ac:dyDescent="0.25">
      <c r="A51" s="885"/>
      <c r="B51" s="885"/>
      <c r="C51" s="885"/>
      <c r="D51" s="189"/>
      <c r="H51" s="189"/>
    </row>
    <row r="52" spans="1:9" s="200" customFormat="1" x14ac:dyDescent="0.25">
      <c r="A52" s="187"/>
      <c r="B52" s="188"/>
      <c r="C52" s="188"/>
      <c r="D52" s="188"/>
      <c r="E52" s="188"/>
      <c r="F52" s="188"/>
      <c r="G52" s="188"/>
      <c r="H52" s="188"/>
    </row>
    <row r="53" spans="1:9" x14ac:dyDescent="0.25">
      <c r="A53" s="885"/>
      <c r="B53" s="885"/>
      <c r="C53" s="885"/>
      <c r="D53" s="189"/>
      <c r="H53" s="189"/>
    </row>
    <row r="54" spans="1:9" s="200" customFormat="1" x14ac:dyDescent="0.25">
      <c r="A54" s="187"/>
      <c r="B54" s="188"/>
      <c r="C54" s="188"/>
      <c r="D54" s="188"/>
      <c r="E54" s="188"/>
      <c r="F54" s="188"/>
      <c r="G54" s="188"/>
      <c r="H54" s="188"/>
    </row>
    <row r="58" spans="1:9" x14ac:dyDescent="0.25">
      <c r="I58" s="189"/>
    </row>
  </sheetData>
  <mergeCells count="24">
    <mergeCell ref="A50:C50"/>
    <mergeCell ref="A51:C51"/>
    <mergeCell ref="A53:C53"/>
    <mergeCell ref="A3:H3"/>
    <mergeCell ref="A2:H2"/>
    <mergeCell ref="A42:F42"/>
    <mergeCell ref="A44:C44"/>
    <mergeCell ref="A45:C45"/>
    <mergeCell ref="A1:H1"/>
    <mergeCell ref="A4:H6"/>
    <mergeCell ref="A15:C15"/>
    <mergeCell ref="A27:C27"/>
    <mergeCell ref="A41:C41"/>
    <mergeCell ref="A12:C14"/>
    <mergeCell ref="D12:D14"/>
    <mergeCell ref="E12:E14"/>
    <mergeCell ref="F12:F14"/>
    <mergeCell ref="G12:G14"/>
    <mergeCell ref="H12:H14"/>
    <mergeCell ref="A7:B7"/>
    <mergeCell ref="A8:B8"/>
    <mergeCell ref="A9:B9"/>
    <mergeCell ref="A10:B10"/>
    <mergeCell ref="G10:H10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"/>
  <sheetViews>
    <sheetView workbookViewId="0">
      <selection activeCell="J26" sqref="J26"/>
    </sheetView>
  </sheetViews>
  <sheetFormatPr defaultRowHeight="12.7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AZ83"/>
  <sheetViews>
    <sheetView view="pageBreakPreview" zoomScaleNormal="70" zoomScaleSheetLayoutView="100" workbookViewId="0">
      <selection activeCell="AG80" sqref="AG80"/>
    </sheetView>
  </sheetViews>
  <sheetFormatPr defaultColWidth="3.28515625" defaultRowHeight="12.75" x14ac:dyDescent="0.2"/>
  <cols>
    <col min="1" max="4" width="3.28515625" style="324"/>
    <col min="5" max="5" width="3.7109375" style="324" bestFit="1" customWidth="1"/>
    <col min="6" max="19" width="3.28515625" style="324"/>
    <col min="20" max="20" width="4" style="324" bestFit="1" customWidth="1"/>
    <col min="21" max="26" width="3.28515625" style="324"/>
    <col min="27" max="27" width="3.42578125" style="324" bestFit="1" customWidth="1"/>
    <col min="28" max="28" width="3.28515625" style="324"/>
    <col min="29" max="29" width="2.85546875" style="324" customWidth="1"/>
    <col min="30" max="16384" width="3.28515625" style="324"/>
  </cols>
  <sheetData>
    <row r="1" spans="1:52" ht="13.5" thickBot="1" x14ac:dyDescent="0.25"/>
    <row r="2" spans="1:52" x14ac:dyDescent="0.2">
      <c r="A2" s="325"/>
      <c r="B2" s="326"/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26"/>
      <c r="S2" s="326"/>
      <c r="T2" s="326"/>
      <c r="U2" s="326"/>
      <c r="V2" s="326"/>
      <c r="W2" s="326"/>
      <c r="X2" s="326"/>
      <c r="Y2" s="326"/>
      <c r="Z2" s="326"/>
      <c r="AA2" s="326"/>
      <c r="AB2" s="326"/>
      <c r="AC2" s="326"/>
      <c r="AD2" s="326"/>
      <c r="AE2" s="326"/>
      <c r="AF2" s="326"/>
      <c r="AG2" s="326"/>
      <c r="AH2" s="326"/>
      <c r="AI2" s="326"/>
      <c r="AJ2" s="326"/>
      <c r="AK2" s="326"/>
      <c r="AL2" s="326"/>
      <c r="AM2" s="326"/>
      <c r="AN2" s="326"/>
      <c r="AO2" s="326"/>
      <c r="AP2" s="326"/>
      <c r="AQ2" s="327"/>
      <c r="AR2" s="326"/>
      <c r="AS2" s="326"/>
      <c r="AT2" s="326"/>
      <c r="AU2" s="326"/>
      <c r="AV2" s="326"/>
      <c r="AW2" s="326"/>
      <c r="AX2" s="326"/>
      <c r="AY2" s="326"/>
      <c r="AZ2" s="328"/>
    </row>
    <row r="3" spans="1:52" x14ac:dyDescent="0.2">
      <c r="A3" s="329"/>
      <c r="B3" s="330"/>
      <c r="C3" s="330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330"/>
      <c r="Z3" s="330"/>
      <c r="AA3" s="330"/>
      <c r="AB3" s="330"/>
      <c r="AC3" s="330"/>
      <c r="AD3" s="330"/>
      <c r="AE3" s="330"/>
      <c r="AF3" s="330"/>
      <c r="AG3" s="330"/>
      <c r="AH3" s="330"/>
      <c r="AI3" s="330"/>
      <c r="AJ3" s="330"/>
      <c r="AK3" s="330"/>
      <c r="AL3" s="330"/>
      <c r="AM3" s="330"/>
      <c r="AN3" s="330"/>
      <c r="AO3" s="330"/>
      <c r="AP3" s="330"/>
      <c r="AQ3" s="331"/>
      <c r="AR3" s="330"/>
      <c r="AS3" s="330"/>
      <c r="AT3" s="330"/>
      <c r="AU3" s="330"/>
      <c r="AV3" s="330"/>
      <c r="AW3" s="330"/>
      <c r="AX3" s="330"/>
      <c r="AY3" s="330"/>
      <c r="AZ3" s="332"/>
    </row>
    <row r="4" spans="1:52" x14ac:dyDescent="0.2">
      <c r="A4" s="329"/>
      <c r="B4" s="330"/>
      <c r="C4" s="330"/>
      <c r="D4" s="330"/>
      <c r="E4" s="330"/>
      <c r="F4" s="330"/>
      <c r="G4" s="330"/>
      <c r="H4" s="330"/>
      <c r="I4" s="330"/>
      <c r="J4" s="330"/>
      <c r="K4" s="330"/>
      <c r="L4" s="330"/>
      <c r="M4" s="330"/>
      <c r="N4" s="330"/>
      <c r="O4" s="330"/>
      <c r="P4" s="330"/>
      <c r="Q4" s="330"/>
      <c r="R4" s="330"/>
      <c r="S4" s="330"/>
      <c r="T4" s="330"/>
      <c r="U4" s="330"/>
      <c r="V4" s="330"/>
      <c r="W4" s="330"/>
      <c r="X4" s="330"/>
      <c r="Y4" s="330"/>
      <c r="Z4" s="330"/>
      <c r="AA4" s="330"/>
      <c r="AB4" s="330"/>
      <c r="AC4" s="330"/>
      <c r="AD4" s="330"/>
      <c r="AE4" s="330"/>
      <c r="AF4" s="330"/>
      <c r="AG4" s="330"/>
      <c r="AH4" s="330"/>
      <c r="AI4" s="330"/>
      <c r="AJ4" s="330"/>
      <c r="AK4" s="330"/>
      <c r="AL4" s="330"/>
      <c r="AM4" s="330"/>
      <c r="AN4" s="330"/>
      <c r="AO4" s="330"/>
      <c r="AP4" s="330"/>
      <c r="AQ4" s="331"/>
      <c r="AR4" s="330"/>
      <c r="AS4" s="330"/>
      <c r="AT4" s="330"/>
      <c r="AU4" s="330"/>
      <c r="AV4" s="330"/>
      <c r="AW4" s="330"/>
      <c r="AX4" s="330"/>
      <c r="AY4" s="330"/>
      <c r="AZ4" s="332"/>
    </row>
    <row r="5" spans="1:52" x14ac:dyDescent="0.2">
      <c r="A5" s="329"/>
      <c r="B5" s="330"/>
      <c r="C5" s="330"/>
      <c r="D5" s="330"/>
      <c r="E5" s="330"/>
      <c r="F5" s="330"/>
      <c r="G5" s="330"/>
      <c r="H5" s="330"/>
      <c r="I5" s="330"/>
      <c r="J5" s="330"/>
      <c r="K5" s="330"/>
      <c r="L5" s="330"/>
      <c r="M5" s="330"/>
      <c r="N5" s="330"/>
      <c r="O5" s="330"/>
      <c r="P5" s="330"/>
      <c r="Q5" s="330"/>
      <c r="R5" s="889">
        <f>'2. TOS'!M75</f>
        <v>3.3</v>
      </c>
      <c r="S5" s="889"/>
      <c r="T5" s="334" t="s">
        <v>8</v>
      </c>
      <c r="U5" s="334"/>
      <c r="V5" s="330"/>
      <c r="W5" s="330"/>
      <c r="X5" s="330"/>
      <c r="Y5" s="330"/>
      <c r="Z5" s="330"/>
      <c r="AA5" s="330"/>
      <c r="AB5" s="330"/>
      <c r="AC5" s="330"/>
      <c r="AD5" s="330"/>
      <c r="AE5" s="330"/>
      <c r="AF5" s="330"/>
      <c r="AG5" s="330"/>
      <c r="AH5" s="330"/>
      <c r="AI5" s="330"/>
      <c r="AJ5" s="330"/>
      <c r="AK5" s="330"/>
      <c r="AL5" s="330"/>
      <c r="AM5" s="330"/>
      <c r="AN5" s="330"/>
      <c r="AO5" s="330"/>
      <c r="AP5" s="330"/>
      <c r="AQ5" s="331"/>
      <c r="AR5" s="330"/>
      <c r="AS5" s="330"/>
      <c r="AT5" s="330"/>
      <c r="AU5" s="330"/>
      <c r="AV5" s="330"/>
      <c r="AW5" s="330"/>
      <c r="AX5" s="330"/>
      <c r="AY5" s="330"/>
      <c r="AZ5" s="332"/>
    </row>
    <row r="6" spans="1:52" x14ac:dyDescent="0.2">
      <c r="A6" s="329"/>
      <c r="B6" s="330"/>
      <c r="C6" s="330"/>
      <c r="D6" s="330"/>
      <c r="E6" s="330"/>
      <c r="F6" s="330"/>
      <c r="G6" s="330"/>
      <c r="H6" s="330"/>
      <c r="I6" s="330"/>
      <c r="J6" s="330"/>
      <c r="K6" s="330"/>
      <c r="L6" s="330"/>
      <c r="M6" s="330"/>
      <c r="N6" s="330"/>
      <c r="O6" s="330"/>
      <c r="P6" s="330"/>
      <c r="Q6" s="330"/>
      <c r="R6" s="330"/>
      <c r="S6" s="330"/>
      <c r="T6" s="330"/>
      <c r="U6" s="330"/>
      <c r="V6" s="330"/>
      <c r="W6" s="330"/>
      <c r="X6" s="330"/>
      <c r="Y6" s="330"/>
      <c r="Z6" s="330"/>
      <c r="AA6" s="330"/>
      <c r="AB6" s="330"/>
      <c r="AC6" s="330"/>
      <c r="AD6" s="330"/>
      <c r="AE6" s="330"/>
      <c r="AF6" s="330"/>
      <c r="AG6" s="330"/>
      <c r="AH6" s="330"/>
      <c r="AI6" s="330"/>
      <c r="AJ6" s="330"/>
      <c r="AK6" s="330"/>
      <c r="AL6" s="330"/>
      <c r="AM6" s="330"/>
      <c r="AN6" s="330"/>
      <c r="AO6" s="330"/>
      <c r="AP6" s="330"/>
      <c r="AQ6" s="331"/>
      <c r="AR6" s="330"/>
      <c r="AS6" s="330"/>
      <c r="AT6" s="330"/>
      <c r="AU6" s="330"/>
      <c r="AV6" s="330"/>
      <c r="AW6" s="330"/>
      <c r="AX6" s="330"/>
      <c r="AY6" s="330"/>
      <c r="AZ6" s="332"/>
    </row>
    <row r="7" spans="1:52" x14ac:dyDescent="0.2">
      <c r="A7" s="329"/>
      <c r="B7" s="330"/>
      <c r="C7" s="330"/>
      <c r="D7" s="330"/>
      <c r="E7" s="330"/>
      <c r="F7" s="330"/>
      <c r="G7" s="330"/>
      <c r="H7" s="330"/>
      <c r="I7" s="330"/>
      <c r="J7" s="330"/>
      <c r="K7" s="330"/>
      <c r="L7" s="330"/>
      <c r="M7" s="330"/>
      <c r="N7" s="330"/>
      <c r="O7" s="330"/>
      <c r="P7" s="330"/>
      <c r="Q7" s="330"/>
      <c r="R7" s="330"/>
      <c r="S7" s="330"/>
      <c r="T7" s="330"/>
      <c r="U7" s="330"/>
      <c r="V7" s="330"/>
      <c r="W7" s="330"/>
      <c r="X7" s="330"/>
      <c r="Y7" s="330"/>
      <c r="Z7" s="330"/>
      <c r="AA7" s="330"/>
      <c r="AB7" s="330"/>
      <c r="AC7" s="330"/>
      <c r="AD7" s="330"/>
      <c r="AE7" s="330"/>
      <c r="AF7" s="330"/>
      <c r="AG7" s="330"/>
      <c r="AH7" s="330"/>
      <c r="AI7" s="330"/>
      <c r="AJ7" s="330"/>
      <c r="AK7" s="330"/>
      <c r="AL7" s="330"/>
      <c r="AM7" s="330"/>
      <c r="AN7" s="330"/>
      <c r="AO7" s="330"/>
      <c r="AP7" s="330"/>
      <c r="AQ7" s="331"/>
      <c r="AR7" s="330"/>
      <c r="AS7" s="330"/>
      <c r="AT7" s="330"/>
      <c r="AU7" s="330"/>
      <c r="AV7" s="330"/>
      <c r="AW7" s="330"/>
      <c r="AX7" s="330"/>
      <c r="AY7" s="330"/>
      <c r="AZ7" s="332"/>
    </row>
    <row r="8" spans="1:52" x14ac:dyDescent="0.2">
      <c r="A8" s="329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X8" s="330"/>
      <c r="Y8" s="330"/>
      <c r="Z8" s="330"/>
      <c r="AA8" s="330"/>
      <c r="AB8" s="330"/>
      <c r="AC8" s="330"/>
      <c r="AD8" s="330"/>
      <c r="AE8" s="330"/>
      <c r="AF8" s="330"/>
      <c r="AG8" s="330"/>
      <c r="AH8" s="330"/>
      <c r="AI8" s="330"/>
      <c r="AJ8" s="330"/>
      <c r="AK8" s="330"/>
      <c r="AL8" s="330"/>
      <c r="AM8" s="330"/>
      <c r="AN8" s="330"/>
      <c r="AO8" s="330"/>
      <c r="AP8" s="330"/>
      <c r="AQ8" s="897" t="s">
        <v>301</v>
      </c>
      <c r="AR8" s="898"/>
      <c r="AS8" s="898"/>
      <c r="AT8" s="898"/>
      <c r="AU8" s="898"/>
      <c r="AV8" s="898"/>
      <c r="AW8" s="898"/>
      <c r="AX8" s="898"/>
      <c r="AY8" s="898"/>
      <c r="AZ8" s="899"/>
    </row>
    <row r="9" spans="1:52" x14ac:dyDescent="0.2">
      <c r="A9" s="329"/>
      <c r="B9" s="330"/>
      <c r="C9" s="330"/>
      <c r="D9" s="330"/>
      <c r="E9" s="330"/>
      <c r="F9" s="330"/>
      <c r="G9" s="330"/>
      <c r="H9" s="330"/>
      <c r="I9" s="330"/>
      <c r="J9" s="330"/>
      <c r="K9" s="330"/>
      <c r="L9" s="330"/>
      <c r="M9" s="330"/>
      <c r="N9" s="330"/>
      <c r="O9" s="330"/>
      <c r="P9" s="330"/>
      <c r="Q9" s="330"/>
      <c r="R9" s="330"/>
      <c r="S9" s="330"/>
      <c r="T9" s="330"/>
      <c r="U9" s="330"/>
      <c r="V9" s="330"/>
      <c r="W9" s="330"/>
      <c r="X9" s="330"/>
      <c r="Y9" s="330"/>
      <c r="Z9" s="330"/>
      <c r="AA9" s="330"/>
      <c r="AB9" s="330"/>
      <c r="AC9" s="330"/>
      <c r="AD9" s="330"/>
      <c r="AE9" s="330"/>
      <c r="AF9" s="330"/>
      <c r="AG9" s="330"/>
      <c r="AH9" s="330"/>
      <c r="AI9" s="330"/>
      <c r="AJ9" s="330"/>
      <c r="AK9" s="330"/>
      <c r="AL9" s="330"/>
      <c r="AM9" s="330"/>
      <c r="AN9" s="330"/>
      <c r="AO9" s="330"/>
      <c r="AP9" s="330"/>
      <c r="AQ9" s="897" t="s">
        <v>302</v>
      </c>
      <c r="AR9" s="898"/>
      <c r="AS9" s="898"/>
      <c r="AT9" s="898"/>
      <c r="AU9" s="898"/>
      <c r="AV9" s="898"/>
      <c r="AW9" s="898"/>
      <c r="AX9" s="898"/>
      <c r="AY9" s="898"/>
      <c r="AZ9" s="899"/>
    </row>
    <row r="10" spans="1:52" x14ac:dyDescent="0.2">
      <c r="A10" s="329"/>
      <c r="B10" s="330"/>
      <c r="C10" s="330"/>
      <c r="D10" s="330"/>
      <c r="E10" s="330"/>
      <c r="F10" s="330"/>
      <c r="G10" s="330"/>
      <c r="H10" s="330"/>
      <c r="I10" s="330"/>
      <c r="J10" s="330"/>
      <c r="K10" s="330"/>
      <c r="L10" s="330"/>
      <c r="M10" s="330"/>
      <c r="N10" s="330"/>
      <c r="O10" s="330"/>
      <c r="P10" s="330"/>
      <c r="Q10" s="330"/>
      <c r="R10" s="330"/>
      <c r="S10" s="330"/>
      <c r="T10" s="330"/>
      <c r="U10" s="330"/>
      <c r="V10" s="330"/>
      <c r="W10" s="330"/>
      <c r="X10" s="330"/>
      <c r="Y10" s="330"/>
      <c r="Z10" s="330"/>
      <c r="AA10" s="330"/>
      <c r="AB10" s="330"/>
      <c r="AC10" s="330"/>
      <c r="AD10" s="330"/>
      <c r="AE10" s="330"/>
      <c r="AF10" s="330"/>
      <c r="AG10" s="330"/>
      <c r="AH10" s="330"/>
      <c r="AI10" s="330"/>
      <c r="AJ10" s="330"/>
      <c r="AK10" s="330"/>
      <c r="AL10" s="330"/>
      <c r="AM10" s="330"/>
      <c r="AN10" s="330"/>
      <c r="AO10" s="330"/>
      <c r="AP10" s="330"/>
      <c r="AQ10" s="897" t="s">
        <v>303</v>
      </c>
      <c r="AR10" s="898"/>
      <c r="AS10" s="898"/>
      <c r="AT10" s="898"/>
      <c r="AU10" s="898"/>
      <c r="AV10" s="898"/>
      <c r="AW10" s="898"/>
      <c r="AX10" s="898"/>
      <c r="AY10" s="898"/>
      <c r="AZ10" s="899"/>
    </row>
    <row r="11" spans="1:52" x14ac:dyDescent="0.2">
      <c r="A11" s="329"/>
      <c r="B11" s="330"/>
      <c r="C11" s="330"/>
      <c r="D11" s="330"/>
      <c r="E11" s="330"/>
      <c r="F11" s="330"/>
      <c r="G11" s="330"/>
      <c r="H11" s="330"/>
      <c r="I11" s="330"/>
      <c r="J11" s="330"/>
      <c r="K11" s="330"/>
      <c r="L11" s="330"/>
      <c r="M11" s="330"/>
      <c r="N11" s="330"/>
      <c r="O11" s="330"/>
      <c r="P11" s="330"/>
      <c r="Q11" s="330"/>
      <c r="R11" s="330"/>
      <c r="S11" s="330"/>
      <c r="T11" s="330"/>
      <c r="U11" s="330"/>
      <c r="V11" s="330"/>
      <c r="W11" s="330"/>
      <c r="X11" s="330"/>
      <c r="Y11" s="330"/>
      <c r="Z11" s="330"/>
      <c r="AA11" s="330"/>
      <c r="AB11" s="330"/>
      <c r="AC11" s="330"/>
      <c r="AD11" s="330"/>
      <c r="AE11" s="330"/>
      <c r="AF11" s="330"/>
      <c r="AG11" s="330"/>
      <c r="AH11" s="330"/>
      <c r="AI11" s="330"/>
      <c r="AJ11" s="330"/>
      <c r="AK11" s="330"/>
      <c r="AL11" s="330"/>
      <c r="AM11" s="330"/>
      <c r="AN11" s="330"/>
      <c r="AO11" s="330"/>
      <c r="AP11" s="330"/>
      <c r="AQ11" s="897" t="s">
        <v>319</v>
      </c>
      <c r="AR11" s="898"/>
      <c r="AS11" s="898"/>
      <c r="AT11" s="898"/>
      <c r="AU11" s="898"/>
      <c r="AV11" s="898"/>
      <c r="AW11" s="898"/>
      <c r="AX11" s="898"/>
      <c r="AY11" s="898"/>
      <c r="AZ11" s="899"/>
    </row>
    <row r="12" spans="1:52" x14ac:dyDescent="0.2">
      <c r="A12" s="329"/>
      <c r="B12" s="330"/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330"/>
      <c r="O12" s="330"/>
      <c r="P12" s="330"/>
      <c r="Q12" s="330"/>
      <c r="R12" s="330"/>
      <c r="S12" s="330"/>
      <c r="T12" s="330"/>
      <c r="U12" s="330"/>
      <c r="V12" s="330"/>
      <c r="W12" s="330"/>
      <c r="X12" s="330"/>
      <c r="Y12" s="330"/>
      <c r="Z12" s="330"/>
      <c r="AA12" s="330"/>
      <c r="AB12" s="330"/>
      <c r="AC12" s="330"/>
      <c r="AD12" s="330"/>
      <c r="AE12" s="330"/>
      <c r="AF12" s="330"/>
      <c r="AG12" s="330"/>
      <c r="AH12" s="330"/>
      <c r="AI12" s="330"/>
      <c r="AJ12" s="330"/>
      <c r="AK12" s="330"/>
      <c r="AL12" s="330"/>
      <c r="AM12" s="330"/>
      <c r="AN12" s="330"/>
      <c r="AO12" s="330"/>
      <c r="AP12" s="330"/>
      <c r="AQ12" s="331" t="s">
        <v>60</v>
      </c>
      <c r="AR12" s="330"/>
      <c r="AS12" s="330"/>
      <c r="AT12" s="330"/>
      <c r="AU12" s="330"/>
      <c r="AV12" s="330"/>
      <c r="AW12" s="330"/>
      <c r="AX12" s="330"/>
      <c r="AY12" s="330"/>
      <c r="AZ12" s="332"/>
    </row>
    <row r="13" spans="1:52" x14ac:dyDescent="0.2">
      <c r="A13" s="329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  <c r="O13" s="330"/>
      <c r="P13" s="330"/>
      <c r="Q13" s="330"/>
      <c r="R13" s="330"/>
      <c r="S13" s="330"/>
      <c r="T13" s="330"/>
      <c r="U13" s="330"/>
      <c r="V13" s="330"/>
      <c r="W13" s="330"/>
      <c r="X13" s="330"/>
      <c r="Y13" s="330"/>
      <c r="Z13" s="330"/>
      <c r="AA13" s="330"/>
      <c r="AB13" s="330"/>
      <c r="AC13" s="330"/>
      <c r="AD13" s="330"/>
      <c r="AE13" s="330"/>
      <c r="AF13" s="330"/>
      <c r="AG13" s="330"/>
      <c r="AH13" s="330"/>
      <c r="AI13" s="330"/>
      <c r="AJ13" s="330"/>
      <c r="AK13" s="330"/>
      <c r="AL13" s="330"/>
      <c r="AM13" s="330"/>
      <c r="AN13" s="330"/>
      <c r="AO13" s="330"/>
      <c r="AP13" s="330"/>
      <c r="AQ13" s="900" t="s">
        <v>155</v>
      </c>
      <c r="AR13" s="901"/>
      <c r="AS13" s="901"/>
      <c r="AT13" s="901"/>
      <c r="AU13" s="901"/>
      <c r="AV13" s="901"/>
      <c r="AW13" s="901"/>
      <c r="AX13" s="901"/>
      <c r="AY13" s="901"/>
      <c r="AZ13" s="902"/>
    </row>
    <row r="14" spans="1:52" x14ac:dyDescent="0.2">
      <c r="A14" s="329"/>
      <c r="B14" s="330"/>
      <c r="C14" s="330"/>
      <c r="D14" s="330"/>
      <c r="E14" s="330"/>
      <c r="F14" s="330"/>
      <c r="G14" s="330"/>
      <c r="H14" s="330"/>
      <c r="I14" s="330"/>
      <c r="J14" s="330"/>
      <c r="K14" s="330"/>
      <c r="L14" s="330"/>
      <c r="M14" s="330"/>
      <c r="N14" s="330"/>
      <c r="O14" s="330"/>
      <c r="P14" s="330"/>
      <c r="Q14" s="330"/>
      <c r="R14" s="330"/>
      <c r="S14" s="330"/>
      <c r="T14" s="330"/>
      <c r="U14" s="330"/>
      <c r="V14" s="330"/>
      <c r="W14" s="330"/>
      <c r="X14" s="330"/>
      <c r="Y14" s="330"/>
      <c r="Z14" s="330"/>
      <c r="AA14" s="330"/>
      <c r="AB14" s="330"/>
      <c r="AC14" s="330"/>
      <c r="AD14" s="330"/>
      <c r="AE14" s="330"/>
      <c r="AF14" s="330"/>
      <c r="AG14" s="330"/>
      <c r="AH14" s="330"/>
      <c r="AI14" s="330"/>
      <c r="AJ14" s="330"/>
      <c r="AK14" s="330"/>
      <c r="AL14" s="330"/>
      <c r="AM14" s="330"/>
      <c r="AN14" s="330"/>
      <c r="AO14" s="330"/>
      <c r="AP14" s="330"/>
      <c r="AQ14" s="331" t="s">
        <v>61</v>
      </c>
      <c r="AR14" s="330"/>
      <c r="AS14" s="330"/>
      <c r="AT14" s="330"/>
      <c r="AU14" s="330"/>
      <c r="AV14" s="330"/>
      <c r="AW14" s="330"/>
      <c r="AX14" s="330"/>
      <c r="AY14" s="330"/>
      <c r="AZ14" s="332"/>
    </row>
    <row r="15" spans="1:52" x14ac:dyDescent="0.2">
      <c r="A15" s="329"/>
      <c r="B15" s="330"/>
      <c r="C15" s="330"/>
      <c r="D15" s="330"/>
      <c r="E15" s="330"/>
      <c r="F15" s="330"/>
      <c r="G15" s="330"/>
      <c r="H15" s="330"/>
      <c r="I15" s="330"/>
      <c r="J15" s="330"/>
      <c r="K15" s="330"/>
      <c r="L15" s="330"/>
      <c r="M15" s="330"/>
      <c r="N15" s="330"/>
      <c r="O15" s="330"/>
      <c r="P15" s="330"/>
      <c r="Q15" s="330"/>
      <c r="R15" s="330"/>
      <c r="S15" s="330"/>
      <c r="T15" s="330"/>
      <c r="U15" s="330"/>
      <c r="V15" s="330"/>
      <c r="W15" s="330"/>
      <c r="X15" s="330"/>
      <c r="Y15" s="330"/>
      <c r="Z15" s="330"/>
      <c r="AA15" s="330"/>
      <c r="AB15" s="330"/>
      <c r="AC15" s="330"/>
      <c r="AD15" s="330"/>
      <c r="AE15" s="330"/>
      <c r="AF15" s="330"/>
      <c r="AG15" s="330"/>
      <c r="AH15" s="330"/>
      <c r="AI15" s="330"/>
      <c r="AJ15" s="330"/>
      <c r="AK15" s="330"/>
      <c r="AL15" s="330"/>
      <c r="AM15" s="330"/>
      <c r="AN15" s="330"/>
      <c r="AO15" s="330"/>
      <c r="AP15" s="330"/>
      <c r="AQ15" s="900" t="str">
        <f>'2. TOS'!S3</f>
        <v>RT.15</v>
      </c>
      <c r="AR15" s="901"/>
      <c r="AS15" s="901"/>
      <c r="AT15" s="901"/>
      <c r="AU15" s="901"/>
      <c r="AV15" s="901"/>
      <c r="AW15" s="901"/>
      <c r="AX15" s="901"/>
      <c r="AY15" s="901"/>
      <c r="AZ15" s="902"/>
    </row>
    <row r="16" spans="1:52" x14ac:dyDescent="0.2">
      <c r="A16" s="329"/>
      <c r="B16" s="330"/>
      <c r="C16" s="330"/>
      <c r="D16" s="330"/>
      <c r="E16" s="330"/>
      <c r="F16" s="330"/>
      <c r="G16" s="330"/>
      <c r="H16" s="330"/>
      <c r="I16" s="330"/>
      <c r="J16" s="330"/>
      <c r="K16" s="330"/>
      <c r="L16" s="330"/>
      <c r="M16" s="330"/>
      <c r="N16" s="330"/>
      <c r="O16" s="330"/>
      <c r="P16" s="330"/>
      <c r="Q16" s="330"/>
      <c r="R16" s="330"/>
      <c r="S16" s="330"/>
      <c r="T16" s="330"/>
      <c r="U16" s="330"/>
      <c r="V16" s="330"/>
      <c r="W16" s="330"/>
      <c r="X16" s="330"/>
      <c r="Y16" s="330"/>
      <c r="Z16" s="330"/>
      <c r="AA16" s="330"/>
      <c r="AB16" s="330"/>
      <c r="AC16" s="330"/>
      <c r="AD16" s="330"/>
      <c r="AE16" s="330"/>
      <c r="AF16" s="330"/>
      <c r="AG16" s="330"/>
      <c r="AH16" s="330"/>
      <c r="AI16" s="330"/>
      <c r="AJ16" s="330"/>
      <c r="AK16" s="330"/>
      <c r="AL16" s="330"/>
      <c r="AM16" s="330"/>
      <c r="AN16" s="330"/>
      <c r="AO16" s="330"/>
      <c r="AP16" s="330"/>
      <c r="AQ16" s="331" t="s">
        <v>62</v>
      </c>
      <c r="AR16" s="330"/>
      <c r="AS16" s="330"/>
      <c r="AT16" s="330"/>
      <c r="AU16" s="330"/>
      <c r="AV16" s="330"/>
      <c r="AW16" s="330"/>
      <c r="AX16" s="330"/>
      <c r="AY16" s="330"/>
      <c r="AZ16" s="332"/>
    </row>
    <row r="17" spans="1:52" x14ac:dyDescent="0.2">
      <c r="A17" s="329"/>
      <c r="B17" s="330"/>
      <c r="C17" s="330"/>
      <c r="D17" s="330"/>
      <c r="E17" s="330"/>
      <c r="F17" s="330"/>
      <c r="G17" s="330"/>
      <c r="H17" s="330"/>
      <c r="I17" s="330"/>
      <c r="J17" s="330"/>
      <c r="K17" s="330"/>
      <c r="L17" s="330"/>
      <c r="M17" s="330"/>
      <c r="N17" s="330"/>
      <c r="O17" s="330"/>
      <c r="P17" s="330"/>
      <c r="Q17" s="330"/>
      <c r="R17" s="330"/>
      <c r="S17" s="330"/>
      <c r="T17" s="330"/>
      <c r="U17" s="330"/>
      <c r="V17" s="330"/>
      <c r="W17" s="330"/>
      <c r="X17" s="330"/>
      <c r="Y17" s="330"/>
      <c r="Z17" s="330"/>
      <c r="AA17" s="330"/>
      <c r="AB17" s="330"/>
      <c r="AC17" s="330"/>
      <c r="AD17" s="330"/>
      <c r="AE17" s="330"/>
      <c r="AF17" s="330"/>
      <c r="AG17" s="330"/>
      <c r="AH17" s="330"/>
      <c r="AI17" s="330"/>
      <c r="AJ17" s="330"/>
      <c r="AK17" s="330"/>
      <c r="AL17" s="330"/>
      <c r="AM17" s="330"/>
      <c r="AN17" s="330"/>
      <c r="AO17" s="330"/>
      <c r="AP17" s="330"/>
      <c r="AQ17" s="903" t="s">
        <v>144</v>
      </c>
      <c r="AR17" s="904"/>
      <c r="AS17" s="904"/>
      <c r="AT17" s="904"/>
      <c r="AU17" s="904"/>
      <c r="AV17" s="904"/>
      <c r="AW17" s="904"/>
      <c r="AX17" s="904"/>
      <c r="AY17" s="904"/>
      <c r="AZ17" s="905"/>
    </row>
    <row r="18" spans="1:52" x14ac:dyDescent="0.2">
      <c r="A18" s="329"/>
      <c r="B18" s="330"/>
      <c r="C18" s="330"/>
      <c r="D18" s="330"/>
      <c r="E18" s="330"/>
      <c r="F18" s="330"/>
      <c r="G18" s="330"/>
      <c r="H18" s="330"/>
      <c r="I18" s="330"/>
      <c r="J18" s="330"/>
      <c r="K18" s="330"/>
      <c r="L18" s="330"/>
      <c r="M18" s="330"/>
      <c r="N18" s="330"/>
      <c r="O18" s="330"/>
      <c r="P18" s="330"/>
      <c r="Q18" s="330"/>
      <c r="R18" s="330"/>
      <c r="S18" s="330"/>
      <c r="T18" s="330"/>
      <c r="U18" s="330"/>
      <c r="V18" s="330"/>
      <c r="W18" s="330"/>
      <c r="X18" s="330"/>
      <c r="Y18" s="330"/>
      <c r="Z18" s="330"/>
      <c r="AA18" s="355"/>
      <c r="AB18" s="330"/>
      <c r="AC18" s="356"/>
      <c r="AD18" s="330"/>
      <c r="AE18" s="330"/>
      <c r="AF18" s="330"/>
      <c r="AG18" s="330"/>
      <c r="AH18" s="330"/>
      <c r="AI18" s="330"/>
      <c r="AJ18" s="330"/>
      <c r="AK18" s="330"/>
      <c r="AL18" s="330"/>
      <c r="AM18" s="330"/>
      <c r="AN18" s="330"/>
      <c r="AO18" s="330"/>
      <c r="AP18" s="330"/>
      <c r="AQ18" s="906"/>
      <c r="AR18" s="907"/>
      <c r="AS18" s="907"/>
      <c r="AT18" s="907"/>
      <c r="AU18" s="907"/>
      <c r="AV18" s="907"/>
      <c r="AW18" s="907"/>
      <c r="AX18" s="907"/>
      <c r="AY18" s="907"/>
      <c r="AZ18" s="908"/>
    </row>
    <row r="19" spans="1:52" x14ac:dyDescent="0.2">
      <c r="A19" s="329"/>
      <c r="B19" s="330"/>
      <c r="C19" s="330"/>
      <c r="D19" s="330"/>
      <c r="E19" s="330"/>
      <c r="F19" s="330"/>
      <c r="G19" s="330"/>
      <c r="H19" s="330"/>
      <c r="I19" s="330"/>
      <c r="J19" s="330"/>
      <c r="K19" s="330"/>
      <c r="L19" s="330"/>
      <c r="M19" s="330"/>
      <c r="N19" s="330"/>
      <c r="O19" s="330"/>
      <c r="P19" s="330"/>
      <c r="Q19" s="330"/>
      <c r="R19" s="330"/>
      <c r="S19" s="330"/>
      <c r="T19" s="330"/>
      <c r="U19" s="330"/>
      <c r="V19" s="330"/>
      <c r="W19" s="330"/>
      <c r="X19" s="330"/>
      <c r="Y19" s="330"/>
      <c r="Z19" s="330"/>
      <c r="AA19" s="330"/>
      <c r="AB19" s="330"/>
      <c r="AC19" s="330"/>
      <c r="AD19" s="330"/>
      <c r="AE19" s="330"/>
      <c r="AF19" s="330"/>
      <c r="AG19" s="330"/>
      <c r="AH19" s="330"/>
      <c r="AI19" s="330"/>
      <c r="AJ19" s="330"/>
      <c r="AK19" s="330"/>
      <c r="AL19" s="330"/>
      <c r="AM19" s="330"/>
      <c r="AN19" s="330"/>
      <c r="AO19" s="330"/>
      <c r="AP19" s="330"/>
      <c r="AQ19" s="911" t="s">
        <v>139</v>
      </c>
      <c r="AR19" s="912"/>
      <c r="AS19" s="912"/>
      <c r="AT19" s="912"/>
      <c r="AU19" s="912"/>
      <c r="AV19" s="912"/>
      <c r="AW19" s="912"/>
      <c r="AX19" s="912"/>
      <c r="AY19" s="912"/>
      <c r="AZ19" s="913"/>
    </row>
    <row r="20" spans="1:52" x14ac:dyDescent="0.2">
      <c r="A20" s="329"/>
      <c r="B20" s="330"/>
      <c r="C20" s="330"/>
      <c r="D20" s="330"/>
      <c r="E20" s="330"/>
      <c r="F20" s="330"/>
      <c r="G20" s="330"/>
      <c r="H20" s="330"/>
      <c r="I20" s="330"/>
      <c r="J20" s="330"/>
      <c r="K20" s="330"/>
      <c r="L20" s="330"/>
      <c r="M20" s="330"/>
      <c r="N20" s="330"/>
      <c r="O20" s="330"/>
      <c r="P20" s="330"/>
      <c r="Q20" s="330"/>
      <c r="R20" s="330"/>
      <c r="S20" s="330"/>
      <c r="T20" s="330">
        <f>'2. TOS'!M16</f>
        <v>70</v>
      </c>
      <c r="U20" s="330" t="s">
        <v>8</v>
      </c>
      <c r="V20" s="330"/>
      <c r="W20" s="330"/>
      <c r="X20" s="330"/>
      <c r="Y20" s="330"/>
      <c r="Z20" s="330"/>
      <c r="AA20" s="330"/>
      <c r="AB20" s="330"/>
      <c r="AC20" s="330"/>
      <c r="AD20" s="330"/>
      <c r="AE20" s="330"/>
      <c r="AF20" s="330"/>
      <c r="AG20" s="330"/>
      <c r="AH20" s="330"/>
      <c r="AI20" s="330"/>
      <c r="AJ20" s="330"/>
      <c r="AK20" s="330"/>
      <c r="AL20" s="330"/>
      <c r="AM20" s="330"/>
      <c r="AN20" s="330"/>
      <c r="AO20" s="330"/>
      <c r="AP20" s="330"/>
      <c r="AQ20" s="909" t="s">
        <v>140</v>
      </c>
      <c r="AR20" s="889"/>
      <c r="AS20" s="889"/>
      <c r="AT20" s="889"/>
      <c r="AU20" s="889"/>
      <c r="AV20" s="889"/>
      <c r="AW20" s="889"/>
      <c r="AX20" s="889"/>
      <c r="AY20" s="889"/>
      <c r="AZ20" s="910"/>
    </row>
    <row r="21" spans="1:52" x14ac:dyDescent="0.2">
      <c r="A21" s="329"/>
      <c r="B21" s="330"/>
      <c r="C21" s="330"/>
      <c r="D21" s="330"/>
      <c r="E21" s="330"/>
      <c r="F21" s="330"/>
      <c r="G21" s="330"/>
      <c r="H21" s="330"/>
      <c r="I21" s="330"/>
      <c r="J21" s="330"/>
      <c r="K21" s="330"/>
      <c r="L21" s="330"/>
      <c r="M21" s="330"/>
      <c r="N21" s="330"/>
      <c r="O21" s="330"/>
      <c r="P21" s="330"/>
      <c r="Q21" s="330"/>
      <c r="R21" s="330"/>
      <c r="S21" s="330"/>
      <c r="T21" s="330"/>
      <c r="U21" s="330"/>
      <c r="V21" s="330"/>
      <c r="W21" s="330"/>
      <c r="X21" s="330"/>
      <c r="Y21" s="330"/>
      <c r="Z21" s="330"/>
      <c r="AA21" s="330"/>
      <c r="AB21" s="330"/>
      <c r="AC21" s="330"/>
      <c r="AD21" s="330"/>
      <c r="AE21" s="330"/>
      <c r="AF21" s="330"/>
      <c r="AG21" s="330"/>
      <c r="AH21" s="330"/>
      <c r="AI21" s="330"/>
      <c r="AJ21" s="330"/>
      <c r="AK21" s="330"/>
      <c r="AL21" s="330"/>
      <c r="AM21" s="330"/>
      <c r="AN21" s="330"/>
      <c r="AO21" s="330"/>
      <c r="AP21" s="330"/>
      <c r="AQ21" s="331"/>
      <c r="AR21" s="330"/>
      <c r="AS21" s="330"/>
      <c r="AT21" s="330"/>
      <c r="AU21" s="330"/>
      <c r="AV21" s="330"/>
      <c r="AW21" s="330"/>
      <c r="AX21" s="330"/>
      <c r="AY21" s="330"/>
      <c r="AZ21" s="332"/>
    </row>
    <row r="22" spans="1:52" x14ac:dyDescent="0.2">
      <c r="A22" s="329"/>
      <c r="B22" s="330"/>
      <c r="C22" s="330"/>
      <c r="D22" s="330"/>
      <c r="E22" s="330"/>
      <c r="F22" s="330"/>
      <c r="G22" s="330"/>
      <c r="H22" s="330"/>
      <c r="I22" s="330"/>
      <c r="J22" s="330"/>
      <c r="K22" s="330"/>
      <c r="L22" s="330"/>
      <c r="M22" s="330"/>
      <c r="N22" s="330"/>
      <c r="O22" s="330"/>
      <c r="P22" s="330"/>
      <c r="Q22" s="330"/>
      <c r="R22" s="330"/>
      <c r="S22" s="330"/>
      <c r="T22" s="330"/>
      <c r="U22" s="330"/>
      <c r="V22" s="330"/>
      <c r="W22" s="330"/>
      <c r="X22" s="330"/>
      <c r="Y22" s="330"/>
      <c r="Z22" s="330"/>
      <c r="AA22" s="330"/>
      <c r="AB22" s="330"/>
      <c r="AC22" s="330"/>
      <c r="AD22" s="330"/>
      <c r="AE22" s="330"/>
      <c r="AF22" s="330"/>
      <c r="AG22" s="330"/>
      <c r="AH22" s="330"/>
      <c r="AI22" s="330"/>
      <c r="AJ22" s="330"/>
      <c r="AK22" s="330"/>
      <c r="AL22" s="330"/>
      <c r="AM22" s="330"/>
      <c r="AN22" s="330"/>
      <c r="AO22" s="330"/>
      <c r="AP22" s="330"/>
      <c r="AQ22" s="331"/>
      <c r="AR22" s="330"/>
      <c r="AS22" s="330"/>
      <c r="AT22" s="330"/>
      <c r="AU22" s="330"/>
      <c r="AV22" s="330"/>
      <c r="AW22" s="330"/>
      <c r="AX22" s="330"/>
      <c r="AY22" s="330"/>
      <c r="AZ22" s="332"/>
    </row>
    <row r="23" spans="1:52" x14ac:dyDescent="0.2">
      <c r="A23" s="329"/>
      <c r="B23" s="330"/>
      <c r="C23" s="330"/>
      <c r="D23" s="330"/>
      <c r="E23" s="330"/>
      <c r="F23" s="330"/>
      <c r="G23" s="330"/>
      <c r="H23" s="330"/>
      <c r="I23" s="330"/>
      <c r="J23" s="330"/>
      <c r="K23" s="330"/>
      <c r="L23" s="330"/>
      <c r="M23" s="330"/>
      <c r="N23" s="330"/>
      <c r="O23" s="330"/>
      <c r="P23" s="330"/>
      <c r="Q23" s="330"/>
      <c r="R23" s="330"/>
      <c r="S23" s="330"/>
      <c r="T23" s="330"/>
      <c r="U23" s="330"/>
      <c r="V23" s="330"/>
      <c r="W23" s="330"/>
      <c r="X23" s="330"/>
      <c r="Y23" s="330"/>
      <c r="Z23" s="330"/>
      <c r="AA23" s="330"/>
      <c r="AB23" s="330"/>
      <c r="AC23" s="330"/>
      <c r="AD23" s="330"/>
      <c r="AE23" s="330"/>
      <c r="AF23" s="330"/>
      <c r="AG23" s="330"/>
      <c r="AH23" s="330"/>
      <c r="AI23" s="330"/>
      <c r="AJ23" s="330"/>
      <c r="AK23" s="330"/>
      <c r="AL23" s="330"/>
      <c r="AM23" s="330"/>
      <c r="AN23" s="330"/>
      <c r="AO23" s="330"/>
      <c r="AP23" s="330"/>
      <c r="AQ23" s="331"/>
      <c r="AR23" s="330"/>
      <c r="AS23" s="330"/>
      <c r="AT23" s="330"/>
      <c r="AU23" s="330"/>
      <c r="AV23" s="330"/>
      <c r="AW23" s="330"/>
      <c r="AX23" s="330"/>
      <c r="AY23" s="330"/>
      <c r="AZ23" s="332"/>
    </row>
    <row r="24" spans="1:52" x14ac:dyDescent="0.2">
      <c r="A24" s="329"/>
      <c r="B24" s="357" t="s">
        <v>8</v>
      </c>
      <c r="C24" s="330"/>
      <c r="D24" s="330"/>
      <c r="E24" s="330"/>
      <c r="F24" s="330"/>
      <c r="G24" s="330"/>
      <c r="H24" s="330"/>
      <c r="I24" s="330"/>
      <c r="J24" s="330"/>
      <c r="K24" s="330"/>
      <c r="L24" s="330"/>
      <c r="M24" s="330"/>
      <c r="N24" s="330"/>
      <c r="O24" s="330"/>
      <c r="P24" s="330"/>
      <c r="Q24" s="330"/>
      <c r="R24" s="330"/>
      <c r="S24" s="330"/>
      <c r="T24" s="330"/>
      <c r="U24" s="330"/>
      <c r="V24" s="330"/>
      <c r="W24" s="330"/>
      <c r="X24" s="330"/>
      <c r="Y24" s="330"/>
      <c r="Z24" s="330"/>
      <c r="AA24" s="330"/>
      <c r="AB24" s="330"/>
      <c r="AC24" s="330"/>
      <c r="AD24" s="330"/>
      <c r="AE24" s="330"/>
      <c r="AF24" s="330"/>
      <c r="AG24" s="330"/>
      <c r="AH24" s="330"/>
      <c r="AI24" s="330"/>
      <c r="AJ24" s="330"/>
      <c r="AK24" s="330"/>
      <c r="AL24" s="330"/>
      <c r="AM24" s="330"/>
      <c r="AN24" s="330"/>
      <c r="AO24" s="330"/>
      <c r="AP24" s="330"/>
      <c r="AQ24" s="333"/>
      <c r="AR24" s="334"/>
      <c r="AS24" s="334"/>
      <c r="AT24" s="334"/>
      <c r="AU24" s="334"/>
      <c r="AV24" s="334"/>
      <c r="AW24" s="334"/>
      <c r="AX24" s="334"/>
      <c r="AY24" s="334"/>
      <c r="AZ24" s="335"/>
    </row>
    <row r="25" spans="1:52" x14ac:dyDescent="0.2">
      <c r="A25" s="329"/>
      <c r="B25" s="891">
        <f>'2. TOS'!M96</f>
        <v>0.2</v>
      </c>
      <c r="C25" s="330"/>
      <c r="D25" s="330"/>
      <c r="E25" s="330"/>
      <c r="F25" s="330"/>
      <c r="G25" s="330"/>
      <c r="H25" s="330"/>
      <c r="I25" s="330"/>
      <c r="J25" s="330"/>
      <c r="K25" s="330"/>
      <c r="L25" s="330"/>
      <c r="M25" s="330"/>
      <c r="N25" s="330"/>
      <c r="O25" s="330"/>
      <c r="P25" s="330"/>
      <c r="Q25" s="330"/>
      <c r="R25" s="330"/>
      <c r="S25" s="330"/>
      <c r="T25" s="330"/>
      <c r="U25" s="330"/>
      <c r="V25" s="330"/>
      <c r="W25" s="330"/>
      <c r="X25" s="330"/>
      <c r="Y25" s="330"/>
      <c r="Z25" s="330"/>
      <c r="AA25" s="330"/>
      <c r="AB25" s="330"/>
      <c r="AC25" s="330"/>
      <c r="AD25" s="330"/>
      <c r="AE25" s="330"/>
      <c r="AF25" s="330"/>
      <c r="AG25" s="330"/>
      <c r="AH25" s="330"/>
      <c r="AI25" s="330"/>
      <c r="AJ25" s="330"/>
      <c r="AK25" s="330"/>
      <c r="AL25" s="330"/>
      <c r="AM25" s="330"/>
      <c r="AN25" s="330"/>
      <c r="AO25" s="330"/>
      <c r="AP25" s="330"/>
      <c r="AQ25" s="914" t="str">
        <f>'4. Rekap'!H95</f>
        <v>UJANG RAHMAT HIDAYAT</v>
      </c>
      <c r="AR25" s="915"/>
      <c r="AS25" s="915"/>
      <c r="AT25" s="915"/>
      <c r="AU25" s="915"/>
      <c r="AV25" s="915"/>
      <c r="AW25" s="915"/>
      <c r="AX25" s="915"/>
      <c r="AY25" s="915"/>
      <c r="AZ25" s="916"/>
    </row>
    <row r="26" spans="1:52" x14ac:dyDescent="0.2">
      <c r="A26" s="329"/>
      <c r="B26" s="891"/>
      <c r="C26" s="330"/>
      <c r="D26" s="330"/>
      <c r="E26" s="330"/>
      <c r="F26" s="330"/>
      <c r="G26" s="330"/>
      <c r="H26" s="330"/>
      <c r="I26" s="330"/>
      <c r="J26" s="330"/>
      <c r="K26" s="330"/>
      <c r="L26" s="330"/>
      <c r="M26" s="330"/>
      <c r="N26" s="330"/>
      <c r="O26" s="330"/>
      <c r="P26" s="330"/>
      <c r="Q26" s="330"/>
      <c r="R26" s="330"/>
      <c r="S26" s="330"/>
      <c r="T26" s="330"/>
      <c r="U26" s="330"/>
      <c r="V26" s="330"/>
      <c r="W26" s="330"/>
      <c r="X26" s="330"/>
      <c r="Y26" s="330"/>
      <c r="Z26" s="330"/>
      <c r="AA26" s="330"/>
      <c r="AB26" s="330"/>
      <c r="AC26" s="330"/>
      <c r="AD26" s="330"/>
      <c r="AE26" s="330"/>
      <c r="AF26" s="330"/>
      <c r="AG26" s="330"/>
      <c r="AH26" s="330"/>
      <c r="AI26" s="330"/>
      <c r="AJ26" s="330"/>
      <c r="AK26" s="330"/>
      <c r="AL26" s="330"/>
      <c r="AM26" s="330"/>
      <c r="AN26" s="330"/>
      <c r="AO26" s="330"/>
      <c r="AP26" s="330"/>
      <c r="AQ26" s="909" t="s">
        <v>141</v>
      </c>
      <c r="AR26" s="889"/>
      <c r="AS26" s="889"/>
      <c r="AT26" s="889"/>
      <c r="AU26" s="889"/>
      <c r="AV26" s="889"/>
      <c r="AW26" s="889"/>
      <c r="AX26" s="889"/>
      <c r="AY26" s="889"/>
      <c r="AZ26" s="910"/>
    </row>
    <row r="27" spans="1:52" x14ac:dyDescent="0.2">
      <c r="A27" s="329"/>
      <c r="B27" s="357"/>
      <c r="C27" s="330"/>
      <c r="D27" s="330"/>
      <c r="E27" s="330"/>
      <c r="F27" s="330"/>
      <c r="G27" s="330"/>
      <c r="H27" s="330"/>
      <c r="I27" s="330"/>
      <c r="J27" s="330"/>
      <c r="K27" s="330"/>
      <c r="L27" s="330"/>
      <c r="M27" s="330"/>
      <c r="N27" s="330"/>
      <c r="O27" s="330"/>
      <c r="P27" s="330"/>
      <c r="Q27" s="330"/>
      <c r="R27" s="330"/>
      <c r="S27" s="330"/>
      <c r="T27" s="330"/>
      <c r="U27" s="330"/>
      <c r="V27" s="330"/>
      <c r="W27" s="330"/>
      <c r="X27" s="330"/>
      <c r="Y27" s="330"/>
      <c r="Z27" s="330"/>
      <c r="AA27" s="330"/>
      <c r="AB27" s="330"/>
      <c r="AC27" s="330"/>
      <c r="AD27" s="330"/>
      <c r="AE27" s="330"/>
      <c r="AF27" s="330"/>
      <c r="AG27" s="330"/>
      <c r="AH27" s="330"/>
      <c r="AI27" s="330"/>
      <c r="AJ27" s="330"/>
      <c r="AK27" s="330"/>
      <c r="AL27" s="330"/>
      <c r="AM27" s="330"/>
      <c r="AN27" s="330"/>
      <c r="AO27" s="330"/>
      <c r="AP27" s="330"/>
      <c r="AQ27" s="909" t="s">
        <v>145</v>
      </c>
      <c r="AR27" s="889"/>
      <c r="AS27" s="889"/>
      <c r="AT27" s="889"/>
      <c r="AU27" s="889"/>
      <c r="AV27" s="889"/>
      <c r="AW27" s="889"/>
      <c r="AX27" s="889"/>
      <c r="AY27" s="889"/>
      <c r="AZ27" s="910"/>
    </row>
    <row r="28" spans="1:52" x14ac:dyDescent="0.2">
      <c r="A28" s="329"/>
      <c r="B28" s="358" t="s">
        <v>8</v>
      </c>
      <c r="C28" s="330"/>
      <c r="D28" s="330"/>
      <c r="E28" s="330"/>
      <c r="F28" s="330"/>
      <c r="G28" s="330"/>
      <c r="H28" s="330"/>
      <c r="I28" s="330"/>
      <c r="J28" s="330"/>
      <c r="K28" s="330"/>
      <c r="L28" s="330"/>
      <c r="M28" s="330"/>
      <c r="N28" s="330"/>
      <c r="O28" s="330"/>
      <c r="P28" s="330"/>
      <c r="Q28" s="330"/>
      <c r="R28" s="330"/>
      <c r="S28" s="330"/>
      <c r="T28" s="330"/>
      <c r="U28" s="330"/>
      <c r="V28" s="330"/>
      <c r="W28" s="330"/>
      <c r="X28" s="330"/>
      <c r="Y28" s="330"/>
      <c r="Z28" s="330"/>
      <c r="AA28" s="330"/>
      <c r="AB28" s="330"/>
      <c r="AC28" s="330"/>
      <c r="AD28" s="330"/>
      <c r="AE28" s="330"/>
      <c r="AF28" s="330"/>
      <c r="AG28" s="330"/>
      <c r="AH28" s="330"/>
      <c r="AI28" s="330"/>
      <c r="AJ28" s="330"/>
      <c r="AK28" s="330"/>
      <c r="AL28" s="330"/>
      <c r="AM28" s="330"/>
      <c r="AN28" s="330"/>
      <c r="AO28" s="330"/>
      <c r="AP28" s="330"/>
      <c r="AQ28" s="331"/>
      <c r="AR28" s="330"/>
      <c r="AS28" s="330"/>
      <c r="AT28" s="330"/>
      <c r="AU28" s="330"/>
      <c r="AV28" s="330"/>
      <c r="AW28" s="330"/>
      <c r="AX28" s="330"/>
      <c r="AY28" s="330"/>
      <c r="AZ28" s="332"/>
    </row>
    <row r="29" spans="1:52" x14ac:dyDescent="0.2">
      <c r="A29" s="329"/>
      <c r="B29" s="892">
        <f>R5</f>
        <v>3.3</v>
      </c>
      <c r="C29" s="330"/>
      <c r="D29" s="330"/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0"/>
      <c r="AC29" s="330"/>
      <c r="AD29" s="330"/>
      <c r="AE29" s="330"/>
      <c r="AF29" s="330"/>
      <c r="AG29" s="330"/>
      <c r="AH29" s="330"/>
      <c r="AI29" s="330"/>
      <c r="AJ29" s="330"/>
      <c r="AK29" s="330"/>
      <c r="AL29" s="330"/>
      <c r="AM29" s="330"/>
      <c r="AN29" s="330"/>
      <c r="AO29" s="330"/>
      <c r="AP29" s="330"/>
      <c r="AQ29" s="331"/>
      <c r="AR29" s="330"/>
      <c r="AS29" s="330"/>
      <c r="AT29" s="330"/>
      <c r="AU29" s="330"/>
      <c r="AV29" s="330"/>
      <c r="AW29" s="330"/>
      <c r="AX29" s="330"/>
      <c r="AY29" s="330"/>
      <c r="AZ29" s="332"/>
    </row>
    <row r="30" spans="1:52" x14ac:dyDescent="0.2">
      <c r="A30" s="329"/>
      <c r="B30" s="892"/>
      <c r="C30" s="330"/>
      <c r="D30" s="330"/>
      <c r="E30" s="330"/>
      <c r="F30" s="330"/>
      <c r="G30" s="330"/>
      <c r="H30" s="330"/>
      <c r="I30" s="330"/>
      <c r="J30" s="330"/>
      <c r="K30" s="330"/>
      <c r="L30" s="330"/>
      <c r="M30" s="330"/>
      <c r="N30" s="330"/>
      <c r="O30" s="330"/>
      <c r="P30" s="330"/>
      <c r="Q30" s="330"/>
      <c r="R30" s="330"/>
      <c r="S30" s="330"/>
      <c r="T30" s="330"/>
      <c r="U30" s="330"/>
      <c r="V30" s="330"/>
      <c r="W30" s="330"/>
      <c r="X30" s="330"/>
      <c r="Y30" s="330"/>
      <c r="Z30" s="330"/>
      <c r="AA30" s="330"/>
      <c r="AB30" s="330"/>
      <c r="AC30" s="330"/>
      <c r="AD30" s="330"/>
      <c r="AE30" s="330"/>
      <c r="AF30" s="330"/>
      <c r="AG30" s="330"/>
      <c r="AH30" s="330"/>
      <c r="AI30" s="330"/>
      <c r="AJ30" s="330"/>
      <c r="AK30" s="330"/>
      <c r="AL30" s="330"/>
      <c r="AM30" s="330"/>
      <c r="AN30" s="330"/>
      <c r="AO30" s="330"/>
      <c r="AP30" s="330"/>
      <c r="AQ30" s="331"/>
      <c r="AR30" s="330"/>
      <c r="AS30" s="330"/>
      <c r="AT30" s="330"/>
      <c r="AU30" s="330"/>
      <c r="AV30" s="330"/>
      <c r="AW30" s="330"/>
      <c r="AX30" s="330"/>
      <c r="AY30" s="330"/>
      <c r="AZ30" s="332"/>
    </row>
    <row r="31" spans="1:52" x14ac:dyDescent="0.2">
      <c r="A31" s="329"/>
      <c r="B31" s="330"/>
      <c r="C31" s="330"/>
      <c r="D31" s="330"/>
      <c r="E31" s="330"/>
      <c r="F31" s="330"/>
      <c r="G31" s="330"/>
      <c r="H31" s="330"/>
      <c r="I31" s="330"/>
      <c r="J31" s="330"/>
      <c r="K31" s="330"/>
      <c r="L31" s="330"/>
      <c r="M31" s="330"/>
      <c r="N31" s="330"/>
      <c r="O31" s="330"/>
      <c r="P31" s="330"/>
      <c r="Q31" s="330"/>
      <c r="R31" s="330"/>
      <c r="S31" s="330"/>
      <c r="T31" s="330"/>
      <c r="U31" s="330"/>
      <c r="V31" s="330"/>
      <c r="W31" s="330"/>
      <c r="X31" s="330"/>
      <c r="Y31" s="330"/>
      <c r="Z31" s="330"/>
      <c r="AA31" s="330"/>
      <c r="AB31" s="330"/>
      <c r="AC31" s="330"/>
      <c r="AD31" s="330"/>
      <c r="AE31" s="330"/>
      <c r="AF31" s="330"/>
      <c r="AG31" s="330"/>
      <c r="AH31" s="330"/>
      <c r="AI31" s="330"/>
      <c r="AJ31" s="330"/>
      <c r="AK31" s="330"/>
      <c r="AL31" s="330"/>
      <c r="AM31" s="330"/>
      <c r="AN31" s="330"/>
      <c r="AO31" s="330"/>
      <c r="AP31" s="330"/>
      <c r="AQ31" s="336"/>
      <c r="AR31" s="337"/>
      <c r="AS31" s="337"/>
      <c r="AT31" s="337"/>
      <c r="AU31" s="337"/>
      <c r="AV31" s="337"/>
      <c r="AW31" s="337"/>
      <c r="AX31" s="337"/>
      <c r="AY31" s="337"/>
      <c r="AZ31" s="338"/>
    </row>
    <row r="32" spans="1:52" x14ac:dyDescent="0.2">
      <c r="A32" s="329"/>
      <c r="B32" s="330"/>
      <c r="C32" s="330"/>
      <c r="D32" s="330"/>
      <c r="E32" s="330"/>
      <c r="F32" s="330"/>
      <c r="G32" s="330"/>
      <c r="H32" s="330"/>
      <c r="I32" s="330"/>
      <c r="J32" s="330"/>
      <c r="K32" s="330"/>
      <c r="L32" s="330"/>
      <c r="M32" s="330"/>
      <c r="N32" s="330"/>
      <c r="O32" s="330"/>
      <c r="P32" s="330"/>
      <c r="Q32" s="330"/>
      <c r="R32" s="330"/>
      <c r="S32" s="330"/>
      <c r="T32" s="330"/>
      <c r="U32" s="330"/>
      <c r="V32" s="330"/>
      <c r="W32" s="330"/>
      <c r="X32" s="330"/>
      <c r="Y32" s="330"/>
      <c r="Z32" s="330"/>
      <c r="AA32" s="330"/>
      <c r="AB32" s="330"/>
      <c r="AC32" s="330"/>
      <c r="AD32" s="330"/>
      <c r="AE32" s="330"/>
      <c r="AF32" s="330"/>
      <c r="AG32" s="330"/>
      <c r="AH32" s="330"/>
      <c r="AI32" s="330"/>
      <c r="AJ32" s="330"/>
      <c r="AK32" s="330"/>
      <c r="AL32" s="330"/>
      <c r="AM32" s="330"/>
      <c r="AN32" s="330"/>
      <c r="AO32" s="330"/>
      <c r="AP32" s="330"/>
      <c r="AQ32" s="914" t="str">
        <f>'7. RAB'!F51</f>
        <v>SUPARNO</v>
      </c>
      <c r="AR32" s="915"/>
      <c r="AS32" s="915"/>
      <c r="AT32" s="915"/>
      <c r="AU32" s="915"/>
      <c r="AV32" s="915"/>
      <c r="AW32" s="915"/>
      <c r="AX32" s="915"/>
      <c r="AY32" s="915"/>
      <c r="AZ32" s="916"/>
    </row>
    <row r="33" spans="1:52" x14ac:dyDescent="0.2">
      <c r="A33" s="329"/>
      <c r="B33" s="330"/>
      <c r="C33" s="330"/>
      <c r="D33" s="330"/>
      <c r="E33" s="330"/>
      <c r="F33" s="330"/>
      <c r="G33" s="330"/>
      <c r="H33" s="330"/>
      <c r="I33" s="330"/>
      <c r="J33" s="330"/>
      <c r="K33" s="330"/>
      <c r="L33" s="330"/>
      <c r="M33" s="330"/>
      <c r="N33" s="330"/>
      <c r="O33" s="330"/>
      <c r="P33" s="330"/>
      <c r="Q33" s="330"/>
      <c r="R33" s="330"/>
      <c r="S33" s="330"/>
      <c r="T33" s="330"/>
      <c r="U33" s="330"/>
      <c r="V33" s="330"/>
      <c r="W33" s="330"/>
      <c r="X33" s="330"/>
      <c r="Y33" s="330"/>
      <c r="Z33" s="330"/>
      <c r="AA33" s="330"/>
      <c r="AB33" s="330"/>
      <c r="AC33" s="330"/>
      <c r="AD33" s="330"/>
      <c r="AE33" s="330"/>
      <c r="AF33" s="330"/>
      <c r="AG33" s="330"/>
      <c r="AH33" s="330"/>
      <c r="AI33" s="330"/>
      <c r="AJ33" s="330"/>
      <c r="AK33" s="330"/>
      <c r="AL33" s="330"/>
      <c r="AM33" s="330"/>
      <c r="AN33" s="330"/>
      <c r="AO33" s="330"/>
      <c r="AP33" s="330"/>
      <c r="AQ33" s="909" t="s">
        <v>142</v>
      </c>
      <c r="AR33" s="889"/>
      <c r="AS33" s="889"/>
      <c r="AT33" s="889"/>
      <c r="AU33" s="889"/>
      <c r="AV33" s="889"/>
      <c r="AW33" s="889"/>
      <c r="AX33" s="889"/>
      <c r="AY33" s="889"/>
      <c r="AZ33" s="910"/>
    </row>
    <row r="34" spans="1:52" x14ac:dyDescent="0.2">
      <c r="A34" s="329"/>
      <c r="B34" s="330"/>
      <c r="C34" s="330"/>
      <c r="D34" s="330"/>
      <c r="E34" s="330"/>
      <c r="F34" s="330"/>
      <c r="G34" s="330"/>
      <c r="H34" s="330"/>
      <c r="I34" s="330"/>
      <c r="J34" s="330"/>
      <c r="K34" s="330"/>
      <c r="L34" s="330"/>
      <c r="M34" s="330"/>
      <c r="N34" s="330"/>
      <c r="O34" s="330"/>
      <c r="P34" s="330"/>
      <c r="Q34" s="330"/>
      <c r="R34" s="330"/>
      <c r="S34" s="330"/>
      <c r="T34" s="330"/>
      <c r="U34" s="330"/>
      <c r="V34" s="330"/>
      <c r="W34" s="330"/>
      <c r="X34" s="330"/>
      <c r="Y34" s="330"/>
      <c r="Z34" s="330"/>
      <c r="AA34" s="330"/>
      <c r="AB34" s="330"/>
      <c r="AC34" s="330"/>
      <c r="AD34" s="330"/>
      <c r="AE34" s="330"/>
      <c r="AF34" s="330"/>
      <c r="AG34" s="330"/>
      <c r="AH34" s="330"/>
      <c r="AI34" s="330"/>
      <c r="AJ34" s="330"/>
      <c r="AK34" s="330"/>
      <c r="AL34" s="330"/>
      <c r="AM34" s="330"/>
      <c r="AN34" s="330"/>
      <c r="AO34" s="330"/>
      <c r="AP34" s="330"/>
      <c r="AQ34" s="909" t="str">
        <f>'7. RAB'!A46</f>
        <v>Kepala Desa Tanjung Mulya,</v>
      </c>
      <c r="AR34" s="889"/>
      <c r="AS34" s="889"/>
      <c r="AT34" s="889"/>
      <c r="AU34" s="889"/>
      <c r="AV34" s="889"/>
      <c r="AW34" s="889"/>
      <c r="AX34" s="889"/>
      <c r="AY34" s="889"/>
      <c r="AZ34" s="910"/>
    </row>
    <row r="35" spans="1:52" x14ac:dyDescent="0.2">
      <c r="A35" s="329"/>
      <c r="B35" s="330"/>
      <c r="C35" s="330"/>
      <c r="D35" s="33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330"/>
      <c r="S35" s="330"/>
      <c r="T35" s="330"/>
      <c r="U35" s="330"/>
      <c r="V35" s="330"/>
      <c r="W35" s="330"/>
      <c r="X35" s="330"/>
      <c r="Y35" s="330"/>
      <c r="Z35" s="330"/>
      <c r="AA35" s="330"/>
      <c r="AB35" s="330"/>
      <c r="AC35" s="330"/>
      <c r="AD35" s="330"/>
      <c r="AE35" s="330"/>
      <c r="AF35" s="330"/>
      <c r="AG35" s="330"/>
      <c r="AH35" s="330"/>
      <c r="AI35" s="330"/>
      <c r="AJ35" s="330"/>
      <c r="AK35" s="330"/>
      <c r="AL35" s="330"/>
      <c r="AM35" s="330"/>
      <c r="AN35" s="330"/>
      <c r="AO35" s="330"/>
      <c r="AP35" s="330"/>
      <c r="AQ35" s="331"/>
      <c r="AR35" s="330"/>
      <c r="AS35" s="330"/>
      <c r="AT35" s="330"/>
      <c r="AU35" s="330"/>
      <c r="AV35" s="330"/>
      <c r="AW35" s="330"/>
      <c r="AX35" s="330"/>
      <c r="AY35" s="330"/>
      <c r="AZ35" s="332"/>
    </row>
    <row r="36" spans="1:52" x14ac:dyDescent="0.2">
      <c r="A36" s="339"/>
      <c r="B36" s="340"/>
      <c r="C36" s="340"/>
      <c r="D36" s="340"/>
      <c r="E36" s="340"/>
      <c r="F36" s="340"/>
      <c r="G36" s="340"/>
      <c r="H36" s="340"/>
      <c r="I36" s="340"/>
      <c r="J36" s="340"/>
      <c r="K36" s="340"/>
      <c r="L36" s="340"/>
      <c r="M36" s="340"/>
      <c r="N36" s="340"/>
      <c r="O36" s="340"/>
      <c r="P36" s="340"/>
      <c r="Q36" s="340"/>
      <c r="R36" s="340"/>
      <c r="S36" s="340"/>
      <c r="T36" s="340"/>
      <c r="U36" s="340"/>
      <c r="V36" s="340"/>
      <c r="W36" s="340"/>
      <c r="X36" s="340"/>
      <c r="Y36" s="340"/>
      <c r="Z36" s="340"/>
      <c r="AA36" s="340"/>
      <c r="AB36" s="340"/>
      <c r="AC36" s="340"/>
      <c r="AD36" s="340"/>
      <c r="AE36" s="330"/>
      <c r="AF36" s="330"/>
      <c r="AG36" s="330"/>
      <c r="AH36" s="330"/>
      <c r="AI36" s="330"/>
      <c r="AJ36" s="330"/>
      <c r="AK36" s="330"/>
      <c r="AL36" s="330"/>
      <c r="AM36" s="330"/>
      <c r="AN36" s="330"/>
      <c r="AO36" s="330"/>
      <c r="AP36" s="330"/>
      <c r="AQ36" s="331"/>
      <c r="AR36" s="330"/>
      <c r="AS36" s="330"/>
      <c r="AT36" s="330"/>
      <c r="AU36" s="330"/>
      <c r="AV36" s="330"/>
      <c r="AW36" s="330"/>
      <c r="AX36" s="330"/>
      <c r="AY36" s="330"/>
      <c r="AZ36" s="332"/>
    </row>
    <row r="37" spans="1:52" x14ac:dyDescent="0.2">
      <c r="A37" s="329"/>
      <c r="B37" s="330"/>
      <c r="C37" s="330"/>
      <c r="D37" s="330"/>
      <c r="E37" s="330"/>
      <c r="F37" s="330"/>
      <c r="G37" s="330"/>
      <c r="H37" s="330"/>
      <c r="I37" s="330"/>
      <c r="J37" s="330"/>
      <c r="K37" s="330"/>
      <c r="L37" s="330"/>
      <c r="M37" s="330"/>
      <c r="N37" s="330"/>
      <c r="O37" s="330"/>
      <c r="P37" s="330"/>
      <c r="Q37" s="330"/>
      <c r="R37" s="330"/>
      <c r="S37" s="330"/>
      <c r="T37" s="330"/>
      <c r="U37" s="330"/>
      <c r="V37" s="330"/>
      <c r="W37" s="330"/>
      <c r="X37" s="330"/>
      <c r="Y37" s="330"/>
      <c r="Z37" s="330"/>
      <c r="AA37" s="330"/>
      <c r="AB37" s="330"/>
      <c r="AC37" s="330"/>
      <c r="AD37" s="330"/>
      <c r="AE37" s="330"/>
      <c r="AF37" s="330"/>
      <c r="AG37" s="330"/>
      <c r="AH37" s="330"/>
      <c r="AI37" s="330"/>
      <c r="AJ37" s="330"/>
      <c r="AK37" s="330"/>
      <c r="AL37" s="330"/>
      <c r="AM37" s="330"/>
      <c r="AN37" s="330"/>
      <c r="AO37" s="330"/>
      <c r="AP37" s="330"/>
      <c r="AQ37" s="331"/>
      <c r="AR37" s="330"/>
      <c r="AS37" s="330"/>
      <c r="AT37" s="330"/>
      <c r="AU37" s="330"/>
      <c r="AV37" s="330"/>
      <c r="AW37" s="330"/>
      <c r="AX37" s="330"/>
      <c r="AY37" s="330"/>
      <c r="AZ37" s="332"/>
    </row>
    <row r="38" spans="1:52" x14ac:dyDescent="0.2">
      <c r="A38" s="329"/>
      <c r="B38" s="330"/>
      <c r="C38" s="330"/>
      <c r="D38" s="330"/>
      <c r="E38" s="896">
        <f>'2. TOS'!N97</f>
        <v>0</v>
      </c>
      <c r="F38" s="889"/>
      <c r="G38" s="330" t="s">
        <v>8</v>
      </c>
      <c r="H38" s="330"/>
      <c r="I38" s="330"/>
      <c r="J38" s="330"/>
      <c r="K38" s="330"/>
      <c r="L38" s="330"/>
      <c r="M38" s="330"/>
      <c r="N38" s="330"/>
      <c r="O38" s="330"/>
      <c r="P38" s="330"/>
      <c r="Q38" s="330"/>
      <c r="R38" s="330"/>
      <c r="S38" s="330"/>
      <c r="T38" s="330"/>
      <c r="U38" s="330"/>
      <c r="V38" s="330"/>
      <c r="W38" s="330"/>
      <c r="X38" s="330"/>
      <c r="Y38" s="330"/>
      <c r="Z38" s="330"/>
      <c r="AA38" s="330"/>
      <c r="AB38" s="330"/>
      <c r="AC38" s="330"/>
      <c r="AD38" s="330"/>
      <c r="AE38" s="330"/>
      <c r="AF38" s="330"/>
      <c r="AG38" s="330"/>
      <c r="AH38" s="330"/>
      <c r="AI38" s="330"/>
      <c r="AJ38" s="330"/>
      <c r="AK38" s="330"/>
      <c r="AL38" s="330"/>
      <c r="AM38" s="330"/>
      <c r="AN38" s="330"/>
      <c r="AO38" s="330"/>
      <c r="AP38" s="330"/>
      <c r="AQ38" s="331"/>
      <c r="AR38" s="330"/>
      <c r="AS38" s="330"/>
      <c r="AT38" s="330"/>
      <c r="AU38" s="330"/>
      <c r="AV38" s="330"/>
      <c r="AW38" s="330"/>
      <c r="AX38" s="330"/>
      <c r="AY38" s="330"/>
      <c r="AZ38" s="332"/>
    </row>
    <row r="39" spans="1:52" x14ac:dyDescent="0.2">
      <c r="A39" s="329"/>
      <c r="B39" s="330"/>
      <c r="C39" s="330"/>
      <c r="D39" s="330"/>
      <c r="E39" s="330"/>
      <c r="F39" s="330"/>
      <c r="G39" s="330"/>
      <c r="H39" s="330"/>
      <c r="I39" s="330"/>
      <c r="J39" s="330"/>
      <c r="K39" s="330"/>
      <c r="L39" s="330"/>
      <c r="M39" s="330"/>
      <c r="N39" s="330"/>
      <c r="O39" s="330"/>
      <c r="P39" s="330"/>
      <c r="Q39" s="330"/>
      <c r="R39" s="330"/>
      <c r="S39" s="330"/>
      <c r="T39" s="330"/>
      <c r="U39" s="330"/>
      <c r="V39" s="330"/>
      <c r="W39" s="330"/>
      <c r="X39" s="330"/>
      <c r="Y39" s="330"/>
      <c r="Z39" s="330"/>
      <c r="AA39" s="330"/>
      <c r="AB39" s="330"/>
      <c r="AC39" s="330"/>
      <c r="AD39" s="330"/>
      <c r="AE39" s="330"/>
      <c r="AF39" s="330"/>
      <c r="AG39" s="330"/>
      <c r="AH39" s="330"/>
      <c r="AI39" s="330"/>
      <c r="AJ39" s="330"/>
      <c r="AK39" s="330"/>
      <c r="AL39" s="330"/>
      <c r="AM39" s="330"/>
      <c r="AN39" s="330"/>
      <c r="AO39" s="330"/>
      <c r="AP39" s="330"/>
      <c r="AQ39" s="917" t="str">
        <f>'7. RAB'!A51</f>
        <v>TIRTO  NADI</v>
      </c>
      <c r="AR39" s="918"/>
      <c r="AS39" s="918"/>
      <c r="AT39" s="918"/>
      <c r="AU39" s="918"/>
      <c r="AV39" s="918"/>
      <c r="AW39" s="918"/>
      <c r="AX39" s="918"/>
      <c r="AY39" s="918"/>
      <c r="AZ39" s="919"/>
    </row>
    <row r="40" spans="1:52" x14ac:dyDescent="0.2">
      <c r="A40" s="329"/>
      <c r="B40" s="330"/>
      <c r="C40" s="330"/>
      <c r="D40" s="330"/>
      <c r="E40" s="330"/>
      <c r="F40" s="330"/>
      <c r="G40" s="330"/>
      <c r="H40" s="330"/>
      <c r="I40" s="330"/>
      <c r="J40" s="330"/>
      <c r="K40" s="330"/>
      <c r="L40" s="330"/>
      <c r="M40" s="330"/>
      <c r="N40" s="330"/>
      <c r="O40" s="330"/>
      <c r="P40" s="330"/>
      <c r="Q40" s="330"/>
      <c r="R40" s="330"/>
      <c r="S40" s="330"/>
      <c r="T40" s="330"/>
      <c r="U40" s="330"/>
      <c r="V40" s="330"/>
      <c r="W40" s="330"/>
      <c r="X40" s="330"/>
      <c r="Y40" s="330"/>
      <c r="Z40" s="330"/>
      <c r="AA40" s="330"/>
      <c r="AB40" s="330"/>
      <c r="AC40" s="330"/>
      <c r="AD40" s="330"/>
      <c r="AE40" s="330"/>
      <c r="AF40" s="330"/>
      <c r="AG40" s="330"/>
      <c r="AH40" s="330"/>
      <c r="AI40" s="330"/>
      <c r="AJ40" s="330"/>
      <c r="AK40" s="330"/>
      <c r="AL40" s="330"/>
      <c r="AM40" s="330"/>
      <c r="AN40" s="330"/>
      <c r="AO40" s="330"/>
      <c r="AP40" s="330"/>
      <c r="AQ40" s="909"/>
      <c r="AR40" s="889"/>
      <c r="AS40" s="889"/>
      <c r="AT40" s="889"/>
      <c r="AU40" s="889"/>
      <c r="AV40" s="889"/>
      <c r="AW40" s="889"/>
      <c r="AX40" s="889"/>
      <c r="AY40" s="889"/>
      <c r="AZ40" s="910"/>
    </row>
    <row r="41" spans="1:52" x14ac:dyDescent="0.2">
      <c r="A41" s="329"/>
      <c r="B41" s="330"/>
      <c r="C41" s="330"/>
      <c r="D41" s="330"/>
      <c r="E41" s="330"/>
      <c r="F41" s="330"/>
      <c r="G41" s="330"/>
      <c r="H41" s="330"/>
      <c r="I41" s="330"/>
      <c r="J41" s="330"/>
      <c r="K41" s="330"/>
      <c r="L41" s="330"/>
      <c r="M41" s="330"/>
      <c r="N41" s="330"/>
      <c r="O41" s="330"/>
      <c r="P41" s="330"/>
      <c r="Q41" s="330"/>
      <c r="R41" s="330"/>
      <c r="S41" s="330"/>
      <c r="T41" s="330"/>
      <c r="U41" s="330"/>
      <c r="V41" s="330"/>
      <c r="W41" s="330"/>
      <c r="X41" s="330"/>
      <c r="Y41" s="330"/>
      <c r="Z41" s="330"/>
      <c r="AA41" s="330"/>
      <c r="AB41" s="330"/>
      <c r="AC41" s="330"/>
      <c r="AD41" s="330"/>
      <c r="AE41" s="330"/>
      <c r="AF41" s="330"/>
      <c r="AG41" s="330"/>
      <c r="AH41" s="330"/>
      <c r="AI41" s="330"/>
      <c r="AJ41" s="330"/>
      <c r="AK41" s="330"/>
      <c r="AL41" s="330"/>
      <c r="AM41" s="330"/>
      <c r="AN41" s="330"/>
      <c r="AO41" s="330"/>
      <c r="AP41" s="330"/>
      <c r="AQ41" s="920" t="s">
        <v>143</v>
      </c>
      <c r="AR41" s="921"/>
      <c r="AS41" s="921"/>
      <c r="AT41" s="921"/>
      <c r="AU41" s="921"/>
      <c r="AV41" s="921"/>
      <c r="AW41" s="921"/>
      <c r="AX41" s="921"/>
      <c r="AY41" s="921"/>
      <c r="AZ41" s="922"/>
    </row>
    <row r="42" spans="1:52" ht="13.5" thickBot="1" x14ac:dyDescent="0.25">
      <c r="A42" s="341"/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342"/>
      <c r="T42" s="342"/>
      <c r="U42" s="342"/>
      <c r="V42" s="342"/>
      <c r="W42" s="342"/>
      <c r="X42" s="342"/>
      <c r="Y42" s="342"/>
      <c r="Z42" s="342"/>
      <c r="AA42" s="342"/>
      <c r="AB42" s="342"/>
      <c r="AC42" s="342"/>
      <c r="AD42" s="342"/>
      <c r="AE42" s="342"/>
      <c r="AF42" s="342"/>
      <c r="AG42" s="342"/>
      <c r="AH42" s="342"/>
      <c r="AI42" s="342"/>
      <c r="AJ42" s="342"/>
      <c r="AK42" s="342"/>
      <c r="AL42" s="342"/>
      <c r="AM42" s="342"/>
      <c r="AN42" s="342"/>
      <c r="AO42" s="342"/>
      <c r="AP42" s="342"/>
      <c r="AQ42" s="923"/>
      <c r="AR42" s="924"/>
      <c r="AS42" s="924"/>
      <c r="AT42" s="924"/>
      <c r="AU42" s="924"/>
      <c r="AV42" s="924"/>
      <c r="AW42" s="924"/>
      <c r="AX42" s="924"/>
      <c r="AY42" s="924"/>
      <c r="AZ42" s="925"/>
    </row>
    <row r="44" spans="1:52" ht="13.5" thickBot="1" x14ac:dyDescent="0.25"/>
    <row r="45" spans="1:52" x14ac:dyDescent="0.2">
      <c r="A45" s="325"/>
      <c r="B45" s="326"/>
      <c r="C45" s="326"/>
      <c r="D45" s="326"/>
      <c r="E45" s="326"/>
      <c r="F45" s="326"/>
      <c r="G45" s="326"/>
      <c r="H45" s="326"/>
      <c r="I45" s="326"/>
      <c r="J45" s="326"/>
      <c r="K45" s="326"/>
      <c r="L45" s="326"/>
      <c r="M45" s="326"/>
      <c r="N45" s="326"/>
      <c r="O45" s="326"/>
      <c r="P45" s="326"/>
      <c r="Q45" s="326"/>
      <c r="R45" s="326"/>
      <c r="S45" s="326"/>
      <c r="T45" s="326"/>
      <c r="U45" s="326"/>
      <c r="V45" s="326"/>
      <c r="W45" s="326"/>
      <c r="X45" s="326"/>
      <c r="Y45" s="326"/>
      <c r="Z45" s="326"/>
      <c r="AA45" s="326"/>
      <c r="AB45" s="326"/>
      <c r="AC45" s="326"/>
      <c r="AD45" s="326"/>
      <c r="AE45" s="326"/>
      <c r="AF45" s="326"/>
      <c r="AG45" s="326"/>
      <c r="AH45" s="326"/>
      <c r="AI45" s="326"/>
      <c r="AJ45" s="326"/>
      <c r="AK45" s="326"/>
      <c r="AL45" s="326"/>
      <c r="AM45" s="326"/>
      <c r="AN45" s="326"/>
      <c r="AO45" s="326"/>
      <c r="AP45" s="326"/>
      <c r="AQ45" s="327"/>
      <c r="AR45" s="326"/>
      <c r="AS45" s="326"/>
      <c r="AT45" s="326"/>
      <c r="AU45" s="326"/>
      <c r="AV45" s="326"/>
      <c r="AW45" s="326"/>
      <c r="AX45" s="326"/>
      <c r="AY45" s="326"/>
      <c r="AZ45" s="328"/>
    </row>
    <row r="46" spans="1:52" x14ac:dyDescent="0.2">
      <c r="A46" s="329"/>
      <c r="B46" s="330"/>
      <c r="C46" s="330"/>
      <c r="D46" s="330"/>
      <c r="E46" s="330"/>
      <c r="F46" s="330"/>
      <c r="G46" s="330"/>
      <c r="H46" s="330"/>
      <c r="I46" s="330"/>
      <c r="J46" s="330"/>
      <c r="K46" s="330"/>
      <c r="L46" s="330"/>
      <c r="M46" s="330"/>
      <c r="N46" s="330"/>
      <c r="O46" s="330"/>
      <c r="P46" s="330"/>
      <c r="Q46" s="330"/>
      <c r="R46" s="330"/>
      <c r="S46" s="330"/>
      <c r="T46" s="330"/>
      <c r="U46" s="330"/>
      <c r="V46" s="330"/>
      <c r="W46" s="330"/>
      <c r="X46" s="330"/>
      <c r="Y46" s="330"/>
      <c r="Z46" s="330"/>
      <c r="AA46" s="330"/>
      <c r="AB46" s="330"/>
      <c r="AC46" s="330"/>
      <c r="AD46" s="330"/>
      <c r="AE46" s="330"/>
      <c r="AF46" s="330"/>
      <c r="AG46" s="330"/>
      <c r="AH46" s="330"/>
      <c r="AI46" s="330"/>
      <c r="AJ46" s="330"/>
      <c r="AK46" s="330"/>
      <c r="AL46" s="330"/>
      <c r="AM46" s="330"/>
      <c r="AN46" s="330"/>
      <c r="AO46" s="330"/>
      <c r="AP46" s="330"/>
      <c r="AQ46" s="331"/>
      <c r="AR46" s="330"/>
      <c r="AS46" s="330"/>
      <c r="AT46" s="330"/>
      <c r="AU46" s="330"/>
      <c r="AV46" s="330"/>
      <c r="AW46" s="330"/>
      <c r="AX46" s="330"/>
      <c r="AY46" s="330"/>
      <c r="AZ46" s="332"/>
    </row>
    <row r="47" spans="1:52" x14ac:dyDescent="0.2">
      <c r="A47" s="329"/>
      <c r="B47" s="330"/>
      <c r="C47" s="330"/>
      <c r="D47" s="330"/>
      <c r="E47" s="330"/>
      <c r="F47" s="330"/>
      <c r="G47" s="330"/>
      <c r="H47" s="330"/>
      <c r="I47" s="330"/>
      <c r="J47" s="330"/>
      <c r="K47" s="330"/>
      <c r="L47" s="330"/>
      <c r="M47" s="330"/>
      <c r="N47" s="330"/>
      <c r="O47" s="330"/>
      <c r="P47" s="330"/>
      <c r="Q47" s="330"/>
      <c r="R47" s="330"/>
      <c r="S47" s="330"/>
      <c r="T47" s="330"/>
      <c r="U47" s="330"/>
      <c r="V47" s="330"/>
      <c r="W47" s="330"/>
      <c r="X47" s="330"/>
      <c r="Y47" s="330"/>
      <c r="Z47" s="330"/>
      <c r="AA47" s="330"/>
      <c r="AB47" s="330"/>
      <c r="AC47" s="330"/>
      <c r="AD47" s="330"/>
      <c r="AE47" s="330"/>
      <c r="AF47" s="330"/>
      <c r="AG47" s="330"/>
      <c r="AH47" s="330"/>
      <c r="AI47" s="330"/>
      <c r="AJ47" s="330"/>
      <c r="AK47" s="330"/>
      <c r="AL47" s="330"/>
      <c r="AM47" s="330"/>
      <c r="AN47" s="330"/>
      <c r="AO47" s="330"/>
      <c r="AP47" s="330"/>
      <c r="AQ47" s="331"/>
      <c r="AR47" s="330"/>
      <c r="AS47" s="330"/>
      <c r="AT47" s="330"/>
      <c r="AU47" s="330"/>
      <c r="AV47" s="330"/>
      <c r="AW47" s="330"/>
      <c r="AX47" s="330"/>
      <c r="AY47" s="330"/>
      <c r="AZ47" s="332"/>
    </row>
    <row r="48" spans="1:52" x14ac:dyDescent="0.2">
      <c r="A48" s="329"/>
      <c r="B48" s="330"/>
      <c r="C48" s="330"/>
      <c r="D48" s="330"/>
      <c r="E48" s="330"/>
      <c r="F48" s="330"/>
      <c r="G48" s="330"/>
      <c r="H48" s="330"/>
      <c r="I48" s="330"/>
      <c r="J48" s="330"/>
      <c r="K48" s="330"/>
      <c r="L48" s="330"/>
      <c r="M48" s="330"/>
      <c r="N48" s="330"/>
      <c r="O48" s="330"/>
      <c r="P48" s="330"/>
      <c r="Q48" s="330"/>
      <c r="R48" s="330"/>
      <c r="S48" s="330"/>
      <c r="T48" s="330"/>
      <c r="U48" s="330"/>
      <c r="V48" s="330"/>
      <c r="W48" s="330"/>
      <c r="X48" s="330"/>
      <c r="Y48" s="330"/>
      <c r="Z48" s="330"/>
      <c r="AA48" s="330"/>
      <c r="AB48" s="330"/>
      <c r="AC48" s="330"/>
      <c r="AD48" s="330"/>
      <c r="AE48" s="330"/>
      <c r="AF48" s="330"/>
      <c r="AG48" s="330"/>
      <c r="AH48" s="330"/>
      <c r="AI48" s="330"/>
      <c r="AJ48" s="330"/>
      <c r="AK48" s="330"/>
      <c r="AL48" s="330"/>
      <c r="AM48" s="330"/>
      <c r="AN48" s="330"/>
      <c r="AO48" s="330"/>
      <c r="AP48" s="330"/>
      <c r="AQ48" s="331"/>
      <c r="AR48" s="330"/>
      <c r="AS48" s="330"/>
      <c r="AT48" s="330"/>
      <c r="AU48" s="330"/>
      <c r="AV48" s="330"/>
      <c r="AW48" s="330"/>
      <c r="AX48" s="330"/>
      <c r="AY48" s="330"/>
      <c r="AZ48" s="332"/>
    </row>
    <row r="49" spans="1:52" x14ac:dyDescent="0.2">
      <c r="A49" s="329"/>
      <c r="B49" s="330"/>
      <c r="C49" s="330"/>
      <c r="D49" s="330"/>
      <c r="E49" s="330"/>
      <c r="F49" s="330"/>
      <c r="G49" s="330"/>
      <c r="H49" s="330"/>
      <c r="I49" s="330"/>
      <c r="J49" s="330"/>
      <c r="K49" s="330"/>
      <c r="L49" s="330"/>
      <c r="M49" s="330"/>
      <c r="N49" s="330"/>
      <c r="O49" s="330"/>
      <c r="P49" s="330"/>
      <c r="Q49" s="330"/>
      <c r="R49" s="330"/>
      <c r="S49" s="330"/>
      <c r="T49" s="330"/>
      <c r="U49" s="330"/>
      <c r="V49" s="330"/>
      <c r="W49" s="330"/>
      <c r="X49" s="330"/>
      <c r="Y49" s="330"/>
      <c r="Z49" s="330"/>
      <c r="AA49" s="330"/>
      <c r="AB49" s="330"/>
      <c r="AC49" s="330"/>
      <c r="AD49" s="330"/>
      <c r="AE49" s="330"/>
      <c r="AF49" s="330"/>
      <c r="AG49" s="330"/>
      <c r="AH49" s="330"/>
      <c r="AI49" s="330"/>
      <c r="AJ49" s="330"/>
      <c r="AK49" s="330"/>
      <c r="AL49" s="330"/>
      <c r="AM49" s="330"/>
      <c r="AN49" s="330"/>
      <c r="AO49" s="330"/>
      <c r="AP49" s="330"/>
      <c r="AQ49" s="331"/>
      <c r="AR49" s="330"/>
      <c r="AS49" s="330"/>
      <c r="AT49" s="330"/>
      <c r="AU49" s="330"/>
      <c r="AV49" s="330"/>
      <c r="AW49" s="330"/>
      <c r="AX49" s="330"/>
      <c r="AY49" s="330"/>
      <c r="AZ49" s="332"/>
    </row>
    <row r="50" spans="1:52" x14ac:dyDescent="0.2">
      <c r="A50" s="329"/>
      <c r="B50" s="330"/>
      <c r="C50" s="330"/>
      <c r="D50" s="330"/>
      <c r="E50" s="330"/>
      <c r="F50" s="330"/>
      <c r="G50" s="330"/>
      <c r="H50" s="330"/>
      <c r="I50" s="330"/>
      <c r="J50" s="895" t="s">
        <v>156</v>
      </c>
      <c r="K50" s="895"/>
      <c r="L50" s="895"/>
      <c r="M50" s="895"/>
      <c r="N50" s="895"/>
      <c r="O50" s="895"/>
      <c r="P50" s="895"/>
      <c r="Q50" s="895"/>
      <c r="R50" s="895"/>
      <c r="S50" s="895"/>
      <c r="T50" s="895"/>
      <c r="U50" s="895"/>
      <c r="V50" s="895"/>
      <c r="W50" s="895"/>
      <c r="X50" s="895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330"/>
      <c r="AL50" s="330"/>
      <c r="AM50" s="330"/>
      <c r="AN50" s="330"/>
      <c r="AO50" s="330"/>
      <c r="AP50" s="330"/>
      <c r="AQ50" s="331"/>
      <c r="AR50" s="330"/>
      <c r="AS50" s="330"/>
      <c r="AT50" s="330"/>
      <c r="AU50" s="330"/>
      <c r="AV50" s="330"/>
      <c r="AW50" s="330"/>
      <c r="AX50" s="330"/>
      <c r="AY50" s="330"/>
      <c r="AZ50" s="332"/>
    </row>
    <row r="51" spans="1:52" x14ac:dyDescent="0.2">
      <c r="A51" s="329"/>
      <c r="B51" s="330"/>
      <c r="C51" s="330"/>
      <c r="D51" s="330"/>
      <c r="E51" s="330"/>
      <c r="F51" s="330"/>
      <c r="G51" s="330"/>
      <c r="H51" s="330"/>
      <c r="I51" s="330"/>
      <c r="J51" s="895"/>
      <c r="K51" s="895"/>
      <c r="L51" s="895"/>
      <c r="M51" s="895"/>
      <c r="N51" s="895"/>
      <c r="O51" s="895"/>
      <c r="P51" s="895"/>
      <c r="Q51" s="895"/>
      <c r="R51" s="895"/>
      <c r="S51" s="895"/>
      <c r="T51" s="895"/>
      <c r="U51" s="895"/>
      <c r="V51" s="895"/>
      <c r="W51" s="895"/>
      <c r="X51" s="895"/>
      <c r="Y51" s="330"/>
      <c r="Z51" s="330"/>
      <c r="AA51" s="330"/>
      <c r="AB51" s="330"/>
      <c r="AC51" s="330"/>
      <c r="AD51" s="330"/>
      <c r="AE51" s="330"/>
      <c r="AF51" s="330"/>
      <c r="AG51" s="330"/>
      <c r="AH51" s="330"/>
      <c r="AI51" s="330"/>
      <c r="AJ51" s="330"/>
      <c r="AK51" s="330"/>
      <c r="AL51" s="330"/>
      <c r="AM51" s="330"/>
      <c r="AN51" s="330"/>
      <c r="AO51" s="330"/>
      <c r="AP51" s="330"/>
      <c r="AQ51" s="897" t="str">
        <f>AQ8</f>
        <v>Provinsi           : J a m b i</v>
      </c>
      <c r="AR51" s="898"/>
      <c r="AS51" s="898"/>
      <c r="AT51" s="898"/>
      <c r="AU51" s="898"/>
      <c r="AV51" s="898"/>
      <c r="AW51" s="898"/>
      <c r="AX51" s="898"/>
      <c r="AY51" s="898"/>
      <c r="AZ51" s="899"/>
    </row>
    <row r="52" spans="1:52" x14ac:dyDescent="0.2">
      <c r="A52" s="329"/>
      <c r="B52" s="330"/>
      <c r="C52" s="330"/>
      <c r="D52" s="330"/>
      <c r="E52" s="330"/>
      <c r="F52" s="330"/>
      <c r="G52" s="330"/>
      <c r="H52" s="330"/>
      <c r="I52" s="330"/>
      <c r="J52" s="330"/>
      <c r="K52" s="330"/>
      <c r="L52" s="330"/>
      <c r="M52" s="330"/>
      <c r="N52" s="330"/>
      <c r="O52" s="330"/>
      <c r="P52" s="330"/>
      <c r="Q52" s="330"/>
      <c r="R52" s="330"/>
      <c r="S52" s="330"/>
      <c r="T52" s="330"/>
      <c r="U52" s="330"/>
      <c r="V52" s="330"/>
      <c r="W52" s="330"/>
      <c r="X52" s="330"/>
      <c r="Y52" s="330"/>
      <c r="Z52" s="330"/>
      <c r="AA52" s="330"/>
      <c r="AB52" s="330"/>
      <c r="AC52" s="330"/>
      <c r="AD52" s="330"/>
      <c r="AE52" s="330"/>
      <c r="AF52" s="330"/>
      <c r="AG52" s="330"/>
      <c r="AH52" s="330"/>
      <c r="AI52" s="330"/>
      <c r="AJ52" s="330"/>
      <c r="AK52" s="330"/>
      <c r="AL52" s="330"/>
      <c r="AM52" s="330"/>
      <c r="AN52" s="330"/>
      <c r="AO52" s="330"/>
      <c r="AP52" s="330"/>
      <c r="AQ52" s="897" t="str">
        <f>AQ9</f>
        <v>Kabupaten      : Muaro Jambi</v>
      </c>
      <c r="AR52" s="898"/>
      <c r="AS52" s="898"/>
      <c r="AT52" s="898"/>
      <c r="AU52" s="898"/>
      <c r="AV52" s="898"/>
      <c r="AW52" s="898"/>
      <c r="AX52" s="898"/>
      <c r="AY52" s="898"/>
      <c r="AZ52" s="899"/>
    </row>
    <row r="53" spans="1:52" x14ac:dyDescent="0.2">
      <c r="A53" s="329"/>
      <c r="B53" s="330"/>
      <c r="C53" s="330"/>
      <c r="D53" s="330"/>
      <c r="E53" s="330"/>
      <c r="F53" s="330"/>
      <c r="G53" s="330"/>
      <c r="H53" s="330"/>
      <c r="I53" s="330"/>
      <c r="J53" s="330"/>
      <c r="K53" s="330"/>
      <c r="L53" s="330"/>
      <c r="M53" s="330"/>
      <c r="N53" s="330"/>
      <c r="O53" s="330"/>
      <c r="P53" s="330"/>
      <c r="Q53" s="330"/>
      <c r="R53" s="330"/>
      <c r="S53" s="330"/>
      <c r="T53" s="330"/>
      <c r="U53" s="330"/>
      <c r="V53" s="330"/>
      <c r="W53" s="330"/>
      <c r="X53" s="330"/>
      <c r="Y53" s="330"/>
      <c r="Z53" s="330"/>
      <c r="AA53" s="330"/>
      <c r="AB53" s="330"/>
      <c r="AC53" s="330"/>
      <c r="AD53" s="330"/>
      <c r="AE53" s="330"/>
      <c r="AF53" s="330"/>
      <c r="AG53" s="330"/>
      <c r="AH53" s="330"/>
      <c r="AI53" s="330"/>
      <c r="AJ53" s="330"/>
      <c r="AK53" s="330"/>
      <c r="AL53" s="330"/>
      <c r="AM53" s="330"/>
      <c r="AN53" s="330"/>
      <c r="AO53" s="330"/>
      <c r="AP53" s="330"/>
      <c r="AQ53" s="897" t="str">
        <f>AQ10</f>
        <v>Kecamatan     : Bahar Selatan</v>
      </c>
      <c r="AR53" s="898"/>
      <c r="AS53" s="898"/>
      <c r="AT53" s="898"/>
      <c r="AU53" s="898"/>
      <c r="AV53" s="898"/>
      <c r="AW53" s="898"/>
      <c r="AX53" s="898"/>
      <c r="AY53" s="898"/>
      <c r="AZ53" s="899"/>
    </row>
    <row r="54" spans="1:52" x14ac:dyDescent="0.2">
      <c r="A54" s="329"/>
      <c r="B54" s="330"/>
      <c r="C54" s="330"/>
      <c r="D54" s="330"/>
      <c r="E54" s="330"/>
      <c r="F54" s="330"/>
      <c r="G54" s="330"/>
      <c r="H54" s="330"/>
      <c r="I54" s="330"/>
      <c r="J54" s="330"/>
      <c r="K54" s="330"/>
      <c r="L54" s="330"/>
      <c r="M54" s="330"/>
      <c r="N54" s="330"/>
      <c r="O54" s="330"/>
      <c r="P54" s="330"/>
      <c r="Q54" s="330"/>
      <c r="R54" s="330"/>
      <c r="S54" s="330"/>
      <c r="T54" s="330"/>
      <c r="U54" s="330"/>
      <c r="V54" s="330"/>
      <c r="W54" s="330"/>
      <c r="X54" s="330"/>
      <c r="Y54" s="330"/>
      <c r="Z54" s="330"/>
      <c r="AA54" s="330"/>
      <c r="AB54" s="330"/>
      <c r="AC54" s="330"/>
      <c r="AD54" s="330"/>
      <c r="AE54" s="330"/>
      <c r="AF54" s="330"/>
      <c r="AG54" s="330"/>
      <c r="AH54" s="330"/>
      <c r="AI54" s="330"/>
      <c r="AJ54" s="330"/>
      <c r="AK54" s="330"/>
      <c r="AL54" s="330"/>
      <c r="AM54" s="330"/>
      <c r="AN54" s="330"/>
      <c r="AO54" s="330"/>
      <c r="AP54" s="330"/>
      <c r="AQ54" s="897" t="str">
        <f>AQ11</f>
        <v>Desa                : Tanjung Mulya</v>
      </c>
      <c r="AR54" s="898"/>
      <c r="AS54" s="898"/>
      <c r="AT54" s="898"/>
      <c r="AU54" s="898"/>
      <c r="AV54" s="898"/>
      <c r="AW54" s="898"/>
      <c r="AX54" s="898"/>
      <c r="AY54" s="898"/>
      <c r="AZ54" s="899"/>
    </row>
    <row r="55" spans="1:52" x14ac:dyDescent="0.2">
      <c r="A55" s="329"/>
      <c r="B55" s="330"/>
      <c r="C55" s="330"/>
      <c r="D55" s="330"/>
      <c r="E55" s="330"/>
      <c r="F55" s="330"/>
      <c r="G55" s="330"/>
      <c r="H55" s="330"/>
      <c r="I55" s="330"/>
      <c r="J55" s="330"/>
      <c r="K55" s="330"/>
      <c r="L55" s="330"/>
      <c r="M55" s="330"/>
      <c r="N55" s="330"/>
      <c r="O55" s="330"/>
      <c r="P55" s="330"/>
      <c r="Q55" s="330"/>
      <c r="R55" s="330"/>
      <c r="S55" s="330"/>
      <c r="T55" s="330"/>
      <c r="U55" s="330"/>
      <c r="V55" s="330"/>
      <c r="W55" s="330"/>
      <c r="X55" s="330"/>
      <c r="Y55" s="330"/>
      <c r="Z55" s="330"/>
      <c r="AA55" s="330"/>
      <c r="AB55" s="330"/>
      <c r="AC55" s="330"/>
      <c r="AD55" s="330"/>
      <c r="AE55" s="330"/>
      <c r="AF55" s="330"/>
      <c r="AG55" s="330"/>
      <c r="AH55" s="330"/>
      <c r="AI55" s="330"/>
      <c r="AJ55" s="330"/>
      <c r="AK55" s="330"/>
      <c r="AL55" s="330"/>
      <c r="AM55" s="330"/>
      <c r="AN55" s="330"/>
      <c r="AO55" s="330"/>
      <c r="AP55" s="330"/>
      <c r="AQ55" s="331" t="s">
        <v>60</v>
      </c>
      <c r="AR55" s="330"/>
      <c r="AS55" s="330"/>
      <c r="AT55" s="330"/>
      <c r="AU55" s="330"/>
      <c r="AV55" s="330"/>
      <c r="AW55" s="330"/>
      <c r="AX55" s="330"/>
      <c r="AY55" s="330"/>
      <c r="AZ55" s="332"/>
    </row>
    <row r="56" spans="1:52" x14ac:dyDescent="0.2">
      <c r="A56" s="329"/>
      <c r="B56" s="330"/>
      <c r="C56" s="330"/>
      <c r="D56" s="330"/>
      <c r="E56" s="330"/>
      <c r="F56" s="330"/>
      <c r="G56" s="330"/>
      <c r="H56" s="330"/>
      <c r="I56" s="330"/>
      <c r="J56" s="330"/>
      <c r="K56" s="330"/>
      <c r="L56" s="330"/>
      <c r="M56" s="330"/>
      <c r="N56" s="330"/>
      <c r="O56" s="330"/>
      <c r="P56" s="330"/>
      <c r="Q56" s="330"/>
      <c r="R56" s="330"/>
      <c r="S56" s="330"/>
      <c r="T56" s="330"/>
      <c r="U56" s="330"/>
      <c r="V56" s="330"/>
      <c r="W56" s="330"/>
      <c r="X56" s="330"/>
      <c r="Y56" s="330"/>
      <c r="Z56" s="330"/>
      <c r="AA56" s="330"/>
      <c r="AB56" s="330"/>
      <c r="AC56" s="330"/>
      <c r="AD56" s="330"/>
      <c r="AE56" s="330"/>
      <c r="AF56" s="330"/>
      <c r="AG56" s="330"/>
      <c r="AH56" s="330"/>
      <c r="AI56" s="330"/>
      <c r="AJ56" s="330"/>
      <c r="AK56" s="330"/>
      <c r="AL56" s="330"/>
      <c r="AM56" s="330"/>
      <c r="AN56" s="330"/>
      <c r="AO56" s="330"/>
      <c r="AP56" s="330"/>
      <c r="AQ56" s="900" t="s">
        <v>155</v>
      </c>
      <c r="AR56" s="901"/>
      <c r="AS56" s="901"/>
      <c r="AT56" s="901"/>
      <c r="AU56" s="901"/>
      <c r="AV56" s="901"/>
      <c r="AW56" s="901"/>
      <c r="AX56" s="901"/>
      <c r="AY56" s="901"/>
      <c r="AZ56" s="902"/>
    </row>
    <row r="57" spans="1:52" x14ac:dyDescent="0.2">
      <c r="A57" s="329"/>
      <c r="B57" s="330"/>
      <c r="C57" s="330"/>
      <c r="D57" s="330"/>
      <c r="E57" s="330"/>
      <c r="F57" s="330"/>
      <c r="G57" s="330"/>
      <c r="H57" s="330"/>
      <c r="I57" s="330"/>
      <c r="J57" s="330"/>
      <c r="K57" s="330"/>
      <c r="L57" s="330"/>
      <c r="M57" s="330"/>
      <c r="N57" s="330"/>
      <c r="O57" s="330"/>
      <c r="P57" s="330"/>
      <c r="Q57" s="330"/>
      <c r="R57" s="330"/>
      <c r="S57" s="330"/>
      <c r="T57" s="330"/>
      <c r="U57" s="330"/>
      <c r="V57" s="330"/>
      <c r="W57" s="330"/>
      <c r="X57" s="330"/>
      <c r="Y57" s="330"/>
      <c r="Z57" s="330"/>
      <c r="AA57" s="330"/>
      <c r="AB57" s="330"/>
      <c r="AC57" s="330"/>
      <c r="AD57" s="330"/>
      <c r="AE57" s="330"/>
      <c r="AF57" s="330"/>
      <c r="AG57" s="330"/>
      <c r="AH57" s="330"/>
      <c r="AI57" s="330"/>
      <c r="AJ57" s="330"/>
      <c r="AK57" s="330"/>
      <c r="AL57" s="330"/>
      <c r="AM57" s="330"/>
      <c r="AN57" s="330"/>
      <c r="AO57" s="330"/>
      <c r="AP57" s="330"/>
      <c r="AQ57" s="331" t="s">
        <v>61</v>
      </c>
      <c r="AR57" s="330"/>
      <c r="AS57" s="330"/>
      <c r="AT57" s="330"/>
      <c r="AU57" s="330"/>
      <c r="AV57" s="330"/>
      <c r="AW57" s="330"/>
      <c r="AX57" s="330"/>
      <c r="AY57" s="330"/>
      <c r="AZ57" s="332"/>
    </row>
    <row r="58" spans="1:52" x14ac:dyDescent="0.2">
      <c r="A58" s="329"/>
      <c r="B58" s="330"/>
      <c r="C58" s="330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0"/>
      <c r="T58" s="330"/>
      <c r="U58" s="330"/>
      <c r="V58" s="330"/>
      <c r="W58" s="330"/>
      <c r="X58" s="330"/>
      <c r="Y58" s="330"/>
      <c r="Z58" s="330"/>
      <c r="AA58" s="330"/>
      <c r="AB58" s="330"/>
      <c r="AC58" s="330"/>
      <c r="AD58" s="330"/>
      <c r="AE58" s="330"/>
      <c r="AF58" s="330"/>
      <c r="AG58" s="330"/>
      <c r="AH58" s="330"/>
      <c r="AI58" s="330"/>
      <c r="AJ58" s="330"/>
      <c r="AK58" s="330"/>
      <c r="AL58" s="330"/>
      <c r="AM58" s="330"/>
      <c r="AN58" s="330"/>
      <c r="AO58" s="330"/>
      <c r="AP58" s="330"/>
      <c r="AQ58" s="900" t="str">
        <f>AQ15</f>
        <v>RT.15</v>
      </c>
      <c r="AR58" s="901"/>
      <c r="AS58" s="901"/>
      <c r="AT58" s="901"/>
      <c r="AU58" s="901"/>
      <c r="AV58" s="901"/>
      <c r="AW58" s="901"/>
      <c r="AX58" s="901"/>
      <c r="AY58" s="901"/>
      <c r="AZ58" s="902"/>
    </row>
    <row r="59" spans="1:52" ht="14.25" x14ac:dyDescent="0.2">
      <c r="A59" s="329"/>
      <c r="B59" s="330"/>
      <c r="C59" s="330"/>
      <c r="D59" s="330"/>
      <c r="E59" s="330"/>
      <c r="F59" s="330"/>
      <c r="G59" s="330"/>
      <c r="H59" s="890">
        <f>'2. TOS'!M120</f>
        <v>0.3</v>
      </c>
      <c r="I59" s="890"/>
      <c r="J59" s="685"/>
      <c r="K59" s="685"/>
      <c r="L59" s="685"/>
      <c r="M59" s="685"/>
      <c r="N59" s="685"/>
      <c r="O59" s="893">
        <f>'2. TOS'!M17</f>
        <v>3.5</v>
      </c>
      <c r="P59" s="893"/>
      <c r="Q59" s="893"/>
      <c r="R59" s="686" t="s">
        <v>8</v>
      </c>
      <c r="S59" s="685"/>
      <c r="T59" s="685"/>
      <c r="U59" s="685"/>
      <c r="V59" s="685"/>
      <c r="W59" s="685"/>
      <c r="X59" s="685"/>
      <c r="Y59" s="890">
        <f>H59</f>
        <v>0.3</v>
      </c>
      <c r="Z59" s="890"/>
      <c r="AA59" s="685"/>
      <c r="AB59" s="330"/>
      <c r="AC59" s="330"/>
      <c r="AD59" s="330"/>
      <c r="AE59" s="330"/>
      <c r="AF59" s="330"/>
      <c r="AG59" s="330"/>
      <c r="AH59" s="330"/>
      <c r="AI59" s="330"/>
      <c r="AJ59" s="330"/>
      <c r="AK59" s="330"/>
      <c r="AL59" s="330"/>
      <c r="AM59" s="330"/>
      <c r="AN59" s="330"/>
      <c r="AO59" s="330"/>
      <c r="AP59" s="330"/>
      <c r="AQ59" s="331" t="s">
        <v>62</v>
      </c>
      <c r="AR59" s="330"/>
      <c r="AS59" s="330"/>
      <c r="AT59" s="330"/>
      <c r="AU59" s="330"/>
      <c r="AV59" s="330"/>
      <c r="AW59" s="330"/>
      <c r="AX59" s="330"/>
      <c r="AY59" s="330"/>
      <c r="AZ59" s="332"/>
    </row>
    <row r="60" spans="1:52" ht="12.75" customHeight="1" x14ac:dyDescent="0.2">
      <c r="A60" s="329"/>
      <c r="B60" s="330"/>
      <c r="C60" s="330"/>
      <c r="D60" s="330"/>
      <c r="E60" s="330"/>
      <c r="F60" s="330"/>
      <c r="G60" s="330"/>
      <c r="H60" s="330"/>
      <c r="I60" s="330"/>
      <c r="J60" s="330"/>
      <c r="K60" s="330"/>
      <c r="L60" s="330"/>
      <c r="M60" s="330"/>
      <c r="N60" s="330"/>
      <c r="O60" s="330"/>
      <c r="P60" s="330"/>
      <c r="Q60" s="330"/>
      <c r="R60" s="330"/>
      <c r="S60" s="330"/>
      <c r="T60" s="330"/>
      <c r="U60" s="330"/>
      <c r="V60" s="330"/>
      <c r="W60" s="330"/>
      <c r="X60" s="330"/>
      <c r="Y60" s="330"/>
      <c r="Z60" s="330"/>
      <c r="AA60" s="330"/>
      <c r="AB60" s="330"/>
      <c r="AC60" s="330"/>
      <c r="AD60" s="330"/>
      <c r="AE60" s="330"/>
      <c r="AF60" s="330"/>
      <c r="AG60" s="330"/>
      <c r="AH60" s="330"/>
      <c r="AI60" s="330"/>
      <c r="AJ60" s="330"/>
      <c r="AK60" s="330"/>
      <c r="AL60" s="330"/>
      <c r="AM60" s="330"/>
      <c r="AN60" s="330"/>
      <c r="AO60" s="330"/>
      <c r="AP60" s="330"/>
      <c r="AQ60" s="926" t="s">
        <v>160</v>
      </c>
      <c r="AR60" s="927"/>
      <c r="AS60" s="927"/>
      <c r="AT60" s="927"/>
      <c r="AU60" s="927"/>
      <c r="AV60" s="927"/>
      <c r="AW60" s="927"/>
      <c r="AX60" s="927"/>
      <c r="AY60" s="927"/>
      <c r="AZ60" s="928"/>
    </row>
    <row r="61" spans="1:52" x14ac:dyDescent="0.2">
      <c r="A61" s="329"/>
      <c r="B61" s="330"/>
      <c r="C61" s="330"/>
      <c r="D61" s="330"/>
      <c r="E61" s="330"/>
      <c r="F61" s="330"/>
      <c r="G61" s="330"/>
      <c r="H61" s="330"/>
      <c r="I61" s="330"/>
      <c r="J61" s="330"/>
      <c r="K61" s="330"/>
      <c r="L61" s="330"/>
      <c r="M61" s="330"/>
      <c r="N61" s="330"/>
      <c r="O61" s="330"/>
      <c r="P61" s="330"/>
      <c r="Q61" s="330"/>
      <c r="R61" s="330"/>
      <c r="S61" s="330"/>
      <c r="T61" s="330"/>
      <c r="U61" s="330"/>
      <c r="V61" s="330"/>
      <c r="W61" s="330"/>
      <c r="X61" s="330"/>
      <c r="Y61" s="330"/>
      <c r="Z61" s="330"/>
      <c r="AA61" s="330"/>
      <c r="AB61" s="330"/>
      <c r="AC61" s="330"/>
      <c r="AD61" s="330"/>
      <c r="AE61" s="330"/>
      <c r="AF61" s="330"/>
      <c r="AG61" s="330"/>
      <c r="AH61" s="330"/>
      <c r="AI61" s="330"/>
      <c r="AJ61" s="330"/>
      <c r="AK61" s="330"/>
      <c r="AL61" s="330"/>
      <c r="AM61" s="330"/>
      <c r="AN61" s="330"/>
      <c r="AO61" s="330"/>
      <c r="AP61" s="330"/>
      <c r="AQ61" s="929"/>
      <c r="AR61" s="930"/>
      <c r="AS61" s="930"/>
      <c r="AT61" s="930"/>
      <c r="AU61" s="930"/>
      <c r="AV61" s="930"/>
      <c r="AW61" s="930"/>
      <c r="AX61" s="930"/>
      <c r="AY61" s="930"/>
      <c r="AZ61" s="931"/>
    </row>
    <row r="62" spans="1:52" x14ac:dyDescent="0.2">
      <c r="A62" s="329"/>
      <c r="B62" s="330"/>
      <c r="C62" s="330"/>
      <c r="D62" s="330"/>
      <c r="E62" s="330"/>
      <c r="F62" s="330"/>
      <c r="G62" s="330"/>
      <c r="H62" s="330"/>
      <c r="I62" s="330"/>
      <c r="J62" s="334"/>
      <c r="K62" s="334"/>
      <c r="L62" s="334"/>
      <c r="M62" s="334"/>
      <c r="N62" s="334"/>
      <c r="O62" s="334"/>
      <c r="P62" s="894">
        <f>O59</f>
        <v>3.5</v>
      </c>
      <c r="Q62" s="894"/>
      <c r="R62" s="359" t="s">
        <v>8</v>
      </c>
      <c r="S62" s="334"/>
      <c r="T62" s="334"/>
      <c r="U62" s="334"/>
      <c r="V62" s="334"/>
      <c r="W62" s="334"/>
      <c r="X62" s="334"/>
      <c r="Y62" s="330"/>
      <c r="Z62" s="330"/>
      <c r="AA62" s="330"/>
      <c r="AB62" s="330"/>
      <c r="AC62" s="330"/>
      <c r="AD62" s="330"/>
      <c r="AE62" s="330"/>
      <c r="AF62" s="330"/>
      <c r="AG62" s="330"/>
      <c r="AH62" s="330"/>
      <c r="AI62" s="330"/>
      <c r="AJ62" s="330"/>
      <c r="AK62" s="330"/>
      <c r="AL62" s="330"/>
      <c r="AM62" s="330"/>
      <c r="AN62" s="330"/>
      <c r="AO62" s="330"/>
      <c r="AP62" s="330"/>
      <c r="AQ62" s="909" t="s">
        <v>140</v>
      </c>
      <c r="AR62" s="889"/>
      <c r="AS62" s="889"/>
      <c r="AT62" s="889"/>
      <c r="AU62" s="889"/>
      <c r="AV62" s="889"/>
      <c r="AW62" s="889"/>
      <c r="AX62" s="889"/>
      <c r="AY62" s="889"/>
      <c r="AZ62" s="910"/>
    </row>
    <row r="63" spans="1:52" x14ac:dyDescent="0.2">
      <c r="A63" s="329"/>
      <c r="B63" s="330"/>
      <c r="C63" s="330"/>
      <c r="D63" s="330"/>
      <c r="E63" s="330"/>
      <c r="F63" s="330"/>
      <c r="G63" s="330"/>
      <c r="H63" s="330"/>
      <c r="I63" s="330"/>
      <c r="J63" s="330"/>
      <c r="K63" s="330"/>
      <c r="L63" s="330"/>
      <c r="M63" s="330"/>
      <c r="N63" s="330"/>
      <c r="O63" s="330"/>
      <c r="P63" s="330"/>
      <c r="Q63" s="330"/>
      <c r="R63" s="330"/>
      <c r="S63" s="330"/>
      <c r="T63" s="330"/>
      <c r="U63" s="330"/>
      <c r="V63" s="330"/>
      <c r="W63" s="330"/>
      <c r="X63" s="330"/>
      <c r="Y63" s="330"/>
      <c r="Z63" s="330"/>
      <c r="AA63" s="330"/>
      <c r="AB63" s="330"/>
      <c r="AC63" s="330"/>
      <c r="AD63" s="330"/>
      <c r="AE63" s="330"/>
      <c r="AF63" s="330"/>
      <c r="AG63" s="330"/>
      <c r="AH63" s="330"/>
      <c r="AI63" s="330"/>
      <c r="AJ63" s="330"/>
      <c r="AK63" s="330"/>
      <c r="AL63" s="330"/>
      <c r="AM63" s="330"/>
      <c r="AN63" s="330"/>
      <c r="AO63" s="330"/>
      <c r="AP63" s="330"/>
      <c r="AQ63" s="331"/>
      <c r="AR63" s="330"/>
      <c r="AS63" s="330"/>
      <c r="AT63" s="330"/>
      <c r="AU63" s="330"/>
      <c r="AV63" s="330"/>
      <c r="AW63" s="330"/>
      <c r="AX63" s="330"/>
      <c r="AY63" s="330"/>
      <c r="AZ63" s="332"/>
    </row>
    <row r="64" spans="1:52" x14ac:dyDescent="0.2">
      <c r="A64" s="329"/>
      <c r="B64" s="330"/>
      <c r="C64" s="330"/>
      <c r="D64" s="330"/>
      <c r="E64" s="330"/>
      <c r="F64" s="330"/>
      <c r="G64" s="330"/>
      <c r="H64" s="330"/>
      <c r="I64" s="889">
        <f>'2. TOS'!M114</f>
        <v>0.2</v>
      </c>
      <c r="J64" s="889"/>
      <c r="K64" s="889"/>
      <c r="L64" s="334" t="s">
        <v>8</v>
      </c>
      <c r="M64" s="334"/>
      <c r="N64" s="334"/>
      <c r="O64" s="334"/>
      <c r="P64" s="334"/>
      <c r="Q64" s="334"/>
      <c r="R64" s="334"/>
      <c r="S64" s="334"/>
      <c r="T64" s="334"/>
      <c r="U64" s="334"/>
      <c r="V64" s="334"/>
      <c r="W64" s="889">
        <f>I64</f>
        <v>0.2</v>
      </c>
      <c r="X64" s="889"/>
      <c r="Y64" s="889"/>
      <c r="Z64" s="330" t="s">
        <v>8</v>
      </c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330"/>
      <c r="AL64" s="330"/>
      <c r="AM64" s="330"/>
      <c r="AN64" s="330"/>
      <c r="AO64" s="330"/>
      <c r="AP64" s="330"/>
      <c r="AQ64" s="331"/>
      <c r="AR64" s="330"/>
      <c r="AS64" s="330"/>
      <c r="AT64" s="330"/>
      <c r="AU64" s="330"/>
      <c r="AV64" s="330"/>
      <c r="AW64" s="330"/>
      <c r="AX64" s="330"/>
      <c r="AY64" s="330"/>
      <c r="AZ64" s="332"/>
    </row>
    <row r="65" spans="1:52" x14ac:dyDescent="0.2">
      <c r="A65" s="329"/>
      <c r="B65" s="330"/>
      <c r="C65" s="330"/>
      <c r="D65" s="33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0"/>
      <c r="AA65" s="330"/>
      <c r="AB65" s="330"/>
      <c r="AC65" s="330"/>
      <c r="AD65" s="330"/>
      <c r="AE65" s="330"/>
      <c r="AF65" s="330"/>
      <c r="AG65" s="330"/>
      <c r="AH65" s="330"/>
      <c r="AI65" s="330"/>
      <c r="AJ65" s="330"/>
      <c r="AK65" s="330"/>
      <c r="AL65" s="330"/>
      <c r="AM65" s="330"/>
      <c r="AN65" s="330"/>
      <c r="AO65" s="330"/>
      <c r="AP65" s="330"/>
      <c r="AQ65" s="331"/>
      <c r="AR65" s="330"/>
      <c r="AS65" s="330"/>
      <c r="AT65" s="330"/>
      <c r="AU65" s="330"/>
      <c r="AV65" s="330"/>
      <c r="AW65" s="330"/>
      <c r="AX65" s="330"/>
      <c r="AY65" s="330"/>
      <c r="AZ65" s="332"/>
    </row>
    <row r="66" spans="1:52" x14ac:dyDescent="0.2">
      <c r="A66" s="329"/>
      <c r="B66" s="330"/>
      <c r="C66" s="330"/>
      <c r="D66" s="330"/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334" t="s">
        <v>158</v>
      </c>
      <c r="AC66" s="334"/>
      <c r="AD66" s="334"/>
      <c r="AE66" s="334"/>
      <c r="AF66" s="334"/>
      <c r="AG66" s="334"/>
      <c r="AH66" s="330"/>
      <c r="AI66" s="330"/>
      <c r="AJ66" s="330"/>
      <c r="AK66" s="330"/>
      <c r="AL66" s="330"/>
      <c r="AM66" s="330"/>
      <c r="AN66" s="330"/>
      <c r="AO66" s="330"/>
      <c r="AP66" s="330"/>
      <c r="AQ66" s="333"/>
      <c r="AR66" s="334"/>
      <c r="AS66" s="334"/>
      <c r="AT66" s="334"/>
      <c r="AU66" s="334"/>
      <c r="AV66" s="334"/>
      <c r="AW66" s="334"/>
      <c r="AX66" s="334"/>
      <c r="AY66" s="334"/>
      <c r="AZ66" s="335"/>
    </row>
    <row r="67" spans="1:52" x14ac:dyDescent="0.2">
      <c r="A67" s="329"/>
      <c r="B67" s="330"/>
      <c r="C67" s="330"/>
      <c r="D67" s="33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330"/>
      <c r="AC67" s="330"/>
      <c r="AD67" s="330" t="s">
        <v>427</v>
      </c>
      <c r="AE67" s="330"/>
      <c r="AF67" s="330"/>
      <c r="AG67" s="330"/>
      <c r="AH67" s="330"/>
      <c r="AI67" s="330"/>
      <c r="AJ67" s="330"/>
      <c r="AK67" s="330"/>
      <c r="AL67" s="330"/>
      <c r="AM67" s="330"/>
      <c r="AN67" s="330"/>
      <c r="AO67" s="330"/>
      <c r="AP67" s="330"/>
      <c r="AQ67" s="914" t="str">
        <f>AQ25</f>
        <v>UJANG RAHMAT HIDAYAT</v>
      </c>
      <c r="AR67" s="915"/>
      <c r="AS67" s="915"/>
      <c r="AT67" s="915"/>
      <c r="AU67" s="915"/>
      <c r="AV67" s="915"/>
      <c r="AW67" s="915"/>
      <c r="AX67" s="915"/>
      <c r="AY67" s="915"/>
      <c r="AZ67" s="916"/>
    </row>
    <row r="68" spans="1:52" x14ac:dyDescent="0.2">
      <c r="A68" s="329"/>
      <c r="B68" s="330"/>
      <c r="C68" s="330"/>
      <c r="D68" s="330"/>
      <c r="E68" s="330"/>
      <c r="F68" s="330"/>
      <c r="G68" s="330"/>
      <c r="H68" s="330"/>
      <c r="I68" s="330"/>
      <c r="J68" s="330"/>
      <c r="K68" s="330"/>
      <c r="L68" s="330"/>
      <c r="M68" s="330"/>
      <c r="N68" s="330"/>
      <c r="O68" s="330"/>
      <c r="P68" s="330"/>
      <c r="Q68" s="330"/>
      <c r="R68" s="330"/>
      <c r="S68" s="330"/>
      <c r="T68" s="330"/>
      <c r="U68" s="330"/>
      <c r="V68" s="330"/>
      <c r="W68" s="330"/>
      <c r="X68" s="330"/>
      <c r="Y68" s="330"/>
      <c r="Z68" s="330"/>
      <c r="AA68" s="330"/>
      <c r="AB68" s="330"/>
      <c r="AC68" s="889"/>
      <c r="AD68" s="889"/>
      <c r="AE68" s="889"/>
      <c r="AF68" s="889"/>
      <c r="AG68" s="889"/>
      <c r="AH68" s="889"/>
      <c r="AI68" s="889"/>
      <c r="AJ68" s="889"/>
      <c r="AK68" s="889"/>
      <c r="AL68" s="330"/>
      <c r="AM68" s="330"/>
      <c r="AN68" s="330"/>
      <c r="AO68" s="330"/>
      <c r="AP68" s="330"/>
      <c r="AQ68" s="909" t="s">
        <v>141</v>
      </c>
      <c r="AR68" s="889"/>
      <c r="AS68" s="889"/>
      <c r="AT68" s="889"/>
      <c r="AU68" s="889"/>
      <c r="AV68" s="889"/>
      <c r="AW68" s="889"/>
      <c r="AX68" s="889"/>
      <c r="AY68" s="889"/>
      <c r="AZ68" s="910"/>
    </row>
    <row r="69" spans="1:52" x14ac:dyDescent="0.2">
      <c r="A69" s="329"/>
      <c r="B69" s="330"/>
      <c r="C69" s="330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0"/>
      <c r="T69" s="330"/>
      <c r="U69" s="330"/>
      <c r="V69" s="330"/>
      <c r="W69" s="330"/>
      <c r="X69" s="330"/>
      <c r="Y69" s="330"/>
      <c r="Z69" s="330"/>
      <c r="AA69" s="330"/>
      <c r="AB69" s="330"/>
      <c r="AC69" s="334" t="s">
        <v>159</v>
      </c>
      <c r="AD69" s="334"/>
      <c r="AE69" s="334"/>
      <c r="AF69" s="334"/>
      <c r="AG69" s="334"/>
      <c r="AH69" s="334"/>
      <c r="AI69" s="334"/>
      <c r="AJ69" s="334"/>
      <c r="AK69" s="330"/>
      <c r="AL69" s="330"/>
      <c r="AM69" s="330"/>
      <c r="AN69" s="330"/>
      <c r="AO69" s="330"/>
      <c r="AP69" s="330"/>
      <c r="AQ69" s="909" t="s">
        <v>145</v>
      </c>
      <c r="AR69" s="889"/>
      <c r="AS69" s="889"/>
      <c r="AT69" s="889"/>
      <c r="AU69" s="889"/>
      <c r="AV69" s="889"/>
      <c r="AW69" s="889"/>
      <c r="AX69" s="889"/>
      <c r="AY69" s="889"/>
      <c r="AZ69" s="910"/>
    </row>
    <row r="70" spans="1:52" x14ac:dyDescent="0.2">
      <c r="A70" s="329"/>
      <c r="B70" s="330"/>
      <c r="C70" s="330"/>
      <c r="D70" s="330"/>
      <c r="E70" s="330"/>
      <c r="F70" s="330"/>
      <c r="G70" s="330"/>
      <c r="H70" s="330"/>
      <c r="I70" s="330"/>
      <c r="J70" s="330"/>
      <c r="K70" s="330"/>
      <c r="L70" s="330"/>
      <c r="M70" s="330"/>
      <c r="N70" s="330"/>
      <c r="O70" s="330"/>
      <c r="P70" s="330"/>
      <c r="Q70" s="330"/>
      <c r="R70" s="330"/>
      <c r="S70" s="330"/>
      <c r="T70" s="330"/>
      <c r="U70" s="330"/>
      <c r="V70" s="330"/>
      <c r="W70" s="330"/>
      <c r="X70" s="330"/>
      <c r="Y70" s="330"/>
      <c r="Z70" s="330"/>
      <c r="AA70" s="330"/>
      <c r="AB70" s="330"/>
      <c r="AC70" s="330"/>
      <c r="AD70" s="330"/>
      <c r="AE70" s="330"/>
      <c r="AF70" s="330"/>
      <c r="AG70" s="330"/>
      <c r="AH70" s="330"/>
      <c r="AI70" s="330"/>
      <c r="AJ70" s="330"/>
      <c r="AK70" s="330"/>
      <c r="AL70" s="330"/>
      <c r="AM70" s="330"/>
      <c r="AN70" s="330"/>
      <c r="AO70" s="330"/>
      <c r="AP70" s="330"/>
      <c r="AQ70" s="331"/>
      <c r="AR70" s="330"/>
      <c r="AS70" s="330"/>
      <c r="AT70" s="330"/>
      <c r="AU70" s="330"/>
      <c r="AV70" s="330"/>
      <c r="AW70" s="330"/>
      <c r="AX70" s="330"/>
      <c r="AY70" s="330"/>
      <c r="AZ70" s="332"/>
    </row>
    <row r="71" spans="1:52" x14ac:dyDescent="0.2">
      <c r="A71" s="329"/>
      <c r="B71" s="330"/>
      <c r="C71" s="330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0"/>
      <c r="T71" s="330"/>
      <c r="U71" s="330"/>
      <c r="V71" s="330"/>
      <c r="W71" s="330"/>
      <c r="X71" s="330"/>
      <c r="Y71" s="330"/>
      <c r="Z71" s="330"/>
      <c r="AA71" s="330"/>
      <c r="AB71" s="330"/>
      <c r="AC71" s="330"/>
      <c r="AD71" s="330"/>
      <c r="AE71" s="330"/>
      <c r="AF71" s="330"/>
      <c r="AG71" s="330"/>
      <c r="AH71" s="330"/>
      <c r="AI71" s="330"/>
      <c r="AJ71" s="330"/>
      <c r="AK71" s="330"/>
      <c r="AL71" s="330"/>
      <c r="AM71" s="330"/>
      <c r="AN71" s="330"/>
      <c r="AO71" s="330"/>
      <c r="AP71" s="330"/>
      <c r="AQ71" s="331"/>
      <c r="AR71" s="330"/>
      <c r="AS71" s="330"/>
      <c r="AT71" s="330"/>
      <c r="AU71" s="330"/>
      <c r="AV71" s="330"/>
      <c r="AW71" s="330"/>
      <c r="AX71" s="330"/>
      <c r="AY71" s="330"/>
      <c r="AZ71" s="332"/>
    </row>
    <row r="72" spans="1:52" x14ac:dyDescent="0.2">
      <c r="A72" s="329"/>
      <c r="B72" s="330"/>
      <c r="C72" s="330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0"/>
      <c r="T72" s="330"/>
      <c r="U72" s="330"/>
      <c r="V72" s="330"/>
      <c r="W72" s="330"/>
      <c r="X72" s="330"/>
      <c r="Y72" s="330"/>
      <c r="Z72" s="330"/>
      <c r="AA72" s="330"/>
      <c r="AB72" s="330"/>
      <c r="AC72" s="330"/>
      <c r="AD72" s="330"/>
      <c r="AE72" s="330"/>
      <c r="AF72" s="330"/>
      <c r="AG72" s="330"/>
      <c r="AH72" s="330"/>
      <c r="AI72" s="330"/>
      <c r="AJ72" s="330"/>
      <c r="AK72" s="330"/>
      <c r="AL72" s="330"/>
      <c r="AM72" s="330"/>
      <c r="AN72" s="330"/>
      <c r="AO72" s="330"/>
      <c r="AP72" s="330"/>
      <c r="AQ72" s="331"/>
      <c r="AR72" s="330"/>
      <c r="AS72" s="330"/>
      <c r="AT72" s="330"/>
      <c r="AU72" s="330"/>
      <c r="AV72" s="330"/>
      <c r="AW72" s="330"/>
      <c r="AX72" s="330"/>
      <c r="AY72" s="330"/>
      <c r="AZ72" s="332"/>
    </row>
    <row r="73" spans="1:52" x14ac:dyDescent="0.2">
      <c r="A73" s="329"/>
      <c r="B73" s="330"/>
      <c r="C73" s="330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0"/>
      <c r="T73" s="330"/>
      <c r="U73" s="330"/>
      <c r="V73" s="330"/>
      <c r="W73" s="330"/>
      <c r="X73" s="330"/>
      <c r="Y73" s="330"/>
      <c r="Z73" s="330"/>
      <c r="AA73" s="330"/>
      <c r="AB73" s="330"/>
      <c r="AC73" s="330"/>
      <c r="AD73" s="330"/>
      <c r="AE73" s="330"/>
      <c r="AF73" s="330"/>
      <c r="AG73" s="330"/>
      <c r="AH73" s="330"/>
      <c r="AI73" s="330"/>
      <c r="AJ73" s="330"/>
      <c r="AK73" s="330"/>
      <c r="AL73" s="330"/>
      <c r="AM73" s="330"/>
      <c r="AN73" s="330"/>
      <c r="AO73" s="330"/>
      <c r="AP73" s="330"/>
      <c r="AQ73" s="336"/>
      <c r="AR73" s="337"/>
      <c r="AS73" s="337"/>
      <c r="AT73" s="337"/>
      <c r="AU73" s="337"/>
      <c r="AV73" s="337"/>
      <c r="AW73" s="337"/>
      <c r="AX73" s="337"/>
      <c r="AY73" s="337"/>
      <c r="AZ73" s="338"/>
    </row>
    <row r="74" spans="1:52" x14ac:dyDescent="0.2">
      <c r="A74" s="329"/>
      <c r="B74" s="330"/>
      <c r="C74" s="330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0"/>
      <c r="T74" s="330"/>
      <c r="U74" s="330"/>
      <c r="V74" s="330"/>
      <c r="W74" s="330"/>
      <c r="X74" s="330"/>
      <c r="Y74" s="330"/>
      <c r="Z74" s="330"/>
      <c r="AA74" s="330"/>
      <c r="AB74" s="330"/>
      <c r="AC74" s="330"/>
      <c r="AD74" s="330"/>
      <c r="AE74" s="330"/>
      <c r="AF74" s="330"/>
      <c r="AG74" s="330"/>
      <c r="AH74" s="330"/>
      <c r="AI74" s="330"/>
      <c r="AJ74" s="330"/>
      <c r="AK74" s="330"/>
      <c r="AL74" s="330"/>
      <c r="AM74" s="330"/>
      <c r="AN74" s="330"/>
      <c r="AO74" s="330"/>
      <c r="AP74" s="330"/>
      <c r="AQ74" s="914" t="str">
        <f>AQ32</f>
        <v>SUPARNO</v>
      </c>
      <c r="AR74" s="915"/>
      <c r="AS74" s="915"/>
      <c r="AT74" s="915"/>
      <c r="AU74" s="915"/>
      <c r="AV74" s="915"/>
      <c r="AW74" s="915"/>
      <c r="AX74" s="915"/>
      <c r="AY74" s="915"/>
      <c r="AZ74" s="916"/>
    </row>
    <row r="75" spans="1:52" x14ac:dyDescent="0.2">
      <c r="A75" s="329"/>
      <c r="B75" s="330"/>
      <c r="C75" s="330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0"/>
      <c r="T75" s="330"/>
      <c r="U75" s="330"/>
      <c r="V75" s="330"/>
      <c r="W75" s="330"/>
      <c r="X75" s="330"/>
      <c r="Y75" s="330"/>
      <c r="Z75" s="330"/>
      <c r="AA75" s="330"/>
      <c r="AB75" s="330"/>
      <c r="AC75" s="330"/>
      <c r="AD75" s="330"/>
      <c r="AE75" s="330"/>
      <c r="AF75" s="330"/>
      <c r="AG75" s="330"/>
      <c r="AH75" s="330"/>
      <c r="AI75" s="330"/>
      <c r="AJ75" s="330"/>
      <c r="AK75" s="330"/>
      <c r="AL75" s="330"/>
      <c r="AM75" s="330"/>
      <c r="AN75" s="330"/>
      <c r="AO75" s="330"/>
      <c r="AP75" s="330"/>
      <c r="AQ75" s="909" t="s">
        <v>142</v>
      </c>
      <c r="AR75" s="889"/>
      <c r="AS75" s="889"/>
      <c r="AT75" s="889"/>
      <c r="AU75" s="889"/>
      <c r="AV75" s="889"/>
      <c r="AW75" s="889"/>
      <c r="AX75" s="889"/>
      <c r="AY75" s="889"/>
      <c r="AZ75" s="910"/>
    </row>
    <row r="76" spans="1:52" x14ac:dyDescent="0.2">
      <c r="A76" s="329"/>
      <c r="B76" s="330"/>
      <c r="C76" s="330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0"/>
      <c r="T76" s="330"/>
      <c r="U76" s="330"/>
      <c r="V76" s="330"/>
      <c r="W76" s="330"/>
      <c r="X76" s="330"/>
      <c r="Y76" s="330"/>
      <c r="Z76" s="330"/>
      <c r="AA76" s="330"/>
      <c r="AB76" s="330"/>
      <c r="AC76" s="330"/>
      <c r="AD76" s="330"/>
      <c r="AE76" s="330"/>
      <c r="AF76" s="330"/>
      <c r="AG76" s="330"/>
      <c r="AH76" s="330"/>
      <c r="AI76" s="330"/>
      <c r="AJ76" s="330"/>
      <c r="AK76" s="330"/>
      <c r="AL76" s="330"/>
      <c r="AM76" s="330"/>
      <c r="AN76" s="330"/>
      <c r="AO76" s="330"/>
      <c r="AP76" s="330"/>
      <c r="AQ76" s="909" t="str">
        <f>AQ34</f>
        <v>Kepala Desa Tanjung Mulya,</v>
      </c>
      <c r="AR76" s="889"/>
      <c r="AS76" s="889"/>
      <c r="AT76" s="889"/>
      <c r="AU76" s="889"/>
      <c r="AV76" s="889"/>
      <c r="AW76" s="889"/>
      <c r="AX76" s="889"/>
      <c r="AY76" s="889"/>
      <c r="AZ76" s="910"/>
    </row>
    <row r="77" spans="1:52" x14ac:dyDescent="0.2">
      <c r="A77" s="329"/>
      <c r="B77" s="330"/>
      <c r="C77" s="330"/>
      <c r="D77" s="330"/>
      <c r="E77" s="330"/>
      <c r="F77" s="330"/>
      <c r="G77" s="330"/>
      <c r="H77" s="330"/>
      <c r="I77" s="330"/>
      <c r="J77" s="330"/>
      <c r="K77" s="330"/>
      <c r="L77" s="330"/>
      <c r="M77" s="330"/>
      <c r="N77" s="330"/>
      <c r="O77" s="330"/>
      <c r="P77" s="330"/>
      <c r="Q77" s="330"/>
      <c r="R77" s="330"/>
      <c r="S77" s="330"/>
      <c r="T77" s="330"/>
      <c r="U77" s="330"/>
      <c r="V77" s="330"/>
      <c r="W77" s="330"/>
      <c r="X77" s="330"/>
      <c r="Y77" s="330"/>
      <c r="Z77" s="330"/>
      <c r="AA77" s="330"/>
      <c r="AB77" s="330"/>
      <c r="AC77" s="330"/>
      <c r="AD77" s="330"/>
      <c r="AE77" s="330"/>
      <c r="AF77" s="330"/>
      <c r="AG77" s="330"/>
      <c r="AH77" s="330"/>
      <c r="AI77" s="330"/>
      <c r="AJ77" s="330"/>
      <c r="AK77" s="330"/>
      <c r="AL77" s="330"/>
      <c r="AM77" s="330"/>
      <c r="AN77" s="330"/>
      <c r="AO77" s="330"/>
      <c r="AP77" s="330"/>
      <c r="AQ77" s="331"/>
      <c r="AR77" s="330"/>
      <c r="AS77" s="330"/>
      <c r="AT77" s="330"/>
      <c r="AU77" s="330"/>
      <c r="AV77" s="330"/>
      <c r="AW77" s="330"/>
      <c r="AX77" s="330"/>
      <c r="AY77" s="330"/>
      <c r="AZ77" s="332"/>
    </row>
    <row r="78" spans="1:52" x14ac:dyDescent="0.2">
      <c r="A78" s="339"/>
      <c r="B78" s="340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30"/>
      <c r="AF78" s="330"/>
      <c r="AG78" s="330"/>
      <c r="AH78" s="330"/>
      <c r="AI78" s="330"/>
      <c r="AJ78" s="330"/>
      <c r="AK78" s="330"/>
      <c r="AL78" s="330"/>
      <c r="AM78" s="330"/>
      <c r="AN78" s="330"/>
      <c r="AO78" s="330"/>
      <c r="AP78" s="330"/>
      <c r="AQ78" s="331"/>
      <c r="AR78" s="330"/>
      <c r="AS78" s="330"/>
      <c r="AT78" s="330"/>
      <c r="AU78" s="330"/>
      <c r="AV78" s="330"/>
      <c r="AW78" s="330"/>
      <c r="AX78" s="330"/>
      <c r="AY78" s="330"/>
      <c r="AZ78" s="332"/>
    </row>
    <row r="79" spans="1:52" x14ac:dyDescent="0.2">
      <c r="A79" s="329"/>
      <c r="B79" s="330"/>
      <c r="C79" s="330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0"/>
      <c r="T79" s="330"/>
      <c r="U79" s="330"/>
      <c r="V79" s="330"/>
      <c r="W79" s="330"/>
      <c r="X79" s="330"/>
      <c r="Y79" s="330"/>
      <c r="Z79" s="330"/>
      <c r="AA79" s="330"/>
      <c r="AB79" s="330"/>
      <c r="AC79" s="330"/>
      <c r="AD79" s="330"/>
      <c r="AE79" s="330"/>
      <c r="AF79" s="330"/>
      <c r="AG79" s="330"/>
      <c r="AH79" s="330"/>
      <c r="AI79" s="330"/>
      <c r="AJ79" s="330"/>
      <c r="AK79" s="330"/>
      <c r="AL79" s="330"/>
      <c r="AM79" s="330"/>
      <c r="AN79" s="330"/>
      <c r="AO79" s="330"/>
      <c r="AP79" s="330"/>
      <c r="AQ79" s="331"/>
      <c r="AR79" s="330"/>
      <c r="AS79" s="330"/>
      <c r="AT79" s="330"/>
      <c r="AU79" s="330"/>
      <c r="AV79" s="330"/>
      <c r="AW79" s="330"/>
      <c r="AX79" s="330"/>
      <c r="AY79" s="330"/>
      <c r="AZ79" s="332"/>
    </row>
    <row r="80" spans="1:52" x14ac:dyDescent="0.2">
      <c r="A80" s="329"/>
      <c r="B80" s="330"/>
      <c r="C80" s="330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0"/>
      <c r="T80" s="330"/>
      <c r="U80" s="330"/>
      <c r="V80" s="330"/>
      <c r="W80" s="330"/>
      <c r="X80" s="330"/>
      <c r="Y80" s="330"/>
      <c r="Z80" s="330"/>
      <c r="AA80" s="330"/>
      <c r="AB80" s="330"/>
      <c r="AC80" s="330"/>
      <c r="AD80" s="330"/>
      <c r="AE80" s="330"/>
      <c r="AF80" s="330"/>
      <c r="AG80" s="330"/>
      <c r="AH80" s="330"/>
      <c r="AI80" s="330"/>
      <c r="AJ80" s="330"/>
      <c r="AK80" s="330"/>
      <c r="AL80" s="330"/>
      <c r="AM80" s="330"/>
      <c r="AN80" s="330"/>
      <c r="AO80" s="330"/>
      <c r="AP80" s="330"/>
      <c r="AQ80" s="917" t="str">
        <f>AQ39</f>
        <v>TIRTO  NADI</v>
      </c>
      <c r="AR80" s="918"/>
      <c r="AS80" s="918"/>
      <c r="AT80" s="918"/>
      <c r="AU80" s="918"/>
      <c r="AV80" s="918"/>
      <c r="AW80" s="918"/>
      <c r="AX80" s="918"/>
      <c r="AY80" s="918"/>
      <c r="AZ80" s="919"/>
    </row>
    <row r="81" spans="1:52" x14ac:dyDescent="0.2">
      <c r="A81" s="329"/>
      <c r="B81" s="330"/>
      <c r="C81" s="330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0"/>
      <c r="T81" s="330"/>
      <c r="U81" s="330"/>
      <c r="V81" s="330"/>
      <c r="W81" s="330"/>
      <c r="X81" s="330"/>
      <c r="Y81" s="330"/>
      <c r="Z81" s="330"/>
      <c r="AA81" s="330"/>
      <c r="AB81" s="330"/>
      <c r="AC81" s="330"/>
      <c r="AD81" s="330"/>
      <c r="AE81" s="330"/>
      <c r="AF81" s="330"/>
      <c r="AG81" s="330"/>
      <c r="AH81" s="330"/>
      <c r="AI81" s="330"/>
      <c r="AJ81" s="330"/>
      <c r="AK81" s="330"/>
      <c r="AL81" s="330"/>
      <c r="AM81" s="330"/>
      <c r="AN81" s="330"/>
      <c r="AO81" s="330"/>
      <c r="AP81" s="330"/>
      <c r="AQ81" s="909"/>
      <c r="AR81" s="889"/>
      <c r="AS81" s="889"/>
      <c r="AT81" s="889"/>
      <c r="AU81" s="889"/>
      <c r="AV81" s="889"/>
      <c r="AW81" s="889"/>
      <c r="AX81" s="889"/>
      <c r="AY81" s="889"/>
      <c r="AZ81" s="910"/>
    </row>
    <row r="82" spans="1:52" x14ac:dyDescent="0.2">
      <c r="A82" s="329"/>
      <c r="B82" s="330"/>
      <c r="C82" s="330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0"/>
      <c r="T82" s="330"/>
      <c r="U82" s="330"/>
      <c r="V82" s="330"/>
      <c r="W82" s="330"/>
      <c r="X82" s="330"/>
      <c r="Y82" s="330"/>
      <c r="Z82" s="330"/>
      <c r="AA82" s="330"/>
      <c r="AB82" s="330"/>
      <c r="AC82" s="330"/>
      <c r="AD82" s="330"/>
      <c r="AE82" s="330"/>
      <c r="AF82" s="330"/>
      <c r="AG82" s="330"/>
      <c r="AH82" s="330"/>
      <c r="AI82" s="330"/>
      <c r="AJ82" s="330"/>
      <c r="AK82" s="330"/>
      <c r="AL82" s="330"/>
      <c r="AM82" s="330"/>
      <c r="AN82" s="330"/>
      <c r="AO82" s="330"/>
      <c r="AP82" s="330"/>
      <c r="AQ82" s="920" t="s">
        <v>143</v>
      </c>
      <c r="AR82" s="921"/>
      <c r="AS82" s="921"/>
      <c r="AT82" s="921"/>
      <c r="AU82" s="921"/>
      <c r="AV82" s="921"/>
      <c r="AW82" s="921"/>
      <c r="AX82" s="921"/>
      <c r="AY82" s="921"/>
      <c r="AZ82" s="922"/>
    </row>
    <row r="83" spans="1:52" ht="13.5" thickBot="1" x14ac:dyDescent="0.25">
      <c r="A83" s="341"/>
      <c r="B83" s="342"/>
      <c r="C83" s="342"/>
      <c r="D83" s="342"/>
      <c r="E83" s="342"/>
      <c r="F83" s="342"/>
      <c r="G83" s="342"/>
      <c r="H83" s="342"/>
      <c r="I83" s="342"/>
      <c r="J83" s="342"/>
      <c r="K83" s="342"/>
      <c r="L83" s="342"/>
      <c r="M83" s="342"/>
      <c r="N83" s="342"/>
      <c r="O83" s="342"/>
      <c r="P83" s="342"/>
      <c r="Q83" s="342"/>
      <c r="R83" s="342"/>
      <c r="S83" s="342"/>
      <c r="T83" s="342"/>
      <c r="U83" s="342"/>
      <c r="V83" s="342"/>
      <c r="W83" s="342"/>
      <c r="X83" s="342"/>
      <c r="Y83" s="342"/>
      <c r="Z83" s="342"/>
      <c r="AA83" s="342"/>
      <c r="AB83" s="342"/>
      <c r="AC83" s="342"/>
      <c r="AD83" s="342"/>
      <c r="AE83" s="342"/>
      <c r="AF83" s="342"/>
      <c r="AG83" s="342"/>
      <c r="AH83" s="342"/>
      <c r="AI83" s="342"/>
      <c r="AJ83" s="342"/>
      <c r="AK83" s="342"/>
      <c r="AL83" s="342"/>
      <c r="AM83" s="342"/>
      <c r="AN83" s="342"/>
      <c r="AO83" s="342"/>
      <c r="AP83" s="342"/>
      <c r="AQ83" s="923"/>
      <c r="AR83" s="924"/>
      <c r="AS83" s="924"/>
      <c r="AT83" s="924"/>
      <c r="AU83" s="924"/>
      <c r="AV83" s="924"/>
      <c r="AW83" s="924"/>
      <c r="AX83" s="924"/>
      <c r="AY83" s="924"/>
      <c r="AZ83" s="925"/>
    </row>
  </sheetData>
  <mergeCells count="47">
    <mergeCell ref="AQ82:AZ83"/>
    <mergeCell ref="AC68:AK68"/>
    <mergeCell ref="AQ75:AZ75"/>
    <mergeCell ref="AQ62:AZ62"/>
    <mergeCell ref="AQ67:AZ67"/>
    <mergeCell ref="AQ68:AZ68"/>
    <mergeCell ref="AQ69:AZ69"/>
    <mergeCell ref="AQ74:AZ74"/>
    <mergeCell ref="AQ76:AZ76"/>
    <mergeCell ref="AQ80:AZ80"/>
    <mergeCell ref="AQ40:AZ40"/>
    <mergeCell ref="AQ32:AZ32"/>
    <mergeCell ref="AQ33:AZ33"/>
    <mergeCell ref="AQ39:AZ39"/>
    <mergeCell ref="AQ81:AZ81"/>
    <mergeCell ref="AQ58:AZ58"/>
    <mergeCell ref="AQ53:AZ53"/>
    <mergeCell ref="AQ54:AZ54"/>
    <mergeCell ref="AQ56:AZ56"/>
    <mergeCell ref="AQ41:AZ42"/>
    <mergeCell ref="AQ51:AZ51"/>
    <mergeCell ref="AQ52:AZ52"/>
    <mergeCell ref="AQ60:AZ61"/>
    <mergeCell ref="AQ15:AZ15"/>
    <mergeCell ref="AQ17:AZ18"/>
    <mergeCell ref="AQ20:AZ20"/>
    <mergeCell ref="AQ27:AZ27"/>
    <mergeCell ref="AQ34:AZ34"/>
    <mergeCell ref="AQ19:AZ19"/>
    <mergeCell ref="AQ25:AZ25"/>
    <mergeCell ref="AQ26:AZ26"/>
    <mergeCell ref="AQ8:AZ8"/>
    <mergeCell ref="AQ9:AZ9"/>
    <mergeCell ref="AQ10:AZ10"/>
    <mergeCell ref="AQ11:AZ11"/>
    <mergeCell ref="AQ13:AZ13"/>
    <mergeCell ref="W64:Y64"/>
    <mergeCell ref="I64:K64"/>
    <mergeCell ref="Y59:Z59"/>
    <mergeCell ref="R5:S5"/>
    <mergeCell ref="B25:B26"/>
    <mergeCell ref="B29:B30"/>
    <mergeCell ref="O59:Q59"/>
    <mergeCell ref="P62:Q62"/>
    <mergeCell ref="H59:I59"/>
    <mergeCell ref="J50:X51"/>
    <mergeCell ref="E38:F38"/>
  </mergeCells>
  <printOptions horizontalCentered="1"/>
  <pageMargins left="0.19685039370078741" right="0.19685039370078741" top="0.74803149606299213" bottom="0.74803149606299213" header="0.31496062992125984" footer="0.31496062992125984"/>
  <pageSetup paperSize="256" scale="78" fitToHeight="0" orientation="landscape" horizontalDpi="4294967293" r:id="rId1"/>
  <rowBreaks count="1" manualBreakCount="1">
    <brk id="42" max="5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J15"/>
  <sheetViews>
    <sheetView workbookViewId="0">
      <selection activeCell="J15" sqref="J15"/>
    </sheetView>
  </sheetViews>
  <sheetFormatPr defaultRowHeight="12.75" x14ac:dyDescent="0.2"/>
  <sheetData>
    <row r="1" spans="1:10" x14ac:dyDescent="0.2">
      <c r="A1" s="622" t="s">
        <v>92</v>
      </c>
      <c r="B1" s="621">
        <v>0.86</v>
      </c>
      <c r="C1">
        <v>6</v>
      </c>
      <c r="D1">
        <v>26.25</v>
      </c>
      <c r="E1">
        <v>2.4E-2</v>
      </c>
      <c r="F1">
        <f>B1/C1*D1</f>
        <v>3.7625000000000002</v>
      </c>
      <c r="G1">
        <f>B1/C1*D1/E1</f>
        <v>156.77083333333334</v>
      </c>
      <c r="I1">
        <v>157</v>
      </c>
    </row>
    <row r="2" spans="1:10" x14ac:dyDescent="0.2">
      <c r="A2" s="622" t="s">
        <v>19</v>
      </c>
      <c r="B2" s="621">
        <v>2</v>
      </c>
      <c r="C2">
        <v>6</v>
      </c>
      <c r="D2">
        <v>26.25</v>
      </c>
      <c r="F2">
        <f t="shared" ref="F2:F3" si="0">B2/C2*D2</f>
        <v>8.75</v>
      </c>
      <c r="I2">
        <f>I1*0.024</f>
        <v>3.7680000000000002</v>
      </c>
    </row>
    <row r="3" spans="1:10" x14ac:dyDescent="0.2">
      <c r="A3" s="622" t="s">
        <v>375</v>
      </c>
      <c r="B3" s="621">
        <v>3</v>
      </c>
      <c r="C3">
        <v>6</v>
      </c>
      <c r="D3">
        <v>26.25</v>
      </c>
      <c r="F3">
        <f t="shared" si="0"/>
        <v>13.125</v>
      </c>
    </row>
    <row r="4" spans="1:10" x14ac:dyDescent="0.2">
      <c r="I4">
        <v>15</v>
      </c>
    </row>
    <row r="5" spans="1:10" x14ac:dyDescent="0.2">
      <c r="I5">
        <v>20</v>
      </c>
    </row>
    <row r="15" spans="1:10" x14ac:dyDescent="0.2">
      <c r="J15">
        <f>50 *3.5*0.15</f>
        <v>26.25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8</vt:i4>
      </vt:variant>
    </vt:vector>
  </HeadingPairs>
  <TitlesOfParts>
    <vt:vector size="20" baseType="lpstr">
      <vt:lpstr>1. DataSheet</vt:lpstr>
      <vt:lpstr>7. RAB</vt:lpstr>
      <vt:lpstr>2. TOS</vt:lpstr>
      <vt:lpstr>3. Analisa</vt:lpstr>
      <vt:lpstr>4. Rekap</vt:lpstr>
      <vt:lpstr>Rekapitulasi AB</vt:lpstr>
      <vt:lpstr>5. Rekap Bahan &amp; Upah</vt:lpstr>
      <vt:lpstr>6. Survei Harga</vt:lpstr>
      <vt:lpstr>RAB RKP</vt:lpstr>
      <vt:lpstr>8. Proposal Teknis</vt:lpstr>
      <vt:lpstr>9. Gambar Teknis</vt:lpstr>
      <vt:lpstr>Sheet1</vt:lpstr>
      <vt:lpstr>'2. TOS'!Print_Area</vt:lpstr>
      <vt:lpstr>'3. Analisa'!Print_Area</vt:lpstr>
      <vt:lpstr>'4. Rekap'!Print_Area</vt:lpstr>
      <vt:lpstr>'5. Rekap Bahan &amp; Upah'!Print_Area</vt:lpstr>
      <vt:lpstr>'6. Survei Harga'!Print_Area</vt:lpstr>
      <vt:lpstr>'7. RAB'!Print_Area</vt:lpstr>
      <vt:lpstr>'9. Gambar Teknis'!Print_Area</vt:lpstr>
      <vt:lpstr>'Rekapitulasi AB'!Print_Area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IKROMI</dc:creator>
  <cp:lastModifiedBy>Ujang RH</cp:lastModifiedBy>
  <cp:lastPrinted>2020-02-24T02:02:04Z</cp:lastPrinted>
  <dcterms:created xsi:type="dcterms:W3CDTF">2005-02-23T11:46:50Z</dcterms:created>
  <dcterms:modified xsi:type="dcterms:W3CDTF">2020-05-12T05:32:15Z</dcterms:modified>
</cp:coreProperties>
</file>