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SA\03 PERENCANAAN\2020\7. ANALISA,RAB,PRONIS, DAN GAMBAR TEKNIS\"/>
    </mc:Choice>
  </mc:AlternateContent>
  <bookViews>
    <workbookView xWindow="0" yWindow="0" windowWidth="20490" windowHeight="7755" tabRatio="830"/>
  </bookViews>
  <sheets>
    <sheet name="RAB" sheetId="13" r:id="rId1"/>
    <sheet name="Analisa" sheetId="2" state="hidden" r:id="rId2"/>
    <sheet name="Rekap" sheetId="1" r:id="rId3"/>
    <sheet name="01.Pekerjaan Tiang besi" sheetId="5" r:id="rId4"/>
    <sheet name="02. Pekerjaan Sloof besi" sheetId="6" r:id="rId5"/>
    <sheet name="03. Pemasangan Atap" sheetId="7" r:id="rId6"/>
    <sheet name="04. Pekerjaan tutup Samping" sheetId="8" r:id="rId7"/>
    <sheet name="05. Pekerjaan lantai" sheetId="9" r:id="rId8"/>
    <sheet name="06. Pekerjaan dinding" sheetId="10" r:id="rId9"/>
    <sheet name="07. Pekerjaan pembuatan selasar" sheetId="11" r:id="rId10"/>
    <sheet name="08. Pek. Dinding seng" sheetId="12" r:id="rId11"/>
  </sheets>
  <externalReferences>
    <externalReference r:id="rId12"/>
    <externalReference r:id="rId13"/>
  </externalReferences>
  <definedNames>
    <definedName name="_xlnm.Print_Area" localSheetId="0">RAB!$A$1:$G$86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3" i="13" l="1"/>
  <c r="L74" i="13" s="1"/>
  <c r="E23" i="13" l="1"/>
  <c r="E24" i="13"/>
  <c r="E54" i="13" l="1"/>
  <c r="F44" i="13" l="1"/>
  <c r="F45" i="13"/>
  <c r="F46" i="13"/>
  <c r="F47" i="13"/>
  <c r="F48" i="13"/>
  <c r="F49" i="13"/>
  <c r="C29" i="1"/>
  <c r="I43" i="1" l="1"/>
  <c r="E74" i="13" l="1"/>
  <c r="E56" i="13"/>
  <c r="E57" i="13"/>
  <c r="E58" i="13"/>
  <c r="E59" i="13"/>
  <c r="E60" i="13"/>
  <c r="E55" i="13"/>
  <c r="D56" i="13"/>
  <c r="D57" i="13"/>
  <c r="D58" i="13"/>
  <c r="D59" i="13"/>
  <c r="D60" i="13"/>
  <c r="D55" i="13"/>
  <c r="C59" i="13"/>
  <c r="F59" i="13" s="1"/>
  <c r="C60" i="13"/>
  <c r="F60" i="13" s="1"/>
  <c r="B60" i="13"/>
  <c r="B56" i="13"/>
  <c r="B57" i="13"/>
  <c r="B58" i="13"/>
  <c r="B59" i="13"/>
  <c r="B55" i="13"/>
  <c r="F34" i="1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3" i="13"/>
  <c r="C50" i="13"/>
  <c r="C51" i="13"/>
  <c r="C52" i="13"/>
  <c r="K36" i="1"/>
  <c r="K35" i="1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3" i="13"/>
  <c r="E51" i="13"/>
  <c r="E52" i="13"/>
  <c r="E20" i="13"/>
  <c r="E21" i="13"/>
  <c r="E22" i="13"/>
  <c r="E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50" i="13"/>
  <c r="D51" i="13"/>
  <c r="D52" i="13"/>
  <c r="D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50" i="13"/>
  <c r="B51" i="13"/>
  <c r="B52" i="13"/>
  <c r="B19" i="13"/>
  <c r="F85" i="13"/>
  <c r="E73" i="13"/>
  <c r="D73" i="13"/>
  <c r="E72" i="13"/>
  <c r="D72" i="13"/>
  <c r="E69" i="13"/>
  <c r="F69" i="13" s="1"/>
  <c r="F70" i="13" s="1"/>
  <c r="G70" i="13" s="1"/>
  <c r="D69" i="13"/>
  <c r="B69" i="13"/>
  <c r="F66" i="13"/>
  <c r="E65" i="13"/>
  <c r="F64" i="13"/>
  <c r="B64" i="13"/>
  <c r="D54" i="13"/>
  <c r="B54" i="13"/>
  <c r="M8" i="13"/>
  <c r="C7" i="13"/>
  <c r="C6" i="13"/>
  <c r="C5" i="13"/>
  <c r="C4" i="13"/>
  <c r="K37" i="1" l="1"/>
  <c r="F40" i="13"/>
  <c r="F36" i="13"/>
  <c r="F32" i="13"/>
  <c r="F28" i="13"/>
  <c r="F50" i="13"/>
  <c r="H50" i="13" s="1"/>
  <c r="F43" i="13"/>
  <c r="F35" i="13"/>
  <c r="F27" i="13"/>
  <c r="F39" i="13"/>
  <c r="H39" i="13" s="1"/>
  <c r="F31" i="13"/>
  <c r="F52" i="13"/>
  <c r="F42" i="13"/>
  <c r="F38" i="13"/>
  <c r="F34" i="13"/>
  <c r="F30" i="13"/>
  <c r="F26" i="13"/>
  <c r="F37" i="13"/>
  <c r="H37" i="13" s="1"/>
  <c r="F51" i="13"/>
  <c r="H51" i="13" s="1"/>
  <c r="F41" i="13"/>
  <c r="F33" i="13"/>
  <c r="F29" i="13"/>
  <c r="F65" i="13"/>
  <c r="F67" i="13" s="1"/>
  <c r="G67" i="13" s="1"/>
  <c r="F54" i="13"/>
  <c r="F72" i="13"/>
  <c r="F73" i="13"/>
  <c r="K9" i="13"/>
  <c r="H52" i="13" l="1"/>
  <c r="E35" i="1"/>
  <c r="J43" i="1"/>
  <c r="F35" i="1" l="1"/>
  <c r="F25" i="1"/>
  <c r="F53" i="1"/>
  <c r="F16" i="1" l="1"/>
  <c r="F28" i="1" l="1"/>
  <c r="F12" i="1" l="1"/>
  <c r="F13" i="1"/>
  <c r="F14" i="1"/>
  <c r="F15" i="1"/>
  <c r="F17" i="1"/>
  <c r="F18" i="1"/>
  <c r="F19" i="1"/>
  <c r="F20" i="1"/>
  <c r="F21" i="1"/>
  <c r="F22" i="1"/>
  <c r="F23" i="1"/>
  <c r="F24" i="1"/>
  <c r="F26" i="1"/>
  <c r="F27" i="1"/>
  <c r="F29" i="1"/>
  <c r="F30" i="1"/>
  <c r="F31" i="1"/>
  <c r="F32" i="1"/>
  <c r="C7" i="1"/>
  <c r="C21" i="13" s="1"/>
  <c r="C17" i="12"/>
  <c r="C21" i="12" s="1"/>
  <c r="C16" i="12"/>
  <c r="C8" i="12"/>
  <c r="C7" i="12"/>
  <c r="C10" i="12" s="1"/>
  <c r="C19" i="11"/>
  <c r="C22" i="11" s="1"/>
  <c r="C13" i="11"/>
  <c r="C11" i="11"/>
  <c r="C39" i="10"/>
  <c r="C44" i="10" s="1"/>
  <c r="C48" i="10" s="1"/>
  <c r="C20" i="10"/>
  <c r="C16" i="10"/>
  <c r="C13" i="10"/>
  <c r="C35" i="9"/>
  <c r="C38" i="9" s="1"/>
  <c r="C27" i="9"/>
  <c r="C20" i="9"/>
  <c r="C25" i="9" s="1"/>
  <c r="C13" i="9"/>
  <c r="C33" i="1" s="1"/>
  <c r="C11" i="8"/>
  <c r="C9" i="8"/>
  <c r="C66" i="7"/>
  <c r="C65" i="7"/>
  <c r="C59" i="7"/>
  <c r="C69" i="7" s="1"/>
  <c r="C56" i="7"/>
  <c r="C58" i="7" s="1"/>
  <c r="C55" i="7"/>
  <c r="C41" i="7"/>
  <c r="C45" i="7" s="1"/>
  <c r="C40" i="7"/>
  <c r="C30" i="7"/>
  <c r="C21" i="7"/>
  <c r="C14" i="7"/>
  <c r="C15" i="7" s="1"/>
  <c r="C23" i="7" s="1"/>
  <c r="C38" i="6"/>
  <c r="C34" i="6"/>
  <c r="C37" i="6" s="1"/>
  <c r="C33" i="6"/>
  <c r="C20" i="6"/>
  <c r="C23" i="6" s="1"/>
  <c r="C15" i="6"/>
  <c r="C11" i="6"/>
  <c r="C14" i="6" s="1"/>
  <c r="C31" i="5"/>
  <c r="C21" i="5"/>
  <c r="C28" i="5" s="1"/>
  <c r="C14" i="5"/>
  <c r="C18" i="5" s="1"/>
  <c r="C9" i="1" s="1"/>
  <c r="C23" i="13" s="1"/>
  <c r="C13" i="5"/>
  <c r="C122" i="2"/>
  <c r="C25" i="2"/>
  <c r="C15" i="2"/>
  <c r="C22" i="2" s="1"/>
  <c r="C8" i="2"/>
  <c r="C12" i="2" s="1"/>
  <c r="C7" i="2"/>
  <c r="C28" i="2" l="1"/>
  <c r="C29" i="2"/>
  <c r="C11" i="1" s="1"/>
  <c r="C25" i="13" s="1"/>
  <c r="C53" i="13"/>
  <c r="F53" i="13" s="1"/>
  <c r="F33" i="1"/>
  <c r="C21" i="2"/>
  <c r="C15" i="8"/>
  <c r="F9" i="1"/>
  <c r="F23" i="13"/>
  <c r="F7" i="1"/>
  <c r="F21" i="13"/>
  <c r="F11" i="1"/>
  <c r="F25" i="13"/>
  <c r="C25" i="12"/>
  <c r="C24" i="12"/>
  <c r="C9" i="12"/>
  <c r="C20" i="12"/>
  <c r="C18" i="10"/>
  <c r="C23" i="9"/>
  <c r="C14" i="8"/>
  <c r="C26" i="7"/>
  <c r="C25" i="7"/>
  <c r="C48" i="7"/>
  <c r="C49" i="7"/>
  <c r="C70" i="7"/>
  <c r="C44" i="7"/>
  <c r="C25" i="6"/>
  <c r="C26" i="6"/>
  <c r="C40" i="6" s="1"/>
  <c r="C10" i="1" s="1"/>
  <c r="C22" i="6"/>
  <c r="C35" i="5"/>
  <c r="C34" i="5"/>
  <c r="C27" i="5"/>
  <c r="C17" i="5"/>
  <c r="C11" i="2"/>
  <c r="C24" i="13" l="1"/>
  <c r="F24" i="13" s="1"/>
  <c r="F10" i="1"/>
  <c r="C22" i="10"/>
  <c r="C25" i="10" s="1"/>
  <c r="C8" i="1"/>
  <c r="C31" i="10"/>
  <c r="C6" i="1" s="1"/>
  <c r="C28" i="10"/>
  <c r="C5" i="1" s="1"/>
  <c r="C34" i="7"/>
  <c r="C33" i="7"/>
  <c r="C177" i="2"/>
  <c r="C180" i="2" s="1"/>
  <c r="C19" i="13" l="1"/>
  <c r="F5" i="1"/>
  <c r="F4" i="1" s="1"/>
  <c r="F6" i="1"/>
  <c r="C20" i="13"/>
  <c r="F20" i="13" s="1"/>
  <c r="C22" i="13"/>
  <c r="F8" i="1"/>
  <c r="C255" i="2"/>
  <c r="C259" i="2" s="1"/>
  <c r="C254" i="2"/>
  <c r="C246" i="2"/>
  <c r="C245" i="2"/>
  <c r="C238" i="2"/>
  <c r="C241" i="2" s="1"/>
  <c r="C222" i="2"/>
  <c r="C227" i="2" s="1"/>
  <c r="C215" i="2"/>
  <c r="C213" i="2"/>
  <c r="C195" i="2"/>
  <c r="C191" i="2"/>
  <c r="C188" i="2"/>
  <c r="C155" i="2"/>
  <c r="C162" i="2"/>
  <c r="C167" i="2" s="1"/>
  <c r="C143" i="2"/>
  <c r="C141" i="2"/>
  <c r="C133" i="2"/>
  <c r="C132" i="2"/>
  <c r="C123" i="2"/>
  <c r="C126" i="2" s="1"/>
  <c r="C136" i="2" s="1"/>
  <c r="C108" i="2"/>
  <c r="C111" i="2" s="1"/>
  <c r="C107" i="2"/>
  <c r="C97" i="2"/>
  <c r="C88" i="2"/>
  <c r="C81" i="2"/>
  <c r="C82" i="2" s="1"/>
  <c r="H39" i="1" l="1"/>
  <c r="I39" i="1" s="1"/>
  <c r="J39" i="1" s="1"/>
  <c r="F19" i="13"/>
  <c r="H19" i="13"/>
  <c r="F22" i="13"/>
  <c r="K23" i="13"/>
  <c r="K24" i="13" s="1"/>
  <c r="C258" i="2"/>
  <c r="C248" i="2"/>
  <c r="C43" i="1" s="1"/>
  <c r="C263" i="2"/>
  <c r="C262" i="2"/>
  <c r="C247" i="2"/>
  <c r="C231" i="2"/>
  <c r="C146" i="2"/>
  <c r="C193" i="2"/>
  <c r="C197" i="2" s="1"/>
  <c r="C200" i="2" s="1"/>
  <c r="C203" i="2" s="1"/>
  <c r="C169" i="2"/>
  <c r="C125" i="2"/>
  <c r="C112" i="2"/>
  <c r="C115" i="2" s="1"/>
  <c r="C147" i="2"/>
  <c r="C48" i="1" s="1"/>
  <c r="F48" i="1" s="1"/>
  <c r="F47" i="1" s="1"/>
  <c r="C137" i="2"/>
  <c r="C42" i="1" s="1"/>
  <c r="C165" i="2"/>
  <c r="C90" i="2"/>
  <c r="C93" i="2" s="1"/>
  <c r="C51" i="1"/>
  <c r="F45" i="1"/>
  <c r="F44" i="1"/>
  <c r="C65" i="2"/>
  <c r="C69" i="2" s="1"/>
  <c r="C64" i="2"/>
  <c r="C51" i="2"/>
  <c r="C54" i="2" s="1"/>
  <c r="C39" i="2"/>
  <c r="C42" i="2" s="1"/>
  <c r="F43" i="1" l="1"/>
  <c r="C58" i="13"/>
  <c r="F58" i="13" s="1"/>
  <c r="H25" i="13"/>
  <c r="F42" i="1"/>
  <c r="C57" i="13"/>
  <c r="F57" i="13" s="1"/>
  <c r="F51" i="1"/>
  <c r="F50" i="1" s="1"/>
  <c r="C74" i="13"/>
  <c r="F74" i="13" s="1"/>
  <c r="F75" i="13" s="1"/>
  <c r="G75" i="13" s="1"/>
  <c r="C206" i="2"/>
  <c r="C116" i="2"/>
  <c r="C92" i="2"/>
  <c r="C43" i="2"/>
  <c r="C46" i="2" s="1"/>
  <c r="C68" i="2"/>
  <c r="C101" i="2"/>
  <c r="C100" i="2"/>
  <c r="C47" i="2"/>
  <c r="C56" i="2"/>
  <c r="C57" i="2"/>
  <c r="C71" i="2" s="1"/>
  <c r="C53" i="2"/>
  <c r="C40" i="1" l="1"/>
  <c r="C55" i="13" s="1"/>
  <c r="F55" i="13" s="1"/>
  <c r="F62" i="13" s="1"/>
  <c r="G62" i="13" s="1"/>
  <c r="C41" i="1"/>
  <c r="C56" i="13" s="1"/>
  <c r="F56" i="13" s="1"/>
  <c r="I83" i="13"/>
  <c r="I9" i="13"/>
  <c r="H74" i="13"/>
  <c r="H5" i="1"/>
  <c r="J9" i="13" l="1"/>
  <c r="I7" i="13"/>
  <c r="H75" i="13"/>
  <c r="F41" i="1"/>
  <c r="F40" i="1"/>
  <c r="H6" i="1"/>
  <c r="H7" i="1" s="1"/>
  <c r="H9" i="1" s="1"/>
  <c r="C16" i="13" l="1"/>
  <c r="E14" i="13"/>
  <c r="F14" i="13" s="1"/>
  <c r="E15" i="13"/>
  <c r="F15" i="13" s="1"/>
  <c r="E16" i="13"/>
  <c r="F39" i="1"/>
  <c r="F55" i="1" s="1"/>
  <c r="F59" i="1" s="1"/>
  <c r="H80" i="13"/>
  <c r="F16" i="13" l="1"/>
  <c r="F17" i="13" s="1"/>
  <c r="F76" i="13" l="1"/>
  <c r="G76" i="13" s="1"/>
  <c r="G17" i="13"/>
  <c r="H9" i="13" s="1"/>
  <c r="I77" i="13" l="1"/>
  <c r="G82" i="13"/>
</calcChain>
</file>

<file path=xl/comments1.xml><?xml version="1.0" encoding="utf-8"?>
<comments xmlns="http://schemas.openxmlformats.org/spreadsheetml/2006/main">
  <authors>
    <author>Ujang Rahmat Hidayat</author>
    <author>Ari</author>
    <author>Windows User</author>
  </authors>
  <commentList>
    <comment ref="H4" authorId="0" shapeId="0">
      <text>
        <r>
          <rPr>
            <b/>
            <sz val="9"/>
            <color indexed="81"/>
            <rFont val="Tahoma"/>
            <family val="2"/>
          </rPr>
          <t>Ujang Rahmat Hidayat:</t>
        </r>
        <r>
          <rPr>
            <sz val="9"/>
            <color indexed="81"/>
            <rFont val="Tahoma"/>
            <family val="2"/>
          </rPr>
          <t xml:space="preserve">
Masukan No. Kegiatan disini</t>
        </r>
      </text>
    </comment>
    <comment ref="C57" authorId="1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Ditambah dengan kebutuhan seng galvarlum untuk penutup samping</t>
        </r>
      </text>
    </comment>
    <comment ref="F73" authorId="2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Ditambah dengan angka manual karena untuk menghabiskan sisa anggaran pertama</t>
        </r>
      </text>
    </comment>
  </commentList>
</comments>
</file>

<file path=xl/comments2.xml><?xml version="1.0" encoding="utf-8"?>
<comments xmlns="http://schemas.openxmlformats.org/spreadsheetml/2006/main">
  <authors>
    <author>Ari</author>
  </authors>
  <commentList>
    <comment ref="H9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Biaya Per Meter Jika Menggunakan Besi Leter U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Tidak termasuk papan proyek</t>
        </r>
      </text>
    </comment>
    <comment ref="B43" authorId="0" shapeId="0">
      <text>
        <r>
          <rPr>
            <b/>
            <sz val="9"/>
            <color indexed="81"/>
            <rFont val="Tahoma"/>
            <family val="2"/>
          </rPr>
          <t>Ari:</t>
        </r>
        <r>
          <rPr>
            <sz val="9"/>
            <color indexed="81"/>
            <rFont val="Tahoma"/>
            <family val="2"/>
          </rPr>
          <t xml:space="preserve">
Untuk dinding</t>
        </r>
      </text>
    </comment>
  </commentList>
</comments>
</file>

<file path=xl/sharedStrings.xml><?xml version="1.0" encoding="utf-8"?>
<sst xmlns="http://schemas.openxmlformats.org/spreadsheetml/2006/main" count="1171" uniqueCount="381">
  <si>
    <t>No.</t>
  </si>
  <si>
    <t>Uraian</t>
  </si>
  <si>
    <t>Volume</t>
  </si>
  <si>
    <t xml:space="preserve">Satuan </t>
  </si>
  <si>
    <t>Harga satuan</t>
  </si>
  <si>
    <t>Total</t>
  </si>
  <si>
    <t>Baut Pengikat</t>
  </si>
  <si>
    <t>Kebutuhan Besi Leter U</t>
  </si>
  <si>
    <t>m</t>
  </si>
  <si>
    <t>Batang</t>
  </si>
  <si>
    <t>Buah</t>
  </si>
  <si>
    <t>Kebutuhan Besi Leter U (Sloof)</t>
  </si>
  <si>
    <t>Jumlah Tiang (Jt)</t>
  </si>
  <si>
    <t>Panjang 1 buah tiang (Pt)</t>
  </si>
  <si>
    <t>Jt x Pt</t>
  </si>
  <si>
    <t>=</t>
  </si>
  <si>
    <t>Panjang Total seluruh tiang (Pst)</t>
  </si>
  <si>
    <t>Pst / Panjang 1 Batang Besi</t>
  </si>
  <si>
    <t>(Panjang Bangunan x 2) + (Lebar Bangunan x 2)</t>
  </si>
  <si>
    <t>(24 x 2) + (12 X 2 )</t>
  </si>
  <si>
    <t>Panjang Total Sloof (Pts)</t>
  </si>
  <si>
    <t>Pts / Panjang total sloof</t>
  </si>
  <si>
    <t/>
  </si>
  <si>
    <t>Btg</t>
  </si>
  <si>
    <t>Kebutuhan besi leter u (Tiang) + Kebutuhan besi leter u (Sloof)</t>
  </si>
  <si>
    <t>Besi Leter U Ukuran 6"</t>
  </si>
  <si>
    <t>Kebutuhan Besi Leter U (Dudukan Rangka bawah)</t>
  </si>
  <si>
    <t>Lebar Bangunan + Restan atap (Lb)</t>
  </si>
  <si>
    <t>Lb x 2</t>
  </si>
  <si>
    <t>Panjang Total Kedudukan (Ptk)</t>
  </si>
  <si>
    <t>Ptk / Panjang 1 Btg Besi</t>
  </si>
  <si>
    <t>Panjang 1 Skor (Ps)</t>
  </si>
  <si>
    <t>M</t>
  </si>
  <si>
    <t>Jumlah skor dalam 1 buah tiang (Js)</t>
  </si>
  <si>
    <t>Jt x Js</t>
  </si>
  <si>
    <t>Panjang Total Skor (Pts)</t>
  </si>
  <si>
    <t>Pts / Panjang 1 Batang Besi</t>
  </si>
  <si>
    <t>Kebutuhan besi leter U Ukuran 6" untuk Skor</t>
  </si>
  <si>
    <t>Jumlah Total Kebutuhan besi leter U Ukuran 6"</t>
  </si>
  <si>
    <t>Besi Leter U Ukuran 8"</t>
  </si>
  <si>
    <t>Besi Plat Ukuran 8 mm</t>
  </si>
  <si>
    <t>Keping</t>
  </si>
  <si>
    <t>Kebutuhan Plat Besi Ukuran 8 mm</t>
  </si>
  <si>
    <t xml:space="preserve">0.5 x 0.15 </t>
  </si>
  <si>
    <t>Jumlah Plat pengikat dalam 1 tiang (Jp)</t>
  </si>
  <si>
    <t>Luas 1 Plat Pengikat (Lp)</t>
  </si>
  <si>
    <t>Luas Total Seluruh Pelat (Lsp)</t>
  </si>
  <si>
    <t>m2</t>
  </si>
  <si>
    <t>Luas 1 Keping besi Plat (Lbp)</t>
  </si>
  <si>
    <t>1,2 x 1,8</t>
  </si>
  <si>
    <t>Kebutuhan Besi Plat</t>
  </si>
  <si>
    <t>Lsp / Lbp</t>
  </si>
  <si>
    <t>Cat Anti Karat</t>
  </si>
  <si>
    <t>Kaleng</t>
  </si>
  <si>
    <t>Upah</t>
  </si>
  <si>
    <t>Papan</t>
  </si>
  <si>
    <t>Kayu kasau</t>
  </si>
  <si>
    <t>Paku</t>
  </si>
  <si>
    <t>M3</t>
  </si>
  <si>
    <t>Kg</t>
  </si>
  <si>
    <t>Pekerjaan Atap</t>
  </si>
  <si>
    <t>Pekerjaan Pemasangan rangka Baja</t>
  </si>
  <si>
    <t>Panjang Total Rangka baja dalam 1 kuda-kuda</t>
  </si>
  <si>
    <t>Rangka lurus atas</t>
  </si>
  <si>
    <t>Rangka lurus bawah</t>
  </si>
  <si>
    <t>Rangka Pendek Tegak</t>
  </si>
  <si>
    <t>Rangka Pendek Diagonal</t>
  </si>
  <si>
    <t>Rangka Kuda Utama</t>
  </si>
  <si>
    <t>Panjang Total</t>
  </si>
  <si>
    <t>Rangka Kuda-kuda Skor</t>
  </si>
  <si>
    <t>x 2</t>
  </si>
  <si>
    <t>Panjang Keseluruhan Kanal dalam 1 Kuda-kuda (Pk)</t>
  </si>
  <si>
    <t>Pk / Panjang 1 Kanal</t>
  </si>
  <si>
    <t>26 / 1.5</t>
  </si>
  <si>
    <t>Panjang Bangunan / Jarak Bentangan + 1</t>
  </si>
  <si>
    <t>Kebutuhan Besi Kanal untuk seluruh Kuda-kuda</t>
  </si>
  <si>
    <t>Jumlah Seluruh Kuda-kuda (Jk)</t>
  </si>
  <si>
    <t>Kebutuhan Kanal dalam 1 Kuda-kuda (Kk)</t>
  </si>
  <si>
    <t>Kk x Jk</t>
  </si>
  <si>
    <t>Besi Kanal Merek Tasso</t>
  </si>
  <si>
    <t>Titik</t>
  </si>
  <si>
    <t>Panjang 1 Buah Reng (Pr)</t>
  </si>
  <si>
    <t>Jt x Pr</t>
  </si>
  <si>
    <t>Panjang Keseluran Besi Reng  (Pkr)</t>
  </si>
  <si>
    <t>Pkr / Panjang 1 Btg Besi</t>
  </si>
  <si>
    <t>Kebutuhan Besi reng untuk 1 Sisi Atap (Kbr)</t>
  </si>
  <si>
    <t>Kebutuhan untuk seluruh atap</t>
  </si>
  <si>
    <t>Kbr x 2</t>
  </si>
  <si>
    <t>Besi  Reng Merek Tasso</t>
  </si>
  <si>
    <t>Seng Galvalum</t>
  </si>
  <si>
    <t>Panjang Bangunan + Restan atap (Pb)</t>
  </si>
  <si>
    <t>Panjang jurai atap (Pj)</t>
  </si>
  <si>
    <t>Luas 1 bidang  atap (L1a)</t>
  </si>
  <si>
    <t>Pb x L1a</t>
  </si>
  <si>
    <t>L1a x 2</t>
  </si>
  <si>
    <t>Panjang 1 seng galvalum (Pg)</t>
  </si>
  <si>
    <t>Lebar 1 seng galvalum (Lg)</t>
  </si>
  <si>
    <t>Pg x Lg</t>
  </si>
  <si>
    <t>Kebutuhan Seng Galvalum</t>
  </si>
  <si>
    <t>Luas seluruh bidang atap (La)</t>
  </si>
  <si>
    <t>Luas 1 seng galvalum (Lsg)</t>
  </si>
  <si>
    <t>La / Lsg</t>
  </si>
  <si>
    <t xml:space="preserve">Baut </t>
  </si>
  <si>
    <t>Pekerjaan Penutup samping</t>
  </si>
  <si>
    <t>Perabung</t>
  </si>
  <si>
    <t>Luas 1 Bubungan (L1a)</t>
  </si>
  <si>
    <t>Luas 2 Bubungan (L2a)</t>
  </si>
  <si>
    <t>Luas 1 seng Galvalum (L1g)</t>
  </si>
  <si>
    <t>Kebutuhan Seng Penutup bubungan</t>
  </si>
  <si>
    <t>L2a / L1g</t>
  </si>
  <si>
    <t>Upah pemasangan atap</t>
  </si>
  <si>
    <t xml:space="preserve">luas </t>
  </si>
  <si>
    <t>Panjang Lantai (P)</t>
  </si>
  <si>
    <t>Lebar Lantai (L)</t>
  </si>
  <si>
    <t>Tinggi Lantai (T)</t>
  </si>
  <si>
    <t>P x L x T</t>
  </si>
  <si>
    <t>m3</t>
  </si>
  <si>
    <t>Kebutuhan Semen</t>
  </si>
  <si>
    <t>Volume Lantai (Vol)</t>
  </si>
  <si>
    <t>1/6 x Vol / 0.024</t>
  </si>
  <si>
    <t>Zak</t>
  </si>
  <si>
    <t>Kebutuhan semen</t>
  </si>
  <si>
    <t>Kebutuhan Pasir</t>
  </si>
  <si>
    <t>2/6 x Vol</t>
  </si>
  <si>
    <t>Kebutuhan Koral</t>
  </si>
  <si>
    <t>3/6 x Vol</t>
  </si>
  <si>
    <t>Volume Urugan (Vol)</t>
  </si>
  <si>
    <t>Panjang Lantai urug (P)</t>
  </si>
  <si>
    <t>Lebar Lantai urug (L)</t>
  </si>
  <si>
    <t>Tinggi Lantai urug (T)</t>
  </si>
  <si>
    <t>A.1 Kebutuhan Besi Leter U (Tiang)</t>
  </si>
  <si>
    <t>B.1 Kebutuhan Besi Leter U (Sloof)</t>
  </si>
  <si>
    <t>Kebutuhan total besi leter U</t>
  </si>
  <si>
    <t>B.2 Besi Leter U Ukuran 6" Untuk Dudukan rangka atap bawah</t>
  </si>
  <si>
    <t>B.3 Besi Leter U 6" untuk skor</t>
  </si>
  <si>
    <t>A. PEKERJAAN PEMASANGAN TIANG</t>
  </si>
  <si>
    <t>B. PEKERJAAN PEMASAGAN SLOOF</t>
  </si>
  <si>
    <t>C. PEKERJAAN PEMASANGAN ATAP</t>
  </si>
  <si>
    <t>C.1 Kebutuhan rangka baja (Besi Kanal)</t>
  </si>
  <si>
    <t>C.2 Pekerjaan Pemasangan reng</t>
  </si>
  <si>
    <t>Jumlah reng dalam 1 buah kuda-kuda (Jt)</t>
  </si>
  <si>
    <t>C.3 Pekerjaan Pemasangan Atap Galvalum</t>
  </si>
  <si>
    <t>C.3 Pekerjaan Tutup samping</t>
  </si>
  <si>
    <t>D. PEKERJAAN LANTAI</t>
  </si>
  <si>
    <t>D.1 Pekerjaan Urugan lantai</t>
  </si>
  <si>
    <t>D.2 Pekerjaan Pengecoran lantai</t>
  </si>
  <si>
    <t>Dinding samping Kanan</t>
  </si>
  <si>
    <t>Dinding samping kiri</t>
  </si>
  <si>
    <t>Dinding Depan</t>
  </si>
  <si>
    <t>Dinding Belakang</t>
  </si>
  <si>
    <t>Volume total dinding</t>
  </si>
  <si>
    <t>Volume 1 Biji Batu bata Berikut nat</t>
  </si>
  <si>
    <t>Jumlah batu bata (Berikut nat)</t>
  </si>
  <si>
    <t>Volume total / Volume bata berikut nat</t>
  </si>
  <si>
    <t>Volume Bata murni</t>
  </si>
  <si>
    <t>Volume total bata murni</t>
  </si>
  <si>
    <t>Jumlah batu bata (Berikut nat) x Volume bata murni</t>
  </si>
  <si>
    <t>Volume adukan</t>
  </si>
  <si>
    <t>Volume total dinding - Volume bata murni</t>
  </si>
  <si>
    <t>1/4 x Volume adukan /0.024</t>
  </si>
  <si>
    <t>Kebutuhan pasir</t>
  </si>
  <si>
    <t>3/4 x Volume Adukan</t>
  </si>
  <si>
    <t>E.1 Perhitungan Volume Dinding</t>
  </si>
  <si>
    <t>E.2 Kebutuhan Batu bata, Semen Dan Pasir</t>
  </si>
  <si>
    <t>Volume Selasar</t>
  </si>
  <si>
    <t>1/4 x Volume selasar /0.024</t>
  </si>
  <si>
    <t>3/4 x Volume selasar</t>
  </si>
  <si>
    <t>Dinding samping kanan</t>
  </si>
  <si>
    <t>Dinding depan</t>
  </si>
  <si>
    <t>Dinding belakang</t>
  </si>
  <si>
    <t>Luas Total Permukaan dinding</t>
  </si>
  <si>
    <t>Ketebalan acian</t>
  </si>
  <si>
    <t>Volume Acian</t>
  </si>
  <si>
    <t>(Luas total permukaan dinding x 2) x Ketebalan acian</t>
  </si>
  <si>
    <t>Volume acian / 0.024</t>
  </si>
  <si>
    <t>F. Pekerjaan pembuatan selasar</t>
  </si>
  <si>
    <t>F.1 Pekerjaan pemasangan adukan selasar</t>
  </si>
  <si>
    <t>E. PEKERJAAN PEMASANGAN BATA DINDING</t>
  </si>
  <si>
    <t>G. PEKERJAAN ACIAN DINDING</t>
  </si>
  <si>
    <t>G.1 Perhitungan Luas Permukaan Acian</t>
  </si>
  <si>
    <t>G.2 Perhitungan Volume Acian</t>
  </si>
  <si>
    <t>Lp x (Jt x Jp)</t>
  </si>
  <si>
    <t>G.3 Kebutuhan semen</t>
  </si>
  <si>
    <t>H. Pekerjaan acian Selasar</t>
  </si>
  <si>
    <t>Luas Total Permukaan selasar</t>
  </si>
  <si>
    <t>I. PEKERJAAN PEMASANGAN DINDING SENG GALVALUM</t>
  </si>
  <si>
    <t>M2</t>
  </si>
  <si>
    <t>Jumlah kebutuhan seng galvalum</t>
  </si>
  <si>
    <t>Luas Permukaan dinding yang akan dipasang seng (Lp)</t>
  </si>
  <si>
    <t>Luas Permukaan 1 buah seng (Ls)</t>
  </si>
  <si>
    <t>Kebutuhan Besi Kanal untuk skur dinding seng</t>
  </si>
  <si>
    <t>Panjang 1 Skur (Ps)</t>
  </si>
  <si>
    <t>Jumlah Skur dalam 1 kolom (Js)</t>
  </si>
  <si>
    <t>Ps x Js</t>
  </si>
  <si>
    <t>Jumlah Kolom (Jk)</t>
  </si>
  <si>
    <t>Panjang total skur dalam 1 kolom (Pts)</t>
  </si>
  <si>
    <t>Panjang total skur untuk seluruh kolom (Pts Total)</t>
  </si>
  <si>
    <t>Pts x Jk</t>
  </si>
  <si>
    <t>Jumlah kebutuhan besi kanal</t>
  </si>
  <si>
    <t>Pts Total / Panjang 1 buah besi kanal</t>
  </si>
  <si>
    <t>D.3 Pekerjaan acian Lantai</t>
  </si>
  <si>
    <t>Pasir</t>
  </si>
  <si>
    <t>Batu bata</t>
  </si>
  <si>
    <t>Semen</t>
  </si>
  <si>
    <t>Koral</t>
  </si>
  <si>
    <t>Benang</t>
  </si>
  <si>
    <t>saklar lampu</t>
  </si>
  <si>
    <t>Lampu</t>
  </si>
  <si>
    <t>Pipa listrik</t>
  </si>
  <si>
    <t>T Dust</t>
  </si>
  <si>
    <t>Sambungan Pipa Listrik</t>
  </si>
  <si>
    <t>Meteran Listrik</t>
  </si>
  <si>
    <t>Kabel Listrik</t>
  </si>
  <si>
    <t>Fiting Lampu</t>
  </si>
  <si>
    <t>Handle pintu</t>
  </si>
  <si>
    <t>Engsel Pintu</t>
  </si>
  <si>
    <t>Cat Tembok</t>
  </si>
  <si>
    <t>Cat minyak</t>
  </si>
  <si>
    <t>Slot Pintu</t>
  </si>
  <si>
    <t>Pintu</t>
  </si>
  <si>
    <t>Jumlah total</t>
  </si>
  <si>
    <t>TPK</t>
  </si>
  <si>
    <t>Kegiatan</t>
  </si>
  <si>
    <t>Kabel induk PLN</t>
  </si>
  <si>
    <t xml:space="preserve">M </t>
  </si>
  <si>
    <t>TAKE OFF SHEET</t>
  </si>
  <si>
    <t>Jenis Sarana</t>
  </si>
  <si>
    <t>:</t>
  </si>
  <si>
    <t>Jenis Pekerjaan</t>
  </si>
  <si>
    <t>Pemasangan Tiang</t>
  </si>
  <si>
    <t>A.2 Kebutuhan Plat Besi Ukuran 8 mm</t>
  </si>
  <si>
    <t>Pemasangan Sloof Besi</t>
  </si>
  <si>
    <t>Pemasangan Atap</t>
  </si>
  <si>
    <t>D. Pekerjaan Tutup samping</t>
  </si>
  <si>
    <t>Pemasangan tutup samping atap</t>
  </si>
  <si>
    <t>E. PEKERJAAN LANTAI</t>
  </si>
  <si>
    <t>E.1 Pekerjaan Urugan lantai</t>
  </si>
  <si>
    <t>E.2 Pekerjaan Pengecoran lantai</t>
  </si>
  <si>
    <t>E.3 Pekerjaan acian Lantai</t>
  </si>
  <si>
    <t>Pemasangan Lantai</t>
  </si>
  <si>
    <t>Pengerjaan Dinding</t>
  </si>
  <si>
    <t>F. PEKERJAAN PEMASANGAN BATA DINDING</t>
  </si>
  <si>
    <t>F.1 Perhitungan Volume Dinding</t>
  </si>
  <si>
    <t>F.2 Kebutuhan Batu bata, Semen Dan Pasir</t>
  </si>
  <si>
    <t>H. Pekerjaan pembuatan selasar</t>
  </si>
  <si>
    <t>H.1 Pekerjaan pemasangan adukan selasar</t>
  </si>
  <si>
    <t>H2. Pekerjaan acian Selasar</t>
  </si>
  <si>
    <t>Pengerjaan Selasar</t>
  </si>
  <si>
    <t>Pengerjaan Dinding Seng</t>
  </si>
  <si>
    <t>RENCANA ANGGARAN BIAYA (RAB)</t>
  </si>
  <si>
    <t>No Kegiatan</t>
  </si>
  <si>
    <t>Desa</t>
  </si>
  <si>
    <t>No Rab</t>
  </si>
  <si>
    <t>Kecamatan</t>
  </si>
  <si>
    <t xml:space="preserve">Bidang </t>
  </si>
  <si>
    <t>: Pembangunan  Desa</t>
  </si>
  <si>
    <t>Kabupaten</t>
  </si>
  <si>
    <t>Provinsi</t>
  </si>
  <si>
    <t>Nilai Proyek (-TPK)</t>
  </si>
  <si>
    <t>Honor Tim</t>
  </si>
  <si>
    <t xml:space="preserve">Upah </t>
  </si>
  <si>
    <t>Material</t>
  </si>
  <si>
    <t>Sewa Peralatan</t>
  </si>
  <si>
    <t>URAIAN</t>
  </si>
  <si>
    <t>Satuan</t>
  </si>
  <si>
    <t>Harga Satuan     Rp</t>
  </si>
  <si>
    <t>Jumlah Total
Rp</t>
  </si>
  <si>
    <t xml:space="preserve">Jumlah </t>
  </si>
  <si>
    <t>a</t>
  </si>
  <si>
    <t>b</t>
  </si>
  <si>
    <t>c</t>
  </si>
  <si>
    <t>d</t>
  </si>
  <si>
    <t>e = b x d</t>
  </si>
  <si>
    <t>f</t>
  </si>
  <si>
    <t>Honorarium TPK</t>
  </si>
  <si>
    <t>1.1</t>
  </si>
  <si>
    <t>ketua</t>
  </si>
  <si>
    <t>OB</t>
  </si>
  <si>
    <t>1.2</t>
  </si>
  <si>
    <t>Sekretaris</t>
  </si>
  <si>
    <t>1.3</t>
  </si>
  <si>
    <t>Anggota</t>
  </si>
  <si>
    <t>Sub Total (1)</t>
  </si>
  <si>
    <t>Bahan Material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</si>
  <si>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</si>
  <si>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</si>
  <si>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</si>
  <si>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</si>
  <si>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</si>
  <si>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</si>
  <si>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</si>
  <si>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</si>
  <si>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</si>
  <si>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Tanah Urug</t>
  </si>
  <si>
    <t>Sub Total (2)</t>
  </si>
  <si>
    <t>Alat</t>
  </si>
  <si>
    <t>3.1</t>
  </si>
  <si>
    <t>Bh</t>
  </si>
  <si>
    <t>3.2</t>
  </si>
  <si>
    <t>Glng</t>
  </si>
  <si>
    <t>3.3</t>
  </si>
  <si>
    <t>Plastik Cor</t>
  </si>
  <si>
    <t>Sub Total (3)</t>
  </si>
  <si>
    <t>Sewa Alat</t>
  </si>
  <si>
    <t>4.1</t>
  </si>
  <si>
    <t>Sub Total (4)</t>
  </si>
  <si>
    <t>5.1</t>
  </si>
  <si>
    <t>sewa + Upah</t>
  </si>
  <si>
    <t>5.2</t>
  </si>
  <si>
    <t>Sub Total (5)</t>
  </si>
  <si>
    <t>Total Biaya</t>
  </si>
  <si>
    <t>Anggaran pertama</t>
  </si>
  <si>
    <t>Selisih Anggaran</t>
  </si>
  <si>
    <t>Tanjung Mulya,       September  2019</t>
  </si>
  <si>
    <t>Mengetahui</t>
  </si>
  <si>
    <t>Kepala Desa Tanjung Mulya,</t>
  </si>
  <si>
    <t>Tim Penyusun RKP Desa,</t>
  </si>
  <si>
    <t>TIRTO  NADI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</si>
  <si>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</si>
  <si>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</si>
  <si>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</si>
  <si>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</si>
  <si>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</si>
  <si>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</si>
  <si>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</si>
  <si>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</si>
  <si>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</si>
  <si>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</si>
  <si>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</si>
  <si>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</si>
  <si>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</si>
  <si>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</si>
  <si>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</si>
  <si>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</si>
  <si>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</si>
  <si>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</si>
  <si>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</si>
  <si>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Biji</t>
  </si>
  <si>
    <t>Gulung</t>
  </si>
  <si>
    <t>Ember</t>
  </si>
  <si>
    <t>Anggaran Pakai selasar</t>
  </si>
  <si>
    <t>2.29</t>
  </si>
  <si>
    <t>2.30</t>
  </si>
  <si>
    <t>Kepala Tukang</t>
  </si>
  <si>
    <t>Pekerja</t>
  </si>
  <si>
    <t>Hitungan Upah</t>
  </si>
  <si>
    <t>Hok</t>
  </si>
  <si>
    <t>Upah/Hari</t>
  </si>
  <si>
    <t>Jml Total Materal</t>
  </si>
  <si>
    <t>30% Dari Material</t>
  </si>
  <si>
    <t xml:space="preserve">Selisih Upah dengan 30% Material </t>
  </si>
  <si>
    <t>Papan Proyek</t>
  </si>
  <si>
    <t>2.31</t>
  </si>
  <si>
    <t>2.32</t>
  </si>
  <si>
    <t>2.33</t>
  </si>
  <si>
    <t>2.34</t>
  </si>
  <si>
    <t>2.35</t>
  </si>
  <si>
    <t>2.36</t>
  </si>
  <si>
    <t>Seng Galvalum Ukuran 8 M</t>
  </si>
  <si>
    <t>Seng Galvalum Ukuran 3 M</t>
  </si>
  <si>
    <t>Upah tukang</t>
  </si>
  <si>
    <t>Upah pekerja</t>
  </si>
  <si>
    <t>Upah Pasang atap</t>
  </si>
  <si>
    <t>5.3</t>
  </si>
  <si>
    <t>Kusen Jendela</t>
  </si>
  <si>
    <t>Daun Jendela</t>
  </si>
  <si>
    <t>Engsel Jendela</t>
  </si>
  <si>
    <t>Slot Jendela</t>
  </si>
  <si>
    <t>Tunjang Jendela</t>
  </si>
  <si>
    <t>Handle Jendela</t>
  </si>
  <si>
    <t>2.37</t>
  </si>
  <si>
    <t>2.38</t>
  </si>
  <si>
    <t>2.39</t>
  </si>
  <si>
    <t>2.40</t>
  </si>
  <si>
    <t>2.41</t>
  </si>
  <si>
    <t>2.42</t>
  </si>
  <si>
    <t>: 3.5</t>
  </si>
  <si>
    <t>Pembangunan/rehabilitasi/peningkatan sarana dan prasarana kepemudaan dan olah raga milik desa</t>
  </si>
  <si>
    <t>: Pembangunan/rehabilitasi/peningkatan sarana dan prasarana kepemudaan dan olah raga milik desa</t>
  </si>
  <si>
    <t>Perkiraan tukang</t>
  </si>
  <si>
    <t>selisih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</si>
</sst>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[$Rp-421]* #,##0_);_([$Rp-421]* \(#,##0\);_([$Rp-421]* &quot;-&quot;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2"/>
      <name val="Times New Roman"/>
      <family val="1"/>
    </font>
    <font>
      <sz val="12"/>
      <name val="Bookman Old Style"/>
      <family val="1"/>
    </font>
    <font>
      <sz val="12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48"/>
      <color theme="0"/>
      <name val="Times New Roman"/>
      <family val="1"/>
    </font>
    <font>
      <b/>
      <sz val="12"/>
      <name val="Bookman Old Style"/>
      <family val="1"/>
    </font>
    <font>
      <b/>
      <sz val="10"/>
      <name val="Arial"/>
      <family val="2"/>
    </font>
    <font>
      <sz val="10"/>
      <name val="Bookman Old Style"/>
      <family val="1"/>
    </font>
    <font>
      <sz val="11"/>
      <name val="Times New Roman"/>
      <family val="1"/>
    </font>
    <font>
      <b/>
      <u/>
      <sz val="12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auto="1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11" fillId="0" borderId="0"/>
    <xf numFmtId="0" fontId="7" fillId="0" borderId="0"/>
    <xf numFmtId="43" fontId="7" fillId="0" borderId="0" applyFont="0" applyFill="0" applyBorder="0" applyAlignment="0" applyProtection="0"/>
    <xf numFmtId="41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64" fontId="3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64" fontId="4" fillId="0" borderId="0" xfId="0" applyNumberFormat="1" applyFont="1"/>
    <xf numFmtId="0" fontId="3" fillId="0" borderId="1" xfId="0" applyFont="1" applyBorder="1"/>
    <xf numFmtId="164" fontId="3" fillId="0" borderId="2" xfId="0" applyNumberFormat="1" applyFont="1" applyBorder="1"/>
    <xf numFmtId="43" fontId="3" fillId="0" borderId="0" xfId="0" applyNumberFormat="1" applyFont="1"/>
    <xf numFmtId="0" fontId="2" fillId="0" borderId="0" xfId="0" applyFont="1" applyAlignment="1">
      <alignment horizontal="center"/>
    </xf>
    <xf numFmtId="164" fontId="4" fillId="0" borderId="0" xfId="1" applyNumberFormat="1" applyFont="1"/>
    <xf numFmtId="0" fontId="4" fillId="0" borderId="0" xfId="0" applyFont="1"/>
    <xf numFmtId="0" fontId="0" fillId="0" borderId="0" xfId="0" applyFont="1"/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164" fontId="2" fillId="0" borderId="0" xfId="1" applyNumberFormat="1" applyFont="1"/>
    <xf numFmtId="0" fontId="4" fillId="0" borderId="0" xfId="0" applyFont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9" fillId="0" borderId="0" xfId="2" applyFont="1"/>
    <xf numFmtId="0" fontId="10" fillId="0" borderId="0" xfId="2" applyFont="1" applyAlignment="1">
      <alignment horizontal="left"/>
    </xf>
    <xf numFmtId="0" fontId="10" fillId="0" borderId="0" xfId="2" applyFont="1" applyAlignment="1">
      <alignment horizontal="center"/>
    </xf>
    <xf numFmtId="0" fontId="10" fillId="0" borderId="0" xfId="2" applyFont="1" applyAlignment="1"/>
    <xf numFmtId="0" fontId="10" fillId="0" borderId="0" xfId="2" applyFont="1"/>
    <xf numFmtId="0" fontId="9" fillId="2" borderId="0" xfId="2" applyFont="1" applyFill="1"/>
    <xf numFmtId="0" fontId="12" fillId="0" borderId="0" xfId="3" applyFont="1" applyAlignment="1"/>
    <xf numFmtId="0" fontId="10" fillId="0" borderId="0" xfId="2" applyFont="1" applyAlignment="1">
      <alignment horizontal="left" vertical="center"/>
    </xf>
    <xf numFmtId="0" fontId="10" fillId="0" borderId="0" xfId="2" quotePrefix="1" applyFont="1"/>
    <xf numFmtId="0" fontId="12" fillId="0" borderId="0" xfId="3" applyFont="1"/>
    <xf numFmtId="0" fontId="12" fillId="0" borderId="0" xfId="3" applyFont="1" applyAlignment="1">
      <alignment vertical="top"/>
    </xf>
    <xf numFmtId="0" fontId="10" fillId="0" borderId="0" xfId="2" applyFont="1" applyAlignment="1">
      <alignment horizontal="left" vertical="top"/>
    </xf>
    <xf numFmtId="0" fontId="14" fillId="2" borderId="0" xfId="2" applyFont="1" applyFill="1"/>
    <xf numFmtId="165" fontId="8" fillId="2" borderId="0" xfId="2" applyNumberFormat="1" applyFont="1" applyFill="1" applyBorder="1" applyAlignment="1">
      <alignment vertical="center"/>
    </xf>
    <xf numFmtId="0" fontId="15" fillId="2" borderId="7" xfId="3" applyFont="1" applyFill="1" applyBorder="1" applyAlignment="1">
      <alignment horizontal="center" vertical="center" wrapText="1"/>
    </xf>
    <xf numFmtId="41" fontId="16" fillId="0" borderId="0" xfId="2" applyNumberFormat="1" applyFont="1"/>
    <xf numFmtId="0" fontId="10" fillId="0" borderId="8" xfId="2" applyFont="1" applyBorder="1" applyAlignment="1">
      <alignment horizontal="center" vertical="center"/>
    </xf>
    <xf numFmtId="165" fontId="10" fillId="0" borderId="0" xfId="2" applyNumberFormat="1" applyFont="1" applyBorder="1" applyAlignment="1">
      <alignment vertical="center"/>
    </xf>
    <xf numFmtId="165" fontId="9" fillId="0" borderId="0" xfId="2" applyNumberFormat="1" applyFont="1" applyBorder="1" applyAlignment="1">
      <alignment vertical="center"/>
    </xf>
    <xf numFmtId="0" fontId="9" fillId="0" borderId="0" xfId="2" applyFont="1" applyAlignment="1">
      <alignment vertical="center"/>
    </xf>
    <xf numFmtId="0" fontId="8" fillId="0" borderId="9" xfId="2" applyFont="1" applyBorder="1" applyAlignment="1">
      <alignment horizontal="left" vertical="center"/>
    </xf>
    <xf numFmtId="0" fontId="17" fillId="0" borderId="10" xfId="4" applyFont="1" applyBorder="1" applyAlignment="1">
      <alignment vertical="distributed"/>
    </xf>
    <xf numFmtId="0" fontId="17" fillId="0" borderId="8" xfId="4" applyFont="1" applyBorder="1"/>
    <xf numFmtId="165" fontId="10" fillId="0" borderId="11" xfId="2" applyNumberFormat="1" applyFont="1" applyBorder="1" applyAlignment="1">
      <alignment vertical="center"/>
    </xf>
    <xf numFmtId="0" fontId="9" fillId="0" borderId="11" xfId="2" applyFont="1" applyBorder="1" applyAlignment="1">
      <alignment vertical="center"/>
    </xf>
    <xf numFmtId="0" fontId="10" fillId="0" borderId="12" xfId="2" quotePrefix="1" applyFont="1" applyBorder="1" applyAlignment="1">
      <alignment horizontal="left" vertical="center"/>
    </xf>
    <xf numFmtId="0" fontId="17" fillId="0" borderId="13" xfId="4" applyFont="1" applyBorder="1" applyAlignment="1">
      <alignment vertical="center"/>
    </xf>
    <xf numFmtId="0" fontId="17" fillId="0" borderId="14" xfId="4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164" fontId="17" fillId="0" borderId="14" xfId="5" applyNumberFormat="1" applyFont="1" applyBorder="1" applyAlignment="1">
      <alignment vertical="center"/>
    </xf>
    <xf numFmtId="41" fontId="10" fillId="0" borderId="14" xfId="6" applyFont="1" applyBorder="1" applyAlignment="1">
      <alignment horizontal="center" vertical="center"/>
    </xf>
    <xf numFmtId="0" fontId="10" fillId="0" borderId="15" xfId="2" quotePrefix="1" applyFont="1" applyBorder="1" applyAlignment="1">
      <alignment horizontal="left" vertical="center"/>
    </xf>
    <xf numFmtId="0" fontId="17" fillId="0" borderId="16" xfId="4" applyFont="1" applyBorder="1" applyAlignment="1">
      <alignment vertical="center"/>
    </xf>
    <xf numFmtId="0" fontId="17" fillId="0" borderId="17" xfId="4" applyFont="1" applyBorder="1" applyAlignment="1">
      <alignment horizontal="center" vertical="center"/>
    </xf>
    <xf numFmtId="0" fontId="10" fillId="0" borderId="17" xfId="2" applyFont="1" applyBorder="1" applyAlignment="1">
      <alignment horizontal="center" vertical="center"/>
    </xf>
    <xf numFmtId="164" fontId="17" fillId="0" borderId="17" xfId="5" applyNumberFormat="1" applyFont="1" applyBorder="1" applyAlignment="1">
      <alignment vertical="center"/>
    </xf>
    <xf numFmtId="41" fontId="10" fillId="0" borderId="17" xfId="6" applyFont="1" applyBorder="1" applyAlignment="1">
      <alignment horizontal="center" vertical="center"/>
    </xf>
    <xf numFmtId="0" fontId="10" fillId="0" borderId="18" xfId="2" quotePrefix="1" applyFont="1" applyBorder="1" applyAlignment="1">
      <alignment horizontal="left" vertical="center"/>
    </xf>
    <xf numFmtId="0" fontId="17" fillId="0" borderId="19" xfId="4" applyFont="1" applyBorder="1" applyAlignment="1">
      <alignment vertical="center"/>
    </xf>
    <xf numFmtId="0" fontId="17" fillId="0" borderId="20" xfId="4" applyFont="1" applyBorder="1" applyAlignment="1">
      <alignment horizontal="center" vertical="center"/>
    </xf>
    <xf numFmtId="0" fontId="10" fillId="0" borderId="20" xfId="2" applyFont="1" applyBorder="1" applyAlignment="1">
      <alignment horizontal="center" vertical="center"/>
    </xf>
    <xf numFmtId="164" fontId="17" fillId="0" borderId="20" xfId="5" applyNumberFormat="1" applyFont="1" applyBorder="1" applyAlignment="1">
      <alignment vertical="center"/>
    </xf>
    <xf numFmtId="41" fontId="10" fillId="0" borderId="20" xfId="6" applyFont="1" applyBorder="1" applyAlignment="1">
      <alignment horizontal="center" vertical="center"/>
    </xf>
    <xf numFmtId="41" fontId="10" fillId="0" borderId="8" xfId="6" applyFont="1" applyBorder="1" applyAlignment="1">
      <alignment horizontal="center" vertical="center"/>
    </xf>
    <xf numFmtId="41" fontId="10" fillId="0" borderId="8" xfId="2" applyNumberFormat="1" applyFont="1" applyBorder="1" applyAlignment="1">
      <alignment horizontal="center" vertical="center"/>
    </xf>
    <xf numFmtId="165" fontId="8" fillId="0" borderId="0" xfId="2" applyNumberFormat="1" applyFont="1" applyBorder="1" applyAlignment="1">
      <alignment vertical="center"/>
    </xf>
    <xf numFmtId="165" fontId="14" fillId="0" borderId="0" xfId="2" applyNumberFormat="1" applyFont="1" applyBorder="1" applyAlignment="1">
      <alignment vertical="center"/>
    </xf>
    <xf numFmtId="0" fontId="14" fillId="0" borderId="0" xfId="2" applyFont="1" applyAlignment="1">
      <alignment vertical="center"/>
    </xf>
    <xf numFmtId="0" fontId="8" fillId="0" borderId="9" xfId="2" quotePrefix="1" applyFont="1" applyBorder="1" applyAlignment="1">
      <alignment horizontal="left" vertical="center"/>
    </xf>
    <xf numFmtId="0" fontId="17" fillId="0" borderId="21" xfId="4" applyFont="1" applyBorder="1" applyAlignment="1">
      <alignment vertical="center"/>
    </xf>
    <xf numFmtId="0" fontId="17" fillId="0" borderId="8" xfId="4" applyFont="1" applyBorder="1" applyAlignment="1">
      <alignment horizontal="center" vertical="center"/>
    </xf>
    <xf numFmtId="164" fontId="17" fillId="0" borderId="8" xfId="5" applyNumberFormat="1" applyFont="1" applyBorder="1" applyAlignment="1">
      <alignment vertical="center"/>
    </xf>
    <xf numFmtId="0" fontId="10" fillId="0" borderId="10" xfId="2" applyFont="1" applyBorder="1" applyAlignment="1">
      <alignment horizontal="center" vertical="center"/>
    </xf>
    <xf numFmtId="165" fontId="9" fillId="0" borderId="11" xfId="2" applyNumberFormat="1" applyFont="1" applyBorder="1" applyAlignment="1">
      <alignment vertical="center"/>
    </xf>
    <xf numFmtId="0" fontId="17" fillId="0" borderId="22" xfId="4" applyFont="1" applyBorder="1" applyAlignment="1">
      <alignment vertical="center"/>
    </xf>
    <xf numFmtId="0" fontId="17" fillId="0" borderId="14" xfId="4" applyNumberFormat="1" applyFont="1" applyBorder="1" applyAlignment="1">
      <alignment horizontal="center" vertical="center"/>
    </xf>
    <xf numFmtId="0" fontId="10" fillId="0" borderId="16" xfId="2" applyFont="1" applyBorder="1" applyAlignment="1">
      <alignment horizontal="center" vertical="center"/>
    </xf>
    <xf numFmtId="41" fontId="10" fillId="0" borderId="23" xfId="6" applyFont="1" applyBorder="1" applyAlignment="1">
      <alignment horizontal="center" vertical="center"/>
    </xf>
    <xf numFmtId="165" fontId="10" fillId="0" borderId="25" xfId="2" applyNumberFormat="1" applyFont="1" applyBorder="1" applyAlignment="1">
      <alignment vertical="center"/>
    </xf>
    <xf numFmtId="165" fontId="9" fillId="0" borderId="25" xfId="2" applyNumberFormat="1" applyFont="1" applyBorder="1" applyAlignment="1">
      <alignment vertical="center"/>
    </xf>
    <xf numFmtId="0" fontId="9" fillId="0" borderId="25" xfId="2" applyFont="1" applyBorder="1" applyAlignment="1">
      <alignment vertical="center"/>
    </xf>
    <xf numFmtId="0" fontId="9" fillId="0" borderId="0" xfId="2" applyFont="1" applyBorder="1" applyAlignment="1">
      <alignment vertical="center"/>
    </xf>
    <xf numFmtId="164" fontId="10" fillId="0" borderId="8" xfId="2" applyNumberFormat="1" applyFont="1" applyBorder="1" applyAlignment="1">
      <alignment horizontal="center" vertical="center"/>
    </xf>
    <xf numFmtId="0" fontId="17" fillId="0" borderId="10" xfId="4" applyFont="1" applyBorder="1" applyAlignment="1">
      <alignment vertical="center"/>
    </xf>
    <xf numFmtId="43" fontId="17" fillId="0" borderId="14" xfId="4" applyNumberFormat="1" applyFont="1" applyBorder="1" applyAlignment="1">
      <alignment horizontal="center" vertical="center"/>
    </xf>
    <xf numFmtId="43" fontId="17" fillId="0" borderId="17" xfId="4" applyNumberFormat="1" applyFont="1" applyBorder="1" applyAlignment="1">
      <alignment horizontal="center" vertical="center"/>
    </xf>
    <xf numFmtId="43" fontId="17" fillId="0" borderId="13" xfId="4" applyNumberFormat="1" applyFont="1" applyBorder="1" applyAlignment="1">
      <alignment horizontal="center" vertical="center"/>
    </xf>
    <xf numFmtId="0" fontId="10" fillId="0" borderId="26" xfId="2" quotePrefix="1" applyFont="1" applyBorder="1" applyAlignment="1">
      <alignment horizontal="left" vertical="center"/>
    </xf>
    <xf numFmtId="0" fontId="17" fillId="0" borderId="24" xfId="4" applyFont="1" applyBorder="1" applyAlignment="1">
      <alignment vertical="center"/>
    </xf>
    <xf numFmtId="43" fontId="17" fillId="0" borderId="23" xfId="4" applyNumberFormat="1" applyFont="1" applyBorder="1" applyAlignment="1">
      <alignment horizontal="center" vertical="center"/>
    </xf>
    <xf numFmtId="164" fontId="17" fillId="0" borderId="23" xfId="5" applyNumberFormat="1" applyFont="1" applyBorder="1" applyAlignment="1">
      <alignment vertical="center"/>
    </xf>
    <xf numFmtId="9" fontId="8" fillId="0" borderId="0" xfId="7" applyFont="1" applyBorder="1" applyAlignment="1">
      <alignment vertical="center"/>
    </xf>
    <xf numFmtId="165" fontId="8" fillId="3" borderId="8" xfId="2" applyNumberFormat="1" applyFont="1" applyFill="1" applyBorder="1" applyAlignment="1">
      <alignment vertical="center"/>
    </xf>
    <xf numFmtId="165" fontId="8" fillId="3" borderId="10" xfId="2" applyNumberFormat="1" applyFont="1" applyFill="1" applyBorder="1" applyAlignment="1">
      <alignment vertical="center"/>
    </xf>
    <xf numFmtId="0" fontId="9" fillId="0" borderId="0" xfId="2" applyFont="1" applyAlignment="1"/>
    <xf numFmtId="0" fontId="9" fillId="0" borderId="0" xfId="2" applyFont="1" applyAlignment="1">
      <alignment horizontal="left"/>
    </xf>
    <xf numFmtId="0" fontId="0" fillId="4" borderId="31" xfId="0" applyFill="1" applyBorder="1"/>
    <xf numFmtId="0" fontId="0" fillId="4" borderId="32" xfId="0" applyFill="1" applyBorder="1"/>
    <xf numFmtId="164" fontId="0" fillId="4" borderId="32" xfId="1" applyNumberFormat="1" applyFont="1" applyFill="1" applyBorder="1"/>
    <xf numFmtId="164" fontId="0" fillId="4" borderId="32" xfId="0" applyNumberFormat="1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164" fontId="0" fillId="4" borderId="0" xfId="1" applyNumberFormat="1" applyFont="1" applyFill="1" applyBorder="1"/>
    <xf numFmtId="164" fontId="0" fillId="4" borderId="0" xfId="0" applyNumberFormat="1" applyFill="1" applyBorder="1"/>
    <xf numFmtId="0" fontId="0" fillId="4" borderId="35" xfId="0" applyFill="1" applyBorder="1"/>
    <xf numFmtId="0" fontId="2" fillId="5" borderId="34" xfId="0" applyFont="1" applyFill="1" applyBorder="1"/>
    <xf numFmtId="0" fontId="2" fillId="5" borderId="0" xfId="0" applyFont="1" applyFill="1" applyBorder="1"/>
    <xf numFmtId="0" fontId="0" fillId="6" borderId="34" xfId="0" applyFill="1" applyBorder="1"/>
    <xf numFmtId="0" fontId="0" fillId="6" borderId="0" xfId="0" applyFill="1" applyBorder="1"/>
    <xf numFmtId="0" fontId="0" fillId="6" borderId="35" xfId="0" applyFill="1" applyBorder="1"/>
    <xf numFmtId="164" fontId="0" fillId="6" borderId="36" xfId="0" applyNumberFormat="1" applyFill="1" applyBorder="1"/>
    <xf numFmtId="164" fontId="0" fillId="6" borderId="37" xfId="0" applyNumberFormat="1" applyFill="1" applyBorder="1"/>
    <xf numFmtId="0" fontId="10" fillId="0" borderId="27" xfId="2" applyFont="1" applyBorder="1" applyAlignment="1">
      <alignment horizontal="center" vertical="center"/>
    </xf>
    <xf numFmtId="165" fontId="10" fillId="0" borderId="0" xfId="2" applyNumberFormat="1" applyFont="1"/>
    <xf numFmtId="41" fontId="10" fillId="0" borderId="13" xfId="2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41" fontId="9" fillId="0" borderId="0" xfId="2" applyNumberFormat="1" applyFont="1"/>
    <xf numFmtId="165" fontId="10" fillId="0" borderId="0" xfId="2" quotePrefix="1" applyNumberFormat="1" applyFont="1" applyBorder="1" applyAlignment="1">
      <alignment vertical="center"/>
    </xf>
    <xf numFmtId="41" fontId="9" fillId="0" borderId="0" xfId="8" applyFont="1" applyAlignment="1">
      <alignment vertical="center"/>
    </xf>
    <xf numFmtId="165" fontId="10" fillId="0" borderId="0" xfId="2" applyNumberFormat="1" applyFont="1" applyAlignment="1">
      <alignment horizontal="center"/>
    </xf>
    <xf numFmtId="0" fontId="8" fillId="0" borderId="0" xfId="2" applyFont="1" applyAlignment="1">
      <alignment horizontal="center"/>
    </xf>
    <xf numFmtId="0" fontId="12" fillId="0" borderId="0" xfId="3" applyFont="1" applyAlignment="1">
      <alignment horizontal="left" vertical="center"/>
    </xf>
    <xf numFmtId="0" fontId="13" fillId="0" borderId="4" xfId="2" applyFont="1" applyBorder="1" applyAlignment="1">
      <alignment horizontal="center" vertical="center"/>
    </xf>
    <xf numFmtId="0" fontId="13" fillId="0" borderId="5" xfId="2" applyFont="1" applyBorder="1" applyAlignment="1">
      <alignment horizontal="center" vertical="center"/>
    </xf>
    <xf numFmtId="0" fontId="13" fillId="0" borderId="6" xfId="2" applyFont="1" applyBorder="1" applyAlignment="1">
      <alignment horizontal="center" vertical="center"/>
    </xf>
    <xf numFmtId="0" fontId="12" fillId="0" borderId="0" xfId="3" applyFont="1" applyAlignment="1">
      <alignment horizontal="left" vertical="top"/>
    </xf>
    <xf numFmtId="0" fontId="10" fillId="0" borderId="0" xfId="2" applyFont="1" applyAlignment="1">
      <alignment horizontal="left" vertical="center" wrapText="1"/>
    </xf>
    <xf numFmtId="0" fontId="10" fillId="0" borderId="9" xfId="2" applyFont="1" applyBorder="1" applyAlignment="1">
      <alignment horizontal="center" vertical="center"/>
    </xf>
    <xf numFmtId="0" fontId="10" fillId="0" borderId="21" xfId="2" quotePrefix="1" applyFont="1" applyBorder="1" applyAlignment="1">
      <alignment horizontal="center" vertical="center"/>
    </xf>
    <xf numFmtId="0" fontId="10" fillId="0" borderId="10" xfId="2" quotePrefix="1" applyFont="1" applyBorder="1" applyAlignment="1">
      <alignment horizontal="center" vertical="center"/>
    </xf>
    <xf numFmtId="0" fontId="10" fillId="3" borderId="8" xfId="2" applyFont="1" applyFill="1" applyBorder="1" applyAlignment="1">
      <alignment horizontal="center" vertical="center" wrapText="1"/>
    </xf>
    <xf numFmtId="0" fontId="10" fillId="0" borderId="8" xfId="2" applyFont="1" applyBorder="1" applyAlignment="1">
      <alignment horizontal="center" vertical="center"/>
    </xf>
    <xf numFmtId="0" fontId="10" fillId="0" borderId="21" xfId="2" applyFont="1" applyBorder="1" applyAlignment="1">
      <alignment horizontal="center" vertical="center"/>
    </xf>
    <xf numFmtId="0" fontId="10" fillId="0" borderId="10" xfId="2" applyFont="1" applyBorder="1" applyAlignment="1">
      <alignment horizontal="center" vertical="center"/>
    </xf>
    <xf numFmtId="0" fontId="18" fillId="0" borderId="0" xfId="2" applyFont="1" applyAlignment="1">
      <alignment horizontal="center"/>
    </xf>
    <xf numFmtId="0" fontId="9" fillId="0" borderId="0" xfId="2" applyFont="1" applyAlignment="1">
      <alignment horizontal="center"/>
    </xf>
    <xf numFmtId="0" fontId="8" fillId="3" borderId="9" xfId="2" applyFont="1" applyFill="1" applyBorder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10" fillId="0" borderId="0" xfId="2" applyFont="1" applyAlignment="1">
      <alignment horizont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2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0" fillId="4" borderId="34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2" fillId="5" borderId="0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  <xf numFmtId="164" fontId="0" fillId="6" borderId="37" xfId="0" applyNumberFormat="1" applyFill="1" applyBorder="1" applyAlignment="1">
      <alignment horizontal="left"/>
    </xf>
    <xf numFmtId="164" fontId="0" fillId="6" borderId="38" xfId="0" applyNumberForma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10" fillId="0" borderId="0" xfId="2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9">
    <cellStyle name="Comma" xfId="1" builtinId="3"/>
    <cellStyle name="Comma [0]" xfId="8" builtinId="6"/>
    <cellStyle name="Comma [0] 2" xfId="6"/>
    <cellStyle name="Comma 2" xfId="5"/>
    <cellStyle name="Normal" xfId="0" builtinId="0"/>
    <cellStyle name="Normal 2" xfId="3"/>
    <cellStyle name="Normal 2 3 2" xfId="4"/>
    <cellStyle name="Normal 3 4" xfId="2"/>
    <cellStyle name="Percent 2" xfId="7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Spin" dx="22" fmlaLink="$H$4" max="30" min="1" page="10" val="9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2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12</xdr:col>
      <xdr:colOff>509337</xdr:colOff>
      <xdr:row>0</xdr:row>
      <xdr:rowOff>0</xdr:rowOff>
    </xdr:from>
    <xdr:to>
      <xdr:col>14</xdr:col>
      <xdr:colOff>1672</xdr:colOff>
      <xdr:row>2</xdr:row>
      <xdr:rowOff>120486</xdr:rowOff>
    </xdr:to>
    <xdr:pic>
      <xdr:nvPicPr>
        <xdr:cNvPr id="3" name="Picture 2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111037" y="0"/>
          <a:ext cx="711535" cy="52053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174172</xdr:colOff>
      <xdr:row>0</xdr:row>
      <xdr:rowOff>0</xdr:rowOff>
    </xdr:from>
    <xdr:to>
      <xdr:col>12</xdr:col>
      <xdr:colOff>371790</xdr:colOff>
      <xdr:row>2</xdr:row>
      <xdr:rowOff>72223</xdr:rowOff>
    </xdr:to>
    <xdr:pic>
      <xdr:nvPicPr>
        <xdr:cNvPr id="4" name="Picture 3" descr="D:\Data Ku\SERBA SERBI\Logo Ado Galo\logo pemerintahan\Pemda Muaro Jambi - Kecil.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166272" y="0"/>
          <a:ext cx="807218" cy="47227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</xdr:row>
          <xdr:rowOff>190500</xdr:rowOff>
        </xdr:from>
        <xdr:to>
          <xdr:col>8</xdr:col>
          <xdr:colOff>914400</xdr:colOff>
          <xdr:row>6</xdr:row>
          <xdr:rowOff>9525</xdr:rowOff>
        </xdr:to>
        <xdr:sp macro="" textlink="">
          <xdr:nvSpPr>
            <xdr:cNvPr id="3073" name="Spinner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</xdr:colOff>
          <xdr:row>0</xdr:row>
          <xdr:rowOff>28575</xdr:rowOff>
        </xdr:from>
        <xdr:to>
          <xdr:col>7</xdr:col>
          <xdr:colOff>962025</xdr:colOff>
          <xdr:row>1</xdr:row>
          <xdr:rowOff>171450</xdr:rowOff>
        </xdr:to>
        <xdr:sp macro="" textlink="">
          <xdr:nvSpPr>
            <xdr:cNvPr id="3074" name="CommandButton1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.%20RAB%20RABAT%20BET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i\Desktop\RKPDes%202020%20Yang%20sudah%20harmonisasi%20penganggar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 DataSheet"/>
      <sheetName val="7. RAB"/>
      <sheetName val="2. TOS"/>
      <sheetName val="3. Analisa"/>
      <sheetName val="4. Rekap"/>
      <sheetName val="Rekapitulasi AB"/>
      <sheetName val="5. Rekap Bahan &amp; Upah"/>
      <sheetName val="6. Survei Harga"/>
      <sheetName val="RAB RKP"/>
      <sheetName val="8. Proposal Teknis"/>
      <sheetName val="9. Gambar Teknis"/>
      <sheetName val="Sheet1"/>
    </sheetNames>
    <sheetDataSet>
      <sheetData sheetId="0">
        <row r="2">
          <cell r="A2" t="str">
            <v>No Kegiatan</v>
          </cell>
          <cell r="B2" t="str">
            <v>Nama Kegiatan</v>
          </cell>
          <cell r="C2" t="str">
            <v>Panjang</v>
          </cell>
          <cell r="D2" t="str">
            <v>Lebar</v>
          </cell>
          <cell r="E2" t="str">
            <v>Tinggi</v>
          </cell>
        </row>
        <row r="3">
          <cell r="A3">
            <v>5</v>
          </cell>
          <cell r="B3" t="str">
            <v>Kegiatan pengadaan, pembangunan, pengembangan dan pemeliharaan jalan pemukiman I (RT.01)</v>
          </cell>
          <cell r="C3">
            <v>55</v>
          </cell>
          <cell r="D3">
            <v>3.5</v>
          </cell>
          <cell r="E3">
            <v>0.2</v>
          </cell>
        </row>
        <row r="4">
          <cell r="A4">
            <v>6</v>
          </cell>
          <cell r="B4" t="str">
            <v>Kegiatan pengadaan, pembangunan, pengembangan dan pemeliharaan jalan pemukiman II (RT.04)</v>
          </cell>
          <cell r="C4">
            <v>75</v>
          </cell>
          <cell r="D4">
            <v>3.5</v>
          </cell>
          <cell r="E4">
            <v>0.2</v>
          </cell>
        </row>
        <row r="5">
          <cell r="A5">
            <v>7</v>
          </cell>
          <cell r="B5" t="str">
            <v>Kegiatan pengadaan, pembangunan, pengembangan dan pemeliharaan jalan pemukiman III (RT.06)</v>
          </cell>
          <cell r="C5">
            <v>70</v>
          </cell>
          <cell r="D5">
            <v>3.5</v>
          </cell>
          <cell r="E5">
            <v>0.2</v>
          </cell>
        </row>
        <row r="6">
          <cell r="A6">
            <v>8</v>
          </cell>
          <cell r="B6" t="str">
            <v>Kegiatan pengadaan, pembangunan, pengembangan dan pemeliharaan jalan pemukiman IV (RT.10/13 --&gt; Tanjakan Pak Su'id)</v>
          </cell>
          <cell r="C6">
            <v>50</v>
          </cell>
          <cell r="D6">
            <v>3.5</v>
          </cell>
          <cell r="E6">
            <v>0.2</v>
          </cell>
        </row>
        <row r="7">
          <cell r="A7">
            <v>9</v>
          </cell>
          <cell r="B7" t="str">
            <v>Kegiatan pengadaan, pembangunan, pengembangan dan pemeliharaan jalan pemukiman V (RT.11 --&gt; Tanjakan Ari)</v>
          </cell>
          <cell r="C7">
            <v>40</v>
          </cell>
          <cell r="D7">
            <v>2.5</v>
          </cell>
          <cell r="E7">
            <v>0.2</v>
          </cell>
        </row>
        <row r="8">
          <cell r="A8">
            <v>10</v>
          </cell>
          <cell r="B8" t="str">
            <v>Kegiatan pengadaan, pembangunan, pengembangan dan pemeliharaan jalan pemukiman VI (RT.15 --&gt; Pak Suratni)</v>
          </cell>
          <cell r="C8">
            <v>70</v>
          </cell>
          <cell r="D8">
            <v>3.5</v>
          </cell>
          <cell r="E8">
            <v>0.2</v>
          </cell>
        </row>
        <row r="9">
          <cell r="A9">
            <v>11</v>
          </cell>
          <cell r="B9" t="str">
            <v>Kegiatan pengadaan, pembangunan, pengembangan dan pemeliharaan jalan pemukiman VII (RT.16 --&gt; Tikungan Makam)</v>
          </cell>
          <cell r="C9">
            <v>54</v>
          </cell>
          <cell r="D9">
            <v>3.5</v>
          </cell>
          <cell r="E9">
            <v>0.2</v>
          </cell>
        </row>
        <row r="10">
          <cell r="A10">
            <v>13</v>
          </cell>
          <cell r="B10" t="str">
            <v>-</v>
          </cell>
          <cell r="C10">
            <v>0</v>
          </cell>
          <cell r="D10">
            <v>0</v>
          </cell>
          <cell r="E10">
            <v>0</v>
          </cell>
        </row>
        <row r="11">
          <cell r="A11">
            <v>14</v>
          </cell>
          <cell r="C11">
            <v>0</v>
          </cell>
          <cell r="D11">
            <v>0</v>
          </cell>
          <cell r="E11">
            <v>0</v>
          </cell>
        </row>
        <row r="12">
          <cell r="A12">
            <v>15</v>
          </cell>
          <cell r="C12">
            <v>0</v>
          </cell>
          <cell r="D12">
            <v>0</v>
          </cell>
          <cell r="E12">
            <v>0</v>
          </cell>
        </row>
        <row r="13">
          <cell r="A13">
            <v>16</v>
          </cell>
          <cell r="C13">
            <v>0</v>
          </cell>
          <cell r="D13">
            <v>0</v>
          </cell>
          <cell r="E13">
            <v>0</v>
          </cell>
        </row>
        <row r="14">
          <cell r="A14">
            <v>17</v>
          </cell>
          <cell r="B14" t="str">
            <v>-</v>
          </cell>
          <cell r="C14">
            <v>0</v>
          </cell>
          <cell r="D14">
            <v>0</v>
          </cell>
          <cell r="E14">
            <v>0</v>
          </cell>
        </row>
        <row r="15">
          <cell r="A15">
            <v>18</v>
          </cell>
          <cell r="B15" t="str">
            <v>-</v>
          </cell>
          <cell r="C15">
            <v>0</v>
          </cell>
          <cell r="D15">
            <v>0</v>
          </cell>
          <cell r="E15">
            <v>0</v>
          </cell>
        </row>
        <row r="16">
          <cell r="A16">
            <v>19</v>
          </cell>
          <cell r="B16" t="str">
            <v>-</v>
          </cell>
          <cell r="C16">
            <v>0</v>
          </cell>
          <cell r="D16">
            <v>0</v>
          </cell>
          <cell r="E16">
            <v>0</v>
          </cell>
        </row>
        <row r="17">
          <cell r="A17">
            <v>20</v>
          </cell>
          <cell r="B17" t="str">
            <v>-</v>
          </cell>
          <cell r="C17">
            <v>0</v>
          </cell>
          <cell r="D17">
            <v>0</v>
          </cell>
          <cell r="E17">
            <v>0</v>
          </cell>
        </row>
      </sheetData>
      <sheetData sheetId="1"/>
      <sheetData sheetId="2"/>
      <sheetData sheetId="3"/>
      <sheetData sheetId="4"/>
      <sheetData sheetId="5"/>
      <sheetData sheetId="6">
        <row r="6">
          <cell r="C6" t="str">
            <v>: Jambi</v>
          </cell>
        </row>
        <row r="7">
          <cell r="C7" t="str">
            <v>: Muaro Jambi</v>
          </cell>
        </row>
        <row r="8">
          <cell r="C8" t="str">
            <v>: Bahar Selatan</v>
          </cell>
        </row>
        <row r="9">
          <cell r="C9" t="str">
            <v>: Tanjung Mulya</v>
          </cell>
        </row>
        <row r="23">
          <cell r="B23" t="str">
            <v>Papan Proyek</v>
          </cell>
          <cell r="F23" t="str">
            <v>Unit</v>
          </cell>
        </row>
        <row r="27">
          <cell r="B27" t="str">
            <v>Ember Cor</v>
          </cell>
        </row>
        <row r="29">
          <cell r="G29">
            <v>6000</v>
          </cell>
        </row>
        <row r="32">
          <cell r="F32" t="str">
            <v>HOK</v>
          </cell>
          <cell r="G32">
            <v>100000</v>
          </cell>
        </row>
        <row r="33">
          <cell r="F33" t="str">
            <v>HOK</v>
          </cell>
          <cell r="G33">
            <v>140000</v>
          </cell>
        </row>
        <row r="34">
          <cell r="B34" t="str">
            <v>Sewa Molen</v>
          </cell>
          <cell r="F34" t="str">
            <v>HOK</v>
          </cell>
          <cell r="G34">
            <v>250000</v>
          </cell>
        </row>
        <row r="57">
          <cell r="H57" t="str">
            <v>SUPARNO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TU"/>
      <sheetName val="RAK COBA COBA"/>
      <sheetName val="RKP"/>
      <sheetName val="DU-RKP"/>
      <sheetName val="PAGU"/>
      <sheetName val="APBDES"/>
      <sheetName val="Pnj APBDES"/>
      <sheetName val="4.3 Pelatihan karng taruna"/>
      <sheetName val="RKA"/>
      <sheetName val="RAK "/>
      <sheetName val="RKK"/>
      <sheetName val="RAK"/>
      <sheetName val="3.9 STQ - "/>
      <sheetName val="1.1 Siltun Kds"/>
      <sheetName val="1.2 Siltun Prngkt "/>
      <sheetName val="1.3 Bpjs "/>
      <sheetName val="1.4 O PEM -"/>
      <sheetName val="1.5 BPD"/>
      <sheetName val="1.6 OP BPD"/>
      <sheetName val="1.7 RT"/>
      <sheetName val="1.8 Mdl"/>
      <sheetName val="1.9 Musdes"/>
      <sheetName val="1.10 Hnr RKP"/>
      <sheetName val="1.11 Aset"/>
      <sheetName val="1.12 Pemilihan BPD"/>
      <sheetName val="1.13 Profil"/>
      <sheetName val="1.14 PBB"/>
      <sheetName val="1.15 TKD"/>
      <sheetName val=" LOMDES"/>
      <sheetName val="2.1 PAMSIMAS"/>
      <sheetName val="2.1 PAUD DAN TK"/>
      <sheetName val="2.2 PAUD DAN TK (Teralis TK)"/>
      <sheetName val="2.2 HONOR MAdrasah"/>
      <sheetName val="2.3A. PSYANDU"/>
      <sheetName val="3.1 Linmas"/>
      <sheetName val="3.2 Kagmaan SARA"/>
      <sheetName val="3.3 HUT RI"/>
      <sheetName val="3.4 KATARUNA"/>
      <sheetName val="3.5 L.A"/>
      <sheetName val="3.6 LPM"/>
      <sheetName val="3.7 PKK"/>
      <sheetName val="3.8 HONOR RT"/>
      <sheetName val="4.1 Kds"/>
      <sheetName val="4.2 Prnkt"/>
      <sheetName val="4.4 Pel  Kemasya"/>
      <sheetName val="4.5 Embung"/>
    </sheetNames>
    <sheetDataSet>
      <sheetData sheetId="0"/>
      <sheetData sheetId="1"/>
      <sheetData sheetId="2"/>
      <sheetData sheetId="3"/>
      <sheetData sheetId="4"/>
      <sheetData sheetId="5"/>
      <sheetData sheetId="6">
        <row r="32">
          <cell r="S3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M354"/>
  <sheetViews>
    <sheetView tabSelected="1" view="pageBreakPreview" topLeftCell="A69" zoomScaleSheetLayoutView="100" workbookViewId="0">
      <selection activeCell="C45" sqref="C45"/>
    </sheetView>
  </sheetViews>
  <sheetFormatPr defaultRowHeight="15.75" x14ac:dyDescent="0.25"/>
  <cols>
    <col min="1" max="1" width="4.85546875" style="103" customWidth="1"/>
    <col min="2" max="2" width="25.28515625" style="28" customWidth="1"/>
    <col min="3" max="3" width="9.85546875" style="28" bestFit="1" customWidth="1"/>
    <col min="4" max="4" width="11" style="28" customWidth="1"/>
    <col min="5" max="5" width="15.85546875" style="28" customWidth="1"/>
    <col min="6" max="6" width="26.42578125" style="28" customWidth="1"/>
    <col min="7" max="7" width="24.42578125" style="28" customWidth="1"/>
    <col min="8" max="8" width="25.42578125" style="28" customWidth="1"/>
    <col min="9" max="9" width="22.85546875" style="28" bestFit="1" customWidth="1"/>
    <col min="10" max="10" width="21.28515625" style="28" bestFit="1" customWidth="1"/>
    <col min="11" max="11" width="15.7109375" style="28" bestFit="1" customWidth="1"/>
    <col min="12" max="16384" width="9.140625" style="28"/>
  </cols>
  <sheetData>
    <row r="1" spans="1:13" x14ac:dyDescent="0.25">
      <c r="A1" s="130" t="s">
        <v>249</v>
      </c>
      <c r="B1" s="130"/>
      <c r="C1" s="130"/>
      <c r="D1" s="130"/>
      <c r="E1" s="130"/>
      <c r="F1" s="130"/>
      <c r="G1" s="130"/>
    </row>
    <row r="2" spans="1:13" x14ac:dyDescent="0.25">
      <c r="A2" s="29"/>
      <c r="B2" s="30"/>
      <c r="C2" s="30"/>
      <c r="D2" s="30"/>
      <c r="E2" s="30"/>
      <c r="F2" s="30"/>
      <c r="G2" s="30"/>
    </row>
    <row r="3" spans="1:13" x14ac:dyDescent="0.25">
      <c r="A3" s="29"/>
      <c r="B3" s="31"/>
      <c r="C3" s="31"/>
      <c r="D3" s="32"/>
      <c r="E3" s="32"/>
      <c r="F3" s="32"/>
      <c r="G3" s="32"/>
      <c r="H3" s="33" t="s">
        <v>250</v>
      </c>
    </row>
    <row r="4" spans="1:13" x14ac:dyDescent="0.25">
      <c r="A4" s="131" t="s">
        <v>251</v>
      </c>
      <c r="B4" s="131"/>
      <c r="C4" s="34" t="str">
        <f>'[1]5. Rekap Bahan &amp; Upah'!C9</f>
        <v>: Tanjung Mulya</v>
      </c>
      <c r="D4" s="32"/>
      <c r="E4" s="35" t="s">
        <v>252</v>
      </c>
      <c r="F4" s="36" t="s">
        <v>376</v>
      </c>
      <c r="H4" s="132">
        <v>9</v>
      </c>
    </row>
    <row r="5" spans="1:13" x14ac:dyDescent="0.25">
      <c r="A5" s="131" t="s">
        <v>253</v>
      </c>
      <c r="B5" s="131"/>
      <c r="C5" s="37" t="str">
        <f>'[1]5. Rekap Bahan &amp; Upah'!C8</f>
        <v>: Bahar Selatan</v>
      </c>
      <c r="D5" s="32"/>
      <c r="E5" s="35" t="s">
        <v>254</v>
      </c>
      <c r="F5" s="36" t="s">
        <v>255</v>
      </c>
      <c r="G5" s="32"/>
      <c r="H5" s="133"/>
    </row>
    <row r="6" spans="1:13" ht="49.5" customHeight="1" x14ac:dyDescent="0.25">
      <c r="A6" s="135" t="s">
        <v>256</v>
      </c>
      <c r="B6" s="135"/>
      <c r="C6" s="38" t="str">
        <f>'[1]5. Rekap Bahan &amp; Upah'!C7</f>
        <v>: Muaro Jambi</v>
      </c>
      <c r="D6" s="32"/>
      <c r="E6" s="39" t="s">
        <v>222</v>
      </c>
      <c r="F6" s="136" t="s">
        <v>378</v>
      </c>
      <c r="G6" s="136"/>
      <c r="H6" s="134"/>
    </row>
    <row r="7" spans="1:13" ht="15.75" customHeight="1" x14ac:dyDescent="0.25">
      <c r="A7" s="131" t="s">
        <v>257</v>
      </c>
      <c r="B7" s="131"/>
      <c r="C7" s="37" t="str">
        <f>'[1]5. Rekap Bahan &amp; Upah'!C6</f>
        <v>: Jambi</v>
      </c>
      <c r="D7" s="32"/>
      <c r="E7" s="35"/>
      <c r="G7" s="32"/>
      <c r="H7" s="40" t="s">
        <v>258</v>
      </c>
      <c r="I7" s="41">
        <f>SUM(G62,G67,G70,G75)</f>
        <v>167065386</v>
      </c>
    </row>
    <row r="8" spans="1:13" ht="15" customHeight="1" thickBot="1" x14ac:dyDescent="0.3">
      <c r="A8" s="29"/>
      <c r="B8" s="32"/>
      <c r="C8" s="32"/>
      <c r="D8" s="32"/>
      <c r="E8" s="32"/>
      <c r="F8" s="32"/>
      <c r="G8" s="32"/>
      <c r="H8" s="42" t="s">
        <v>259</v>
      </c>
      <c r="I8" s="42" t="s">
        <v>260</v>
      </c>
      <c r="J8" s="42" t="s">
        <v>261</v>
      </c>
      <c r="K8" s="42" t="s">
        <v>262</v>
      </c>
      <c r="M8" s="28" t="b">
        <f>RAB!H6=VLOOKUP(RAB!H4,'[1]1. DataSheet'!A2:E18,3,FALSE)</f>
        <v>0</v>
      </c>
    </row>
    <row r="9" spans="1:13" ht="17.25" thickBot="1" x14ac:dyDescent="0.35">
      <c r="A9" s="140" t="s">
        <v>263</v>
      </c>
      <c r="B9" s="140"/>
      <c r="C9" s="140" t="s">
        <v>2</v>
      </c>
      <c r="D9" s="140" t="s">
        <v>264</v>
      </c>
      <c r="E9" s="140" t="s">
        <v>265</v>
      </c>
      <c r="F9" s="140" t="s">
        <v>266</v>
      </c>
      <c r="G9" s="140" t="s">
        <v>267</v>
      </c>
      <c r="H9" s="43">
        <f>G17</f>
        <v>825000</v>
      </c>
      <c r="I9" s="43">
        <f>G75</f>
        <v>41760000</v>
      </c>
      <c r="J9" s="43">
        <f>RAB!G62+RAB!G67</f>
        <v>125305386</v>
      </c>
      <c r="K9" s="43">
        <f>G70</f>
        <v>0</v>
      </c>
    </row>
    <row r="10" spans="1:13" ht="16.5" thickBot="1" x14ac:dyDescent="0.3">
      <c r="A10" s="140"/>
      <c r="B10" s="140"/>
      <c r="C10" s="140"/>
      <c r="D10" s="140"/>
      <c r="E10" s="140"/>
      <c r="F10" s="140"/>
      <c r="G10" s="140"/>
      <c r="H10" s="32"/>
    </row>
    <row r="11" spans="1:13" ht="16.5" thickBot="1" x14ac:dyDescent="0.3">
      <c r="A11" s="140"/>
      <c r="B11" s="140"/>
      <c r="C11" s="140"/>
      <c r="D11" s="140"/>
      <c r="E11" s="140"/>
      <c r="F11" s="140"/>
      <c r="G11" s="140"/>
      <c r="H11" s="32"/>
    </row>
    <row r="12" spans="1:13" s="47" customFormat="1" ht="16.5" thickBot="1" x14ac:dyDescent="0.3">
      <c r="A12" s="141" t="s">
        <v>268</v>
      </c>
      <c r="B12" s="141"/>
      <c r="C12" s="44" t="s">
        <v>269</v>
      </c>
      <c r="D12" s="44" t="s">
        <v>270</v>
      </c>
      <c r="E12" s="44" t="s">
        <v>271</v>
      </c>
      <c r="F12" s="44" t="s">
        <v>272</v>
      </c>
      <c r="G12" s="44" t="s">
        <v>273</v>
      </c>
      <c r="H12" s="45"/>
      <c r="I12" s="46"/>
    </row>
    <row r="13" spans="1:13" s="52" customFormat="1" ht="20.25" customHeight="1" thickBot="1" x14ac:dyDescent="0.3">
      <c r="A13" s="48">
        <v>1</v>
      </c>
      <c r="B13" s="49" t="s">
        <v>274</v>
      </c>
      <c r="C13" s="50"/>
      <c r="D13" s="44"/>
      <c r="E13" s="44"/>
      <c r="F13" s="44"/>
      <c r="G13" s="44"/>
      <c r="H13" s="51"/>
    </row>
    <row r="14" spans="1:13" s="47" customFormat="1" ht="20.25" customHeight="1" x14ac:dyDescent="0.25">
      <c r="A14" s="53" t="s">
        <v>275</v>
      </c>
      <c r="B14" s="54" t="s">
        <v>276</v>
      </c>
      <c r="C14" s="55">
        <v>1</v>
      </c>
      <c r="D14" s="56" t="s">
        <v>277</v>
      </c>
      <c r="E14" s="57">
        <f>IF(I7&lt;50000000,175000,200000)</f>
        <v>200000</v>
      </c>
      <c r="F14" s="58">
        <f>C14*E14</f>
        <v>200000</v>
      </c>
      <c r="G14" s="56"/>
      <c r="H14" s="45"/>
    </row>
    <row r="15" spans="1:13" s="47" customFormat="1" ht="20.25" customHeight="1" x14ac:dyDescent="0.25">
      <c r="A15" s="59" t="s">
        <v>278</v>
      </c>
      <c r="B15" s="60" t="s">
        <v>279</v>
      </c>
      <c r="C15" s="61">
        <v>1</v>
      </c>
      <c r="D15" s="62" t="s">
        <v>277</v>
      </c>
      <c r="E15" s="63">
        <f>IF(I7&lt;50000000,150000,175000)</f>
        <v>175000</v>
      </c>
      <c r="F15" s="64">
        <f>C15*E15</f>
        <v>175000</v>
      </c>
      <c r="G15" s="62"/>
      <c r="H15" s="45"/>
      <c r="I15" s="46"/>
    </row>
    <row r="16" spans="1:13" s="47" customFormat="1" ht="20.25" customHeight="1" thickBot="1" x14ac:dyDescent="0.3">
      <c r="A16" s="65" t="s">
        <v>280</v>
      </c>
      <c r="B16" s="66" t="s">
        <v>281</v>
      </c>
      <c r="C16" s="67">
        <f>IF(I7&lt;50000000,1,3)</f>
        <v>3</v>
      </c>
      <c r="D16" s="68" t="s">
        <v>277</v>
      </c>
      <c r="E16" s="69">
        <f>IF(I7&lt;50000000,125000,150000)</f>
        <v>150000</v>
      </c>
      <c r="F16" s="70">
        <f>C16*E16</f>
        <v>450000</v>
      </c>
      <c r="G16" s="68"/>
      <c r="H16" s="45"/>
      <c r="I16" s="46"/>
    </row>
    <row r="17" spans="1:11" s="75" customFormat="1" ht="20.25" customHeight="1" thickBot="1" x14ac:dyDescent="0.3">
      <c r="A17" s="137" t="s">
        <v>282</v>
      </c>
      <c r="B17" s="138"/>
      <c r="C17" s="138"/>
      <c r="D17" s="138"/>
      <c r="E17" s="139"/>
      <c r="F17" s="71">
        <f>F14+F15+F16</f>
        <v>825000</v>
      </c>
      <c r="G17" s="72">
        <f>F17</f>
        <v>825000</v>
      </c>
      <c r="H17" s="73"/>
      <c r="I17" s="74"/>
    </row>
    <row r="18" spans="1:11" s="52" customFormat="1" ht="20.25" customHeight="1" thickBot="1" x14ac:dyDescent="0.3">
      <c r="A18" s="76">
        <v>2</v>
      </c>
      <c r="B18" s="77" t="s">
        <v>283</v>
      </c>
      <c r="C18" s="78"/>
      <c r="D18" s="44"/>
      <c r="E18" s="79"/>
      <c r="F18" s="71"/>
      <c r="G18" s="80"/>
      <c r="H18" s="51"/>
      <c r="I18" s="81"/>
    </row>
    <row r="19" spans="1:11" s="47" customFormat="1" ht="20.25" customHeight="1" x14ac:dyDescent="0.25">
      <c r="A19" s="53" t="s">
        <v>284</v>
      </c>
      <c r="B19" s="82" t="str">
        <f>Rekap!B5</f>
        <v>Semen</v>
      </c>
      <c r="C19" s="83" t="str">
        <f>Rekap!C5</f>
        <v>252</v>
      </c>
      <c r="D19" s="56" t="str">
        <f>Rekap!D5</f>
        <v>Zak</v>
      </c>
      <c r="E19" s="57">
        <f>Rekap!E5</f>
        <v>80000</v>
      </c>
      <c r="F19" s="58">
        <f>C19*E19</f>
        <v>20160000</v>
      </c>
      <c r="G19" s="123"/>
      <c r="H19" s="45">
        <f>10000*C19</f>
        <v>2520000</v>
      </c>
      <c r="I19" s="46"/>
    </row>
    <row r="20" spans="1:11" s="47" customFormat="1" ht="20.25" customHeight="1" x14ac:dyDescent="0.25">
      <c r="A20" s="59" t="s">
        <v>285</v>
      </c>
      <c r="B20" s="82" t="str">
        <f>Rekap!B6</f>
        <v>Pasir</v>
      </c>
      <c r="C20" s="83" t="str">
        <f>Rekap!C6</f>
        <v>10</v>
      </c>
      <c r="D20" s="56" t="str">
        <f>Rekap!D6</f>
        <v>M3</v>
      </c>
      <c r="E20" s="57">
        <f>Rekap!E6</f>
        <v>250000</v>
      </c>
      <c r="F20" s="58">
        <f t="shared" ref="F20:F52" si="0">C20*E20</f>
        <v>2500000</v>
      </c>
      <c r="G20" s="123"/>
      <c r="I20" s="46"/>
    </row>
    <row r="21" spans="1:11" s="47" customFormat="1" ht="20.25" customHeight="1" x14ac:dyDescent="0.25">
      <c r="A21" s="59" t="s">
        <v>286</v>
      </c>
      <c r="B21" s="82" t="str">
        <f>Rekap!B7</f>
        <v>Koral</v>
      </c>
      <c r="C21" s="83">
        <f>Rekap!C7</f>
        <v>0</v>
      </c>
      <c r="D21" s="56" t="str">
        <f>Rekap!D7</f>
        <v>M3</v>
      </c>
      <c r="E21" s="57">
        <f>Rekap!E7</f>
        <v>520000</v>
      </c>
      <c r="F21" s="58">
        <f t="shared" si="0"/>
        <v>0</v>
      </c>
      <c r="G21" s="123"/>
      <c r="I21" s="46"/>
      <c r="J21" s="47" t="s">
        <v>202</v>
      </c>
    </row>
    <row r="22" spans="1:11" s="47" customFormat="1" ht="20.25" customHeight="1" x14ac:dyDescent="0.25">
      <c r="A22" s="59" t="s">
        <v>287</v>
      </c>
      <c r="B22" s="82" t="str">
        <f>Rekap!B8</f>
        <v>Batu bata</v>
      </c>
      <c r="C22" s="83" t="str">
        <f>Rekap!C8</f>
        <v>20,572</v>
      </c>
      <c r="D22" s="56" t="str">
        <f>Rekap!D8</f>
        <v>Biji</v>
      </c>
      <c r="E22" s="57">
        <f>Rekap!E8</f>
        <v>650</v>
      </c>
      <c r="F22" s="58">
        <f t="shared" si="0"/>
        <v>13371800</v>
      </c>
      <c r="G22" s="123"/>
      <c r="H22" s="45"/>
      <c r="J22" s="47" t="s">
        <v>379</v>
      </c>
      <c r="K22" s="46" t="s">
        <v>380</v>
      </c>
    </row>
    <row r="23" spans="1:11" s="47" customFormat="1" ht="20.25" customHeight="1" x14ac:dyDescent="0.25">
      <c r="A23" s="59" t="s">
        <v>288</v>
      </c>
      <c r="B23" s="82" t="str">
        <f>Rekap!B9</f>
        <v>Besi Leter U Ukuran 8"</v>
      </c>
      <c r="C23" s="83">
        <f>Rekap!C9</f>
        <v>21</v>
      </c>
      <c r="D23" s="56" t="str">
        <f>Rekap!D9</f>
        <v>Btg</v>
      </c>
      <c r="E23" s="57">
        <f>Rekap!E9</f>
        <v>470000</v>
      </c>
      <c r="F23" s="58">
        <f t="shared" si="0"/>
        <v>9870000</v>
      </c>
      <c r="G23" s="123"/>
      <c r="H23" s="127" t="s">
        <v>22</v>
      </c>
      <c r="I23" s="46"/>
      <c r="J23" s="47">
        <v>12000</v>
      </c>
      <c r="K23" s="47">
        <f>J23-C22</f>
        <v>-8572</v>
      </c>
    </row>
    <row r="24" spans="1:11" s="47" customFormat="1" ht="20.25" customHeight="1" x14ac:dyDescent="0.25">
      <c r="A24" s="59" t="s">
        <v>289</v>
      </c>
      <c r="B24" s="82" t="str">
        <f>Rekap!B10</f>
        <v>Besi Leter U Ukuran 6"</v>
      </c>
      <c r="C24" s="83" t="str">
        <f>Rekap!C10</f>
        <v>15</v>
      </c>
      <c r="D24" s="56" t="str">
        <f>Rekap!D10</f>
        <v>Btg</v>
      </c>
      <c r="E24" s="57">
        <f>Rekap!E10</f>
        <v>370000</v>
      </c>
      <c r="F24" s="58">
        <f t="shared" si="0"/>
        <v>5550000</v>
      </c>
      <c r="G24" s="123"/>
      <c r="H24" s="45"/>
      <c r="I24" s="46"/>
      <c r="K24" s="128">
        <f>K23*650</f>
        <v>-5571800</v>
      </c>
    </row>
    <row r="25" spans="1:11" s="47" customFormat="1" ht="20.25" customHeight="1" x14ac:dyDescent="0.25">
      <c r="A25" s="59" t="s">
        <v>290</v>
      </c>
      <c r="B25" s="82" t="str">
        <f>Rekap!B11</f>
        <v>Besi Plat Ukuran 8 mm</v>
      </c>
      <c r="C25" s="83">
        <f>Rekap!C11</f>
        <v>1.2499999999999998</v>
      </c>
      <c r="D25" s="56" t="str">
        <f>Rekap!D11</f>
        <v>Keping</v>
      </c>
      <c r="E25" s="57">
        <f>Rekap!E11</f>
        <v>1500000</v>
      </c>
      <c r="F25" s="58">
        <f t="shared" si="0"/>
        <v>1874999.9999999998</v>
      </c>
      <c r="G25" s="123"/>
      <c r="H25" s="45">
        <f>H19+K24</f>
        <v>-3051800</v>
      </c>
      <c r="I25" s="46"/>
    </row>
    <row r="26" spans="1:11" s="47" customFormat="1" ht="20.25" customHeight="1" x14ac:dyDescent="0.25">
      <c r="A26" s="59" t="s">
        <v>291</v>
      </c>
      <c r="B26" s="82" t="str">
        <f>Rekap!B12</f>
        <v>Baut Pengikat</v>
      </c>
      <c r="C26" s="83">
        <v>73</v>
      </c>
      <c r="D26" s="56" t="str">
        <f>Rekap!D12</f>
        <v>Buah</v>
      </c>
      <c r="E26" s="57">
        <f>Rekap!E12</f>
        <v>15000</v>
      </c>
      <c r="F26" s="58">
        <f t="shared" si="0"/>
        <v>1095000</v>
      </c>
      <c r="G26" s="123"/>
      <c r="H26" s="45"/>
      <c r="I26" s="46"/>
    </row>
    <row r="27" spans="1:11" s="47" customFormat="1" ht="20.25" customHeight="1" x14ac:dyDescent="0.25">
      <c r="A27" s="59" t="s">
        <v>292</v>
      </c>
      <c r="B27" s="82" t="str">
        <f>Rekap!B13</f>
        <v>Cat Anti Karat</v>
      </c>
      <c r="C27" s="83">
        <v>9</v>
      </c>
      <c r="D27" s="56" t="str">
        <f>Rekap!D13</f>
        <v>Kaleng</v>
      </c>
      <c r="E27" s="57">
        <f>Rekap!E13</f>
        <v>60000</v>
      </c>
      <c r="F27" s="58">
        <f t="shared" si="0"/>
        <v>540000</v>
      </c>
      <c r="G27" s="123"/>
      <c r="H27" s="45"/>
      <c r="I27" s="46"/>
    </row>
    <row r="28" spans="1:11" s="47" customFormat="1" ht="20.25" customHeight="1" x14ac:dyDescent="0.25">
      <c r="A28" s="59" t="s">
        <v>318</v>
      </c>
      <c r="B28" s="82" t="str">
        <f>Rekap!B14</f>
        <v>Kayu kasau</v>
      </c>
      <c r="C28" s="83">
        <v>1</v>
      </c>
      <c r="D28" s="56" t="str">
        <f>Rekap!D14</f>
        <v>M3</v>
      </c>
      <c r="E28" s="57">
        <f>Rekap!E14</f>
        <v>2200000</v>
      </c>
      <c r="F28" s="58">
        <f t="shared" si="0"/>
        <v>2200000</v>
      </c>
      <c r="G28" s="123"/>
      <c r="H28" s="45"/>
      <c r="I28" s="46"/>
    </row>
    <row r="29" spans="1:11" s="47" customFormat="1" ht="20.25" customHeight="1" x14ac:dyDescent="0.25">
      <c r="A29" s="59" t="s">
        <v>319</v>
      </c>
      <c r="B29" s="82" t="str">
        <f>Rekap!B15</f>
        <v>Paku</v>
      </c>
      <c r="C29" s="83">
        <f>Rekap!C15</f>
        <v>3</v>
      </c>
      <c r="D29" s="56" t="str">
        <f>Rekap!D15</f>
        <v>Kg</v>
      </c>
      <c r="E29" s="57">
        <f>Rekap!E15</f>
        <v>22000</v>
      </c>
      <c r="F29" s="58">
        <f t="shared" si="0"/>
        <v>66000</v>
      </c>
      <c r="G29" s="123"/>
      <c r="H29" s="45"/>
      <c r="I29" s="46"/>
    </row>
    <row r="30" spans="1:11" s="47" customFormat="1" ht="20.25" customHeight="1" x14ac:dyDescent="0.25">
      <c r="A30" s="59" t="s">
        <v>320</v>
      </c>
      <c r="B30" s="82" t="str">
        <f>Rekap!B16</f>
        <v>Papan</v>
      </c>
      <c r="C30" s="83">
        <f>Rekap!C16</f>
        <v>0.5</v>
      </c>
      <c r="D30" s="56" t="str">
        <f>Rekap!D16</f>
        <v>M3</v>
      </c>
      <c r="E30" s="57">
        <f>Rekap!E16</f>
        <v>2200000</v>
      </c>
      <c r="F30" s="58">
        <f t="shared" si="0"/>
        <v>1100000</v>
      </c>
      <c r="G30" s="123"/>
      <c r="H30" s="45"/>
      <c r="I30" s="46"/>
    </row>
    <row r="31" spans="1:11" s="47" customFormat="1" ht="20.25" customHeight="1" x14ac:dyDescent="0.25">
      <c r="A31" s="59" t="s">
        <v>321</v>
      </c>
      <c r="B31" s="82" t="str">
        <f>Rekap!B17</f>
        <v>Benang</v>
      </c>
      <c r="C31" s="83">
        <f>Rekap!C17</f>
        <v>10</v>
      </c>
      <c r="D31" s="56" t="str">
        <f>Rekap!D17</f>
        <v>Gulung</v>
      </c>
      <c r="E31" s="57">
        <f>Rekap!E17</f>
        <v>5000</v>
      </c>
      <c r="F31" s="58">
        <f t="shared" si="0"/>
        <v>50000</v>
      </c>
      <c r="G31" s="123"/>
      <c r="H31" s="45"/>
      <c r="I31" s="46"/>
    </row>
    <row r="32" spans="1:11" s="47" customFormat="1" ht="20.25" customHeight="1" x14ac:dyDescent="0.25">
      <c r="A32" s="59" t="s">
        <v>322</v>
      </c>
      <c r="B32" s="82" t="str">
        <f>Rekap!B18</f>
        <v>saklar lampu</v>
      </c>
      <c r="C32" s="83">
        <f>Rekap!C18</f>
        <v>6</v>
      </c>
      <c r="D32" s="56" t="str">
        <f>Rekap!D18</f>
        <v>Buah</v>
      </c>
      <c r="E32" s="57">
        <f>Rekap!E18</f>
        <v>15000</v>
      </c>
      <c r="F32" s="58">
        <f t="shared" si="0"/>
        <v>90000</v>
      </c>
      <c r="G32" s="123"/>
      <c r="H32" s="45"/>
      <c r="I32" s="46"/>
    </row>
    <row r="33" spans="1:9" s="47" customFormat="1" ht="20.25" customHeight="1" x14ac:dyDescent="0.25">
      <c r="A33" s="59" t="s">
        <v>323</v>
      </c>
      <c r="B33" s="82" t="str">
        <f>Rekap!B19</f>
        <v>Lampu</v>
      </c>
      <c r="C33" s="83">
        <f>Rekap!C19</f>
        <v>10</v>
      </c>
      <c r="D33" s="56" t="str">
        <f>Rekap!D19</f>
        <v>Buah</v>
      </c>
      <c r="E33" s="57">
        <f>Rekap!E19</f>
        <v>100000</v>
      </c>
      <c r="F33" s="58">
        <f t="shared" si="0"/>
        <v>1000000</v>
      </c>
      <c r="G33" s="123"/>
      <c r="H33" s="45"/>
      <c r="I33" s="46"/>
    </row>
    <row r="34" spans="1:9" s="47" customFormat="1" ht="20.25" customHeight="1" x14ac:dyDescent="0.25">
      <c r="A34" s="59" t="s">
        <v>324</v>
      </c>
      <c r="B34" s="82" t="str">
        <f>Rekap!B20</f>
        <v>Pipa listrik</v>
      </c>
      <c r="C34" s="83">
        <f>Rekap!C20</f>
        <v>100</v>
      </c>
      <c r="D34" s="56" t="str">
        <f>Rekap!D20</f>
        <v>M</v>
      </c>
      <c r="E34" s="57">
        <f>Rekap!E20</f>
        <v>4000</v>
      </c>
      <c r="F34" s="58">
        <f t="shared" si="0"/>
        <v>400000</v>
      </c>
      <c r="G34" s="123"/>
      <c r="H34" s="45"/>
      <c r="I34" s="46"/>
    </row>
    <row r="35" spans="1:9" s="47" customFormat="1" ht="20.25" customHeight="1" x14ac:dyDescent="0.25">
      <c r="A35" s="59" t="s">
        <v>325</v>
      </c>
      <c r="B35" s="82" t="str">
        <f>Rekap!B21</f>
        <v>T Dust</v>
      </c>
      <c r="C35" s="83">
        <f>Rekap!C21</f>
        <v>10</v>
      </c>
      <c r="D35" s="56" t="str">
        <f>Rekap!D21</f>
        <v>Buah</v>
      </c>
      <c r="E35" s="57">
        <f>Rekap!E21</f>
        <v>5000</v>
      </c>
      <c r="F35" s="58">
        <f t="shared" si="0"/>
        <v>50000</v>
      </c>
      <c r="G35" s="123"/>
      <c r="H35" s="45"/>
      <c r="I35" s="46"/>
    </row>
    <row r="36" spans="1:9" s="47" customFormat="1" ht="20.25" customHeight="1" x14ac:dyDescent="0.25">
      <c r="A36" s="59" t="s">
        <v>326</v>
      </c>
      <c r="B36" s="82" t="str">
        <f>Rekap!B22</f>
        <v>Sambungan Pipa Listrik</v>
      </c>
      <c r="C36" s="83">
        <f>Rekap!C22</f>
        <v>40</v>
      </c>
      <c r="D36" s="56" t="str">
        <f>Rekap!D22</f>
        <v>Buah</v>
      </c>
      <c r="E36" s="57">
        <f>Rekap!E22</f>
        <v>5000</v>
      </c>
      <c r="F36" s="58">
        <f t="shared" si="0"/>
        <v>200000</v>
      </c>
      <c r="G36" s="123"/>
      <c r="H36" s="45"/>
      <c r="I36" s="46"/>
    </row>
    <row r="37" spans="1:9" s="47" customFormat="1" ht="20.25" customHeight="1" x14ac:dyDescent="0.25">
      <c r="A37" s="59" t="s">
        <v>327</v>
      </c>
      <c r="B37" s="82" t="str">
        <f>Rekap!B23</f>
        <v>Meteran Listrik</v>
      </c>
      <c r="C37" s="83">
        <f>Rekap!C23</f>
        <v>1</v>
      </c>
      <c r="D37" s="56" t="str">
        <f>Rekap!D23</f>
        <v>Buah</v>
      </c>
      <c r="E37" s="57">
        <f>Rekap!E23</f>
        <v>2500000</v>
      </c>
      <c r="F37" s="58">
        <f t="shared" si="0"/>
        <v>2500000</v>
      </c>
      <c r="G37" s="123"/>
      <c r="H37" s="45">
        <f>F37</f>
        <v>2500000</v>
      </c>
      <c r="I37" s="46"/>
    </row>
    <row r="38" spans="1:9" s="47" customFormat="1" ht="20.25" customHeight="1" x14ac:dyDescent="0.25">
      <c r="A38" s="59" t="s">
        <v>328</v>
      </c>
      <c r="B38" s="82" t="str">
        <f>Rekap!B24</f>
        <v>Kabel Listrik</v>
      </c>
      <c r="C38" s="83">
        <f>Rekap!C24</f>
        <v>4</v>
      </c>
      <c r="D38" s="56" t="str">
        <f>Rekap!D24</f>
        <v>Gulung</v>
      </c>
      <c r="E38" s="57">
        <f>Rekap!E24</f>
        <v>300000</v>
      </c>
      <c r="F38" s="58">
        <f t="shared" si="0"/>
        <v>1200000</v>
      </c>
      <c r="G38" s="123"/>
      <c r="H38" s="45"/>
      <c r="I38" s="46"/>
    </row>
    <row r="39" spans="1:9" s="47" customFormat="1" ht="20.25" customHeight="1" x14ac:dyDescent="0.25">
      <c r="A39" s="59" t="s">
        <v>329</v>
      </c>
      <c r="B39" s="82" t="str">
        <f>Rekap!B25</f>
        <v>Kabel induk PLN</v>
      </c>
      <c r="C39" s="83">
        <f>Rekap!C25</f>
        <v>60</v>
      </c>
      <c r="D39" s="56" t="str">
        <f>Rekap!D25</f>
        <v xml:space="preserve">M </v>
      </c>
      <c r="E39" s="57">
        <f>Rekap!E25</f>
        <v>8000</v>
      </c>
      <c r="F39" s="58">
        <f t="shared" si="0"/>
        <v>480000</v>
      </c>
      <c r="G39" s="123"/>
      <c r="H39" s="45">
        <f>F39</f>
        <v>480000</v>
      </c>
      <c r="I39" s="46"/>
    </row>
    <row r="40" spans="1:9" s="47" customFormat="1" ht="20.25" customHeight="1" x14ac:dyDescent="0.25">
      <c r="A40" s="59" t="s">
        <v>330</v>
      </c>
      <c r="B40" s="82" t="str">
        <f>Rekap!B26</f>
        <v>Fiting Lampu</v>
      </c>
      <c r="C40" s="83">
        <f>Rekap!C26</f>
        <v>4</v>
      </c>
      <c r="D40" s="56" t="str">
        <f>Rekap!D26</f>
        <v>Buah</v>
      </c>
      <c r="E40" s="57">
        <f>Rekap!E26</f>
        <v>5000</v>
      </c>
      <c r="F40" s="58">
        <f t="shared" si="0"/>
        <v>20000</v>
      </c>
      <c r="G40" s="123"/>
      <c r="H40" s="45"/>
      <c r="I40" s="46"/>
    </row>
    <row r="41" spans="1:9" s="47" customFormat="1" ht="20.25" customHeight="1" x14ac:dyDescent="0.25">
      <c r="A41" s="59" t="s">
        <v>331</v>
      </c>
      <c r="B41" s="82" t="str">
        <f>Rekap!B27</f>
        <v>Handle pintu</v>
      </c>
      <c r="C41" s="83">
        <f>Rekap!C27</f>
        <v>6</v>
      </c>
      <c r="D41" s="56" t="str">
        <f>Rekap!D27</f>
        <v>Buah</v>
      </c>
      <c r="E41" s="57">
        <f>Rekap!E27</f>
        <v>50000</v>
      </c>
      <c r="F41" s="58">
        <f t="shared" si="0"/>
        <v>300000</v>
      </c>
      <c r="G41" s="123"/>
      <c r="H41" s="45"/>
      <c r="I41" s="46"/>
    </row>
    <row r="42" spans="1:9" s="47" customFormat="1" ht="20.25" customHeight="1" x14ac:dyDescent="0.25">
      <c r="A42" s="59" t="s">
        <v>332</v>
      </c>
      <c r="B42" s="82" t="str">
        <f>Rekap!B28</f>
        <v>Pintu</v>
      </c>
      <c r="C42" s="83"/>
      <c r="D42" s="56" t="str">
        <f>Rekap!D28</f>
        <v>Buah</v>
      </c>
      <c r="E42" s="57">
        <v>1800000</v>
      </c>
      <c r="F42" s="58">
        <f t="shared" si="0"/>
        <v>0</v>
      </c>
      <c r="G42" s="123"/>
      <c r="H42" s="45"/>
      <c r="I42" s="46"/>
    </row>
    <row r="43" spans="1:9" s="47" customFormat="1" ht="20.25" customHeight="1" x14ac:dyDescent="0.25">
      <c r="A43" s="59" t="s">
        <v>333</v>
      </c>
      <c r="B43" s="82" t="str">
        <f>Rekap!B29</f>
        <v>Engsel Pintu</v>
      </c>
      <c r="C43" s="83">
        <f>Rekap!C29</f>
        <v>36</v>
      </c>
      <c r="D43" s="56" t="str">
        <f>Rekap!D29</f>
        <v>Buah</v>
      </c>
      <c r="E43" s="57">
        <f>Rekap!E29</f>
        <v>5000</v>
      </c>
      <c r="F43" s="58">
        <f t="shared" si="0"/>
        <v>180000</v>
      </c>
      <c r="G43" s="123"/>
      <c r="H43" s="45"/>
      <c r="I43" s="46"/>
    </row>
    <row r="44" spans="1:9" s="47" customFormat="1" ht="20.25" customHeight="1" x14ac:dyDescent="0.25">
      <c r="A44" s="59" t="s">
        <v>334</v>
      </c>
      <c r="B44" s="82" t="s">
        <v>364</v>
      </c>
      <c r="C44" s="83">
        <v>5</v>
      </c>
      <c r="D44" s="56" t="s">
        <v>10</v>
      </c>
      <c r="E44" s="57">
        <v>600000</v>
      </c>
      <c r="F44" s="58">
        <f t="shared" si="0"/>
        <v>3000000</v>
      </c>
      <c r="G44" s="123"/>
      <c r="H44" s="45"/>
      <c r="I44" s="46"/>
    </row>
    <row r="45" spans="1:9" s="47" customFormat="1" ht="20.25" customHeight="1" x14ac:dyDescent="0.25">
      <c r="A45" s="59" t="s">
        <v>335</v>
      </c>
      <c r="B45" s="82" t="s">
        <v>365</v>
      </c>
      <c r="C45" s="83"/>
      <c r="D45" s="56" t="s">
        <v>10</v>
      </c>
      <c r="E45" s="57">
        <v>300000</v>
      </c>
      <c r="F45" s="58">
        <f t="shared" si="0"/>
        <v>0</v>
      </c>
      <c r="G45" s="123"/>
      <c r="H45" s="45"/>
      <c r="I45" s="46"/>
    </row>
    <row r="46" spans="1:9" s="47" customFormat="1" ht="20.25" customHeight="1" x14ac:dyDescent="0.25">
      <c r="A46" s="59" t="s">
        <v>336</v>
      </c>
      <c r="B46" s="82" t="s">
        <v>366</v>
      </c>
      <c r="C46" s="83">
        <v>20</v>
      </c>
      <c r="D46" s="56" t="s">
        <v>10</v>
      </c>
      <c r="E46" s="57">
        <v>5000</v>
      </c>
      <c r="F46" s="58">
        <f t="shared" si="0"/>
        <v>100000</v>
      </c>
      <c r="G46" s="123"/>
      <c r="H46" s="45"/>
      <c r="I46" s="46"/>
    </row>
    <row r="47" spans="1:9" s="47" customFormat="1" ht="20.25" customHeight="1" x14ac:dyDescent="0.25">
      <c r="A47" s="59" t="s">
        <v>341</v>
      </c>
      <c r="B47" s="82" t="s">
        <v>367</v>
      </c>
      <c r="C47" s="83">
        <v>10</v>
      </c>
      <c r="D47" s="56" t="s">
        <v>10</v>
      </c>
      <c r="E47" s="57">
        <v>5000</v>
      </c>
      <c r="F47" s="58">
        <f t="shared" si="0"/>
        <v>50000</v>
      </c>
      <c r="G47" s="123"/>
      <c r="H47" s="45"/>
      <c r="I47" s="46"/>
    </row>
    <row r="48" spans="1:9" s="47" customFormat="1" ht="20.25" customHeight="1" x14ac:dyDescent="0.25">
      <c r="A48" s="59" t="s">
        <v>342</v>
      </c>
      <c r="B48" s="82" t="s">
        <v>368</v>
      </c>
      <c r="C48" s="83">
        <v>10</v>
      </c>
      <c r="D48" s="56" t="s">
        <v>10</v>
      </c>
      <c r="E48" s="57">
        <v>8000</v>
      </c>
      <c r="F48" s="58">
        <f t="shared" si="0"/>
        <v>80000</v>
      </c>
      <c r="G48" s="123"/>
      <c r="H48" s="45"/>
      <c r="I48" s="46"/>
    </row>
    <row r="49" spans="1:9" s="47" customFormat="1" ht="20.25" customHeight="1" x14ac:dyDescent="0.25">
      <c r="A49" s="59" t="s">
        <v>352</v>
      </c>
      <c r="B49" s="82" t="s">
        <v>369</v>
      </c>
      <c r="C49" s="83">
        <v>10</v>
      </c>
      <c r="D49" s="56" t="s">
        <v>10</v>
      </c>
      <c r="E49" s="57">
        <v>7000</v>
      </c>
      <c r="F49" s="58">
        <f t="shared" si="0"/>
        <v>70000</v>
      </c>
      <c r="G49" s="123"/>
      <c r="H49" s="45"/>
      <c r="I49" s="46"/>
    </row>
    <row r="50" spans="1:9" s="47" customFormat="1" ht="20.25" customHeight="1" x14ac:dyDescent="0.25">
      <c r="A50" s="59" t="s">
        <v>353</v>
      </c>
      <c r="B50" s="82" t="str">
        <f>Rekap!B30</f>
        <v>Cat Tembok</v>
      </c>
      <c r="C50" s="83">
        <f>Rekap!C30</f>
        <v>5</v>
      </c>
      <c r="D50" s="56" t="str">
        <f>Rekap!D30</f>
        <v>Ember</v>
      </c>
      <c r="E50" s="57">
        <v>400000</v>
      </c>
      <c r="F50" s="58">
        <f t="shared" si="0"/>
        <v>2000000</v>
      </c>
      <c r="G50" s="123"/>
      <c r="H50" s="45">
        <f>F50</f>
        <v>2000000</v>
      </c>
      <c r="I50" s="46"/>
    </row>
    <row r="51" spans="1:9" s="47" customFormat="1" ht="20.25" customHeight="1" x14ac:dyDescent="0.25">
      <c r="A51" s="59" t="s">
        <v>354</v>
      </c>
      <c r="B51" s="82" t="str">
        <f>Rekap!B31</f>
        <v>Cat minyak</v>
      </c>
      <c r="C51" s="83">
        <f>Rekap!C31</f>
        <v>20</v>
      </c>
      <c r="D51" s="56" t="str">
        <f>Rekap!D31</f>
        <v>Kaleng</v>
      </c>
      <c r="E51" s="57">
        <f>Rekap!E31</f>
        <v>50000</v>
      </c>
      <c r="F51" s="58">
        <f t="shared" si="0"/>
        <v>1000000</v>
      </c>
      <c r="G51" s="123"/>
      <c r="H51" s="45">
        <f>F51</f>
        <v>1000000</v>
      </c>
      <c r="I51" s="46"/>
    </row>
    <row r="52" spans="1:9" s="47" customFormat="1" ht="20.25" customHeight="1" x14ac:dyDescent="0.25">
      <c r="A52" s="59" t="s">
        <v>355</v>
      </c>
      <c r="B52" s="82" t="str">
        <f>Rekap!B32</f>
        <v>Slot Pintu</v>
      </c>
      <c r="C52" s="83">
        <f>Rekap!C32</f>
        <v>6</v>
      </c>
      <c r="D52" s="56" t="str">
        <f>Rekap!D32</f>
        <v>Buah</v>
      </c>
      <c r="E52" s="57">
        <f>Rekap!E32</f>
        <v>20000</v>
      </c>
      <c r="F52" s="58">
        <f t="shared" si="0"/>
        <v>120000</v>
      </c>
      <c r="G52" s="123"/>
      <c r="H52" s="73">
        <f>SUM(H37:H51)</f>
        <v>5980000</v>
      </c>
      <c r="I52" s="46"/>
    </row>
    <row r="53" spans="1:9" s="47" customFormat="1" ht="20.25" customHeight="1" x14ac:dyDescent="0.25">
      <c r="A53" s="59" t="s">
        <v>356</v>
      </c>
      <c r="B53" s="82" t="s">
        <v>293</v>
      </c>
      <c r="C53" s="83">
        <f>Rekap!C33</f>
        <v>43.199999999999996</v>
      </c>
      <c r="D53" s="56" t="s">
        <v>58</v>
      </c>
      <c r="E53" s="57">
        <v>100000</v>
      </c>
      <c r="F53" s="85">
        <f>C53*E53</f>
        <v>4320000</v>
      </c>
      <c r="G53" s="123"/>
      <c r="H53" s="45"/>
      <c r="I53" s="46"/>
    </row>
    <row r="54" spans="1:9" s="88" customFormat="1" ht="20.25" customHeight="1" x14ac:dyDescent="0.25">
      <c r="A54" s="59" t="s">
        <v>357</v>
      </c>
      <c r="B54" s="82" t="str">
        <f>'[1]5. Rekap Bahan &amp; Upah'!B23</f>
        <v>Papan Proyek</v>
      </c>
      <c r="C54" s="83">
        <v>1</v>
      </c>
      <c r="D54" s="56" t="str">
        <f>'[1]5. Rekap Bahan &amp; Upah'!F23</f>
        <v>Unit</v>
      </c>
      <c r="E54" s="57">
        <f>99150+436</f>
        <v>99586</v>
      </c>
      <c r="F54" s="85">
        <f t="shared" ref="F54:F60" si="1">C54*E54</f>
        <v>99586</v>
      </c>
      <c r="G54" s="123"/>
      <c r="H54" s="86"/>
      <c r="I54" s="87"/>
    </row>
    <row r="55" spans="1:9" s="89" customFormat="1" ht="20.25" customHeight="1" x14ac:dyDescent="0.25">
      <c r="A55" s="59" t="s">
        <v>370</v>
      </c>
      <c r="B55" s="82" t="str">
        <f>Rekap!B40</f>
        <v>Besi Kanal Merek Tasso</v>
      </c>
      <c r="C55" s="83" t="str">
        <f>Rekap!C40</f>
        <v>173</v>
      </c>
      <c r="D55" s="56" t="str">
        <f>Rekap!D40</f>
        <v>Btg</v>
      </c>
      <c r="E55" s="57">
        <f>Rekap!E40</f>
        <v>100000</v>
      </c>
      <c r="F55" s="85">
        <f t="shared" si="1"/>
        <v>17300000</v>
      </c>
      <c r="G55" s="123"/>
      <c r="H55" s="45"/>
      <c r="I55" s="46"/>
    </row>
    <row r="56" spans="1:9" s="89" customFormat="1" ht="20.25" customHeight="1" x14ac:dyDescent="0.25">
      <c r="A56" s="59" t="s">
        <v>371</v>
      </c>
      <c r="B56" s="82" t="str">
        <f>Rekap!B41</f>
        <v>Besi  Reng Merek Tasso</v>
      </c>
      <c r="C56" s="83">
        <f>Rekap!C41</f>
        <v>86</v>
      </c>
      <c r="D56" s="56" t="str">
        <f>Rekap!D41</f>
        <v>Btg</v>
      </c>
      <c r="E56" s="57">
        <f>Rekap!E41</f>
        <v>50000</v>
      </c>
      <c r="F56" s="85">
        <f t="shared" si="1"/>
        <v>4300000</v>
      </c>
      <c r="G56" s="123"/>
      <c r="H56" s="45"/>
      <c r="I56" s="46"/>
    </row>
    <row r="57" spans="1:9" s="89" customFormat="1" ht="20.25" customHeight="1" x14ac:dyDescent="0.25">
      <c r="A57" s="59" t="s">
        <v>372</v>
      </c>
      <c r="B57" s="82" t="str">
        <f>Rekap!B42</f>
        <v>Seng Galvalum Ukuran 8 M</v>
      </c>
      <c r="C57" s="83">
        <f>Rekap!C42+Rekap!C48</f>
        <v>60</v>
      </c>
      <c r="D57" s="56" t="str">
        <f>Rekap!D42</f>
        <v>Keping</v>
      </c>
      <c r="E57" s="57">
        <f>Rekap!E42</f>
        <v>300000</v>
      </c>
      <c r="F57" s="85">
        <f t="shared" si="1"/>
        <v>18000000</v>
      </c>
      <c r="G57" s="123"/>
      <c r="H57" s="45"/>
      <c r="I57" s="46"/>
    </row>
    <row r="58" spans="1:9" s="89" customFormat="1" ht="20.25" customHeight="1" x14ac:dyDescent="0.25">
      <c r="A58" s="59" t="s">
        <v>373</v>
      </c>
      <c r="B58" s="82" t="str">
        <f>Rekap!B43</f>
        <v>Seng Galvalum Ukuran 3 M</v>
      </c>
      <c r="C58" s="83">
        <f>Rekap!C43</f>
        <v>83.999999999999986</v>
      </c>
      <c r="D58" s="56" t="str">
        <f>Rekap!D43</f>
        <v>Keping</v>
      </c>
      <c r="E58" s="57">
        <f>Rekap!E43</f>
        <v>100000</v>
      </c>
      <c r="F58" s="85">
        <f t="shared" si="1"/>
        <v>8399999.9999999981</v>
      </c>
      <c r="G58" s="123"/>
      <c r="H58" s="45"/>
      <c r="I58" s="46"/>
    </row>
    <row r="59" spans="1:9" s="89" customFormat="1" ht="20.25" customHeight="1" x14ac:dyDescent="0.25">
      <c r="A59" s="59" t="s">
        <v>374</v>
      </c>
      <c r="B59" s="82" t="str">
        <f>Rekap!B44</f>
        <v xml:space="preserve">Baut </v>
      </c>
      <c r="C59" s="83">
        <f>Rekap!C44</f>
        <v>1560</v>
      </c>
      <c r="D59" s="56" t="str">
        <f>Rekap!D44</f>
        <v>Buah</v>
      </c>
      <c r="E59" s="57">
        <f>Rekap!E44</f>
        <v>300</v>
      </c>
      <c r="F59" s="85">
        <f t="shared" si="1"/>
        <v>468000</v>
      </c>
      <c r="G59" s="123"/>
      <c r="H59" s="45"/>
      <c r="I59" s="46"/>
    </row>
    <row r="60" spans="1:9" s="89" customFormat="1" ht="20.25" customHeight="1" x14ac:dyDescent="0.25">
      <c r="A60" s="59" t="s">
        <v>375</v>
      </c>
      <c r="B60" s="82" t="str">
        <f>Rekap!B45</f>
        <v>Perabung</v>
      </c>
      <c r="C60" s="83">
        <f>Rekap!C45</f>
        <v>30</v>
      </c>
      <c r="D60" s="56" t="str">
        <f>Rekap!D45</f>
        <v>M</v>
      </c>
      <c r="E60" s="57">
        <f>Rekap!E45</f>
        <v>40000</v>
      </c>
      <c r="F60" s="85">
        <f t="shared" si="1"/>
        <v>1200000</v>
      </c>
      <c r="G60" s="123"/>
      <c r="H60" s="45"/>
      <c r="I60" s="46"/>
    </row>
    <row r="61" spans="1:9" s="89" customFormat="1" ht="20.25" customHeight="1" thickBot="1" x14ac:dyDescent="0.3">
      <c r="A61" s="59"/>
      <c r="B61" s="82"/>
      <c r="C61" s="83"/>
      <c r="D61" s="56"/>
      <c r="E61" s="57"/>
      <c r="F61" s="58"/>
      <c r="G61" s="84"/>
      <c r="H61" s="45"/>
      <c r="I61" s="46"/>
    </row>
    <row r="62" spans="1:9" s="75" customFormat="1" ht="20.25" customHeight="1" thickBot="1" x14ac:dyDescent="0.3">
      <c r="A62" s="137" t="s">
        <v>294</v>
      </c>
      <c r="B62" s="142"/>
      <c r="C62" s="142"/>
      <c r="D62" s="142"/>
      <c r="E62" s="143"/>
      <c r="F62" s="79">
        <f>SUM(F19:F60)</f>
        <v>125305386</v>
      </c>
      <c r="G62" s="90">
        <f>F62</f>
        <v>125305386</v>
      </c>
      <c r="H62" s="73"/>
      <c r="I62" s="74"/>
    </row>
    <row r="63" spans="1:9" s="52" customFormat="1" ht="20.25" customHeight="1" thickBot="1" x14ac:dyDescent="0.3">
      <c r="A63" s="76">
        <v>3</v>
      </c>
      <c r="B63" s="91" t="s">
        <v>295</v>
      </c>
      <c r="C63" s="78"/>
      <c r="D63" s="44"/>
      <c r="E63" s="79"/>
      <c r="F63" s="71"/>
      <c r="G63" s="44"/>
      <c r="H63" s="51"/>
      <c r="I63" s="81"/>
    </row>
    <row r="64" spans="1:9" s="47" customFormat="1" ht="20.25" customHeight="1" x14ac:dyDescent="0.25">
      <c r="A64" s="53" t="s">
        <v>296</v>
      </c>
      <c r="B64" s="54" t="str">
        <f>'[1]5. Rekap Bahan &amp; Upah'!B27</f>
        <v>Ember Cor</v>
      </c>
      <c r="C64" s="92">
        <v>0</v>
      </c>
      <c r="D64" s="56" t="s">
        <v>297</v>
      </c>
      <c r="E64" s="57">
        <v>10000</v>
      </c>
      <c r="F64" s="58">
        <f>C64*E64</f>
        <v>0</v>
      </c>
      <c r="G64" s="56"/>
      <c r="H64" s="45"/>
      <c r="I64" s="46"/>
    </row>
    <row r="65" spans="1:12" s="47" customFormat="1" ht="20.25" customHeight="1" x14ac:dyDescent="0.25">
      <c r="A65" s="59" t="s">
        <v>298</v>
      </c>
      <c r="B65" s="60" t="s">
        <v>205</v>
      </c>
      <c r="C65" s="61">
        <v>0</v>
      </c>
      <c r="D65" s="62" t="s">
        <v>299</v>
      </c>
      <c r="E65" s="63">
        <f>'[1]5. Rekap Bahan &amp; Upah'!G29</f>
        <v>6000</v>
      </c>
      <c r="F65" s="64">
        <f>C65*E65</f>
        <v>0</v>
      </c>
      <c r="G65" s="62"/>
      <c r="H65" s="45"/>
      <c r="I65" s="46"/>
    </row>
    <row r="66" spans="1:12" s="47" customFormat="1" ht="20.25" customHeight="1" thickBot="1" x14ac:dyDescent="0.3">
      <c r="A66" s="59" t="s">
        <v>300</v>
      </c>
      <c r="B66" s="60" t="s">
        <v>301</v>
      </c>
      <c r="C66" s="93">
        <v>0</v>
      </c>
      <c r="D66" s="62" t="s">
        <v>59</v>
      </c>
      <c r="E66" s="63">
        <v>25000</v>
      </c>
      <c r="F66" s="64">
        <f t="shared" ref="F66" si="2">C66*E66</f>
        <v>0</v>
      </c>
      <c r="G66" s="62"/>
      <c r="H66" s="45"/>
      <c r="I66" s="46"/>
    </row>
    <row r="67" spans="1:12" s="75" customFormat="1" ht="20.25" customHeight="1" thickBot="1" x14ac:dyDescent="0.3">
      <c r="A67" s="137" t="s">
        <v>302</v>
      </c>
      <c r="B67" s="138"/>
      <c r="C67" s="138"/>
      <c r="D67" s="138"/>
      <c r="E67" s="139"/>
      <c r="F67" s="71">
        <f>F64+F65+F66</f>
        <v>0</v>
      </c>
      <c r="G67" s="72">
        <f>F67</f>
        <v>0</v>
      </c>
      <c r="H67" s="73"/>
      <c r="I67" s="74"/>
    </row>
    <row r="68" spans="1:12" s="52" customFormat="1" ht="20.25" customHeight="1" thickBot="1" x14ac:dyDescent="0.3">
      <c r="A68" s="76">
        <v>4</v>
      </c>
      <c r="B68" s="91" t="s">
        <v>303</v>
      </c>
      <c r="C68" s="78"/>
      <c r="D68" s="44"/>
      <c r="E68" s="79"/>
      <c r="F68" s="71"/>
      <c r="G68" s="44"/>
      <c r="H68" s="51"/>
      <c r="I68" s="81"/>
    </row>
    <row r="69" spans="1:12" s="47" customFormat="1" ht="20.25" customHeight="1" thickBot="1" x14ac:dyDescent="0.3">
      <c r="A69" s="53" t="s">
        <v>304</v>
      </c>
      <c r="B69" s="54" t="str">
        <f>'[1]5. Rekap Bahan &amp; Upah'!B34</f>
        <v>Sewa Molen</v>
      </c>
      <c r="C69" s="94">
        <v>0</v>
      </c>
      <c r="D69" s="68" t="str">
        <f>'[1]5. Rekap Bahan &amp; Upah'!F34</f>
        <v>HOK</v>
      </c>
      <c r="E69" s="69">
        <f>'[1]5. Rekap Bahan &amp; Upah'!G34</f>
        <v>250000</v>
      </c>
      <c r="F69" s="70">
        <f t="shared" ref="F69" si="3">C69*E69</f>
        <v>0</v>
      </c>
      <c r="G69" s="56"/>
      <c r="H69" s="45"/>
      <c r="I69" s="46"/>
    </row>
    <row r="70" spans="1:12" s="75" customFormat="1" ht="20.25" customHeight="1" thickBot="1" x14ac:dyDescent="0.3">
      <c r="A70" s="137" t="s">
        <v>305</v>
      </c>
      <c r="B70" s="138"/>
      <c r="C70" s="138"/>
      <c r="D70" s="138"/>
      <c r="E70" s="139"/>
      <c r="F70" s="71">
        <f>F69</f>
        <v>0</v>
      </c>
      <c r="G70" s="72">
        <f>F70</f>
        <v>0</v>
      </c>
      <c r="H70" s="73"/>
      <c r="I70" s="74"/>
    </row>
    <row r="71" spans="1:12" s="52" customFormat="1" ht="20.25" customHeight="1" thickBot="1" x14ac:dyDescent="0.3">
      <c r="A71" s="76">
        <v>5</v>
      </c>
      <c r="B71" s="91" t="s">
        <v>260</v>
      </c>
      <c r="C71" s="78"/>
      <c r="D71" s="44"/>
      <c r="E71" s="79"/>
      <c r="F71" s="71"/>
      <c r="G71" s="44"/>
      <c r="H71" s="51"/>
      <c r="I71" s="81"/>
    </row>
    <row r="72" spans="1:12" s="47" customFormat="1" ht="20.25" customHeight="1" x14ac:dyDescent="0.25">
      <c r="A72" s="53" t="s">
        <v>306</v>
      </c>
      <c r="B72" s="54" t="s">
        <v>360</v>
      </c>
      <c r="C72" s="92">
        <v>50</v>
      </c>
      <c r="D72" s="56" t="str">
        <f>'[1]5. Rekap Bahan &amp; Upah'!F32</f>
        <v>HOK</v>
      </c>
      <c r="E72" s="57">
        <f>'[1]5. Rekap Bahan &amp; Upah'!G33</f>
        <v>140000</v>
      </c>
      <c r="F72" s="58">
        <f>C72*E72</f>
        <v>7000000</v>
      </c>
      <c r="G72" s="56"/>
      <c r="H72" s="73" t="s">
        <v>307</v>
      </c>
      <c r="I72" s="46"/>
    </row>
    <row r="73" spans="1:12" s="47" customFormat="1" ht="20.25" customHeight="1" x14ac:dyDescent="0.25">
      <c r="A73" s="95" t="s">
        <v>308</v>
      </c>
      <c r="B73" s="96" t="s">
        <v>361</v>
      </c>
      <c r="C73" s="97">
        <v>202</v>
      </c>
      <c r="D73" s="56" t="str">
        <f>'[1]5. Rekap Bahan &amp; Upah'!F33</f>
        <v>HOK</v>
      </c>
      <c r="E73" s="98">
        <f>'[1]5. Rekap Bahan &amp; Upah'!G32</f>
        <v>100000</v>
      </c>
      <c r="F73" s="85">
        <f>C73*E73</f>
        <v>20200000</v>
      </c>
      <c r="G73" s="121"/>
      <c r="H73" s="73"/>
      <c r="I73" s="46"/>
      <c r="L73" s="47">
        <f>252</f>
        <v>252</v>
      </c>
    </row>
    <row r="74" spans="1:12" s="47" customFormat="1" ht="20.25" customHeight="1" thickBot="1" x14ac:dyDescent="0.3">
      <c r="A74" s="95" t="s">
        <v>363</v>
      </c>
      <c r="B74" s="96" t="s">
        <v>362</v>
      </c>
      <c r="C74" s="97">
        <f>Rekap!C51</f>
        <v>416</v>
      </c>
      <c r="D74" s="56" t="s">
        <v>32</v>
      </c>
      <c r="E74" s="98">
        <f>Rekap!E51</f>
        <v>35000</v>
      </c>
      <c r="F74" s="85">
        <f>C74*E74</f>
        <v>14560000</v>
      </c>
      <c r="G74" s="121"/>
      <c r="H74" s="45">
        <f>G70+G75</f>
        <v>41760000</v>
      </c>
      <c r="I74" s="46"/>
      <c r="L74" s="47">
        <f>L73/6</f>
        <v>42</v>
      </c>
    </row>
    <row r="75" spans="1:12" s="75" customFormat="1" ht="20.25" customHeight="1" thickBot="1" x14ac:dyDescent="0.3">
      <c r="A75" s="137" t="s">
        <v>309</v>
      </c>
      <c r="B75" s="138"/>
      <c r="C75" s="138"/>
      <c r="D75" s="138"/>
      <c r="E75" s="139"/>
      <c r="F75" s="71">
        <f>F72+F73+I78+F74</f>
        <v>41760000</v>
      </c>
      <c r="G75" s="72">
        <f>F75</f>
        <v>41760000</v>
      </c>
      <c r="H75" s="99" t="str">
        <f>"Persentase PKT = "&amp;FIXED(H74/G62*100,2,0)&amp; " %"</f>
        <v>Persentase PKT = 33.33 %</v>
      </c>
      <c r="I75" s="74"/>
    </row>
    <row r="76" spans="1:12" s="47" customFormat="1" ht="20.25" customHeight="1" thickBot="1" x14ac:dyDescent="0.3">
      <c r="A76" s="146" t="s">
        <v>310</v>
      </c>
      <c r="B76" s="147"/>
      <c r="C76" s="147"/>
      <c r="D76" s="147"/>
      <c r="E76" s="148"/>
      <c r="F76" s="100">
        <f>F17+F62+F67+F75+F70</f>
        <v>167890386</v>
      </c>
      <c r="G76" s="101">
        <f>F76</f>
        <v>167890386</v>
      </c>
      <c r="H76" s="73" t="s">
        <v>311</v>
      </c>
      <c r="I76" s="74" t="s">
        <v>312</v>
      </c>
    </row>
    <row r="77" spans="1:12" s="47" customFormat="1" x14ac:dyDescent="0.25">
      <c r="A77" s="29"/>
      <c r="B77" s="29"/>
      <c r="C77" s="29"/>
      <c r="D77" s="32"/>
      <c r="E77" s="32"/>
      <c r="F77" s="32"/>
      <c r="G77" s="122"/>
      <c r="H77" s="46">
        <v>53197000</v>
      </c>
      <c r="I77" s="46">
        <f>H77-G76</f>
        <v>-114693386</v>
      </c>
    </row>
    <row r="78" spans="1:12" x14ac:dyDescent="0.25">
      <c r="A78" s="29"/>
      <c r="B78" s="32"/>
      <c r="C78" s="32"/>
      <c r="D78" s="31"/>
      <c r="E78" s="32"/>
      <c r="F78" s="149" t="s">
        <v>313</v>
      </c>
      <c r="G78" s="149"/>
      <c r="H78" s="102"/>
    </row>
    <row r="79" spans="1:12" x14ac:dyDescent="0.25">
      <c r="A79" s="149" t="s">
        <v>314</v>
      </c>
      <c r="B79" s="149"/>
      <c r="C79" s="149"/>
      <c r="D79" s="32"/>
      <c r="E79" s="32"/>
      <c r="F79" s="32"/>
      <c r="G79" s="32"/>
    </row>
    <row r="80" spans="1:12" x14ac:dyDescent="0.25">
      <c r="A80" s="149" t="s">
        <v>315</v>
      </c>
      <c r="B80" s="149"/>
      <c r="C80" s="149"/>
      <c r="D80" s="31"/>
      <c r="E80" s="32"/>
      <c r="F80" s="149" t="s">
        <v>316</v>
      </c>
      <c r="G80" s="149"/>
      <c r="H80" s="28">
        <f>'[2]Pnj APBDES'!$S$32</f>
        <v>0</v>
      </c>
    </row>
    <row r="81" spans="1:9" x14ac:dyDescent="0.25">
      <c r="A81" s="29"/>
      <c r="B81" s="30"/>
      <c r="C81" s="30"/>
      <c r="D81" s="32"/>
      <c r="E81" s="30"/>
      <c r="F81" s="30"/>
      <c r="G81" s="30"/>
    </row>
    <row r="82" spans="1:9" x14ac:dyDescent="0.25">
      <c r="A82" s="29"/>
      <c r="B82" s="30"/>
      <c r="C82" s="30"/>
      <c r="D82" s="32"/>
      <c r="E82" s="30"/>
      <c r="F82" s="30"/>
      <c r="G82" s="129">
        <f>203804386-G76</f>
        <v>35914000</v>
      </c>
    </row>
    <row r="83" spans="1:9" x14ac:dyDescent="0.25">
      <c r="A83" s="29"/>
      <c r="B83" s="30"/>
      <c r="C83" s="30"/>
      <c r="D83" s="32"/>
      <c r="E83" s="30"/>
      <c r="F83" s="30"/>
      <c r="G83" s="30"/>
      <c r="I83" s="126">
        <f>51000000-G75</f>
        <v>9240000</v>
      </c>
    </row>
    <row r="84" spans="1:9" x14ac:dyDescent="0.25">
      <c r="A84" s="29"/>
      <c r="B84" s="32"/>
      <c r="C84" s="32"/>
      <c r="D84" s="32"/>
      <c r="E84" s="30"/>
      <c r="F84" s="32"/>
      <c r="G84" s="32"/>
    </row>
    <row r="85" spans="1:9" x14ac:dyDescent="0.25">
      <c r="A85" s="144" t="s">
        <v>317</v>
      </c>
      <c r="B85" s="144"/>
      <c r="C85" s="144"/>
      <c r="D85" s="32"/>
      <c r="E85" s="30"/>
      <c r="F85" s="144" t="str">
        <f>'[1]5. Rekap Bahan &amp; Upah'!H57</f>
        <v>SUPARNO</v>
      </c>
      <c r="G85" s="144"/>
    </row>
    <row r="86" spans="1:9" x14ac:dyDescent="0.25">
      <c r="B86" s="145"/>
      <c r="C86" s="145"/>
      <c r="F86" s="145"/>
      <c r="G86" s="145"/>
    </row>
    <row r="90" spans="1:9" s="47" customFormat="1" x14ac:dyDescent="0.25">
      <c r="A90" s="103"/>
      <c r="B90" s="28"/>
      <c r="C90" s="28"/>
      <c r="D90" s="28"/>
      <c r="E90" s="28"/>
      <c r="F90" s="28"/>
      <c r="G90" s="28"/>
    </row>
    <row r="91" spans="1:9" s="47" customFormat="1" x14ac:dyDescent="0.25">
      <c r="A91" s="103"/>
      <c r="B91" s="28"/>
      <c r="C91" s="28"/>
      <c r="D91" s="28"/>
      <c r="E91" s="28"/>
      <c r="F91" s="28"/>
      <c r="G91" s="28"/>
    </row>
    <row r="94" spans="1:9" s="47" customFormat="1" x14ac:dyDescent="0.25">
      <c r="A94" s="103"/>
      <c r="B94" s="28"/>
      <c r="C94" s="28"/>
      <c r="D94" s="28"/>
      <c r="E94" s="28"/>
      <c r="F94" s="28"/>
      <c r="G94" s="28"/>
    </row>
    <row r="100" spans="1:8" s="47" customFormat="1" x14ac:dyDescent="0.25">
      <c r="A100" s="103"/>
      <c r="B100" s="28"/>
      <c r="C100" s="28"/>
      <c r="D100" s="28"/>
      <c r="E100" s="28"/>
      <c r="F100" s="28"/>
      <c r="G100" s="28"/>
    </row>
    <row r="104" spans="1:8" x14ac:dyDescent="0.25">
      <c r="H104" s="102"/>
    </row>
    <row r="337" spans="1:1" x14ac:dyDescent="0.25">
      <c r="A337" s="28"/>
    </row>
    <row r="338" spans="1:1" x14ac:dyDescent="0.25">
      <c r="A338" s="28"/>
    </row>
    <row r="339" spans="1:1" x14ac:dyDescent="0.25">
      <c r="A339" s="28"/>
    </row>
    <row r="340" spans="1:1" x14ac:dyDescent="0.25">
      <c r="A340" s="28"/>
    </row>
    <row r="341" spans="1:1" x14ac:dyDescent="0.25">
      <c r="A341" s="28"/>
    </row>
    <row r="342" spans="1:1" x14ac:dyDescent="0.25">
      <c r="A342" s="28"/>
    </row>
    <row r="343" spans="1:1" x14ac:dyDescent="0.25">
      <c r="A343" s="28"/>
    </row>
    <row r="344" spans="1:1" x14ac:dyDescent="0.25">
      <c r="A344" s="28"/>
    </row>
    <row r="345" spans="1:1" x14ac:dyDescent="0.25">
      <c r="A345" s="28"/>
    </row>
    <row r="346" spans="1:1" x14ac:dyDescent="0.25">
      <c r="A346" s="28"/>
    </row>
    <row r="347" spans="1:1" x14ac:dyDescent="0.25">
      <c r="A347" s="28"/>
    </row>
    <row r="348" spans="1:1" x14ac:dyDescent="0.25">
      <c r="A348" s="28"/>
    </row>
    <row r="349" spans="1:1" x14ac:dyDescent="0.25">
      <c r="A349" s="28"/>
    </row>
    <row r="350" spans="1:1" x14ac:dyDescent="0.25">
      <c r="A350" s="28"/>
    </row>
    <row r="351" spans="1:1" x14ac:dyDescent="0.25">
      <c r="A351" s="28"/>
    </row>
    <row r="352" spans="1:1" x14ac:dyDescent="0.25">
      <c r="A352" s="28"/>
    </row>
    <row r="353" spans="1:1" x14ac:dyDescent="0.25">
      <c r="A353" s="28"/>
    </row>
    <row r="354" spans="1:1" x14ac:dyDescent="0.25">
      <c r="A354" s="28"/>
    </row>
  </sheetData>
  <mergeCells count="28">
    <mergeCell ref="A85:C85"/>
    <mergeCell ref="F85:G85"/>
    <mergeCell ref="B86:C86"/>
    <mergeCell ref="F86:G86"/>
    <mergeCell ref="A75:E75"/>
    <mergeCell ref="A76:E76"/>
    <mergeCell ref="F78:G78"/>
    <mergeCell ref="A79:C79"/>
    <mergeCell ref="A80:C80"/>
    <mergeCell ref="F80:G80"/>
    <mergeCell ref="G9:G11"/>
    <mergeCell ref="A12:B12"/>
    <mergeCell ref="A17:E17"/>
    <mergeCell ref="A62:E62"/>
    <mergeCell ref="A67:E67"/>
    <mergeCell ref="F9:F11"/>
    <mergeCell ref="A70:E70"/>
    <mergeCell ref="A7:B7"/>
    <mergeCell ref="A9:B11"/>
    <mergeCell ref="C9:C11"/>
    <mergeCell ref="D9:D11"/>
    <mergeCell ref="E9:E11"/>
    <mergeCell ref="A1:G1"/>
    <mergeCell ref="A4:B4"/>
    <mergeCell ref="H4:H6"/>
    <mergeCell ref="A5:B5"/>
    <mergeCell ref="A6:B6"/>
    <mergeCell ref="F6:G6"/>
  </mergeCells>
  <pageMargins left="0.7" right="0.7" top="0.75" bottom="0.75" header="0.3" footer="0.3"/>
  <pageSetup paperSize="256" scale="77" fitToHeight="0" orientation="portrait" horizontalDpi="4294967292" r:id="rId1"/>
  <colBreaks count="1" manualBreakCount="1">
    <brk id="7" max="1048575" man="1"/>
  </colBreaks>
  <drawing r:id="rId2"/>
  <legacyDrawing r:id="rId3"/>
  <controls>
    <mc:AlternateContent xmlns:mc="http://schemas.openxmlformats.org/markup-compatibility/2006">
      <mc:Choice Requires="x14">
        <control shapeId="3074" r:id="rId4" name="CommandButton1">
          <controlPr defaultSize="0" autoLine="0" r:id="rId5">
            <anchor moveWithCells="1">
              <from>
                <xdr:col>7</xdr:col>
                <xdr:colOff>19050</xdr:colOff>
                <xdr:row>0</xdr:row>
                <xdr:rowOff>28575</xdr:rowOff>
              </from>
              <to>
                <xdr:col>7</xdr:col>
                <xdr:colOff>962025</xdr:colOff>
                <xdr:row>1</xdr:row>
                <xdr:rowOff>171450</xdr:rowOff>
              </to>
            </anchor>
          </controlPr>
        </control>
      </mc:Choice>
      <mc:Fallback>
        <control shapeId="3074" r:id="rId4" name="CommandButton1"/>
      </mc:Fallback>
    </mc:AlternateContent>
    <mc:AlternateContent xmlns:mc="http://schemas.openxmlformats.org/markup-compatibility/2006">
      <mc:Choice Requires="x14">
        <control shapeId="3073" r:id="rId6" name="Spinner 1">
          <controlPr defaultSize="0" autoPict="0">
            <anchor moveWithCells="1" sizeWithCells="1">
              <from>
                <xdr:col>8</xdr:col>
                <xdr:colOff>0</xdr:colOff>
                <xdr:row>2</xdr:row>
                <xdr:rowOff>190500</xdr:rowOff>
              </from>
              <to>
                <xdr:col>8</xdr:col>
                <xdr:colOff>914400</xdr:colOff>
                <xdr:row>6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63"/>
  <sheetViews>
    <sheetView topLeftCell="A236" zoomScale="115" zoomScaleNormal="115" workbookViewId="0">
      <selection activeCell="C248" sqref="C248"/>
    </sheetView>
  </sheetViews>
  <sheetFormatPr defaultRowHeight="15" x14ac:dyDescent="0.25"/>
  <cols>
    <col min="1" max="1" width="47.7109375" customWidth="1"/>
    <col min="2" max="2" width="1.5703125" customWidth="1"/>
    <col min="3" max="3" width="8.5703125" style="6" customWidth="1"/>
  </cols>
  <sheetData>
    <row r="1" spans="1:4" x14ac:dyDescent="0.25">
      <c r="A1" s="4" t="s">
        <v>135</v>
      </c>
    </row>
    <row r="2" spans="1:4" x14ac:dyDescent="0.25">
      <c r="A2" s="4" t="s">
        <v>130</v>
      </c>
      <c r="B2" s="4"/>
      <c r="C2" s="5"/>
      <c r="D2" s="4"/>
    </row>
    <row r="3" spans="1:4" s="4" customFormat="1" x14ac:dyDescent="0.25">
      <c r="A3" t="s">
        <v>12</v>
      </c>
      <c r="B3" t="s">
        <v>15</v>
      </c>
      <c r="C3" s="6">
        <v>18</v>
      </c>
      <c r="D3" t="s">
        <v>10</v>
      </c>
    </row>
    <row r="4" spans="1:4" x14ac:dyDescent="0.25">
      <c r="A4" t="s">
        <v>13</v>
      </c>
      <c r="B4" t="s">
        <v>15</v>
      </c>
      <c r="C4" s="6">
        <v>3</v>
      </c>
      <c r="D4" t="s">
        <v>8</v>
      </c>
    </row>
    <row r="6" spans="1:4" x14ac:dyDescent="0.25">
      <c r="A6" t="s">
        <v>16</v>
      </c>
      <c r="B6" t="s">
        <v>15</v>
      </c>
      <c r="C6" s="6" t="s">
        <v>14</v>
      </c>
    </row>
    <row r="7" spans="1:4" x14ac:dyDescent="0.25">
      <c r="B7" t="s">
        <v>15</v>
      </c>
      <c r="C7" s="6" t="str">
        <f>C3 &amp;" x " &amp;C4</f>
        <v>18 x 3</v>
      </c>
      <c r="D7" t="s">
        <v>8</v>
      </c>
    </row>
    <row r="8" spans="1:4" x14ac:dyDescent="0.25">
      <c r="B8" t="s">
        <v>15</v>
      </c>
      <c r="C8" s="6">
        <f>C3*C4</f>
        <v>54</v>
      </c>
      <c r="D8" t="s">
        <v>8</v>
      </c>
    </row>
    <row r="10" spans="1:4" x14ac:dyDescent="0.25">
      <c r="A10" t="s">
        <v>7</v>
      </c>
      <c r="B10" t="s">
        <v>15</v>
      </c>
      <c r="C10" s="6" t="s">
        <v>17</v>
      </c>
    </row>
    <row r="11" spans="1:4" x14ac:dyDescent="0.25">
      <c r="B11" t="s">
        <v>15</v>
      </c>
      <c r="C11" s="6" t="str">
        <f>C8&amp; "/" &amp; 6</f>
        <v>54/6</v>
      </c>
    </row>
    <row r="12" spans="1:4" x14ac:dyDescent="0.25">
      <c r="B12" t="s">
        <v>15</v>
      </c>
      <c r="C12" s="6">
        <f>C8/6</f>
        <v>9</v>
      </c>
      <c r="D12" t="s">
        <v>9</v>
      </c>
    </row>
    <row r="13" spans="1:4" x14ac:dyDescent="0.25">
      <c r="A13" s="4" t="s">
        <v>42</v>
      </c>
    </row>
    <row r="14" spans="1:4" x14ac:dyDescent="0.25">
      <c r="A14" t="s">
        <v>45</v>
      </c>
      <c r="B14" t="s">
        <v>15</v>
      </c>
      <c r="C14" s="6" t="s">
        <v>43</v>
      </c>
      <c r="D14" t="s">
        <v>8</v>
      </c>
    </row>
    <row r="15" spans="1:4" x14ac:dyDescent="0.25">
      <c r="B15" t="s">
        <v>15</v>
      </c>
      <c r="C15" s="6">
        <f>0.5 * 0.15</f>
        <v>7.4999999999999997E-2</v>
      </c>
    </row>
    <row r="17" spans="1:4" x14ac:dyDescent="0.25">
      <c r="A17" t="s">
        <v>44</v>
      </c>
      <c r="B17" t="s">
        <v>15</v>
      </c>
      <c r="C17" s="6">
        <v>2</v>
      </c>
      <c r="D17" t="s">
        <v>10</v>
      </c>
    </row>
    <row r="18" spans="1:4" x14ac:dyDescent="0.25">
      <c r="A18" t="s">
        <v>12</v>
      </c>
      <c r="B18" t="s">
        <v>15</v>
      </c>
      <c r="C18" s="6">
        <v>18</v>
      </c>
      <c r="D18" t="s">
        <v>10</v>
      </c>
    </row>
    <row r="20" spans="1:4" x14ac:dyDescent="0.25">
      <c r="A20" t="s">
        <v>46</v>
      </c>
      <c r="B20" t="s">
        <v>15</v>
      </c>
      <c r="C20" s="6" t="s">
        <v>181</v>
      </c>
    </row>
    <row r="21" spans="1:4" x14ac:dyDescent="0.25">
      <c r="B21" t="s">
        <v>15</v>
      </c>
      <c r="C21" s="6" t="str">
        <f>C15&amp;" x (" &amp;C18&amp;" x " &amp;C17&amp;" )"</f>
        <v>0.075 x (18 x 2 )</v>
      </c>
    </row>
    <row r="22" spans="1:4" x14ac:dyDescent="0.25">
      <c r="B22" t="s">
        <v>15</v>
      </c>
      <c r="C22" s="6">
        <f>C15*(C18*C17)</f>
        <v>2.6999999999999997</v>
      </c>
      <c r="D22" t="s">
        <v>47</v>
      </c>
    </row>
    <row r="24" spans="1:4" x14ac:dyDescent="0.25">
      <c r="A24" t="s">
        <v>48</v>
      </c>
      <c r="B24" t="s">
        <v>15</v>
      </c>
      <c r="C24" s="6" t="s">
        <v>49</v>
      </c>
    </row>
    <row r="25" spans="1:4" x14ac:dyDescent="0.25">
      <c r="B25" t="s">
        <v>15</v>
      </c>
      <c r="C25" s="6">
        <f>1.2*1.8</f>
        <v>2.16</v>
      </c>
      <c r="D25" t="s">
        <v>47</v>
      </c>
    </row>
    <row r="27" spans="1:4" x14ac:dyDescent="0.25">
      <c r="A27" t="s">
        <v>50</v>
      </c>
      <c r="B27" t="s">
        <v>15</v>
      </c>
      <c r="C27" s="6" t="s">
        <v>51</v>
      </c>
    </row>
    <row r="28" spans="1:4" x14ac:dyDescent="0.25">
      <c r="B28" t="s">
        <v>15</v>
      </c>
      <c r="C28" s="6" t="str">
        <f>C22&amp;" / " &amp;C25</f>
        <v>2.7 / 2.16</v>
      </c>
    </row>
    <row r="29" spans="1:4" x14ac:dyDescent="0.25">
      <c r="B29" t="s">
        <v>15</v>
      </c>
      <c r="C29" s="6">
        <f>C22/C25</f>
        <v>1.2499999999999998</v>
      </c>
    </row>
    <row r="31" spans="1:4" x14ac:dyDescent="0.25">
      <c r="A31" t="s">
        <v>61</v>
      </c>
    </row>
    <row r="32" spans="1:4" x14ac:dyDescent="0.25">
      <c r="A32" t="s">
        <v>62</v>
      </c>
      <c r="B32" t="s">
        <v>15</v>
      </c>
    </row>
    <row r="35" spans="1:4" s="4" customFormat="1" x14ac:dyDescent="0.25">
      <c r="A35" s="4" t="s">
        <v>136</v>
      </c>
      <c r="C35" s="5"/>
    </row>
    <row r="36" spans="1:4" x14ac:dyDescent="0.25">
      <c r="A36" s="4" t="s">
        <v>131</v>
      </c>
      <c r="B36" s="4"/>
    </row>
    <row r="37" spans="1:4" x14ac:dyDescent="0.25">
      <c r="A37" t="s">
        <v>20</v>
      </c>
      <c r="B37" t="s">
        <v>15</v>
      </c>
      <c r="C37" s="6" t="s">
        <v>18</v>
      </c>
    </row>
    <row r="38" spans="1:4" x14ac:dyDescent="0.25">
      <c r="B38" t="s">
        <v>15</v>
      </c>
      <c r="C38" s="6" t="s">
        <v>19</v>
      </c>
    </row>
    <row r="39" spans="1:4" x14ac:dyDescent="0.25">
      <c r="B39" t="s">
        <v>15</v>
      </c>
      <c r="C39" s="6">
        <f>(24*2)+(12*2)</f>
        <v>72</v>
      </c>
      <c r="D39" t="s">
        <v>8</v>
      </c>
    </row>
    <row r="41" spans="1:4" x14ac:dyDescent="0.25">
      <c r="A41" s="18" t="s">
        <v>11</v>
      </c>
      <c r="B41" t="s">
        <v>15</v>
      </c>
      <c r="C41" s="6" t="s">
        <v>21</v>
      </c>
    </row>
    <row r="42" spans="1:4" x14ac:dyDescent="0.25">
      <c r="B42" t="s">
        <v>15</v>
      </c>
      <c r="C42" s="6" t="str">
        <f>C39 &amp;"/"&amp; 6</f>
        <v>72/6</v>
      </c>
    </row>
    <row r="43" spans="1:4" x14ac:dyDescent="0.25">
      <c r="B43" t="s">
        <v>15</v>
      </c>
      <c r="C43" s="6">
        <f>C39/6</f>
        <v>12</v>
      </c>
      <c r="D43" t="s">
        <v>23</v>
      </c>
    </row>
    <row r="44" spans="1:4" x14ac:dyDescent="0.25">
      <c r="D44" s="7" t="s">
        <v>22</v>
      </c>
    </row>
    <row r="45" spans="1:4" x14ac:dyDescent="0.25">
      <c r="A45" t="s">
        <v>132</v>
      </c>
      <c r="B45" t="s">
        <v>15</v>
      </c>
      <c r="C45" s="6" t="s">
        <v>24</v>
      </c>
    </row>
    <row r="46" spans="1:4" x14ac:dyDescent="0.25">
      <c r="B46" t="s">
        <v>15</v>
      </c>
      <c r="C46" s="6" t="str">
        <f>C13 &amp;"+"&amp;C43</f>
        <v>+12</v>
      </c>
    </row>
    <row r="47" spans="1:4" x14ac:dyDescent="0.25">
      <c r="B47" t="s">
        <v>15</v>
      </c>
      <c r="C47" s="6">
        <f>C13+C43</f>
        <v>12</v>
      </c>
      <c r="D47" t="s">
        <v>23</v>
      </c>
    </row>
    <row r="49" spans="1:4" x14ac:dyDescent="0.25">
      <c r="A49" s="4" t="s">
        <v>133</v>
      </c>
    </row>
    <row r="50" spans="1:4" x14ac:dyDescent="0.25">
      <c r="A50" t="s">
        <v>26</v>
      </c>
    </row>
    <row r="51" spans="1:4" x14ac:dyDescent="0.25">
      <c r="A51" t="s">
        <v>27</v>
      </c>
      <c r="B51" t="s">
        <v>15</v>
      </c>
      <c r="C51" s="6">
        <f>24+1.6</f>
        <v>25.6</v>
      </c>
    </row>
    <row r="52" spans="1:4" x14ac:dyDescent="0.25">
      <c r="A52" t="s">
        <v>29</v>
      </c>
      <c r="B52" t="s">
        <v>15</v>
      </c>
      <c r="C52" s="6" t="s">
        <v>28</v>
      </c>
    </row>
    <row r="53" spans="1:4" x14ac:dyDescent="0.25">
      <c r="B53" t="s">
        <v>15</v>
      </c>
      <c r="C53" s="6" t="str">
        <f>C51 &amp; " x " &amp;2</f>
        <v>25.6 x 2</v>
      </c>
    </row>
    <row r="54" spans="1:4" x14ac:dyDescent="0.25">
      <c r="B54" t="s">
        <v>15</v>
      </c>
      <c r="C54" s="6">
        <f>C51*2</f>
        <v>51.2</v>
      </c>
      <c r="D54" t="s">
        <v>8</v>
      </c>
    </row>
    <row r="55" spans="1:4" x14ac:dyDescent="0.25">
      <c r="A55" t="s">
        <v>26</v>
      </c>
      <c r="B55" t="s">
        <v>15</v>
      </c>
      <c r="C55" s="6" t="s">
        <v>30</v>
      </c>
    </row>
    <row r="56" spans="1:4" x14ac:dyDescent="0.25">
      <c r="B56" t="s">
        <v>15</v>
      </c>
      <c r="C56" s="6" t="str">
        <f>C54&amp;" / " &amp;6</f>
        <v>51.2 / 6</v>
      </c>
    </row>
    <row r="57" spans="1:4" x14ac:dyDescent="0.25">
      <c r="B57" t="s">
        <v>15</v>
      </c>
      <c r="C57" s="6">
        <f>C54/6</f>
        <v>8.5333333333333332</v>
      </c>
      <c r="D57" t="s">
        <v>23</v>
      </c>
    </row>
    <row r="59" spans="1:4" x14ac:dyDescent="0.25">
      <c r="A59" s="4" t="s">
        <v>134</v>
      </c>
    </row>
    <row r="60" spans="1:4" x14ac:dyDescent="0.25">
      <c r="A60" t="s">
        <v>12</v>
      </c>
      <c r="B60" t="s">
        <v>15</v>
      </c>
      <c r="C60" s="6">
        <v>18</v>
      </c>
      <c r="D60" t="s">
        <v>10</v>
      </c>
    </row>
    <row r="61" spans="1:4" x14ac:dyDescent="0.25">
      <c r="A61" t="s">
        <v>31</v>
      </c>
      <c r="B61" t="s">
        <v>15</v>
      </c>
      <c r="C61" s="6">
        <v>1</v>
      </c>
      <c r="D61" t="s">
        <v>32</v>
      </c>
    </row>
    <row r="62" spans="1:4" x14ac:dyDescent="0.25">
      <c r="A62" t="s">
        <v>33</v>
      </c>
      <c r="B62" t="s">
        <v>15</v>
      </c>
      <c r="C62" s="6">
        <v>2</v>
      </c>
      <c r="D62" t="s">
        <v>10</v>
      </c>
    </row>
    <row r="63" spans="1:4" x14ac:dyDescent="0.25">
      <c r="A63" t="s">
        <v>35</v>
      </c>
      <c r="B63" t="s">
        <v>15</v>
      </c>
      <c r="C63" s="6" t="s">
        <v>34</v>
      </c>
    </row>
    <row r="64" spans="1:4" x14ac:dyDescent="0.25">
      <c r="B64" t="s">
        <v>15</v>
      </c>
      <c r="C64" s="6" t="str">
        <f>C60&amp;" x "&amp;C62</f>
        <v>18 x 2</v>
      </c>
    </row>
    <row r="65" spans="1:4" x14ac:dyDescent="0.25">
      <c r="B65" t="s">
        <v>15</v>
      </c>
      <c r="C65" s="6">
        <f>C60*C62</f>
        <v>36</v>
      </c>
      <c r="D65" t="s">
        <v>32</v>
      </c>
    </row>
    <row r="67" spans="1:4" x14ac:dyDescent="0.25">
      <c r="A67" t="s">
        <v>37</v>
      </c>
      <c r="B67" t="s">
        <v>15</v>
      </c>
      <c r="C67" s="6" t="s">
        <v>36</v>
      </c>
    </row>
    <row r="68" spans="1:4" x14ac:dyDescent="0.25">
      <c r="B68" t="s">
        <v>15</v>
      </c>
      <c r="C68" s="6" t="str">
        <f>C65 &amp;" / " &amp;6</f>
        <v>36 / 6</v>
      </c>
    </row>
    <row r="69" spans="1:4" x14ac:dyDescent="0.25">
      <c r="B69" t="s">
        <v>15</v>
      </c>
      <c r="C69" s="6">
        <f>C65/6</f>
        <v>6</v>
      </c>
      <c r="D69" t="s">
        <v>23</v>
      </c>
    </row>
    <row r="71" spans="1:4" x14ac:dyDescent="0.25">
      <c r="A71" t="s">
        <v>38</v>
      </c>
      <c r="B71" t="s">
        <v>15</v>
      </c>
      <c r="C71">
        <f>C57+C69</f>
        <v>14.533333333333333</v>
      </c>
      <c r="D71" t="s">
        <v>23</v>
      </c>
    </row>
    <row r="73" spans="1:4" s="4" customFormat="1" x14ac:dyDescent="0.25">
      <c r="A73" s="4" t="s">
        <v>137</v>
      </c>
      <c r="C73" s="5"/>
    </row>
    <row r="74" spans="1:4" x14ac:dyDescent="0.25">
      <c r="A74" s="4" t="s">
        <v>138</v>
      </c>
    </row>
    <row r="76" spans="1:4" x14ac:dyDescent="0.25">
      <c r="A76" s="4" t="s">
        <v>67</v>
      </c>
      <c r="C76"/>
    </row>
    <row r="77" spans="1:4" x14ac:dyDescent="0.25">
      <c r="A77" t="s">
        <v>63</v>
      </c>
      <c r="B77" t="s">
        <v>15</v>
      </c>
      <c r="C77">
        <v>8</v>
      </c>
    </row>
    <row r="78" spans="1:4" x14ac:dyDescent="0.25">
      <c r="A78" t="s">
        <v>64</v>
      </c>
      <c r="B78" t="s">
        <v>15</v>
      </c>
      <c r="C78">
        <v>7</v>
      </c>
    </row>
    <row r="79" spans="1:4" x14ac:dyDescent="0.25">
      <c r="A79" t="s">
        <v>65</v>
      </c>
      <c r="B79" t="s">
        <v>15</v>
      </c>
      <c r="C79">
        <v>0.5</v>
      </c>
    </row>
    <row r="80" spans="1:4" x14ac:dyDescent="0.25">
      <c r="A80" t="s">
        <v>66</v>
      </c>
      <c r="B80" t="s">
        <v>15</v>
      </c>
      <c r="C80">
        <v>0.75</v>
      </c>
    </row>
    <row r="81" spans="1:4" x14ac:dyDescent="0.25">
      <c r="A81" t="s">
        <v>68</v>
      </c>
      <c r="B81" t="s">
        <v>15</v>
      </c>
      <c r="C81">
        <f>SUM(C77:C80)</f>
        <v>16.25</v>
      </c>
      <c r="D81" t="s">
        <v>70</v>
      </c>
    </row>
    <row r="82" spans="1:4" x14ac:dyDescent="0.25">
      <c r="B82" t="s">
        <v>15</v>
      </c>
      <c r="C82">
        <f>C81*2</f>
        <v>32.5</v>
      </c>
    </row>
    <row r="83" spans="1:4" x14ac:dyDescent="0.25">
      <c r="A83" s="4" t="s">
        <v>69</v>
      </c>
      <c r="C83"/>
    </row>
    <row r="84" spans="1:4" x14ac:dyDescent="0.25">
      <c r="A84" t="s">
        <v>63</v>
      </c>
      <c r="B84" t="s">
        <v>15</v>
      </c>
      <c r="C84">
        <v>5</v>
      </c>
    </row>
    <row r="85" spans="1:4" x14ac:dyDescent="0.25">
      <c r="A85" t="s">
        <v>64</v>
      </c>
      <c r="B85" t="s">
        <v>15</v>
      </c>
      <c r="C85">
        <v>6</v>
      </c>
    </row>
    <row r="86" spans="1:4" x14ac:dyDescent="0.25">
      <c r="A86" t="s">
        <v>65</v>
      </c>
      <c r="B86" t="s">
        <v>15</v>
      </c>
      <c r="C86">
        <v>0.5</v>
      </c>
    </row>
    <row r="87" spans="1:4" x14ac:dyDescent="0.25">
      <c r="A87" t="s">
        <v>66</v>
      </c>
      <c r="B87" t="s">
        <v>15</v>
      </c>
      <c r="C87">
        <v>0.75</v>
      </c>
    </row>
    <row r="88" spans="1:4" x14ac:dyDescent="0.25">
      <c r="A88" t="s">
        <v>68</v>
      </c>
      <c r="B88" t="s">
        <v>15</v>
      </c>
      <c r="C88">
        <f>SUM(C84:C87)</f>
        <v>12.25</v>
      </c>
    </row>
    <row r="89" spans="1:4" x14ac:dyDescent="0.25">
      <c r="C89"/>
    </row>
    <row r="90" spans="1:4" x14ac:dyDescent="0.25">
      <c r="A90" s="4" t="s">
        <v>71</v>
      </c>
      <c r="B90" t="s">
        <v>15</v>
      </c>
      <c r="C90">
        <f>C82+C88</f>
        <v>44.75</v>
      </c>
      <c r="D90" t="s">
        <v>8</v>
      </c>
    </row>
    <row r="91" spans="1:4" x14ac:dyDescent="0.25">
      <c r="A91" t="s">
        <v>77</v>
      </c>
      <c r="B91" t="s">
        <v>15</v>
      </c>
      <c r="C91" t="s">
        <v>72</v>
      </c>
    </row>
    <row r="92" spans="1:4" x14ac:dyDescent="0.25">
      <c r="B92" t="s">
        <v>15</v>
      </c>
      <c r="C92" t="str">
        <f>C90&amp;" / " &amp; 6</f>
        <v>44.75 / 6</v>
      </c>
    </row>
    <row r="93" spans="1:4" x14ac:dyDescent="0.25">
      <c r="B93" t="s">
        <v>15</v>
      </c>
      <c r="C93">
        <f>C90/6</f>
        <v>7.458333333333333</v>
      </c>
      <c r="D93" t="s">
        <v>9</v>
      </c>
    </row>
    <row r="94" spans="1:4" x14ac:dyDescent="0.25">
      <c r="C94"/>
    </row>
    <row r="95" spans="1:4" x14ac:dyDescent="0.25">
      <c r="A95" t="s">
        <v>76</v>
      </c>
      <c r="B95" t="s">
        <v>15</v>
      </c>
      <c r="C95" t="s">
        <v>74</v>
      </c>
    </row>
    <row r="96" spans="1:4" x14ac:dyDescent="0.25">
      <c r="B96" t="s">
        <v>15</v>
      </c>
      <c r="C96" t="s">
        <v>73</v>
      </c>
    </row>
    <row r="97" spans="1:4" x14ac:dyDescent="0.25">
      <c r="B97" t="s">
        <v>15</v>
      </c>
      <c r="C97">
        <f>26/1.5+1</f>
        <v>18.333333333333332</v>
      </c>
      <c r="D97" t="s">
        <v>10</v>
      </c>
    </row>
    <row r="98" spans="1:4" x14ac:dyDescent="0.25">
      <c r="C98"/>
    </row>
    <row r="99" spans="1:4" x14ac:dyDescent="0.25">
      <c r="A99" t="s">
        <v>75</v>
      </c>
      <c r="B99" t="s">
        <v>15</v>
      </c>
      <c r="C99" t="s">
        <v>78</v>
      </c>
    </row>
    <row r="100" spans="1:4" x14ac:dyDescent="0.25">
      <c r="B100" t="s">
        <v>15</v>
      </c>
      <c r="C100" t="str">
        <f>ROUNDUP(C93,0) &amp;" x " &amp;ROUNDUP(C97,0)</f>
        <v>8 x 19</v>
      </c>
    </row>
    <row r="101" spans="1:4" x14ac:dyDescent="0.25">
      <c r="B101" t="s">
        <v>15</v>
      </c>
      <c r="C101">
        <f>C93*C97</f>
        <v>136.73611111111109</v>
      </c>
      <c r="D101" t="s">
        <v>9</v>
      </c>
    </row>
    <row r="103" spans="1:4" x14ac:dyDescent="0.25">
      <c r="A103" s="4" t="s">
        <v>139</v>
      </c>
      <c r="C103"/>
    </row>
    <row r="104" spans="1:4" x14ac:dyDescent="0.25">
      <c r="A104" t="s">
        <v>140</v>
      </c>
      <c r="B104" t="s">
        <v>15</v>
      </c>
      <c r="C104">
        <v>10</v>
      </c>
      <c r="D104" t="s">
        <v>80</v>
      </c>
    </row>
    <row r="105" spans="1:4" x14ac:dyDescent="0.25">
      <c r="A105" t="s">
        <v>81</v>
      </c>
      <c r="B105" t="s">
        <v>15</v>
      </c>
      <c r="C105">
        <v>26</v>
      </c>
      <c r="D105" t="s">
        <v>32</v>
      </c>
    </row>
    <row r="106" spans="1:4" x14ac:dyDescent="0.25">
      <c r="A106" t="s">
        <v>83</v>
      </c>
      <c r="B106" t="s">
        <v>15</v>
      </c>
      <c r="C106" t="s">
        <v>82</v>
      </c>
    </row>
    <row r="107" spans="1:4" x14ac:dyDescent="0.25">
      <c r="B107" t="s">
        <v>15</v>
      </c>
      <c r="C107" t="str">
        <f>C104&amp;" x "&amp;C105</f>
        <v>10 x 26</v>
      </c>
    </row>
    <row r="108" spans="1:4" x14ac:dyDescent="0.25">
      <c r="B108" t="s">
        <v>15</v>
      </c>
      <c r="C108">
        <f>C104*C105</f>
        <v>260</v>
      </c>
      <c r="D108" t="s">
        <v>32</v>
      </c>
    </row>
    <row r="109" spans="1:4" x14ac:dyDescent="0.25">
      <c r="C109"/>
    </row>
    <row r="110" spans="1:4" x14ac:dyDescent="0.25">
      <c r="A110" t="s">
        <v>85</v>
      </c>
      <c r="B110" t="s">
        <v>15</v>
      </c>
      <c r="C110" t="s">
        <v>84</v>
      </c>
    </row>
    <row r="111" spans="1:4" x14ac:dyDescent="0.25">
      <c r="B111" t="s">
        <v>15</v>
      </c>
      <c r="C111" t="str">
        <f>C108&amp; " / " &amp;6</f>
        <v>260 / 6</v>
      </c>
    </row>
    <row r="112" spans="1:4" x14ac:dyDescent="0.25">
      <c r="B112" t="s">
        <v>15</v>
      </c>
      <c r="C112" t="str">
        <f>FIXED(C108/6,0)</f>
        <v>43</v>
      </c>
      <c r="D112" t="s">
        <v>23</v>
      </c>
    </row>
    <row r="113" spans="1:4" x14ac:dyDescent="0.25">
      <c r="C113"/>
    </row>
    <row r="114" spans="1:4" x14ac:dyDescent="0.25">
      <c r="A114" t="s">
        <v>86</v>
      </c>
      <c r="B114" t="s">
        <v>15</v>
      </c>
      <c r="C114" t="s">
        <v>87</v>
      </c>
    </row>
    <row r="115" spans="1:4" x14ac:dyDescent="0.25">
      <c r="B115" t="s">
        <v>15</v>
      </c>
      <c r="C115" t="str">
        <f>C112&amp; " x 2"</f>
        <v>43 x 2</v>
      </c>
    </row>
    <row r="116" spans="1:4" x14ac:dyDescent="0.25">
      <c r="B116" t="s">
        <v>15</v>
      </c>
      <c r="C116">
        <f>C112*2</f>
        <v>86</v>
      </c>
      <c r="D116" t="s">
        <v>23</v>
      </c>
    </row>
    <row r="117" spans="1:4" x14ac:dyDescent="0.25">
      <c r="C117"/>
    </row>
    <row r="118" spans="1:4" s="4" customFormat="1" x14ac:dyDescent="0.25">
      <c r="A118" s="4" t="s">
        <v>141</v>
      </c>
    </row>
    <row r="119" spans="1:4" x14ac:dyDescent="0.25">
      <c r="A119" t="s">
        <v>90</v>
      </c>
      <c r="B119" t="s">
        <v>15</v>
      </c>
      <c r="C119">
        <v>26</v>
      </c>
      <c r="D119" t="s">
        <v>8</v>
      </c>
    </row>
    <row r="120" spans="1:4" x14ac:dyDescent="0.25">
      <c r="A120" t="s">
        <v>91</v>
      </c>
      <c r="B120" t="s">
        <v>15</v>
      </c>
      <c r="C120">
        <v>8</v>
      </c>
      <c r="D120" t="s">
        <v>8</v>
      </c>
    </row>
    <row r="121" spans="1:4" x14ac:dyDescent="0.25">
      <c r="A121" t="s">
        <v>92</v>
      </c>
      <c r="B121" t="s">
        <v>15</v>
      </c>
      <c r="C121" t="s">
        <v>93</v>
      </c>
    </row>
    <row r="122" spans="1:4" x14ac:dyDescent="0.25">
      <c r="B122" t="s">
        <v>15</v>
      </c>
      <c r="C122" t="str">
        <f>C119&amp;" x "&amp;C120</f>
        <v>26 x 8</v>
      </c>
    </row>
    <row r="123" spans="1:4" x14ac:dyDescent="0.25">
      <c r="B123" t="s">
        <v>15</v>
      </c>
      <c r="C123">
        <f>C119*C120</f>
        <v>208</v>
      </c>
      <c r="D123" t="s">
        <v>47</v>
      </c>
    </row>
    <row r="124" spans="1:4" x14ac:dyDescent="0.25">
      <c r="A124" t="s">
        <v>99</v>
      </c>
      <c r="B124" t="s">
        <v>15</v>
      </c>
      <c r="C124" t="s">
        <v>94</v>
      </c>
    </row>
    <row r="125" spans="1:4" x14ac:dyDescent="0.25">
      <c r="B125" t="s">
        <v>15</v>
      </c>
      <c r="C125" t="str">
        <f>C123 &amp;" x 2"</f>
        <v>208 x 2</v>
      </c>
    </row>
    <row r="126" spans="1:4" x14ac:dyDescent="0.25">
      <c r="B126" t="s">
        <v>15</v>
      </c>
      <c r="C126">
        <f>C123*2</f>
        <v>416</v>
      </c>
      <c r="D126" t="s">
        <v>47</v>
      </c>
    </row>
    <row r="127" spans="1:4" x14ac:dyDescent="0.25">
      <c r="C127"/>
    </row>
    <row r="128" spans="1:4" x14ac:dyDescent="0.25">
      <c r="C128"/>
    </row>
    <row r="129" spans="1:4" x14ac:dyDescent="0.25">
      <c r="A129" t="s">
        <v>95</v>
      </c>
      <c r="B129" t="s">
        <v>15</v>
      </c>
      <c r="C129">
        <v>8</v>
      </c>
      <c r="D129" t="s">
        <v>8</v>
      </c>
    </row>
    <row r="130" spans="1:4" x14ac:dyDescent="0.25">
      <c r="A130" t="s">
        <v>96</v>
      </c>
      <c r="B130" t="s">
        <v>15</v>
      </c>
      <c r="C130">
        <v>1</v>
      </c>
      <c r="D130" t="s">
        <v>8</v>
      </c>
    </row>
    <row r="131" spans="1:4" x14ac:dyDescent="0.25">
      <c r="A131" t="s">
        <v>100</v>
      </c>
      <c r="B131" t="s">
        <v>15</v>
      </c>
      <c r="C131" t="s">
        <v>97</v>
      </c>
    </row>
    <row r="132" spans="1:4" x14ac:dyDescent="0.25">
      <c r="B132" t="s">
        <v>15</v>
      </c>
      <c r="C132" t="str">
        <f>C129&amp; " x " &amp;C130</f>
        <v>8 x 1</v>
      </c>
    </row>
    <row r="133" spans="1:4" x14ac:dyDescent="0.25">
      <c r="B133" t="s">
        <v>15</v>
      </c>
      <c r="C133">
        <f>C129*C130</f>
        <v>8</v>
      </c>
      <c r="D133" t="s">
        <v>47</v>
      </c>
    </row>
    <row r="134" spans="1:4" x14ac:dyDescent="0.25">
      <c r="C134"/>
    </row>
    <row r="135" spans="1:4" x14ac:dyDescent="0.25">
      <c r="A135" t="s">
        <v>98</v>
      </c>
      <c r="B135" t="s">
        <v>15</v>
      </c>
      <c r="C135" t="s">
        <v>101</v>
      </c>
    </row>
    <row r="136" spans="1:4" x14ac:dyDescent="0.25">
      <c r="B136" t="s">
        <v>15</v>
      </c>
      <c r="C136" t="str">
        <f>C126&amp;" / "&amp;C133</f>
        <v>416 / 8</v>
      </c>
    </row>
    <row r="137" spans="1:4" x14ac:dyDescent="0.25">
      <c r="B137" t="s">
        <v>15</v>
      </c>
      <c r="C137">
        <f>C126/C133</f>
        <v>52</v>
      </c>
      <c r="D137" t="s">
        <v>41</v>
      </c>
    </row>
    <row r="138" spans="1:4" x14ac:dyDescent="0.25">
      <c r="C138"/>
    </row>
    <row r="139" spans="1:4" s="4" customFormat="1" x14ac:dyDescent="0.25">
      <c r="A139" s="4" t="s">
        <v>142</v>
      </c>
    </row>
    <row r="140" spans="1:4" x14ac:dyDescent="0.25">
      <c r="A140" t="s">
        <v>105</v>
      </c>
      <c r="B140" t="s">
        <v>15</v>
      </c>
      <c r="C140">
        <v>24.72</v>
      </c>
      <c r="D140" t="s">
        <v>47</v>
      </c>
    </row>
    <row r="141" spans="1:4" x14ac:dyDescent="0.25">
      <c r="A141" t="s">
        <v>106</v>
      </c>
      <c r="B141" t="s">
        <v>15</v>
      </c>
      <c r="C141">
        <f>C140*2</f>
        <v>49.44</v>
      </c>
      <c r="D141" t="s">
        <v>47</v>
      </c>
    </row>
    <row r="142" spans="1:4" x14ac:dyDescent="0.25">
      <c r="C142"/>
    </row>
    <row r="143" spans="1:4" x14ac:dyDescent="0.25">
      <c r="A143" t="s">
        <v>107</v>
      </c>
      <c r="B143" t="s">
        <v>15</v>
      </c>
      <c r="C143">
        <f>8*0.8</f>
        <v>6.4</v>
      </c>
    </row>
    <row r="144" spans="1:4" x14ac:dyDescent="0.25">
      <c r="C144"/>
    </row>
    <row r="145" spans="1:4" x14ac:dyDescent="0.25">
      <c r="A145" t="s">
        <v>108</v>
      </c>
      <c r="B145" t="s">
        <v>15</v>
      </c>
      <c r="C145" t="s">
        <v>109</v>
      </c>
    </row>
    <row r="146" spans="1:4" x14ac:dyDescent="0.25">
      <c r="B146" t="s">
        <v>15</v>
      </c>
      <c r="C146" t="str">
        <f>C141&amp;" / " &amp;C143</f>
        <v>49.44 / 6.4</v>
      </c>
    </row>
    <row r="147" spans="1:4" x14ac:dyDescent="0.25">
      <c r="B147" t="s">
        <v>15</v>
      </c>
      <c r="C147">
        <f>C141/C143</f>
        <v>7.7249999999999996</v>
      </c>
      <c r="D147" t="s">
        <v>41</v>
      </c>
    </row>
    <row r="148" spans="1:4" x14ac:dyDescent="0.25">
      <c r="C148"/>
    </row>
    <row r="149" spans="1:4" x14ac:dyDescent="0.25">
      <c r="A149" s="4" t="s">
        <v>143</v>
      </c>
      <c r="B149" s="4"/>
      <c r="C149" s="15"/>
      <c r="D149" s="4"/>
    </row>
    <row r="150" spans="1:4" s="4" customFormat="1" x14ac:dyDescent="0.25">
      <c r="A150" s="4" t="s">
        <v>144</v>
      </c>
    </row>
    <row r="151" spans="1:4" x14ac:dyDescent="0.25">
      <c r="A151" t="s">
        <v>127</v>
      </c>
      <c r="B151" t="s">
        <v>15</v>
      </c>
      <c r="C151" s="6">
        <v>24</v>
      </c>
      <c r="D151" t="s">
        <v>8</v>
      </c>
    </row>
    <row r="152" spans="1:4" x14ac:dyDescent="0.25">
      <c r="A152" t="s">
        <v>128</v>
      </c>
      <c r="B152" t="s">
        <v>15</v>
      </c>
      <c r="C152" s="6">
        <v>12</v>
      </c>
      <c r="D152" t="s">
        <v>8</v>
      </c>
    </row>
    <row r="153" spans="1:4" x14ac:dyDescent="0.25">
      <c r="A153" t="s">
        <v>129</v>
      </c>
      <c r="B153" t="s">
        <v>15</v>
      </c>
      <c r="C153" s="6">
        <v>0.15</v>
      </c>
      <c r="D153" t="s">
        <v>8</v>
      </c>
    </row>
    <row r="154" spans="1:4" x14ac:dyDescent="0.25">
      <c r="A154" t="s">
        <v>126</v>
      </c>
      <c r="B154" t="s">
        <v>15</v>
      </c>
      <c r="C154" s="6" t="s">
        <v>115</v>
      </c>
    </row>
    <row r="155" spans="1:4" x14ac:dyDescent="0.25">
      <c r="B155" t="s">
        <v>15</v>
      </c>
      <c r="C155">
        <f>C151*C152*C153</f>
        <v>43.199999999999996</v>
      </c>
      <c r="D155" t="s">
        <v>116</v>
      </c>
    </row>
    <row r="157" spans="1:4" x14ac:dyDescent="0.25">
      <c r="A157" s="4" t="s">
        <v>145</v>
      </c>
    </row>
    <row r="158" spans="1:4" x14ac:dyDescent="0.25">
      <c r="A158" t="s">
        <v>112</v>
      </c>
      <c r="B158" t="s">
        <v>15</v>
      </c>
      <c r="C158" s="6">
        <v>24</v>
      </c>
      <c r="D158" t="s">
        <v>8</v>
      </c>
    </row>
    <row r="159" spans="1:4" x14ac:dyDescent="0.25">
      <c r="A159" t="s">
        <v>113</v>
      </c>
      <c r="B159" t="s">
        <v>15</v>
      </c>
      <c r="C159" s="6">
        <v>12</v>
      </c>
      <c r="D159" t="s">
        <v>8</v>
      </c>
    </row>
    <row r="160" spans="1:4" x14ac:dyDescent="0.25">
      <c r="A160" t="s">
        <v>114</v>
      </c>
      <c r="B160" t="s">
        <v>15</v>
      </c>
      <c r="C160" s="6">
        <v>0.05</v>
      </c>
      <c r="D160" t="s">
        <v>8</v>
      </c>
    </row>
    <row r="161" spans="1:4" x14ac:dyDescent="0.25">
      <c r="A161" t="s">
        <v>118</v>
      </c>
      <c r="B161" t="s">
        <v>15</v>
      </c>
      <c r="C161" s="6" t="s">
        <v>115</v>
      </c>
    </row>
    <row r="162" spans="1:4" x14ac:dyDescent="0.25">
      <c r="B162" t="s">
        <v>15</v>
      </c>
      <c r="C162">
        <f>C158*C159*C160</f>
        <v>14.4</v>
      </c>
      <c r="D162" t="s">
        <v>116</v>
      </c>
    </row>
    <row r="163" spans="1:4" x14ac:dyDescent="0.25">
      <c r="C163"/>
    </row>
    <row r="164" spans="1:4" x14ac:dyDescent="0.25">
      <c r="A164" t="s">
        <v>117</v>
      </c>
      <c r="B164" t="s">
        <v>15</v>
      </c>
      <c r="C164" t="s">
        <v>119</v>
      </c>
    </row>
    <row r="165" spans="1:4" x14ac:dyDescent="0.25">
      <c r="B165" t="s">
        <v>15</v>
      </c>
      <c r="C165">
        <f>1/6 *C162/0.024</f>
        <v>100</v>
      </c>
      <c r="D165" t="s">
        <v>120</v>
      </c>
    </row>
    <row r="166" spans="1:4" x14ac:dyDescent="0.25">
      <c r="A166" t="s">
        <v>122</v>
      </c>
      <c r="B166" t="s">
        <v>15</v>
      </c>
      <c r="C166" t="s">
        <v>123</v>
      </c>
    </row>
    <row r="167" spans="1:4" x14ac:dyDescent="0.25">
      <c r="B167" t="s">
        <v>15</v>
      </c>
      <c r="C167">
        <f>2/6*C162</f>
        <v>4.8</v>
      </c>
      <c r="D167" t="s">
        <v>116</v>
      </c>
    </row>
    <row r="168" spans="1:4" x14ac:dyDescent="0.25">
      <c r="A168" t="s">
        <v>124</v>
      </c>
      <c r="B168" t="s">
        <v>15</v>
      </c>
      <c r="C168" t="s">
        <v>125</v>
      </c>
    </row>
    <row r="169" spans="1:4" x14ac:dyDescent="0.25">
      <c r="B169" t="s">
        <v>15</v>
      </c>
      <c r="C169">
        <f>3/6*C162</f>
        <v>7.2</v>
      </c>
      <c r="D169" t="s">
        <v>116</v>
      </c>
    </row>
    <row r="171" spans="1:4" s="4" customFormat="1" x14ac:dyDescent="0.25">
      <c r="A171" s="4" t="s">
        <v>200</v>
      </c>
    </row>
    <row r="172" spans="1:4" x14ac:dyDescent="0.25">
      <c r="C172"/>
    </row>
    <row r="173" spans="1:4" x14ac:dyDescent="0.25">
      <c r="A173" t="s">
        <v>170</v>
      </c>
      <c r="B173" t="s">
        <v>15</v>
      </c>
      <c r="C173">
        <v>274</v>
      </c>
      <c r="D173" t="s">
        <v>47</v>
      </c>
    </row>
    <row r="174" spans="1:4" x14ac:dyDescent="0.25">
      <c r="C174"/>
    </row>
    <row r="175" spans="1:4" x14ac:dyDescent="0.25">
      <c r="A175" t="s">
        <v>171</v>
      </c>
      <c r="B175" t="s">
        <v>15</v>
      </c>
      <c r="C175">
        <v>5.0000000000000001E-3</v>
      </c>
      <c r="D175" t="s">
        <v>32</v>
      </c>
    </row>
    <row r="176" spans="1:4" x14ac:dyDescent="0.25">
      <c r="A176" t="s">
        <v>172</v>
      </c>
      <c r="B176" t="s">
        <v>15</v>
      </c>
      <c r="C176" t="s">
        <v>173</v>
      </c>
    </row>
    <row r="177" spans="1:4" x14ac:dyDescent="0.25">
      <c r="B177" t="s">
        <v>15</v>
      </c>
      <c r="C177">
        <f>(C173*2*C175)</f>
        <v>2.74</v>
      </c>
      <c r="D177" t="s">
        <v>58</v>
      </c>
    </row>
    <row r="178" spans="1:4" x14ac:dyDescent="0.25">
      <c r="C178"/>
    </row>
    <row r="179" spans="1:4" x14ac:dyDescent="0.25">
      <c r="A179" t="s">
        <v>121</v>
      </c>
      <c r="B179" t="s">
        <v>15</v>
      </c>
      <c r="C179" t="s">
        <v>174</v>
      </c>
    </row>
    <row r="180" spans="1:4" x14ac:dyDescent="0.25">
      <c r="B180" t="s">
        <v>15</v>
      </c>
      <c r="C180">
        <f>C177/0.024</f>
        <v>114.16666666666667</v>
      </c>
      <c r="D180" t="s">
        <v>120</v>
      </c>
    </row>
    <row r="181" spans="1:4" x14ac:dyDescent="0.25">
      <c r="C181"/>
    </row>
    <row r="182" spans="1:4" s="4" customFormat="1" x14ac:dyDescent="0.25">
      <c r="A182" s="4" t="s">
        <v>177</v>
      </c>
      <c r="C182" s="5"/>
    </row>
    <row r="183" spans="1:4" s="4" customFormat="1" x14ac:dyDescent="0.25">
      <c r="A183" s="4" t="s">
        <v>162</v>
      </c>
    </row>
    <row r="184" spans="1:4" x14ac:dyDescent="0.25">
      <c r="A184" t="s">
        <v>146</v>
      </c>
      <c r="B184" t="s">
        <v>15</v>
      </c>
      <c r="C184">
        <v>5.57</v>
      </c>
    </row>
    <row r="185" spans="1:4" x14ac:dyDescent="0.25">
      <c r="A185" t="s">
        <v>147</v>
      </c>
      <c r="B185" t="s">
        <v>15</v>
      </c>
      <c r="C185">
        <v>5.57</v>
      </c>
    </row>
    <row r="186" spans="1:4" x14ac:dyDescent="0.25">
      <c r="A186" t="s">
        <v>148</v>
      </c>
      <c r="B186" t="s">
        <v>15</v>
      </c>
      <c r="C186">
        <v>10.029999999999999</v>
      </c>
    </row>
    <row r="187" spans="1:4" x14ac:dyDescent="0.25">
      <c r="A187" t="s">
        <v>149</v>
      </c>
      <c r="B187" t="s">
        <v>15</v>
      </c>
      <c r="C187">
        <v>10.46</v>
      </c>
    </row>
    <row r="188" spans="1:4" x14ac:dyDescent="0.25">
      <c r="A188" t="s">
        <v>150</v>
      </c>
      <c r="B188" t="s">
        <v>15</v>
      </c>
      <c r="C188">
        <f>SUM(C184:C187)</f>
        <v>31.630000000000003</v>
      </c>
    </row>
    <row r="189" spans="1:4" x14ac:dyDescent="0.25">
      <c r="C189"/>
    </row>
    <row r="190" spans="1:4" x14ac:dyDescent="0.25">
      <c r="A190" s="4" t="s">
        <v>163</v>
      </c>
      <c r="C190"/>
    </row>
    <row r="191" spans="1:4" x14ac:dyDescent="0.25">
      <c r="A191" t="s">
        <v>151</v>
      </c>
      <c r="B191" t="s">
        <v>15</v>
      </c>
      <c r="C191">
        <f>0.1*0.1*0.18</f>
        <v>1.8000000000000004E-3</v>
      </c>
      <c r="D191" t="s">
        <v>116</v>
      </c>
    </row>
    <row r="192" spans="1:4" x14ac:dyDescent="0.25">
      <c r="A192" t="s">
        <v>152</v>
      </c>
      <c r="B192" t="s">
        <v>15</v>
      </c>
      <c r="C192" t="s">
        <v>153</v>
      </c>
    </row>
    <row r="193" spans="1:4" x14ac:dyDescent="0.25">
      <c r="B193" t="s">
        <v>15</v>
      </c>
      <c r="C193">
        <f>C188/C191</f>
        <v>17572.222222222219</v>
      </c>
    </row>
    <row r="194" spans="1:4" x14ac:dyDescent="0.25">
      <c r="C194"/>
    </row>
    <row r="195" spans="1:4" x14ac:dyDescent="0.25">
      <c r="A195" t="s">
        <v>154</v>
      </c>
      <c r="B195" t="s">
        <v>15</v>
      </c>
      <c r="C195">
        <f>0.08*0.08*0.16</f>
        <v>1.0240000000000002E-3</v>
      </c>
      <c r="D195" t="s">
        <v>116</v>
      </c>
    </row>
    <row r="196" spans="1:4" x14ac:dyDescent="0.25">
      <c r="A196" t="s">
        <v>155</v>
      </c>
      <c r="B196" t="s">
        <v>15</v>
      </c>
      <c r="C196" t="s">
        <v>156</v>
      </c>
    </row>
    <row r="197" spans="1:4" x14ac:dyDescent="0.25">
      <c r="B197" t="s">
        <v>15</v>
      </c>
      <c r="C197">
        <f>C193*C195</f>
        <v>17.993955555555555</v>
      </c>
      <c r="D197" t="s">
        <v>116</v>
      </c>
    </row>
    <row r="198" spans="1:4" x14ac:dyDescent="0.25">
      <c r="C198"/>
    </row>
    <row r="199" spans="1:4" x14ac:dyDescent="0.25">
      <c r="A199" t="s">
        <v>157</v>
      </c>
      <c r="B199" t="s">
        <v>15</v>
      </c>
      <c r="C199" t="s">
        <v>158</v>
      </c>
    </row>
    <row r="200" spans="1:4" x14ac:dyDescent="0.25">
      <c r="B200" t="s">
        <v>15</v>
      </c>
      <c r="C200" s="18">
        <f>C188-C197</f>
        <v>13.636044444444448</v>
      </c>
      <c r="D200" t="s">
        <v>116</v>
      </c>
    </row>
    <row r="201" spans="1:4" x14ac:dyDescent="0.25">
      <c r="C201"/>
    </row>
    <row r="202" spans="1:4" x14ac:dyDescent="0.25">
      <c r="A202" t="s">
        <v>121</v>
      </c>
      <c r="B202" t="s">
        <v>15</v>
      </c>
      <c r="C202" t="s">
        <v>159</v>
      </c>
    </row>
    <row r="203" spans="1:4" x14ac:dyDescent="0.25">
      <c r="B203" t="s">
        <v>15</v>
      </c>
      <c r="C203">
        <f>1/4*C200/0.024</f>
        <v>142.04212962962967</v>
      </c>
      <c r="D203" t="s">
        <v>120</v>
      </c>
    </row>
    <row r="204" spans="1:4" x14ac:dyDescent="0.25">
      <c r="C204"/>
    </row>
    <row r="205" spans="1:4" x14ac:dyDescent="0.25">
      <c r="A205" t="s">
        <v>160</v>
      </c>
      <c r="B205" t="s">
        <v>15</v>
      </c>
      <c r="C205" t="s">
        <v>161</v>
      </c>
    </row>
    <row r="206" spans="1:4" x14ac:dyDescent="0.25">
      <c r="B206" t="s">
        <v>15</v>
      </c>
      <c r="C206">
        <f>3/4*C200</f>
        <v>10.227033333333335</v>
      </c>
      <c r="D206" t="s">
        <v>58</v>
      </c>
    </row>
    <row r="207" spans="1:4" x14ac:dyDescent="0.25">
      <c r="C207"/>
    </row>
    <row r="208" spans="1:4" x14ac:dyDescent="0.25">
      <c r="C208"/>
    </row>
    <row r="209" spans="1:4" s="3" customFormat="1" ht="15.75" x14ac:dyDescent="0.25">
      <c r="A209" s="17" t="s">
        <v>175</v>
      </c>
    </row>
    <row r="210" spans="1:4" s="4" customFormat="1" x14ac:dyDescent="0.25">
      <c r="A210" s="4" t="s">
        <v>176</v>
      </c>
      <c r="C210" s="5"/>
    </row>
    <row r="211" spans="1:4" x14ac:dyDescent="0.25">
      <c r="A211" t="s">
        <v>164</v>
      </c>
      <c r="B211" t="s">
        <v>15</v>
      </c>
      <c r="C211">
        <v>3.8</v>
      </c>
      <c r="D211" t="s">
        <v>116</v>
      </c>
    </row>
    <row r="212" spans="1:4" x14ac:dyDescent="0.25">
      <c r="A212" t="s">
        <v>121</v>
      </c>
      <c r="B212" t="s">
        <v>15</v>
      </c>
      <c r="C212" t="s">
        <v>165</v>
      </c>
    </row>
    <row r="213" spans="1:4" x14ac:dyDescent="0.25">
      <c r="B213" t="s">
        <v>15</v>
      </c>
      <c r="C213">
        <f>1/4 *C211/0.024</f>
        <v>39.583333333333329</v>
      </c>
      <c r="D213" t="s">
        <v>120</v>
      </c>
    </row>
    <row r="214" spans="1:4" x14ac:dyDescent="0.25">
      <c r="A214" t="s">
        <v>160</v>
      </c>
      <c r="B214" t="s">
        <v>15</v>
      </c>
      <c r="C214" t="s">
        <v>166</v>
      </c>
    </row>
    <row r="215" spans="1:4" x14ac:dyDescent="0.25">
      <c r="B215" t="s">
        <v>15</v>
      </c>
      <c r="C215">
        <f>3/4 *C211</f>
        <v>2.8499999999999996</v>
      </c>
      <c r="D215" t="s">
        <v>116</v>
      </c>
    </row>
    <row r="216" spans="1:4" s="4" customFormat="1" x14ac:dyDescent="0.25">
      <c r="A216" s="4" t="s">
        <v>178</v>
      </c>
    </row>
    <row r="217" spans="1:4" s="4" customFormat="1" x14ac:dyDescent="0.25">
      <c r="A217" s="4" t="s">
        <v>179</v>
      </c>
    </row>
    <row r="218" spans="1:4" x14ac:dyDescent="0.25">
      <c r="A218" t="s">
        <v>167</v>
      </c>
      <c r="B218" t="s">
        <v>15</v>
      </c>
      <c r="C218">
        <v>46.4</v>
      </c>
      <c r="D218" t="s">
        <v>47</v>
      </c>
    </row>
    <row r="219" spans="1:4" x14ac:dyDescent="0.25">
      <c r="A219" t="s">
        <v>147</v>
      </c>
      <c r="B219" t="s">
        <v>15</v>
      </c>
      <c r="C219">
        <v>46.4</v>
      </c>
      <c r="D219" t="s">
        <v>47</v>
      </c>
    </row>
    <row r="220" spans="1:4" x14ac:dyDescent="0.25">
      <c r="A220" t="s">
        <v>168</v>
      </c>
      <c r="B220" t="s">
        <v>15</v>
      </c>
      <c r="C220">
        <v>83.6</v>
      </c>
      <c r="D220" t="s">
        <v>47</v>
      </c>
    </row>
    <row r="221" spans="1:4" x14ac:dyDescent="0.25">
      <c r="A221" t="s">
        <v>169</v>
      </c>
      <c r="B221" t="s">
        <v>15</v>
      </c>
      <c r="C221">
        <v>87.2</v>
      </c>
      <c r="D221" t="s">
        <v>47</v>
      </c>
    </row>
    <row r="222" spans="1:4" x14ac:dyDescent="0.25">
      <c r="A222" t="s">
        <v>170</v>
      </c>
      <c r="B222" t="s">
        <v>15</v>
      </c>
      <c r="C222">
        <f>SUM(C218:C221)</f>
        <v>263.59999999999997</v>
      </c>
      <c r="D222" t="s">
        <v>47</v>
      </c>
    </row>
    <row r="223" spans="1:4" x14ac:dyDescent="0.25">
      <c r="C223"/>
    </row>
    <row r="224" spans="1:4" s="4" customFormat="1" x14ac:dyDescent="0.25">
      <c r="A224" s="4" t="s">
        <v>180</v>
      </c>
    </row>
    <row r="225" spans="1:4" x14ac:dyDescent="0.25">
      <c r="A225" t="s">
        <v>171</v>
      </c>
      <c r="B225" t="s">
        <v>15</v>
      </c>
      <c r="C225">
        <v>5.0000000000000001E-3</v>
      </c>
      <c r="D225" t="s">
        <v>32</v>
      </c>
    </row>
    <row r="226" spans="1:4" x14ac:dyDescent="0.25">
      <c r="A226" t="s">
        <v>172</v>
      </c>
      <c r="B226" t="s">
        <v>15</v>
      </c>
      <c r="C226" t="s">
        <v>173</v>
      </c>
    </row>
    <row r="227" spans="1:4" x14ac:dyDescent="0.25">
      <c r="B227" t="s">
        <v>15</v>
      </c>
      <c r="C227">
        <f>(C222*2*C225)</f>
        <v>2.6359999999999997</v>
      </c>
      <c r="D227" t="s">
        <v>58</v>
      </c>
    </row>
    <row r="228" spans="1:4" x14ac:dyDescent="0.25">
      <c r="C228"/>
    </row>
    <row r="229" spans="1:4" x14ac:dyDescent="0.25">
      <c r="A229" s="4" t="s">
        <v>182</v>
      </c>
    </row>
    <row r="230" spans="1:4" x14ac:dyDescent="0.25">
      <c r="A230" t="s">
        <v>121</v>
      </c>
      <c r="B230" t="s">
        <v>15</v>
      </c>
      <c r="C230" t="s">
        <v>174</v>
      </c>
    </row>
    <row r="231" spans="1:4" x14ac:dyDescent="0.25">
      <c r="B231" t="s">
        <v>15</v>
      </c>
      <c r="C231">
        <f>C227/0.024</f>
        <v>109.83333333333331</v>
      </c>
      <c r="D231" t="s">
        <v>120</v>
      </c>
    </row>
    <row r="234" spans="1:4" s="4" customFormat="1" x14ac:dyDescent="0.25">
      <c r="A234" s="4" t="s">
        <v>183</v>
      </c>
    </row>
    <row r="235" spans="1:4" x14ac:dyDescent="0.25">
      <c r="A235" t="s">
        <v>184</v>
      </c>
      <c r="B235" t="s">
        <v>15</v>
      </c>
      <c r="C235">
        <v>76</v>
      </c>
      <c r="D235" t="s">
        <v>47</v>
      </c>
    </row>
    <row r="236" spans="1:4" x14ac:dyDescent="0.25">
      <c r="A236" t="s">
        <v>171</v>
      </c>
      <c r="B236" t="s">
        <v>15</v>
      </c>
      <c r="C236">
        <v>5.0000000000000001E-3</v>
      </c>
      <c r="D236" t="s">
        <v>32</v>
      </c>
    </row>
    <row r="237" spans="1:4" x14ac:dyDescent="0.25">
      <c r="A237" t="s">
        <v>172</v>
      </c>
      <c r="B237" t="s">
        <v>15</v>
      </c>
      <c r="C237" t="s">
        <v>173</v>
      </c>
    </row>
    <row r="238" spans="1:4" x14ac:dyDescent="0.25">
      <c r="B238" t="s">
        <v>15</v>
      </c>
      <c r="C238">
        <f>(C235*2*C236)</f>
        <v>0.76</v>
      </c>
      <c r="D238" t="s">
        <v>58</v>
      </c>
    </row>
    <row r="239" spans="1:4" x14ac:dyDescent="0.25">
      <c r="C239"/>
    </row>
    <row r="240" spans="1:4" x14ac:dyDescent="0.25">
      <c r="A240" t="s">
        <v>121</v>
      </c>
      <c r="B240" t="s">
        <v>15</v>
      </c>
      <c r="C240" t="s">
        <v>174</v>
      </c>
    </row>
    <row r="241" spans="1:4" x14ac:dyDescent="0.25">
      <c r="B241" t="s">
        <v>15</v>
      </c>
      <c r="C241">
        <f>C238/0.024</f>
        <v>31.666666666666668</v>
      </c>
      <c r="D241" t="s">
        <v>120</v>
      </c>
    </row>
    <row r="244" spans="1:4" s="4" customFormat="1" x14ac:dyDescent="0.25">
      <c r="A244" s="4" t="s">
        <v>185</v>
      </c>
      <c r="C244" s="5"/>
    </row>
    <row r="245" spans="1:4" x14ac:dyDescent="0.25">
      <c r="A245" t="s">
        <v>188</v>
      </c>
      <c r="B245" t="s">
        <v>15</v>
      </c>
      <c r="C245" s="6">
        <f>11.2 *18</f>
        <v>201.6</v>
      </c>
      <c r="D245" t="s">
        <v>186</v>
      </c>
    </row>
    <row r="246" spans="1:4" x14ac:dyDescent="0.25">
      <c r="A246" t="s">
        <v>189</v>
      </c>
      <c r="B246" t="s">
        <v>15</v>
      </c>
      <c r="C246" s="6">
        <f>3*0.8</f>
        <v>2.4000000000000004</v>
      </c>
      <c r="D246" t="s">
        <v>186</v>
      </c>
    </row>
    <row r="247" spans="1:4" x14ac:dyDescent="0.25">
      <c r="A247" t="s">
        <v>187</v>
      </c>
      <c r="B247" t="s">
        <v>15</v>
      </c>
      <c r="C247" s="6" t="str">
        <f>C245&amp;" / " &amp;C246</f>
        <v>201.6 / 2.4</v>
      </c>
    </row>
    <row r="248" spans="1:4" x14ac:dyDescent="0.25">
      <c r="B248" t="s">
        <v>15</v>
      </c>
      <c r="C248" s="6">
        <f>C245/C246</f>
        <v>83.999999999999986</v>
      </c>
      <c r="D248" t="s">
        <v>41</v>
      </c>
    </row>
    <row r="250" spans="1:4" x14ac:dyDescent="0.25">
      <c r="A250" t="s">
        <v>190</v>
      </c>
    </row>
    <row r="251" spans="1:4" x14ac:dyDescent="0.25">
      <c r="A251" t="s">
        <v>191</v>
      </c>
      <c r="B251" t="s">
        <v>15</v>
      </c>
      <c r="C251" s="6">
        <v>4</v>
      </c>
      <c r="D251" t="s">
        <v>32</v>
      </c>
    </row>
    <row r="252" spans="1:4" x14ac:dyDescent="0.25">
      <c r="A252" t="s">
        <v>192</v>
      </c>
      <c r="B252" t="s">
        <v>15</v>
      </c>
      <c r="C252" s="6">
        <v>3</v>
      </c>
      <c r="D252" t="s">
        <v>10</v>
      </c>
    </row>
    <row r="253" spans="1:4" x14ac:dyDescent="0.25">
      <c r="A253" t="s">
        <v>195</v>
      </c>
      <c r="B253" t="s">
        <v>15</v>
      </c>
      <c r="C253" s="6" t="s">
        <v>193</v>
      </c>
    </row>
    <row r="254" spans="1:4" x14ac:dyDescent="0.25">
      <c r="B254" t="s">
        <v>15</v>
      </c>
      <c r="C254" s="6" t="str">
        <f>C251&amp;" x " &amp;C252</f>
        <v>4 x 3</v>
      </c>
    </row>
    <row r="255" spans="1:4" x14ac:dyDescent="0.25">
      <c r="B255" t="s">
        <v>15</v>
      </c>
      <c r="C255" s="6">
        <f>C251*C252</f>
        <v>12</v>
      </c>
      <c r="D255" t="s">
        <v>32</v>
      </c>
    </row>
    <row r="256" spans="1:4" x14ac:dyDescent="0.25">
      <c r="A256" t="s">
        <v>194</v>
      </c>
      <c r="B256" t="s">
        <v>15</v>
      </c>
      <c r="C256" s="6">
        <v>18</v>
      </c>
    </row>
    <row r="257" spans="1:4" x14ac:dyDescent="0.25">
      <c r="A257" t="s">
        <v>196</v>
      </c>
      <c r="B257" t="s">
        <v>15</v>
      </c>
      <c r="C257" s="6" t="s">
        <v>197</v>
      </c>
    </row>
    <row r="258" spans="1:4" x14ac:dyDescent="0.25">
      <c r="B258" t="s">
        <v>15</v>
      </c>
      <c r="C258" s="6" t="str">
        <f>C256&amp;" x "&amp;C255</f>
        <v>18 x 12</v>
      </c>
    </row>
    <row r="259" spans="1:4" x14ac:dyDescent="0.25">
      <c r="B259" t="s">
        <v>15</v>
      </c>
      <c r="C259" s="6">
        <f>C256*C255</f>
        <v>216</v>
      </c>
      <c r="D259" t="s">
        <v>32</v>
      </c>
    </row>
    <row r="261" spans="1:4" x14ac:dyDescent="0.25">
      <c r="A261" t="s">
        <v>198</v>
      </c>
      <c r="B261" t="s">
        <v>15</v>
      </c>
      <c r="C261" s="6" t="s">
        <v>199</v>
      </c>
    </row>
    <row r="262" spans="1:4" x14ac:dyDescent="0.25">
      <c r="B262" t="s">
        <v>15</v>
      </c>
      <c r="C262" s="6" t="str">
        <f>C259&amp;" /  6"</f>
        <v>216 /  6</v>
      </c>
    </row>
    <row r="263" spans="1:4" x14ac:dyDescent="0.25">
      <c r="B263" t="s">
        <v>15</v>
      </c>
      <c r="C263" s="6">
        <f>C259/6</f>
        <v>36</v>
      </c>
      <c r="D263" t="s">
        <v>23</v>
      </c>
    </row>
  </sheetData>
  <conditionalFormatting sqref="A1:A1048576">
    <cfRule type="containsText" dxfId="12" priority="1" operator="containsText" text="koral">
      <formula>NOT(ISERROR(SEARCH("koral",A1)))</formula>
    </cfRule>
  </conditionalFormatting>
  <pageMargins left="0.7" right="0.7" top="0.75" bottom="0.75" header="0.3" footer="0.3"/>
  <pageSetup scale="88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3:L59"/>
  <sheetViews>
    <sheetView topLeftCell="A10" zoomScale="115" zoomScaleNormal="115" workbookViewId="0">
      <selection activeCell="C10" sqref="C10"/>
    </sheetView>
  </sheetViews>
  <sheetFormatPr defaultRowHeight="15" x14ac:dyDescent="0.25"/>
  <cols>
    <col min="1" max="1" width="4.140625" bestFit="1" customWidth="1"/>
    <col min="2" max="2" width="35.5703125" customWidth="1"/>
    <col min="3" max="3" width="13.7109375" style="1" bestFit="1" customWidth="1"/>
    <col min="5" max="5" width="21.42578125" bestFit="1" customWidth="1"/>
    <col min="6" max="6" width="18.7109375" style="9" customWidth="1"/>
    <col min="8" max="8" width="16.5703125" bestFit="1" customWidth="1"/>
    <col min="9" max="9" width="17" bestFit="1" customWidth="1"/>
    <col min="10" max="10" width="16.85546875" bestFit="1" customWidth="1"/>
    <col min="11" max="11" width="12.28515625" customWidth="1"/>
    <col min="12" max="12" width="12.28515625" bestFit="1" customWidth="1"/>
  </cols>
  <sheetData>
    <row r="3" spans="1:8" s="3" customFormat="1" ht="16.5" thickBot="1" x14ac:dyDescent="0.3">
      <c r="A3" s="3" t="s">
        <v>0</v>
      </c>
      <c r="B3" s="3" t="s">
        <v>1</v>
      </c>
      <c r="C3" s="2" t="s">
        <v>2</v>
      </c>
      <c r="D3" s="3" t="s">
        <v>3</v>
      </c>
      <c r="E3" s="3" t="s">
        <v>4</v>
      </c>
      <c r="F3" s="8" t="s">
        <v>5</v>
      </c>
    </row>
    <row r="4" spans="1:8" s="3" customFormat="1" ht="15.75" x14ac:dyDescent="0.25">
      <c r="A4" s="150"/>
      <c r="B4" s="150"/>
      <c r="C4" s="150"/>
      <c r="D4" s="150"/>
      <c r="E4" s="150"/>
      <c r="F4" s="16">
        <f>SUM(F5:F35)</f>
        <v>105332800</v>
      </c>
      <c r="H4" s="12"/>
    </row>
    <row r="5" spans="1:8" s="3" customFormat="1" ht="16.5" thickBot="1" x14ac:dyDescent="0.3">
      <c r="A5" s="2">
        <v>1</v>
      </c>
      <c r="B5" s="3" t="s">
        <v>203</v>
      </c>
      <c r="C5" s="2" t="str">
        <f>FIXED('05. Pekerjaan lantai'!C23+'05. Pekerjaan lantai'!C38+'06. Pekerjaan dinding'!C28+'06. Pekerjaan dinding'!C48+'07. Pekerjaan pembuatan selasar'!C11+'07. Pekerjaan pembuatan selasar'!C22,0)</f>
        <v>252</v>
      </c>
      <c r="D5" s="3" t="s">
        <v>120</v>
      </c>
      <c r="E5" s="3">
        <v>80000</v>
      </c>
      <c r="F5" s="8">
        <f>C5*E5</f>
        <v>20160000</v>
      </c>
      <c r="H5" s="13">
        <f>10/100*SUM(F9:F15)</f>
        <v>2002100</v>
      </c>
    </row>
    <row r="6" spans="1:8" s="3" customFormat="1" ht="15.75" x14ac:dyDescent="0.25">
      <c r="A6" s="2">
        <v>2</v>
      </c>
      <c r="B6" s="3" t="s">
        <v>201</v>
      </c>
      <c r="C6" s="2" t="str">
        <f>FIXED('05. Pekerjaan lantai'!C25+'06. Pekerjaan dinding'!C31+'07. Pekerjaan pembuatan selasar'!C13,0)</f>
        <v>10</v>
      </c>
      <c r="D6" s="3" t="s">
        <v>58</v>
      </c>
      <c r="E6" s="3">
        <v>250000</v>
      </c>
      <c r="F6" s="8">
        <f t="shared" ref="F6:F34" si="0">C6*E6</f>
        <v>2500000</v>
      </c>
      <c r="H6" s="11">
        <f>F4+H5</f>
        <v>107334900</v>
      </c>
    </row>
    <row r="7" spans="1:8" s="3" customFormat="1" ht="15.75" x14ac:dyDescent="0.25">
      <c r="A7" s="2">
        <v>3</v>
      </c>
      <c r="B7" s="3" t="s">
        <v>204</v>
      </c>
      <c r="C7" s="2">
        <f>'05. Pekerjaan lantai'!C27</f>
        <v>0</v>
      </c>
      <c r="D7" s="3" t="s">
        <v>58</v>
      </c>
      <c r="E7" s="3">
        <v>520000</v>
      </c>
      <c r="F7" s="8">
        <f t="shared" si="0"/>
        <v>0</v>
      </c>
      <c r="H7" s="14" t="e">
        <f>H6+#REF!</f>
        <v>#REF!</v>
      </c>
    </row>
    <row r="8" spans="1:8" s="3" customFormat="1" ht="15.75" x14ac:dyDescent="0.25">
      <c r="A8" s="2">
        <v>4</v>
      </c>
      <c r="B8" s="3" t="s">
        <v>202</v>
      </c>
      <c r="C8" s="22" t="str">
        <f>FIXED('06. Pekerjaan dinding'!C18+3000,0)</f>
        <v>20,572</v>
      </c>
      <c r="D8" s="3" t="s">
        <v>337</v>
      </c>
      <c r="E8" s="3">
        <v>650</v>
      </c>
      <c r="F8" s="8">
        <f t="shared" si="0"/>
        <v>13371800</v>
      </c>
      <c r="H8" s="14"/>
    </row>
    <row r="9" spans="1:8" s="3" customFormat="1" ht="15.75" x14ac:dyDescent="0.25">
      <c r="A9" s="2">
        <v>5</v>
      </c>
      <c r="B9" s="3" t="s">
        <v>39</v>
      </c>
      <c r="C9" s="2">
        <f>'01.Pekerjaan Tiang besi'!C18+'02. Pekerjaan Sloof besi'!C15</f>
        <v>21</v>
      </c>
      <c r="D9" s="3" t="s">
        <v>23</v>
      </c>
      <c r="E9" s="8">
        <v>470000</v>
      </c>
      <c r="F9" s="8">
        <f t="shared" si="0"/>
        <v>9870000</v>
      </c>
      <c r="H9" s="14" t="e">
        <f>H7/126</f>
        <v>#REF!</v>
      </c>
    </row>
    <row r="10" spans="1:8" s="3" customFormat="1" ht="15.75" x14ac:dyDescent="0.25">
      <c r="A10" s="2">
        <v>6</v>
      </c>
      <c r="B10" s="3" t="s">
        <v>25</v>
      </c>
      <c r="C10" s="2" t="str">
        <f>FIXED('02. Pekerjaan Sloof besi'!C40,0)</f>
        <v>15</v>
      </c>
      <c r="D10" s="3" t="s">
        <v>23</v>
      </c>
      <c r="E10" s="8">
        <v>370000</v>
      </c>
      <c r="F10" s="8">
        <f t="shared" si="0"/>
        <v>5550000</v>
      </c>
    </row>
    <row r="11" spans="1:8" s="3" customFormat="1" ht="15.75" x14ac:dyDescent="0.25">
      <c r="A11" s="2">
        <v>7</v>
      </c>
      <c r="B11" s="3" t="s">
        <v>40</v>
      </c>
      <c r="C11" s="19">
        <f>Analisa!C29</f>
        <v>1.2499999999999998</v>
      </c>
      <c r="D11" s="3" t="s">
        <v>41</v>
      </c>
      <c r="E11" s="8">
        <v>1500000</v>
      </c>
      <c r="F11" s="8">
        <f t="shared" si="0"/>
        <v>1874999.9999999998</v>
      </c>
    </row>
    <row r="12" spans="1:8" ht="15.75" x14ac:dyDescent="0.25">
      <c r="A12" s="2">
        <v>8</v>
      </c>
      <c r="B12" s="3" t="s">
        <v>6</v>
      </c>
      <c r="C12" s="20">
        <v>72</v>
      </c>
      <c r="D12" s="3" t="s">
        <v>10</v>
      </c>
      <c r="E12" s="8">
        <v>15000</v>
      </c>
      <c r="F12" s="8">
        <f t="shared" si="0"/>
        <v>1080000</v>
      </c>
    </row>
    <row r="13" spans="1:8" ht="15.75" x14ac:dyDescent="0.25">
      <c r="A13" s="2">
        <v>9</v>
      </c>
      <c r="B13" s="3" t="s">
        <v>52</v>
      </c>
      <c r="C13" s="2">
        <v>8</v>
      </c>
      <c r="D13" s="3" t="s">
        <v>53</v>
      </c>
      <c r="E13" s="8">
        <v>60000</v>
      </c>
      <c r="F13" s="8">
        <f t="shared" si="0"/>
        <v>480000</v>
      </c>
    </row>
    <row r="14" spans="1:8" ht="15.75" x14ac:dyDescent="0.25">
      <c r="A14" s="2">
        <v>10</v>
      </c>
      <c r="B14" s="3" t="s">
        <v>56</v>
      </c>
      <c r="C14" s="1">
        <v>0.5</v>
      </c>
      <c r="D14" s="3" t="s">
        <v>58</v>
      </c>
      <c r="E14" s="8">
        <v>2200000</v>
      </c>
      <c r="F14" s="8">
        <f t="shared" si="0"/>
        <v>1100000</v>
      </c>
    </row>
    <row r="15" spans="1:8" ht="15.75" x14ac:dyDescent="0.25">
      <c r="A15" s="2">
        <v>11</v>
      </c>
      <c r="B15" s="3" t="s">
        <v>57</v>
      </c>
      <c r="C15" s="1">
        <v>3</v>
      </c>
      <c r="D15" s="3" t="s">
        <v>59</v>
      </c>
      <c r="E15" s="8">
        <v>22000</v>
      </c>
      <c r="F15" s="8">
        <f t="shared" si="0"/>
        <v>66000</v>
      </c>
    </row>
    <row r="16" spans="1:8" ht="15.75" x14ac:dyDescent="0.25">
      <c r="A16" s="2">
        <v>12</v>
      </c>
      <c r="B16" s="3" t="s">
        <v>55</v>
      </c>
      <c r="C16" s="1">
        <v>0.5</v>
      </c>
      <c r="D16" s="3" t="s">
        <v>58</v>
      </c>
      <c r="E16" s="8">
        <v>2200000</v>
      </c>
      <c r="F16" s="8">
        <f t="shared" si="0"/>
        <v>1100000</v>
      </c>
    </row>
    <row r="17" spans="1:12" ht="15.75" x14ac:dyDescent="0.25">
      <c r="A17" s="2">
        <v>13</v>
      </c>
      <c r="B17" s="3" t="s">
        <v>205</v>
      </c>
      <c r="C17" s="1">
        <v>10</v>
      </c>
      <c r="D17" s="3" t="s">
        <v>338</v>
      </c>
      <c r="E17" s="8">
        <v>5000</v>
      </c>
      <c r="F17" s="8">
        <f t="shared" si="0"/>
        <v>50000</v>
      </c>
      <c r="H17" s="10"/>
    </row>
    <row r="18" spans="1:12" ht="15.75" x14ac:dyDescent="0.25">
      <c r="A18" s="2">
        <v>14</v>
      </c>
      <c r="B18" s="3" t="s">
        <v>206</v>
      </c>
      <c r="C18" s="1">
        <v>6</v>
      </c>
      <c r="D18" s="3" t="s">
        <v>10</v>
      </c>
      <c r="E18" s="8">
        <v>15000</v>
      </c>
      <c r="F18" s="8">
        <f t="shared" si="0"/>
        <v>90000</v>
      </c>
    </row>
    <row r="19" spans="1:12" ht="15.75" x14ac:dyDescent="0.25">
      <c r="A19" s="2">
        <v>15</v>
      </c>
      <c r="B19" s="3" t="s">
        <v>207</v>
      </c>
      <c r="C19" s="1">
        <v>10</v>
      </c>
      <c r="D19" s="3" t="s">
        <v>10</v>
      </c>
      <c r="E19" s="8">
        <v>100000</v>
      </c>
      <c r="F19" s="8">
        <f t="shared" si="0"/>
        <v>1000000</v>
      </c>
    </row>
    <row r="20" spans="1:12" ht="15.75" x14ac:dyDescent="0.25">
      <c r="A20" s="2">
        <v>16</v>
      </c>
      <c r="B20" s="3" t="s">
        <v>208</v>
      </c>
      <c r="C20" s="1">
        <v>100</v>
      </c>
      <c r="D20" s="3" t="s">
        <v>32</v>
      </c>
      <c r="E20" s="8">
        <v>4000</v>
      </c>
      <c r="F20" s="8">
        <f t="shared" si="0"/>
        <v>400000</v>
      </c>
    </row>
    <row r="21" spans="1:12" ht="15.75" x14ac:dyDescent="0.25">
      <c r="A21" s="2">
        <v>17</v>
      </c>
      <c r="B21" s="3" t="s">
        <v>209</v>
      </c>
      <c r="C21" s="1">
        <v>10</v>
      </c>
      <c r="D21" s="3" t="s">
        <v>10</v>
      </c>
      <c r="E21" s="8">
        <v>5000</v>
      </c>
      <c r="F21" s="8">
        <f t="shared" si="0"/>
        <v>50000</v>
      </c>
    </row>
    <row r="22" spans="1:12" s="18" customFormat="1" ht="15.75" x14ac:dyDescent="0.25">
      <c r="A22" s="2">
        <v>18</v>
      </c>
      <c r="B22" s="18" t="s">
        <v>210</v>
      </c>
      <c r="C22" s="21">
        <v>40</v>
      </c>
      <c r="D22" s="3" t="s">
        <v>10</v>
      </c>
      <c r="E22" s="8">
        <v>5000</v>
      </c>
      <c r="F22" s="8">
        <f t="shared" si="0"/>
        <v>200000</v>
      </c>
    </row>
    <row r="23" spans="1:12" s="18" customFormat="1" ht="15.75" x14ac:dyDescent="0.25">
      <c r="A23" s="2">
        <v>19</v>
      </c>
      <c r="B23" s="3" t="s">
        <v>211</v>
      </c>
      <c r="C23" s="21">
        <v>1</v>
      </c>
      <c r="D23" s="3" t="s">
        <v>10</v>
      </c>
      <c r="E23" s="8">
        <v>2500000</v>
      </c>
      <c r="F23" s="8">
        <f t="shared" si="0"/>
        <v>2500000</v>
      </c>
    </row>
    <row r="24" spans="1:12" s="18" customFormat="1" ht="15.75" x14ac:dyDescent="0.25">
      <c r="A24" s="2">
        <v>20</v>
      </c>
      <c r="B24" s="3" t="s">
        <v>212</v>
      </c>
      <c r="C24" s="21">
        <v>4</v>
      </c>
      <c r="D24" s="3" t="s">
        <v>338</v>
      </c>
      <c r="E24" s="8">
        <v>300000</v>
      </c>
      <c r="F24" s="8">
        <f t="shared" si="0"/>
        <v>1200000</v>
      </c>
    </row>
    <row r="25" spans="1:12" s="18" customFormat="1" ht="15.75" x14ac:dyDescent="0.25">
      <c r="A25" s="2"/>
      <c r="B25" s="3" t="s">
        <v>223</v>
      </c>
      <c r="C25" s="21">
        <v>60</v>
      </c>
      <c r="D25" s="18" t="s">
        <v>224</v>
      </c>
      <c r="E25" s="8">
        <v>8000</v>
      </c>
      <c r="F25" s="8">
        <f t="shared" si="0"/>
        <v>480000</v>
      </c>
    </row>
    <row r="26" spans="1:12" s="18" customFormat="1" ht="15.75" x14ac:dyDescent="0.25">
      <c r="A26" s="2">
        <v>21</v>
      </c>
      <c r="B26" s="18" t="s">
        <v>213</v>
      </c>
      <c r="C26" s="21">
        <v>4</v>
      </c>
      <c r="D26" s="3" t="s">
        <v>10</v>
      </c>
      <c r="E26" s="8">
        <v>5000</v>
      </c>
      <c r="F26" s="8">
        <f t="shared" si="0"/>
        <v>20000</v>
      </c>
    </row>
    <row r="27" spans="1:12" s="18" customFormat="1" ht="15.75" x14ac:dyDescent="0.25">
      <c r="A27" s="2">
        <v>22</v>
      </c>
      <c r="B27" s="18" t="s">
        <v>214</v>
      </c>
      <c r="C27" s="21">
        <v>6</v>
      </c>
      <c r="D27" s="3" t="s">
        <v>10</v>
      </c>
      <c r="E27" s="8">
        <v>50000</v>
      </c>
      <c r="F27" s="8">
        <f t="shared" si="0"/>
        <v>300000</v>
      </c>
    </row>
    <row r="28" spans="1:12" s="18" customFormat="1" ht="15.75" x14ac:dyDescent="0.25">
      <c r="A28" s="2">
        <v>23</v>
      </c>
      <c r="B28" s="18" t="s">
        <v>219</v>
      </c>
      <c r="C28" s="21">
        <v>6</v>
      </c>
      <c r="D28" s="3" t="s">
        <v>10</v>
      </c>
      <c r="E28" s="8">
        <v>900000</v>
      </c>
      <c r="F28" s="8">
        <f t="shared" si="0"/>
        <v>5400000</v>
      </c>
    </row>
    <row r="29" spans="1:12" s="18" customFormat="1" ht="15.75" x14ac:dyDescent="0.25">
      <c r="A29" s="2">
        <v>24</v>
      </c>
      <c r="B29" s="18" t="s">
        <v>215</v>
      </c>
      <c r="C29" s="21">
        <f>6*2*3</f>
        <v>36</v>
      </c>
      <c r="D29" s="3" t="s">
        <v>10</v>
      </c>
      <c r="E29" s="8">
        <v>5000</v>
      </c>
      <c r="F29" s="8">
        <f t="shared" si="0"/>
        <v>180000</v>
      </c>
    </row>
    <row r="30" spans="1:12" s="18" customFormat="1" ht="15.75" x14ac:dyDescent="0.25">
      <c r="A30" s="2">
        <v>25</v>
      </c>
      <c r="B30" s="18" t="s">
        <v>216</v>
      </c>
      <c r="C30" s="21">
        <v>5</v>
      </c>
      <c r="D30" s="3" t="s">
        <v>339</v>
      </c>
      <c r="E30" s="8">
        <v>450000</v>
      </c>
      <c r="F30" s="8">
        <f t="shared" si="0"/>
        <v>2250000</v>
      </c>
    </row>
    <row r="31" spans="1:12" s="18" customFormat="1" ht="15.75" x14ac:dyDescent="0.25">
      <c r="A31" s="2">
        <v>26</v>
      </c>
      <c r="B31" s="18" t="s">
        <v>217</v>
      </c>
      <c r="C31" s="21">
        <v>20</v>
      </c>
      <c r="D31" s="3" t="s">
        <v>53</v>
      </c>
      <c r="E31" s="8">
        <v>50000</v>
      </c>
      <c r="F31" s="8">
        <f t="shared" si="0"/>
        <v>1000000</v>
      </c>
    </row>
    <row r="32" spans="1:12" ht="15.75" x14ac:dyDescent="0.25">
      <c r="A32" s="2">
        <v>27</v>
      </c>
      <c r="B32" s="18" t="s">
        <v>218</v>
      </c>
      <c r="C32" s="1">
        <v>6</v>
      </c>
      <c r="D32" s="3" t="s">
        <v>10</v>
      </c>
      <c r="E32" s="8">
        <v>20000</v>
      </c>
      <c r="F32" s="8">
        <f t="shared" si="0"/>
        <v>120000</v>
      </c>
      <c r="H32" s="152" t="s">
        <v>345</v>
      </c>
      <c r="I32" s="153"/>
      <c r="J32" s="153"/>
      <c r="K32" s="153"/>
      <c r="L32" s="154"/>
    </row>
    <row r="33" spans="1:12" ht="15.75" x14ac:dyDescent="0.25">
      <c r="A33" s="2">
        <v>28</v>
      </c>
      <c r="B33" s="18" t="s">
        <v>293</v>
      </c>
      <c r="C33" s="1">
        <f>'05. Pekerjaan lantai'!C13</f>
        <v>43.199999999999996</v>
      </c>
      <c r="D33" s="3" t="s">
        <v>58</v>
      </c>
      <c r="E33" s="8">
        <v>100000</v>
      </c>
      <c r="F33" s="8">
        <f t="shared" si="0"/>
        <v>4320000</v>
      </c>
      <c r="H33" s="116" t="s">
        <v>1</v>
      </c>
      <c r="I33" s="117" t="s">
        <v>346</v>
      </c>
      <c r="J33" s="117" t="s">
        <v>347</v>
      </c>
      <c r="K33" s="117" t="s">
        <v>5</v>
      </c>
      <c r="L33" s="118"/>
    </row>
    <row r="34" spans="1:12" ht="15.75" x14ac:dyDescent="0.25">
      <c r="A34" s="2"/>
      <c r="B34" s="18" t="s">
        <v>351</v>
      </c>
      <c r="C34" s="1">
        <v>1</v>
      </c>
      <c r="D34" s="3" t="s">
        <v>10</v>
      </c>
      <c r="E34" s="8">
        <v>100000</v>
      </c>
      <c r="F34" s="8">
        <f t="shared" si="0"/>
        <v>100000</v>
      </c>
      <c r="H34" s="116"/>
      <c r="I34" s="117"/>
      <c r="J34" s="117"/>
      <c r="K34" s="117"/>
      <c r="L34" s="118"/>
    </row>
    <row r="35" spans="1:12" ht="15.75" x14ac:dyDescent="0.25">
      <c r="A35" s="2">
        <v>29</v>
      </c>
      <c r="B35" s="4" t="s">
        <v>54</v>
      </c>
      <c r="C35" s="1">
        <v>1</v>
      </c>
      <c r="E35" s="10">
        <f>K37</f>
        <v>28520000</v>
      </c>
      <c r="F35" s="9">
        <f>E35</f>
        <v>28520000</v>
      </c>
      <c r="H35" s="104" t="s">
        <v>343</v>
      </c>
      <c r="I35" s="105">
        <v>53</v>
      </c>
      <c r="J35" s="106">
        <v>140000</v>
      </c>
      <c r="K35" s="107">
        <f>I35*J35</f>
        <v>7420000</v>
      </c>
      <c r="L35" s="108"/>
    </row>
    <row r="36" spans="1:12" x14ac:dyDescent="0.25">
      <c r="H36" s="109" t="s">
        <v>344</v>
      </c>
      <c r="I36" s="110">
        <v>211</v>
      </c>
      <c r="J36" s="111">
        <v>100000</v>
      </c>
      <c r="K36" s="112">
        <f>I36*J36</f>
        <v>21100000</v>
      </c>
      <c r="L36" s="113"/>
    </row>
    <row r="37" spans="1:12" s="4" customFormat="1" x14ac:dyDescent="0.25">
      <c r="C37" s="15"/>
      <c r="H37" s="155" t="s">
        <v>267</v>
      </c>
      <c r="I37" s="156"/>
      <c r="J37" s="156"/>
      <c r="K37" s="112">
        <f>SUM(K35:K36)</f>
        <v>28520000</v>
      </c>
      <c r="L37" s="113"/>
    </row>
    <row r="38" spans="1:12" x14ac:dyDescent="0.25">
      <c r="H38" s="114" t="s">
        <v>348</v>
      </c>
      <c r="I38" s="115" t="s">
        <v>349</v>
      </c>
      <c r="J38" s="157" t="s">
        <v>350</v>
      </c>
      <c r="K38" s="157"/>
      <c r="L38" s="158"/>
    </row>
    <row r="39" spans="1:12" ht="15.75" x14ac:dyDescent="0.25">
      <c r="A39" s="150" t="s">
        <v>60</v>
      </c>
      <c r="B39" s="150"/>
      <c r="C39" s="150"/>
      <c r="D39" s="150"/>
      <c r="E39" s="150"/>
      <c r="F39" s="9">
        <f>SUM(F40:F45)</f>
        <v>47268000</v>
      </c>
      <c r="H39" s="119">
        <f>SUM(F5:F33)</f>
        <v>76712800</v>
      </c>
      <c r="I39" s="120">
        <f>30%*H39</f>
        <v>23013840</v>
      </c>
      <c r="J39" s="159">
        <f>I39-K37</f>
        <v>-5506160</v>
      </c>
      <c r="K39" s="159"/>
      <c r="L39" s="160"/>
    </row>
    <row r="40" spans="1:12" s="4" customFormat="1" ht="15.75" x14ac:dyDescent="0.25">
      <c r="A40">
        <v>1</v>
      </c>
      <c r="B40" s="3" t="s">
        <v>79</v>
      </c>
      <c r="C40" s="1" t="str">
        <f>FIXED(Analisa!C101+Analisa!C263,0)</f>
        <v>173</v>
      </c>
      <c r="D40" t="s">
        <v>23</v>
      </c>
      <c r="E40" s="8">
        <v>100000</v>
      </c>
      <c r="F40" s="9">
        <f t="shared" ref="F40:F45" si="1">C40*E40</f>
        <v>17300000</v>
      </c>
    </row>
    <row r="41" spans="1:12" ht="15.75" x14ac:dyDescent="0.25">
      <c r="A41">
        <v>2</v>
      </c>
      <c r="B41" s="3" t="s">
        <v>88</v>
      </c>
      <c r="C41" s="1">
        <f>Analisa!C116</f>
        <v>86</v>
      </c>
      <c r="D41" t="s">
        <v>23</v>
      </c>
      <c r="E41" s="8">
        <v>50000</v>
      </c>
      <c r="F41" s="9">
        <f t="shared" si="1"/>
        <v>4300000</v>
      </c>
    </row>
    <row r="42" spans="1:12" ht="15.75" x14ac:dyDescent="0.25">
      <c r="A42">
        <v>3</v>
      </c>
      <c r="B42" s="3" t="s">
        <v>358</v>
      </c>
      <c r="C42" s="1" t="str">
        <f>FIXED(Analisa!C137,0)</f>
        <v>52</v>
      </c>
      <c r="D42" t="s">
        <v>41</v>
      </c>
      <c r="E42" s="8">
        <v>300000</v>
      </c>
      <c r="F42" s="9">
        <f t="shared" si="1"/>
        <v>15600000</v>
      </c>
    </row>
    <row r="43" spans="1:12" ht="15.75" x14ac:dyDescent="0.25">
      <c r="A43">
        <v>4</v>
      </c>
      <c r="B43" s="3" t="s">
        <v>359</v>
      </c>
      <c r="C43" s="1">
        <f>Analisa!C248</f>
        <v>83.999999999999986</v>
      </c>
      <c r="D43" t="s">
        <v>41</v>
      </c>
      <c r="E43" s="8">
        <v>100000</v>
      </c>
      <c r="F43" s="9">
        <f t="shared" si="1"/>
        <v>8399999.9999999981</v>
      </c>
      <c r="I43" s="120">
        <f>29600000-1093600</f>
        <v>28506400</v>
      </c>
      <c r="J43" s="10">
        <f>K37-I43</f>
        <v>13600</v>
      </c>
    </row>
    <row r="44" spans="1:12" ht="15.75" x14ac:dyDescent="0.25">
      <c r="A44">
        <v>5</v>
      </c>
      <c r="B44" s="3" t="s">
        <v>102</v>
      </c>
      <c r="C44" s="1">
        <v>1560</v>
      </c>
      <c r="D44" t="s">
        <v>10</v>
      </c>
      <c r="E44" s="8">
        <v>300</v>
      </c>
      <c r="F44" s="9">
        <f t="shared" si="1"/>
        <v>468000</v>
      </c>
    </row>
    <row r="45" spans="1:12" ht="15.75" x14ac:dyDescent="0.25">
      <c r="A45">
        <v>6</v>
      </c>
      <c r="B45" s="3" t="s">
        <v>104</v>
      </c>
      <c r="C45" s="1">
        <v>30</v>
      </c>
      <c r="D45" t="s">
        <v>32</v>
      </c>
      <c r="E45" s="8">
        <v>40000</v>
      </c>
      <c r="F45" s="9">
        <f t="shared" si="1"/>
        <v>1200000</v>
      </c>
    </row>
    <row r="47" spans="1:12" ht="15.75" x14ac:dyDescent="0.25">
      <c r="A47" s="4" t="s">
        <v>103</v>
      </c>
      <c r="B47" s="17"/>
      <c r="C47" s="15"/>
      <c r="D47" s="4"/>
      <c r="E47" s="4"/>
      <c r="F47" s="23">
        <f>F48</f>
        <v>2400000</v>
      </c>
    </row>
    <row r="48" spans="1:12" ht="15.75" x14ac:dyDescent="0.25">
      <c r="A48">
        <v>1</v>
      </c>
      <c r="B48" s="3" t="s">
        <v>89</v>
      </c>
      <c r="C48" s="1" t="str">
        <f>FIXED(Analisa!C147,0)</f>
        <v>8</v>
      </c>
      <c r="D48" t="s">
        <v>41</v>
      </c>
      <c r="E48" s="8">
        <v>300000</v>
      </c>
      <c r="F48" s="9">
        <f>C48*E48</f>
        <v>2400000</v>
      </c>
    </row>
    <row r="49" spans="1:6" s="4" customFormat="1" x14ac:dyDescent="0.25">
      <c r="A49"/>
      <c r="B49"/>
      <c r="C49" s="1"/>
      <c r="D49"/>
      <c r="E49"/>
      <c r="F49" s="9"/>
    </row>
    <row r="50" spans="1:6" ht="15.75" x14ac:dyDescent="0.25">
      <c r="A50" s="4" t="s">
        <v>110</v>
      </c>
      <c r="B50" s="4"/>
      <c r="C50" s="15"/>
      <c r="D50" s="4"/>
      <c r="E50" s="16"/>
      <c r="F50" s="23">
        <f>F51</f>
        <v>14560000</v>
      </c>
    </row>
    <row r="51" spans="1:6" ht="15.75" x14ac:dyDescent="0.25">
      <c r="A51">
        <v>1</v>
      </c>
      <c r="B51" t="s">
        <v>111</v>
      </c>
      <c r="C51" s="1">
        <f>26*8*2</f>
        <v>416</v>
      </c>
      <c r="D51" t="s">
        <v>8</v>
      </c>
      <c r="E51" s="8">
        <v>35000</v>
      </c>
      <c r="F51" s="9">
        <f>C51*E51</f>
        <v>14560000</v>
      </c>
    </row>
    <row r="53" spans="1:6" x14ac:dyDescent="0.25">
      <c r="A53" s="4" t="s">
        <v>221</v>
      </c>
      <c r="C53" s="1">
        <v>1</v>
      </c>
      <c r="D53" t="s">
        <v>222</v>
      </c>
      <c r="E53">
        <v>825000</v>
      </c>
      <c r="F53" s="23">
        <f>C53*E53</f>
        <v>825000</v>
      </c>
    </row>
    <row r="55" spans="1:6" x14ac:dyDescent="0.25">
      <c r="A55" s="151" t="s">
        <v>220</v>
      </c>
      <c r="B55" s="151"/>
      <c r="C55" s="151"/>
      <c r="D55" s="151"/>
      <c r="E55" s="151"/>
      <c r="F55" s="23">
        <f>F4+F39+F47+F50+F53</f>
        <v>170385800</v>
      </c>
    </row>
    <row r="58" spans="1:6" x14ac:dyDescent="0.25">
      <c r="E58" t="s">
        <v>340</v>
      </c>
      <c r="F58" s="9">
        <v>196099800</v>
      </c>
    </row>
    <row r="59" spans="1:6" x14ac:dyDescent="0.25">
      <c r="F59" s="23">
        <f>F55-F58</f>
        <v>-25714000</v>
      </c>
    </row>
  </sheetData>
  <mergeCells count="7">
    <mergeCell ref="A4:E4"/>
    <mergeCell ref="A39:E39"/>
    <mergeCell ref="A55:E55"/>
    <mergeCell ref="H32:L32"/>
    <mergeCell ref="H37:J37"/>
    <mergeCell ref="J38:L38"/>
    <mergeCell ref="J39:L39"/>
  </mergeCells>
  <pageMargins left="0.7" right="0.7" top="0.75" bottom="0.75" header="0.3" footer="0.3"/>
  <pageSetup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D40" sqref="D40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7.2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229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135</v>
      </c>
      <c r="C7" s="6"/>
    </row>
    <row r="8" spans="1:6" x14ac:dyDescent="0.25">
      <c r="A8" s="4" t="s">
        <v>130</v>
      </c>
      <c r="B8" s="4"/>
      <c r="C8" s="5"/>
      <c r="D8" s="4"/>
    </row>
    <row r="9" spans="1:6" x14ac:dyDescent="0.25">
      <c r="A9" t="s">
        <v>12</v>
      </c>
      <c r="B9" t="s">
        <v>15</v>
      </c>
      <c r="C9" s="6">
        <v>18</v>
      </c>
      <c r="D9" t="s">
        <v>10</v>
      </c>
      <c r="E9" s="4"/>
    </row>
    <row r="10" spans="1:6" x14ac:dyDescent="0.25">
      <c r="A10" t="s">
        <v>13</v>
      </c>
      <c r="B10" t="s">
        <v>15</v>
      </c>
      <c r="C10" s="6">
        <v>3</v>
      </c>
      <c r="D10" t="s">
        <v>8</v>
      </c>
    </row>
    <row r="11" spans="1:6" x14ac:dyDescent="0.25">
      <c r="C11" s="6"/>
    </row>
    <row r="12" spans="1:6" x14ac:dyDescent="0.25">
      <c r="A12" t="s">
        <v>16</v>
      </c>
      <c r="B12" t="s">
        <v>15</v>
      </c>
      <c r="C12" s="6" t="s">
        <v>14</v>
      </c>
    </row>
    <row r="13" spans="1:6" x14ac:dyDescent="0.25">
      <c r="B13" t="s">
        <v>15</v>
      </c>
      <c r="C13" s="6" t="str">
        <f>C9 &amp;" x " &amp;C10</f>
        <v>18 x 3</v>
      </c>
      <c r="D13" t="s">
        <v>8</v>
      </c>
    </row>
    <row r="14" spans="1:6" x14ac:dyDescent="0.25">
      <c r="B14" t="s">
        <v>15</v>
      </c>
      <c r="C14" s="6">
        <f>C9*C10</f>
        <v>54</v>
      </c>
      <c r="D14" t="s">
        <v>8</v>
      </c>
    </row>
    <row r="15" spans="1:6" x14ac:dyDescent="0.25">
      <c r="C15" s="6"/>
    </row>
    <row r="16" spans="1:6" x14ac:dyDescent="0.25">
      <c r="A16" t="s">
        <v>7</v>
      </c>
      <c r="B16" t="s">
        <v>15</v>
      </c>
      <c r="C16" s="6" t="s">
        <v>17</v>
      </c>
    </row>
    <row r="17" spans="1:4" x14ac:dyDescent="0.25">
      <c r="B17" t="s">
        <v>15</v>
      </c>
      <c r="C17" s="6" t="str">
        <f>C14&amp; "/" &amp; 6</f>
        <v>54/6</v>
      </c>
    </row>
    <row r="18" spans="1:4" x14ac:dyDescent="0.25">
      <c r="B18" t="s">
        <v>15</v>
      </c>
      <c r="C18" s="6">
        <f>C14/6</f>
        <v>9</v>
      </c>
      <c r="D18" t="s">
        <v>9</v>
      </c>
    </row>
    <row r="19" spans="1:4" x14ac:dyDescent="0.25">
      <c r="A19" s="4" t="s">
        <v>230</v>
      </c>
      <c r="C19" s="6"/>
    </row>
    <row r="20" spans="1:4" x14ac:dyDescent="0.25">
      <c r="A20" t="s">
        <v>45</v>
      </c>
      <c r="B20" t="s">
        <v>15</v>
      </c>
      <c r="C20" s="6" t="s">
        <v>43</v>
      </c>
      <c r="D20" t="s">
        <v>8</v>
      </c>
    </row>
    <row r="21" spans="1:4" x14ac:dyDescent="0.25">
      <c r="B21" t="s">
        <v>15</v>
      </c>
      <c r="C21" s="6">
        <f>0.5 * 0.15</f>
        <v>7.4999999999999997E-2</v>
      </c>
    </row>
    <row r="22" spans="1:4" x14ac:dyDescent="0.25">
      <c r="C22" s="6"/>
    </row>
    <row r="23" spans="1:4" x14ac:dyDescent="0.25">
      <c r="A23" t="s">
        <v>44</v>
      </c>
      <c r="B23" t="s">
        <v>15</v>
      </c>
      <c r="C23" s="6">
        <v>2</v>
      </c>
      <c r="D23" t="s">
        <v>10</v>
      </c>
    </row>
    <row r="24" spans="1:4" x14ac:dyDescent="0.25">
      <c r="A24" t="s">
        <v>12</v>
      </c>
      <c r="B24" t="s">
        <v>15</v>
      </c>
      <c r="C24" s="6">
        <v>18</v>
      </c>
      <c r="D24" t="s">
        <v>10</v>
      </c>
    </row>
    <row r="25" spans="1:4" x14ac:dyDescent="0.25">
      <c r="C25" s="6"/>
    </row>
    <row r="26" spans="1:4" x14ac:dyDescent="0.25">
      <c r="A26" t="s">
        <v>46</v>
      </c>
      <c r="B26" t="s">
        <v>15</v>
      </c>
      <c r="C26" s="6" t="s">
        <v>181</v>
      </c>
    </row>
    <row r="27" spans="1:4" x14ac:dyDescent="0.25">
      <c r="B27" t="s">
        <v>15</v>
      </c>
      <c r="C27" s="6" t="str">
        <f>C21&amp;" x (" &amp;C24&amp;" x " &amp;C23&amp;" )"</f>
        <v>0.075 x (18 x 2 )</v>
      </c>
    </row>
    <row r="28" spans="1:4" x14ac:dyDescent="0.25">
      <c r="B28" t="s">
        <v>15</v>
      </c>
      <c r="C28" s="6">
        <f>C21*(C24*C23)</f>
        <v>2.6999999999999997</v>
      </c>
      <c r="D28" t="s">
        <v>47</v>
      </c>
    </row>
    <row r="29" spans="1:4" x14ac:dyDescent="0.25">
      <c r="C29" s="6"/>
    </row>
    <row r="30" spans="1:4" x14ac:dyDescent="0.25">
      <c r="A30" t="s">
        <v>48</v>
      </c>
      <c r="B30" t="s">
        <v>15</v>
      </c>
      <c r="C30" s="6" t="s">
        <v>49</v>
      </c>
    </row>
    <row r="31" spans="1:4" x14ac:dyDescent="0.25">
      <c r="B31" t="s">
        <v>15</v>
      </c>
      <c r="C31" s="6">
        <f>1.2*1.8</f>
        <v>2.16</v>
      </c>
      <c r="D31" t="s">
        <v>47</v>
      </c>
    </row>
    <row r="32" spans="1:4" x14ac:dyDescent="0.25">
      <c r="C32" s="6"/>
    </row>
    <row r="33" spans="1:3" x14ac:dyDescent="0.25">
      <c r="A33" t="s">
        <v>50</v>
      </c>
      <c r="B33" t="s">
        <v>15</v>
      </c>
      <c r="C33" s="6" t="s">
        <v>51</v>
      </c>
    </row>
    <row r="34" spans="1:3" x14ac:dyDescent="0.25">
      <c r="B34" t="s">
        <v>15</v>
      </c>
      <c r="C34" s="6" t="str">
        <f>C28&amp;" / " &amp;C31</f>
        <v>2.7 / 2.16</v>
      </c>
    </row>
    <row r="35" spans="1:3" x14ac:dyDescent="0.25">
      <c r="B35" t="s">
        <v>15</v>
      </c>
      <c r="C35" s="6">
        <f>C28/C31</f>
        <v>1.2499999999999998</v>
      </c>
    </row>
    <row r="36" spans="1:3" x14ac:dyDescent="0.25">
      <c r="C36" s="6"/>
    </row>
    <row r="37" spans="1:3" x14ac:dyDescent="0.25">
      <c r="C37" s="6"/>
    </row>
    <row r="38" spans="1:3" x14ac:dyDescent="0.25">
      <c r="C38" s="6"/>
    </row>
    <row r="39" spans="1:3" x14ac:dyDescent="0.25">
      <c r="C39" s="6"/>
    </row>
    <row r="40" spans="1:3" x14ac:dyDescent="0.25">
      <c r="C40" s="6"/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BE8281E8-F826-404D-BD2D-3490A6BC5EC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0"/>
  <sheetViews>
    <sheetView workbookViewId="0">
      <selection activeCell="D17" sqref="D1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5.1406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1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231</v>
      </c>
      <c r="D4" s="25"/>
      <c r="E4" s="25"/>
      <c r="F4" s="25"/>
    </row>
    <row r="5" spans="1:6" ht="15.75" thickTop="1" x14ac:dyDescent="0.25">
      <c r="A5" s="26"/>
      <c r="B5" s="26"/>
      <c r="C5" s="27"/>
    </row>
    <row r="7" spans="1:6" x14ac:dyDescent="0.25">
      <c r="A7" s="4" t="s">
        <v>136</v>
      </c>
      <c r="B7" s="4"/>
      <c r="C7" s="5"/>
      <c r="D7" s="4"/>
      <c r="E7" s="4"/>
    </row>
    <row r="8" spans="1:6" x14ac:dyDescent="0.25">
      <c r="A8" s="4" t="s">
        <v>131</v>
      </c>
      <c r="B8" s="4"/>
      <c r="C8" s="6"/>
    </row>
    <row r="9" spans="1:6" x14ac:dyDescent="0.25">
      <c r="A9" t="s">
        <v>20</v>
      </c>
      <c r="B9" t="s">
        <v>15</v>
      </c>
      <c r="C9" s="6" t="s">
        <v>18</v>
      </c>
    </row>
    <row r="10" spans="1:6" x14ac:dyDescent="0.25">
      <c r="B10" t="s">
        <v>15</v>
      </c>
      <c r="C10" s="6" t="s">
        <v>19</v>
      </c>
    </row>
    <row r="11" spans="1:6" x14ac:dyDescent="0.25">
      <c r="B11" t="s">
        <v>15</v>
      </c>
      <c r="C11" s="6">
        <f>(24*2)+(12*2)</f>
        <v>72</v>
      </c>
      <c r="D11" t="s">
        <v>8</v>
      </c>
    </row>
    <row r="12" spans="1:6" x14ac:dyDescent="0.25">
      <c r="C12" s="6"/>
    </row>
    <row r="13" spans="1:6" x14ac:dyDescent="0.25">
      <c r="A13" s="18" t="s">
        <v>11</v>
      </c>
      <c r="B13" t="s">
        <v>15</v>
      </c>
      <c r="C13" s="6" t="s">
        <v>21</v>
      </c>
    </row>
    <row r="14" spans="1:6" x14ac:dyDescent="0.25">
      <c r="B14" t="s">
        <v>15</v>
      </c>
      <c r="C14" s="6" t="str">
        <f>C11 &amp;"/"&amp; 6</f>
        <v>72/6</v>
      </c>
    </row>
    <row r="15" spans="1:6" x14ac:dyDescent="0.25">
      <c r="B15" t="s">
        <v>15</v>
      </c>
      <c r="C15" s="6">
        <f>C11/6</f>
        <v>12</v>
      </c>
      <c r="D15" t="s">
        <v>23</v>
      </c>
    </row>
    <row r="16" spans="1:6" x14ac:dyDescent="0.25">
      <c r="C16" s="6"/>
      <c r="D16" s="7" t="s">
        <v>22</v>
      </c>
    </row>
    <row r="17" spans="1:4" x14ac:dyDescent="0.25">
      <c r="C17" s="6"/>
    </row>
    <row r="18" spans="1:4" x14ac:dyDescent="0.25">
      <c r="A18" s="4" t="s">
        <v>133</v>
      </c>
      <c r="C18" s="6"/>
    </row>
    <row r="19" spans="1:4" x14ac:dyDescent="0.25">
      <c r="A19" t="s">
        <v>26</v>
      </c>
      <c r="C19" s="6"/>
    </row>
    <row r="20" spans="1:4" x14ac:dyDescent="0.25">
      <c r="A20" t="s">
        <v>27</v>
      </c>
      <c r="B20" t="s">
        <v>15</v>
      </c>
      <c r="C20" s="6">
        <f>24+1.6</f>
        <v>25.6</v>
      </c>
    </row>
    <row r="21" spans="1:4" x14ac:dyDescent="0.25">
      <c r="A21" t="s">
        <v>29</v>
      </c>
      <c r="B21" t="s">
        <v>15</v>
      </c>
      <c r="C21" s="6" t="s">
        <v>28</v>
      </c>
    </row>
    <row r="22" spans="1:4" x14ac:dyDescent="0.25">
      <c r="B22" t="s">
        <v>15</v>
      </c>
      <c r="C22" s="6" t="str">
        <f>C20 &amp; " x " &amp;2</f>
        <v>25.6 x 2</v>
      </c>
    </row>
    <row r="23" spans="1:4" x14ac:dyDescent="0.25">
      <c r="B23" t="s">
        <v>15</v>
      </c>
      <c r="C23" s="6">
        <f>C20*2</f>
        <v>51.2</v>
      </c>
      <c r="D23" t="s">
        <v>8</v>
      </c>
    </row>
    <row r="24" spans="1:4" x14ac:dyDescent="0.25">
      <c r="A24" t="s">
        <v>26</v>
      </c>
      <c r="B24" t="s">
        <v>15</v>
      </c>
      <c r="C24" s="6" t="s">
        <v>30</v>
      </c>
    </row>
    <row r="25" spans="1:4" x14ac:dyDescent="0.25">
      <c r="B25" t="s">
        <v>15</v>
      </c>
      <c r="C25" s="6" t="str">
        <f>C23&amp;" / " &amp;6</f>
        <v>51.2 / 6</v>
      </c>
    </row>
    <row r="26" spans="1:4" x14ac:dyDescent="0.25">
      <c r="B26" t="s">
        <v>15</v>
      </c>
      <c r="C26" s="6">
        <f>C23/6</f>
        <v>8.5333333333333332</v>
      </c>
      <c r="D26" t="s">
        <v>23</v>
      </c>
    </row>
    <row r="27" spans="1:4" x14ac:dyDescent="0.25">
      <c r="C27" s="6"/>
    </row>
    <row r="28" spans="1:4" x14ac:dyDescent="0.25">
      <c r="A28" s="4" t="s">
        <v>134</v>
      </c>
      <c r="C28" s="6"/>
    </row>
    <row r="29" spans="1:4" x14ac:dyDescent="0.25">
      <c r="A29" t="s">
        <v>12</v>
      </c>
      <c r="B29" t="s">
        <v>15</v>
      </c>
      <c r="C29" s="6">
        <v>18</v>
      </c>
      <c r="D29" t="s">
        <v>10</v>
      </c>
    </row>
    <row r="30" spans="1:4" x14ac:dyDescent="0.25">
      <c r="A30" t="s">
        <v>31</v>
      </c>
      <c r="B30" t="s">
        <v>15</v>
      </c>
      <c r="C30" s="6">
        <v>1</v>
      </c>
      <c r="D30" t="s">
        <v>32</v>
      </c>
    </row>
    <row r="31" spans="1:4" x14ac:dyDescent="0.25">
      <c r="A31" t="s">
        <v>33</v>
      </c>
      <c r="B31" t="s">
        <v>15</v>
      </c>
      <c r="C31" s="6">
        <v>2</v>
      </c>
      <c r="D31" t="s">
        <v>10</v>
      </c>
    </row>
    <row r="32" spans="1:4" x14ac:dyDescent="0.25">
      <c r="A32" t="s">
        <v>35</v>
      </c>
      <c r="B32" t="s">
        <v>15</v>
      </c>
      <c r="C32" s="6" t="s">
        <v>34</v>
      </c>
    </row>
    <row r="33" spans="1:4" x14ac:dyDescent="0.25">
      <c r="B33" t="s">
        <v>15</v>
      </c>
      <c r="C33" s="6" t="str">
        <f>C29&amp;" x "&amp;C31</f>
        <v>18 x 2</v>
      </c>
    </row>
    <row r="34" spans="1:4" x14ac:dyDescent="0.25">
      <c r="B34" t="s">
        <v>15</v>
      </c>
      <c r="C34" s="6">
        <f>C29*C31</f>
        <v>36</v>
      </c>
      <c r="D34" t="s">
        <v>32</v>
      </c>
    </row>
    <row r="35" spans="1:4" x14ac:dyDescent="0.25">
      <c r="C35" s="6"/>
    </row>
    <row r="36" spans="1:4" x14ac:dyDescent="0.25">
      <c r="A36" t="s">
        <v>37</v>
      </c>
      <c r="B36" t="s">
        <v>15</v>
      </c>
      <c r="C36" s="6" t="s">
        <v>36</v>
      </c>
    </row>
    <row r="37" spans="1:4" x14ac:dyDescent="0.25">
      <c r="B37" t="s">
        <v>15</v>
      </c>
      <c r="C37" s="6" t="str">
        <f>C34 &amp;" / " &amp;6</f>
        <v>36 / 6</v>
      </c>
    </row>
    <row r="38" spans="1:4" x14ac:dyDescent="0.25">
      <c r="B38" t="s">
        <v>15</v>
      </c>
      <c r="C38" s="6">
        <f>C34/6</f>
        <v>6</v>
      </c>
      <c r="D38" t="s">
        <v>23</v>
      </c>
    </row>
    <row r="39" spans="1:4" x14ac:dyDescent="0.25">
      <c r="C39" s="6"/>
    </row>
    <row r="40" spans="1:4" x14ac:dyDescent="0.25">
      <c r="A40" t="s">
        <v>38</v>
      </c>
      <c r="B40" t="s">
        <v>15</v>
      </c>
      <c r="C40">
        <f>C26+C38</f>
        <v>14.533333333333333</v>
      </c>
      <c r="D40" t="s">
        <v>23</v>
      </c>
    </row>
  </sheetData>
  <mergeCells count="2">
    <mergeCell ref="A1:F1"/>
    <mergeCell ref="C3:F3"/>
  </mergeCells>
  <pageMargins left="0.7" right="0.7" top="0.75" bottom="0.75" header="0.3" footer="0.3"/>
  <pageSetup scale="99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E86AC1C2-9F95-44E1-B0CD-67FFA0A5991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A7:A16</xm:sqref>
        </x14:conditionalFormatting>
        <x14:conditionalFormatting xmlns:xm="http://schemas.microsoft.com/office/excel/2006/main">
          <x14:cfRule type="containsText" priority="6" operator="containsText" text="koral" id="{B32BB94E-9992-4923-ADC5-A3AAF114E352}">
            <xm:f>NOT(ISERROR(SEARCH("koral",Analisa!A14)))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A17:A40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opLeftCell="A46" workbookViewId="0">
      <selection activeCell="A75" sqref="A75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1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232</v>
      </c>
      <c r="D4" s="25"/>
      <c r="E4" s="25"/>
      <c r="F4" s="25"/>
    </row>
    <row r="5" spans="1:6" ht="15.75" thickTop="1" x14ac:dyDescent="0.25"/>
    <row r="6" spans="1:6" x14ac:dyDescent="0.25">
      <c r="A6" s="4" t="s">
        <v>137</v>
      </c>
      <c r="B6" s="4"/>
      <c r="C6" s="5"/>
      <c r="D6" s="4"/>
    </row>
    <row r="7" spans="1:6" x14ac:dyDescent="0.25">
      <c r="A7" s="4" t="s">
        <v>138</v>
      </c>
      <c r="C7" s="6"/>
    </row>
    <row r="8" spans="1:6" x14ac:dyDescent="0.25">
      <c r="C8" s="6"/>
    </row>
    <row r="9" spans="1:6" x14ac:dyDescent="0.25">
      <c r="A9" s="4" t="s">
        <v>67</v>
      </c>
    </row>
    <row r="10" spans="1:6" x14ac:dyDescent="0.25">
      <c r="A10" t="s">
        <v>63</v>
      </c>
      <c r="B10" t="s">
        <v>15</v>
      </c>
      <c r="C10">
        <v>8</v>
      </c>
    </row>
    <row r="11" spans="1:6" x14ac:dyDescent="0.25">
      <c r="A11" t="s">
        <v>64</v>
      </c>
      <c r="B11" t="s">
        <v>15</v>
      </c>
      <c r="C11">
        <v>7</v>
      </c>
    </row>
    <row r="12" spans="1:6" x14ac:dyDescent="0.25">
      <c r="A12" t="s">
        <v>65</v>
      </c>
      <c r="B12" t="s">
        <v>15</v>
      </c>
      <c r="C12">
        <v>0.5</v>
      </c>
    </row>
    <row r="13" spans="1:6" x14ac:dyDescent="0.25">
      <c r="A13" t="s">
        <v>66</v>
      </c>
      <c r="B13" t="s">
        <v>15</v>
      </c>
      <c r="C13">
        <v>0.75</v>
      </c>
    </row>
    <row r="14" spans="1:6" x14ac:dyDescent="0.25">
      <c r="A14" t="s">
        <v>68</v>
      </c>
      <c r="B14" t="s">
        <v>15</v>
      </c>
      <c r="C14">
        <f>SUM(C10:C13)</f>
        <v>16.25</v>
      </c>
      <c r="D14" t="s">
        <v>70</v>
      </c>
    </row>
    <row r="15" spans="1:6" x14ac:dyDescent="0.25">
      <c r="B15" t="s">
        <v>15</v>
      </c>
      <c r="C15">
        <f>C14*2</f>
        <v>32.5</v>
      </c>
    </row>
    <row r="16" spans="1:6" x14ac:dyDescent="0.25">
      <c r="A16" s="4" t="s">
        <v>69</v>
      </c>
    </row>
    <row r="17" spans="1:4" x14ac:dyDescent="0.25">
      <c r="A17" t="s">
        <v>63</v>
      </c>
      <c r="B17" t="s">
        <v>15</v>
      </c>
      <c r="C17">
        <v>5</v>
      </c>
    </row>
    <row r="18" spans="1:4" x14ac:dyDescent="0.25">
      <c r="A18" t="s">
        <v>64</v>
      </c>
      <c r="B18" t="s">
        <v>15</v>
      </c>
      <c r="C18">
        <v>6</v>
      </c>
    </row>
    <row r="19" spans="1:4" x14ac:dyDescent="0.25">
      <c r="A19" t="s">
        <v>65</v>
      </c>
      <c r="B19" t="s">
        <v>15</v>
      </c>
      <c r="C19">
        <v>0.5</v>
      </c>
    </row>
    <row r="20" spans="1:4" x14ac:dyDescent="0.25">
      <c r="A20" t="s">
        <v>66</v>
      </c>
      <c r="B20" t="s">
        <v>15</v>
      </c>
      <c r="C20">
        <v>0.75</v>
      </c>
    </row>
    <row r="21" spans="1:4" x14ac:dyDescent="0.25">
      <c r="A21" t="s">
        <v>68</v>
      </c>
      <c r="B21" t="s">
        <v>15</v>
      </c>
      <c r="C21">
        <f>SUM(C17:C20)</f>
        <v>12.25</v>
      </c>
    </row>
    <row r="23" spans="1:4" x14ac:dyDescent="0.25">
      <c r="A23" s="4" t="s">
        <v>71</v>
      </c>
      <c r="B23" t="s">
        <v>15</v>
      </c>
      <c r="C23">
        <f>C15+C21</f>
        <v>44.75</v>
      </c>
      <c r="D23" t="s">
        <v>8</v>
      </c>
    </row>
    <row r="24" spans="1:4" x14ac:dyDescent="0.25">
      <c r="A24" t="s">
        <v>77</v>
      </c>
      <c r="B24" t="s">
        <v>15</v>
      </c>
      <c r="C24" t="s">
        <v>72</v>
      </c>
    </row>
    <row r="25" spans="1:4" x14ac:dyDescent="0.25">
      <c r="B25" t="s">
        <v>15</v>
      </c>
      <c r="C25" t="str">
        <f>C23&amp;" / " &amp; 6</f>
        <v>44.75 / 6</v>
      </c>
    </row>
    <row r="26" spans="1:4" x14ac:dyDescent="0.25">
      <c r="B26" t="s">
        <v>15</v>
      </c>
      <c r="C26">
        <f>C23/6</f>
        <v>7.458333333333333</v>
      </c>
      <c r="D26" t="s">
        <v>9</v>
      </c>
    </row>
    <row r="28" spans="1:4" x14ac:dyDescent="0.25">
      <c r="A28" t="s">
        <v>76</v>
      </c>
      <c r="B28" t="s">
        <v>15</v>
      </c>
      <c r="C28" t="s">
        <v>74</v>
      </c>
    </row>
    <row r="29" spans="1:4" x14ac:dyDescent="0.25">
      <c r="B29" t="s">
        <v>15</v>
      </c>
      <c r="C29" t="s">
        <v>73</v>
      </c>
    </row>
    <row r="30" spans="1:4" x14ac:dyDescent="0.25">
      <c r="B30" t="s">
        <v>15</v>
      </c>
      <c r="C30">
        <f>26/1.5+1</f>
        <v>18.333333333333332</v>
      </c>
      <c r="D30" t="s">
        <v>10</v>
      </c>
    </row>
    <row r="32" spans="1:4" x14ac:dyDescent="0.25">
      <c r="A32" t="s">
        <v>75</v>
      </c>
      <c r="B32" t="s">
        <v>15</v>
      </c>
      <c r="C32" t="s">
        <v>78</v>
      </c>
    </row>
    <row r="33" spans="1:4" x14ac:dyDescent="0.25">
      <c r="B33" t="s">
        <v>15</v>
      </c>
      <c r="C33" t="str">
        <f>ROUNDUP(C26,0) &amp;" x " &amp;ROUNDUP(C30,0)</f>
        <v>8 x 19</v>
      </c>
    </row>
    <row r="34" spans="1:4" x14ac:dyDescent="0.25">
      <c r="B34" t="s">
        <v>15</v>
      </c>
      <c r="C34">
        <f>C26*C30</f>
        <v>136.73611111111109</v>
      </c>
      <c r="D34" t="s">
        <v>9</v>
      </c>
    </row>
    <row r="35" spans="1:4" x14ac:dyDescent="0.25">
      <c r="C35" s="6"/>
    </row>
    <row r="36" spans="1:4" x14ac:dyDescent="0.25">
      <c r="A36" s="4" t="s">
        <v>139</v>
      </c>
    </row>
    <row r="37" spans="1:4" x14ac:dyDescent="0.25">
      <c r="A37" t="s">
        <v>140</v>
      </c>
      <c r="B37" t="s">
        <v>15</v>
      </c>
      <c r="C37">
        <v>10</v>
      </c>
      <c r="D37" t="s">
        <v>80</v>
      </c>
    </row>
    <row r="38" spans="1:4" x14ac:dyDescent="0.25">
      <c r="A38" t="s">
        <v>81</v>
      </c>
      <c r="B38" t="s">
        <v>15</v>
      </c>
      <c r="C38">
        <v>26</v>
      </c>
      <c r="D38" t="s">
        <v>32</v>
      </c>
    </row>
    <row r="39" spans="1:4" x14ac:dyDescent="0.25">
      <c r="A39" t="s">
        <v>83</v>
      </c>
      <c r="B39" t="s">
        <v>15</v>
      </c>
      <c r="C39" t="s">
        <v>82</v>
      </c>
    </row>
    <row r="40" spans="1:4" x14ac:dyDescent="0.25">
      <c r="B40" t="s">
        <v>15</v>
      </c>
      <c r="C40" t="str">
        <f>C37&amp;" x "&amp;C38</f>
        <v>10 x 26</v>
      </c>
    </row>
    <row r="41" spans="1:4" x14ac:dyDescent="0.25">
      <c r="B41" t="s">
        <v>15</v>
      </c>
      <c r="C41">
        <f>C37*C38</f>
        <v>260</v>
      </c>
      <c r="D41" t="s">
        <v>32</v>
      </c>
    </row>
    <row r="43" spans="1:4" x14ac:dyDescent="0.25">
      <c r="A43" t="s">
        <v>85</v>
      </c>
      <c r="B43" t="s">
        <v>15</v>
      </c>
      <c r="C43" t="s">
        <v>84</v>
      </c>
    </row>
    <row r="44" spans="1:4" x14ac:dyDescent="0.25">
      <c r="B44" t="s">
        <v>15</v>
      </c>
      <c r="C44" t="str">
        <f>C41&amp; " / " &amp;6</f>
        <v>260 / 6</v>
      </c>
    </row>
    <row r="45" spans="1:4" x14ac:dyDescent="0.25">
      <c r="B45" t="s">
        <v>15</v>
      </c>
      <c r="C45" t="str">
        <f>FIXED(C41/6,0)</f>
        <v>43</v>
      </c>
      <c r="D45" t="s">
        <v>23</v>
      </c>
    </row>
    <row r="47" spans="1:4" x14ac:dyDescent="0.25">
      <c r="A47" t="s">
        <v>86</v>
      </c>
      <c r="B47" t="s">
        <v>15</v>
      </c>
      <c r="C47" t="s">
        <v>87</v>
      </c>
    </row>
    <row r="48" spans="1:4" x14ac:dyDescent="0.25">
      <c r="B48" t="s">
        <v>15</v>
      </c>
      <c r="C48" t="str">
        <f>C45&amp; " x 2"</f>
        <v>43 x 2</v>
      </c>
    </row>
    <row r="49" spans="1:4" x14ac:dyDescent="0.25">
      <c r="B49" t="s">
        <v>15</v>
      </c>
      <c r="C49">
        <f>C45*2</f>
        <v>86</v>
      </c>
      <c r="D49" t="s">
        <v>23</v>
      </c>
    </row>
    <row r="51" spans="1:4" x14ac:dyDescent="0.25">
      <c r="A51" s="4" t="s">
        <v>141</v>
      </c>
      <c r="B51" s="4"/>
      <c r="C51" s="4"/>
      <c r="D51" s="4"/>
    </row>
    <row r="52" spans="1:4" x14ac:dyDescent="0.25">
      <c r="A52" t="s">
        <v>90</v>
      </c>
      <c r="B52" t="s">
        <v>15</v>
      </c>
      <c r="C52">
        <v>26</v>
      </c>
      <c r="D52" t="s">
        <v>8</v>
      </c>
    </row>
    <row r="53" spans="1:4" x14ac:dyDescent="0.25">
      <c r="A53" t="s">
        <v>91</v>
      </c>
      <c r="B53" t="s">
        <v>15</v>
      </c>
      <c r="C53">
        <v>8</v>
      </c>
      <c r="D53" t="s">
        <v>8</v>
      </c>
    </row>
    <row r="54" spans="1:4" x14ac:dyDescent="0.25">
      <c r="A54" t="s">
        <v>92</v>
      </c>
      <c r="B54" t="s">
        <v>15</v>
      </c>
      <c r="C54" t="s">
        <v>93</v>
      </c>
    </row>
    <row r="55" spans="1:4" x14ac:dyDescent="0.25">
      <c r="B55" t="s">
        <v>15</v>
      </c>
      <c r="C55" t="str">
        <f>C52&amp;" x "&amp;C53</f>
        <v>26 x 8</v>
      </c>
    </row>
    <row r="56" spans="1:4" x14ac:dyDescent="0.25">
      <c r="B56" t="s">
        <v>15</v>
      </c>
      <c r="C56">
        <f>C52*C53</f>
        <v>208</v>
      </c>
      <c r="D56" t="s">
        <v>47</v>
      </c>
    </row>
    <row r="57" spans="1:4" x14ac:dyDescent="0.25">
      <c r="A57" t="s">
        <v>99</v>
      </c>
      <c r="B57" t="s">
        <v>15</v>
      </c>
      <c r="C57" t="s">
        <v>94</v>
      </c>
    </row>
    <row r="58" spans="1:4" x14ac:dyDescent="0.25">
      <c r="B58" t="s">
        <v>15</v>
      </c>
      <c r="C58" t="str">
        <f>C56 &amp;" x 2"</f>
        <v>208 x 2</v>
      </c>
    </row>
    <row r="59" spans="1:4" x14ac:dyDescent="0.25">
      <c r="B59" t="s">
        <v>15</v>
      </c>
      <c r="C59">
        <f>C56*2</f>
        <v>416</v>
      </c>
      <c r="D59" t="s">
        <v>47</v>
      </c>
    </row>
    <row r="62" spans="1:4" x14ac:dyDescent="0.25">
      <c r="A62" t="s">
        <v>95</v>
      </c>
      <c r="B62" t="s">
        <v>15</v>
      </c>
      <c r="C62">
        <v>8</v>
      </c>
      <c r="D62" t="s">
        <v>8</v>
      </c>
    </row>
    <row r="63" spans="1:4" x14ac:dyDescent="0.25">
      <c r="A63" t="s">
        <v>96</v>
      </c>
      <c r="B63" t="s">
        <v>15</v>
      </c>
      <c r="C63">
        <v>1</v>
      </c>
      <c r="D63" t="s">
        <v>8</v>
      </c>
    </row>
    <row r="64" spans="1:4" x14ac:dyDescent="0.25">
      <c r="A64" t="s">
        <v>100</v>
      </c>
      <c r="B64" t="s">
        <v>15</v>
      </c>
      <c r="C64" t="s">
        <v>97</v>
      </c>
    </row>
    <row r="65" spans="1:4" x14ac:dyDescent="0.25">
      <c r="B65" t="s">
        <v>15</v>
      </c>
      <c r="C65" t="str">
        <f>C62&amp; " x " &amp;C63</f>
        <v>8 x 1</v>
      </c>
    </row>
    <row r="66" spans="1:4" x14ac:dyDescent="0.25">
      <c r="B66" t="s">
        <v>15</v>
      </c>
      <c r="C66">
        <f>C62*C63</f>
        <v>8</v>
      </c>
      <c r="D66" t="s">
        <v>47</v>
      </c>
    </row>
    <row r="68" spans="1:4" x14ac:dyDescent="0.25">
      <c r="A68" t="s">
        <v>98</v>
      </c>
      <c r="B68" t="s">
        <v>15</v>
      </c>
      <c r="C68" t="s">
        <v>101</v>
      </c>
    </row>
    <row r="69" spans="1:4" x14ac:dyDescent="0.25">
      <c r="B69" t="s">
        <v>15</v>
      </c>
      <c r="C69" t="str">
        <f>C59&amp;" / "&amp;C66</f>
        <v>416 / 8</v>
      </c>
    </row>
    <row r="70" spans="1:4" x14ac:dyDescent="0.25">
      <c r="B70" t="s">
        <v>15</v>
      </c>
      <c r="C70">
        <f>C59/C66</f>
        <v>52</v>
      </c>
      <c r="D70" t="s">
        <v>41</v>
      </c>
    </row>
  </sheetData>
  <mergeCells count="2">
    <mergeCell ref="A1:F1"/>
    <mergeCell ref="C3:F3"/>
  </mergeCells>
  <pageMargins left="0.7" right="0.7" top="0.75" bottom="0.75" header="0.3" footer="0.3"/>
  <pageSetup paperSize="256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AC879436-D115-4B2F-9335-31D006221A5B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A6:A71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9" sqref="G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4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234</v>
      </c>
      <c r="D4" s="25"/>
      <c r="E4" s="25"/>
      <c r="F4" s="25"/>
    </row>
    <row r="5" spans="1:6" ht="15.75" thickTop="1" x14ac:dyDescent="0.25"/>
    <row r="7" spans="1:6" x14ac:dyDescent="0.25">
      <c r="A7" s="4" t="s">
        <v>233</v>
      </c>
      <c r="B7" s="4"/>
      <c r="C7" s="4"/>
      <c r="D7" s="4"/>
    </row>
    <row r="8" spans="1:6" x14ac:dyDescent="0.25">
      <c r="A8" t="s">
        <v>105</v>
      </c>
      <c r="B8" t="s">
        <v>15</v>
      </c>
      <c r="C8">
        <v>24.72</v>
      </c>
      <c r="D8" t="s">
        <v>47</v>
      </c>
    </row>
    <row r="9" spans="1:6" x14ac:dyDescent="0.25">
      <c r="A9" t="s">
        <v>106</v>
      </c>
      <c r="B9" t="s">
        <v>15</v>
      </c>
      <c r="C9">
        <f>C8*2</f>
        <v>49.44</v>
      </c>
      <c r="D9" t="s">
        <v>47</v>
      </c>
    </row>
    <row r="11" spans="1:6" x14ac:dyDescent="0.25">
      <c r="A11" t="s">
        <v>107</v>
      </c>
      <c r="B11" t="s">
        <v>15</v>
      </c>
      <c r="C11">
        <f>8*0.8</f>
        <v>6.4</v>
      </c>
    </row>
    <row r="13" spans="1:6" x14ac:dyDescent="0.25">
      <c r="A13" t="s">
        <v>108</v>
      </c>
      <c r="B13" t="s">
        <v>15</v>
      </c>
      <c r="C13" t="s">
        <v>109</v>
      </c>
    </row>
    <row r="14" spans="1:6" x14ac:dyDescent="0.25">
      <c r="B14" t="s">
        <v>15</v>
      </c>
      <c r="C14" t="str">
        <f>C9&amp;" / " &amp;C11</f>
        <v>49.44 / 6.4</v>
      </c>
    </row>
    <row r="15" spans="1:6" x14ac:dyDescent="0.25">
      <c r="B15" t="s">
        <v>15</v>
      </c>
      <c r="C15">
        <f>C9/C11</f>
        <v>7.7249999999999996</v>
      </c>
      <c r="D15" t="s">
        <v>41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996E00AF-0C48-43F6-B2EE-D0C719C038B2}">
            <xm:f>NOT(ISERROR(SEARCH("koral",Analisa!A2)))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A7:A15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8"/>
  <sheetViews>
    <sheetView workbookViewId="0">
      <selection activeCell="C13" sqref="C13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9.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239</v>
      </c>
      <c r="D4" s="25"/>
      <c r="E4" s="25"/>
      <c r="F4" s="25"/>
    </row>
    <row r="5" spans="1:6" ht="15.75" thickTop="1" x14ac:dyDescent="0.25"/>
    <row r="7" spans="1:6" x14ac:dyDescent="0.25">
      <c r="A7" s="4" t="s">
        <v>235</v>
      </c>
      <c r="B7" s="4"/>
      <c r="C7" s="15"/>
      <c r="D7" s="4"/>
    </row>
    <row r="8" spans="1:6" x14ac:dyDescent="0.25">
      <c r="A8" s="4" t="s">
        <v>236</v>
      </c>
      <c r="B8" s="4"/>
      <c r="C8" s="4"/>
      <c r="D8" s="4"/>
    </row>
    <row r="9" spans="1:6" x14ac:dyDescent="0.25">
      <c r="A9" t="s">
        <v>127</v>
      </c>
      <c r="B9" t="s">
        <v>15</v>
      </c>
      <c r="C9" s="6">
        <v>24</v>
      </c>
      <c r="D9" t="s">
        <v>8</v>
      </c>
    </row>
    <row r="10" spans="1:6" x14ac:dyDescent="0.25">
      <c r="A10" t="s">
        <v>128</v>
      </c>
      <c r="B10" t="s">
        <v>15</v>
      </c>
      <c r="C10" s="6">
        <v>12</v>
      </c>
      <c r="D10" t="s">
        <v>8</v>
      </c>
    </row>
    <row r="11" spans="1:6" x14ac:dyDescent="0.25">
      <c r="A11" t="s">
        <v>129</v>
      </c>
      <c r="B11" t="s">
        <v>15</v>
      </c>
      <c r="C11" s="6">
        <v>0.15</v>
      </c>
      <c r="D11" t="s">
        <v>8</v>
      </c>
    </row>
    <row r="12" spans="1:6" x14ac:dyDescent="0.25">
      <c r="A12" t="s">
        <v>126</v>
      </c>
      <c r="B12" t="s">
        <v>15</v>
      </c>
      <c r="C12" s="6" t="s">
        <v>115</v>
      </c>
    </row>
    <row r="13" spans="1:6" x14ac:dyDescent="0.25">
      <c r="B13" t="s">
        <v>15</v>
      </c>
      <c r="C13">
        <f>C9*C10*C11</f>
        <v>43.199999999999996</v>
      </c>
      <c r="D13" t="s">
        <v>116</v>
      </c>
    </row>
    <row r="14" spans="1:6" x14ac:dyDescent="0.25">
      <c r="C14" s="6"/>
    </row>
    <row r="15" spans="1:6" x14ac:dyDescent="0.25">
      <c r="A15" s="4" t="s">
        <v>237</v>
      </c>
      <c r="C15" s="6"/>
    </row>
    <row r="16" spans="1:6" x14ac:dyDescent="0.25">
      <c r="A16" t="s">
        <v>112</v>
      </c>
      <c r="B16" t="s">
        <v>15</v>
      </c>
      <c r="C16" s="6"/>
      <c r="D16" t="s">
        <v>8</v>
      </c>
    </row>
    <row r="17" spans="1:4" x14ac:dyDescent="0.25">
      <c r="A17" t="s">
        <v>113</v>
      </c>
      <c r="B17" t="s">
        <v>15</v>
      </c>
      <c r="C17" s="6"/>
      <c r="D17" t="s">
        <v>8</v>
      </c>
    </row>
    <row r="18" spans="1:4" x14ac:dyDescent="0.25">
      <c r="A18" t="s">
        <v>114</v>
      </c>
      <c r="B18" t="s">
        <v>15</v>
      </c>
      <c r="C18" s="6"/>
      <c r="D18" t="s">
        <v>8</v>
      </c>
    </row>
    <row r="19" spans="1:4" x14ac:dyDescent="0.25">
      <c r="A19" t="s">
        <v>118</v>
      </c>
      <c r="B19" t="s">
        <v>15</v>
      </c>
      <c r="C19" s="6" t="s">
        <v>115</v>
      </c>
    </row>
    <row r="20" spans="1:4" x14ac:dyDescent="0.25">
      <c r="B20" t="s">
        <v>15</v>
      </c>
      <c r="C20">
        <f>C16*C17*C18</f>
        <v>0</v>
      </c>
      <c r="D20" t="s">
        <v>116</v>
      </c>
    </row>
    <row r="22" spans="1:4" x14ac:dyDescent="0.25">
      <c r="A22" t="s">
        <v>117</v>
      </c>
      <c r="B22" t="s">
        <v>15</v>
      </c>
      <c r="C22" t="s">
        <v>119</v>
      </c>
    </row>
    <row r="23" spans="1:4" x14ac:dyDescent="0.25">
      <c r="B23" t="s">
        <v>15</v>
      </c>
      <c r="C23">
        <f>1/6 *C20/0.024</f>
        <v>0</v>
      </c>
      <c r="D23" t="s">
        <v>120</v>
      </c>
    </row>
    <row r="24" spans="1:4" x14ac:dyDescent="0.25">
      <c r="A24" t="s">
        <v>122</v>
      </c>
      <c r="B24" t="s">
        <v>15</v>
      </c>
      <c r="C24" t="s">
        <v>123</v>
      </c>
    </row>
    <row r="25" spans="1:4" x14ac:dyDescent="0.25">
      <c r="B25" t="s">
        <v>15</v>
      </c>
      <c r="C25">
        <f>2/6*C20</f>
        <v>0</v>
      </c>
      <c r="D25" t="s">
        <v>116</v>
      </c>
    </row>
    <row r="26" spans="1:4" x14ac:dyDescent="0.25">
      <c r="A26" t="s">
        <v>124</v>
      </c>
      <c r="B26" t="s">
        <v>15</v>
      </c>
      <c r="C26" t="s">
        <v>125</v>
      </c>
    </row>
    <row r="27" spans="1:4" x14ac:dyDescent="0.25">
      <c r="B27" t="s">
        <v>15</v>
      </c>
      <c r="C27">
        <f>3/6*C20</f>
        <v>0</v>
      </c>
      <c r="D27" t="s">
        <v>116</v>
      </c>
    </row>
    <row r="28" spans="1:4" x14ac:dyDescent="0.25">
      <c r="C28" s="6"/>
    </row>
    <row r="29" spans="1:4" x14ac:dyDescent="0.25">
      <c r="A29" s="4" t="s">
        <v>238</v>
      </c>
      <c r="B29" s="4"/>
      <c r="C29" s="4"/>
      <c r="D29" s="4"/>
    </row>
    <row r="31" spans="1:4" x14ac:dyDescent="0.25">
      <c r="A31" t="s">
        <v>170</v>
      </c>
      <c r="B31" t="s">
        <v>15</v>
      </c>
      <c r="D31" t="s">
        <v>47</v>
      </c>
    </row>
    <row r="33" spans="1:4" x14ac:dyDescent="0.25">
      <c r="A33" t="s">
        <v>171</v>
      </c>
      <c r="B33" t="s">
        <v>15</v>
      </c>
      <c r="D33" t="s">
        <v>32</v>
      </c>
    </row>
    <row r="34" spans="1:4" x14ac:dyDescent="0.25">
      <c r="A34" t="s">
        <v>172</v>
      </c>
      <c r="B34" t="s">
        <v>15</v>
      </c>
      <c r="C34" t="s">
        <v>173</v>
      </c>
    </row>
    <row r="35" spans="1:4" x14ac:dyDescent="0.25">
      <c r="B35" t="s">
        <v>15</v>
      </c>
      <c r="C35">
        <f>(C31*2*C33)</f>
        <v>0</v>
      </c>
      <c r="D35" t="s">
        <v>58</v>
      </c>
    </row>
    <row r="37" spans="1:4" x14ac:dyDescent="0.25">
      <c r="A37" t="s">
        <v>121</v>
      </c>
      <c r="B37" t="s">
        <v>15</v>
      </c>
      <c r="C37" t="s">
        <v>174</v>
      </c>
    </row>
    <row r="38" spans="1:4" x14ac:dyDescent="0.25">
      <c r="B38" t="s">
        <v>15</v>
      </c>
      <c r="C38">
        <f>C35/0.024</f>
        <v>0</v>
      </c>
      <c r="D38" t="s">
        <v>120</v>
      </c>
    </row>
  </sheetData>
  <mergeCells count="2">
    <mergeCell ref="A1:F1"/>
    <mergeCell ref="C3:F3"/>
  </mergeCells>
  <pageMargins left="0.7" right="0.7" top="0.75" bottom="0.75" header="0.3" footer="0.3"/>
  <pageSetup scale="9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4B05DF81-D0B2-4639-8D6F-CD3A434D260C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workbookViewId="0">
      <selection activeCell="F49" sqref="A1:F49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1.1406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48.7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240</v>
      </c>
      <c r="D4" s="25"/>
      <c r="E4" s="25"/>
      <c r="F4" s="25"/>
    </row>
    <row r="5" spans="1:6" ht="15.75" thickTop="1" x14ac:dyDescent="0.25"/>
    <row r="7" spans="1:6" x14ac:dyDescent="0.25">
      <c r="A7" s="4" t="s">
        <v>241</v>
      </c>
      <c r="B7" s="4"/>
      <c r="C7" s="5"/>
    </row>
    <row r="8" spans="1:6" x14ac:dyDescent="0.25">
      <c r="A8" s="4" t="s">
        <v>242</v>
      </c>
      <c r="B8" s="4"/>
      <c r="C8" s="4"/>
    </row>
    <row r="9" spans="1:6" x14ac:dyDescent="0.25">
      <c r="A9" t="s">
        <v>146</v>
      </c>
      <c r="B9" t="s">
        <v>15</v>
      </c>
      <c r="C9">
        <v>5.57</v>
      </c>
    </row>
    <row r="10" spans="1:6" x14ac:dyDescent="0.25">
      <c r="A10" t="s">
        <v>147</v>
      </c>
      <c r="B10" t="s">
        <v>15</v>
      </c>
      <c r="C10">
        <v>5.57</v>
      </c>
    </row>
    <row r="11" spans="1:6" x14ac:dyDescent="0.25">
      <c r="A11" t="s">
        <v>148</v>
      </c>
      <c r="B11" t="s">
        <v>15</v>
      </c>
      <c r="C11">
        <v>10.029999999999999</v>
      </c>
    </row>
    <row r="12" spans="1:6" x14ac:dyDescent="0.25">
      <c r="A12" t="s">
        <v>149</v>
      </c>
      <c r="B12" t="s">
        <v>15</v>
      </c>
      <c r="C12">
        <v>10.46</v>
      </c>
    </row>
    <row r="13" spans="1:6" x14ac:dyDescent="0.25">
      <c r="A13" t="s">
        <v>150</v>
      </c>
      <c r="B13" t="s">
        <v>15</v>
      </c>
      <c r="C13">
        <f>SUM(C9:C12)</f>
        <v>31.630000000000003</v>
      </c>
    </row>
    <row r="15" spans="1:6" x14ac:dyDescent="0.25">
      <c r="A15" s="4" t="s">
        <v>243</v>
      </c>
    </row>
    <row r="16" spans="1:6" x14ac:dyDescent="0.25">
      <c r="A16" t="s">
        <v>151</v>
      </c>
      <c r="B16" t="s">
        <v>15</v>
      </c>
      <c r="C16">
        <f>0.1*0.1*0.18</f>
        <v>1.8000000000000004E-3</v>
      </c>
    </row>
    <row r="17" spans="1:6" x14ac:dyDescent="0.25">
      <c r="A17" t="s">
        <v>152</v>
      </c>
      <c r="B17" t="s">
        <v>15</v>
      </c>
      <c r="C17" t="s">
        <v>153</v>
      </c>
    </row>
    <row r="18" spans="1:6" x14ac:dyDescent="0.25">
      <c r="B18" t="s">
        <v>15</v>
      </c>
      <c r="C18">
        <f>C13/C16</f>
        <v>17572.222222222219</v>
      </c>
    </row>
    <row r="20" spans="1:6" x14ac:dyDescent="0.25">
      <c r="A20" t="s">
        <v>154</v>
      </c>
      <c r="B20" t="s">
        <v>15</v>
      </c>
      <c r="C20">
        <f>0.08*0.08*0.16</f>
        <v>1.0240000000000002E-3</v>
      </c>
    </row>
    <row r="21" spans="1:6" ht="30.75" customHeight="1" x14ac:dyDescent="0.25">
      <c r="A21" s="124" t="s">
        <v>155</v>
      </c>
      <c r="B21" s="124" t="s">
        <v>15</v>
      </c>
      <c r="C21" s="163" t="s">
        <v>156</v>
      </c>
      <c r="D21" s="163"/>
      <c r="E21" s="163"/>
      <c r="F21" s="163"/>
    </row>
    <row r="22" spans="1:6" x14ac:dyDescent="0.25">
      <c r="B22" t="s">
        <v>15</v>
      </c>
      <c r="C22">
        <f>C18*C20</f>
        <v>17.993955555555555</v>
      </c>
    </row>
    <row r="24" spans="1:6" x14ac:dyDescent="0.25">
      <c r="A24" t="s">
        <v>157</v>
      </c>
      <c r="B24" t="s">
        <v>15</v>
      </c>
      <c r="C24" t="s">
        <v>158</v>
      </c>
    </row>
    <row r="25" spans="1:6" x14ac:dyDescent="0.25">
      <c r="B25" t="s">
        <v>15</v>
      </c>
      <c r="C25" s="18">
        <f>C13-C22</f>
        <v>13.636044444444448</v>
      </c>
    </row>
    <row r="27" spans="1:6" x14ac:dyDescent="0.25">
      <c r="A27" t="s">
        <v>121</v>
      </c>
      <c r="B27" t="s">
        <v>15</v>
      </c>
      <c r="C27" t="s">
        <v>159</v>
      </c>
    </row>
    <row r="28" spans="1:6" x14ac:dyDescent="0.25">
      <c r="B28" t="s">
        <v>15</v>
      </c>
      <c r="C28">
        <f>1/4*C25/0.024</f>
        <v>142.04212962962967</v>
      </c>
    </row>
    <row r="30" spans="1:6" x14ac:dyDescent="0.25">
      <c r="A30" t="s">
        <v>160</v>
      </c>
      <c r="B30" t="s">
        <v>15</v>
      </c>
      <c r="C30" t="s">
        <v>161</v>
      </c>
    </row>
    <row r="31" spans="1:6" x14ac:dyDescent="0.25">
      <c r="B31" t="s">
        <v>15</v>
      </c>
      <c r="C31">
        <f>3/4*C25</f>
        <v>10.227033333333335</v>
      </c>
    </row>
    <row r="33" spans="1:6" x14ac:dyDescent="0.25">
      <c r="A33" s="4" t="s">
        <v>178</v>
      </c>
      <c r="B33" s="4"/>
      <c r="C33" s="4"/>
      <c r="D33" s="4"/>
    </row>
    <row r="34" spans="1:6" x14ac:dyDescent="0.25">
      <c r="A34" s="4" t="s">
        <v>179</v>
      </c>
      <c r="B34" s="4"/>
      <c r="C34" s="4"/>
      <c r="D34" s="4"/>
    </row>
    <row r="35" spans="1:6" x14ac:dyDescent="0.25">
      <c r="A35" t="s">
        <v>167</v>
      </c>
      <c r="B35" t="s">
        <v>15</v>
      </c>
      <c r="C35">
        <v>46.4</v>
      </c>
      <c r="D35" t="s">
        <v>47</v>
      </c>
    </row>
    <row r="36" spans="1:6" x14ac:dyDescent="0.25">
      <c r="A36" t="s">
        <v>147</v>
      </c>
      <c r="B36" t="s">
        <v>15</v>
      </c>
      <c r="C36">
        <v>46.4</v>
      </c>
      <c r="D36" t="s">
        <v>47</v>
      </c>
    </row>
    <row r="37" spans="1:6" x14ac:dyDescent="0.25">
      <c r="A37" t="s">
        <v>168</v>
      </c>
      <c r="B37" t="s">
        <v>15</v>
      </c>
      <c r="C37">
        <v>83.6</v>
      </c>
      <c r="D37" t="s">
        <v>47</v>
      </c>
    </row>
    <row r="38" spans="1:6" x14ac:dyDescent="0.25">
      <c r="A38" t="s">
        <v>169</v>
      </c>
      <c r="B38" t="s">
        <v>15</v>
      </c>
      <c r="C38">
        <v>87.2</v>
      </c>
      <c r="D38" t="s">
        <v>47</v>
      </c>
    </row>
    <row r="39" spans="1:6" x14ac:dyDescent="0.25">
      <c r="A39" t="s">
        <v>170</v>
      </c>
      <c r="B39" t="s">
        <v>15</v>
      </c>
      <c r="C39">
        <f>SUM(C35:C38)</f>
        <v>263.59999999999997</v>
      </c>
      <c r="D39" t="s">
        <v>47</v>
      </c>
    </row>
    <row r="41" spans="1:6" x14ac:dyDescent="0.25">
      <c r="A41" s="4" t="s">
        <v>180</v>
      </c>
      <c r="B41" s="4"/>
      <c r="C41" s="4"/>
      <c r="D41" s="4"/>
      <c r="E41" s="4"/>
      <c r="F41" s="4"/>
    </row>
    <row r="42" spans="1:6" x14ac:dyDescent="0.25">
      <c r="A42" t="s">
        <v>171</v>
      </c>
      <c r="B42" t="s">
        <v>15</v>
      </c>
      <c r="C42">
        <v>5.0000000000000001E-3</v>
      </c>
      <c r="D42" t="s">
        <v>32</v>
      </c>
    </row>
    <row r="43" spans="1:6" ht="32.25" customHeight="1" x14ac:dyDescent="0.25">
      <c r="A43" s="124" t="s">
        <v>172</v>
      </c>
      <c r="B43" s="124" t="s">
        <v>15</v>
      </c>
      <c r="C43" s="164" t="s">
        <v>173</v>
      </c>
      <c r="D43" s="164"/>
      <c r="E43" s="164"/>
      <c r="F43" s="164"/>
    </row>
    <row r="44" spans="1:6" x14ac:dyDescent="0.25">
      <c r="B44" t="s">
        <v>15</v>
      </c>
      <c r="C44">
        <f>(C39*2*C42)</f>
        <v>2.6359999999999997</v>
      </c>
      <c r="D44" t="s">
        <v>58</v>
      </c>
    </row>
    <row r="46" spans="1:6" x14ac:dyDescent="0.25">
      <c r="A46" s="4" t="s">
        <v>182</v>
      </c>
      <c r="C46" s="6"/>
    </row>
    <row r="47" spans="1:6" x14ac:dyDescent="0.25">
      <c r="A47" t="s">
        <v>121</v>
      </c>
      <c r="B47" t="s">
        <v>15</v>
      </c>
      <c r="C47" t="s">
        <v>174</v>
      </c>
    </row>
    <row r="48" spans="1:6" x14ac:dyDescent="0.25">
      <c r="B48" t="s">
        <v>15</v>
      </c>
      <c r="C48">
        <f>C44/0.024</f>
        <v>109.83333333333331</v>
      </c>
      <c r="D48" t="s">
        <v>120</v>
      </c>
    </row>
    <row r="49" spans="3:3" x14ac:dyDescent="0.25">
      <c r="C49" s="6"/>
    </row>
  </sheetData>
  <mergeCells count="4">
    <mergeCell ref="A1:F1"/>
    <mergeCell ref="C3:F3"/>
    <mergeCell ref="C21:F21"/>
    <mergeCell ref="C43:F43"/>
  </mergeCells>
  <conditionalFormatting sqref="A33:A39">
    <cfRule type="containsText" dxfId="5" priority="2" operator="containsText" text="koral">
      <formula>NOT(ISERROR(SEARCH("koral",A33)))</formula>
    </cfRule>
  </conditionalFormatting>
  <conditionalFormatting sqref="A41:A49">
    <cfRule type="containsText" dxfId="4" priority="1" operator="containsText" text="koral">
      <formula>NOT(ISERROR(SEARCH("koral",A41)))</formula>
    </cfRule>
  </conditionalFormatting>
  <pageMargins left="0.7" right="0.7" top="0.75" bottom="0.75" header="0.3" footer="0.3"/>
  <pageSetup paperSize="256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text="koral" id="{676834CE-5334-4FB3-9439-122089D92835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A7:A32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workbookViewId="0">
      <selection activeCell="F27" sqref="A1:F27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  <col min="6" max="6" width="19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0.2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247</v>
      </c>
      <c r="D4" s="25"/>
      <c r="E4" s="25"/>
      <c r="F4" s="25"/>
    </row>
    <row r="5" spans="1:6" ht="15.75" thickTop="1" x14ac:dyDescent="0.25"/>
    <row r="7" spans="1:6" ht="15.75" x14ac:dyDescent="0.25">
      <c r="A7" s="17" t="s">
        <v>244</v>
      </c>
      <c r="B7" s="3"/>
      <c r="C7" s="3"/>
      <c r="D7" s="3"/>
    </row>
    <row r="8" spans="1:6" x14ac:dyDescent="0.25">
      <c r="A8" s="4" t="s">
        <v>245</v>
      </c>
      <c r="B8" s="4"/>
      <c r="C8" s="5"/>
      <c r="D8" s="4"/>
    </row>
    <row r="9" spans="1:6" x14ac:dyDescent="0.25">
      <c r="A9" t="s">
        <v>164</v>
      </c>
      <c r="B9" t="s">
        <v>15</v>
      </c>
      <c r="D9" t="s">
        <v>116</v>
      </c>
    </row>
    <row r="10" spans="1:6" x14ac:dyDescent="0.25">
      <c r="A10" t="s">
        <v>121</v>
      </c>
      <c r="B10" t="s">
        <v>15</v>
      </c>
      <c r="C10" t="s">
        <v>165</v>
      </c>
    </row>
    <row r="11" spans="1:6" x14ac:dyDescent="0.25">
      <c r="B11" t="s">
        <v>15</v>
      </c>
      <c r="C11">
        <f>1/4 *C9/0.024</f>
        <v>0</v>
      </c>
      <c r="D11" t="s">
        <v>120</v>
      </c>
    </row>
    <row r="12" spans="1:6" x14ac:dyDescent="0.25">
      <c r="A12" t="s">
        <v>160</v>
      </c>
      <c r="B12" t="s">
        <v>15</v>
      </c>
      <c r="C12" t="s">
        <v>166</v>
      </c>
    </row>
    <row r="13" spans="1:6" x14ac:dyDescent="0.25">
      <c r="B13" t="s">
        <v>15</v>
      </c>
      <c r="C13">
        <f>3/4 *C9</f>
        <v>0</v>
      </c>
      <c r="D13" t="s">
        <v>116</v>
      </c>
    </row>
    <row r="15" spans="1:6" x14ac:dyDescent="0.25">
      <c r="A15" s="4" t="s">
        <v>246</v>
      </c>
      <c r="B15" s="4"/>
      <c r="C15" s="4"/>
      <c r="D15" s="4"/>
      <c r="E15" s="4"/>
    </row>
    <row r="16" spans="1:6" x14ac:dyDescent="0.25">
      <c r="A16" t="s">
        <v>184</v>
      </c>
      <c r="B16" t="s">
        <v>15</v>
      </c>
      <c r="D16" t="s">
        <v>47</v>
      </c>
    </row>
    <row r="17" spans="1:4" x14ac:dyDescent="0.25">
      <c r="A17" t="s">
        <v>171</v>
      </c>
      <c r="B17" t="s">
        <v>15</v>
      </c>
      <c r="C17">
        <v>5.0000000000000001E-3</v>
      </c>
      <c r="D17" t="s">
        <v>32</v>
      </c>
    </row>
    <row r="18" spans="1:4" x14ac:dyDescent="0.25">
      <c r="A18" t="s">
        <v>172</v>
      </c>
      <c r="B18" t="s">
        <v>15</v>
      </c>
      <c r="C18" t="s">
        <v>173</v>
      </c>
    </row>
    <row r="19" spans="1:4" x14ac:dyDescent="0.25">
      <c r="B19" t="s">
        <v>15</v>
      </c>
      <c r="C19">
        <f>(C16*2*C17)</f>
        <v>0</v>
      </c>
      <c r="D19" t="s">
        <v>58</v>
      </c>
    </row>
    <row r="21" spans="1:4" x14ac:dyDescent="0.25">
      <c r="A21" t="s">
        <v>121</v>
      </c>
      <c r="B21" t="s">
        <v>15</v>
      </c>
      <c r="C21" t="s">
        <v>174</v>
      </c>
    </row>
    <row r="22" spans="1:4" x14ac:dyDescent="0.25">
      <c r="B22" t="s">
        <v>15</v>
      </c>
      <c r="C22">
        <f>C19/0.024</f>
        <v>0</v>
      </c>
      <c r="D22" t="s">
        <v>120</v>
      </c>
    </row>
  </sheetData>
  <mergeCells count="2">
    <mergeCell ref="A1:F1"/>
    <mergeCell ref="C3:F3"/>
  </mergeCells>
  <conditionalFormatting sqref="A15:A22">
    <cfRule type="containsText" dxfId="2" priority="1" operator="containsText" text="koral">
      <formula>NOT(ISERROR(SEARCH("koral",A15)))</formula>
    </cfRule>
  </conditionalFormatting>
  <pageMargins left="0.7" right="0.7" top="0.75" bottom="0.75" header="0.3" footer="0.3"/>
  <pageSetup scale="95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" operator="containsText" text="koral" id="{EE23768A-2F6D-4065-9757-3390D8972C64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A7:A13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G14" sqref="G14"/>
    </sheetView>
  </sheetViews>
  <sheetFormatPr defaultRowHeight="15" x14ac:dyDescent="0.25"/>
  <cols>
    <col min="1" max="1" width="47.7109375" customWidth="1"/>
    <col min="2" max="2" width="1.5703125" customWidth="1"/>
    <col min="3" max="3" width="8.5703125" customWidth="1"/>
  </cols>
  <sheetData>
    <row r="1" spans="1:6" ht="15.75" x14ac:dyDescent="0.25">
      <c r="A1" s="161" t="s">
        <v>225</v>
      </c>
      <c r="B1" s="161"/>
      <c r="C1" s="161"/>
      <c r="D1" s="161"/>
      <c r="E1" s="161"/>
      <c r="F1" s="161"/>
    </row>
    <row r="2" spans="1:6" ht="15.75" x14ac:dyDescent="0.25">
      <c r="A2" s="24"/>
      <c r="B2" s="24"/>
      <c r="C2" s="24"/>
    </row>
    <row r="3" spans="1:6" ht="52.5" customHeight="1" x14ac:dyDescent="0.25">
      <c r="A3" s="125" t="s">
        <v>226</v>
      </c>
      <c r="B3" s="125" t="s">
        <v>227</v>
      </c>
      <c r="C3" s="162" t="s">
        <v>377</v>
      </c>
      <c r="D3" s="162"/>
      <c r="E3" s="162"/>
      <c r="F3" s="162"/>
    </row>
    <row r="4" spans="1:6" ht="15.75" thickBot="1" x14ac:dyDescent="0.3">
      <c r="A4" s="25" t="s">
        <v>228</v>
      </c>
      <c r="B4" s="25" t="s">
        <v>227</v>
      </c>
      <c r="C4" s="25" t="s">
        <v>248</v>
      </c>
      <c r="D4" s="25"/>
      <c r="E4" s="25"/>
      <c r="F4" s="25"/>
    </row>
    <row r="5" spans="1:6" ht="15.75" thickTop="1" x14ac:dyDescent="0.25"/>
    <row r="6" spans="1:6" x14ac:dyDescent="0.25">
      <c r="A6" s="4" t="s">
        <v>185</v>
      </c>
      <c r="B6" s="4"/>
      <c r="C6" s="5"/>
      <c r="D6" s="4"/>
      <c r="E6" s="4"/>
      <c r="F6" s="4"/>
    </row>
    <row r="7" spans="1:6" x14ac:dyDescent="0.25">
      <c r="A7" t="s">
        <v>188</v>
      </c>
      <c r="B7" t="s">
        <v>15</v>
      </c>
      <c r="C7" s="6">
        <f>11.2 *18</f>
        <v>201.6</v>
      </c>
      <c r="D7" t="s">
        <v>186</v>
      </c>
    </row>
    <row r="8" spans="1:6" x14ac:dyDescent="0.25">
      <c r="A8" t="s">
        <v>189</v>
      </c>
      <c r="B8" t="s">
        <v>15</v>
      </c>
      <c r="C8" s="6">
        <f>3*0.8</f>
        <v>2.4000000000000004</v>
      </c>
      <c r="D8" t="s">
        <v>186</v>
      </c>
    </row>
    <row r="9" spans="1:6" x14ac:dyDescent="0.25">
      <c r="A9" t="s">
        <v>187</v>
      </c>
      <c r="B9" t="s">
        <v>15</v>
      </c>
      <c r="C9" s="6" t="str">
        <f>C7&amp;" / " &amp;C8</f>
        <v>201.6 / 2.4</v>
      </c>
    </row>
    <row r="10" spans="1:6" x14ac:dyDescent="0.25">
      <c r="B10" t="s">
        <v>15</v>
      </c>
      <c r="C10" s="6">
        <f>C7/C8</f>
        <v>83.999999999999986</v>
      </c>
      <c r="D10" t="s">
        <v>41</v>
      </c>
    </row>
    <row r="11" spans="1:6" x14ac:dyDescent="0.25">
      <c r="C11" s="6"/>
    </row>
    <row r="12" spans="1:6" x14ac:dyDescent="0.25">
      <c r="A12" t="s">
        <v>190</v>
      </c>
      <c r="C12" s="6"/>
    </row>
    <row r="13" spans="1:6" x14ac:dyDescent="0.25">
      <c r="A13" t="s">
        <v>191</v>
      </c>
      <c r="B13" t="s">
        <v>15</v>
      </c>
      <c r="C13" s="6">
        <v>4</v>
      </c>
      <c r="D13" t="s">
        <v>32</v>
      </c>
    </row>
    <row r="14" spans="1:6" x14ac:dyDescent="0.25">
      <c r="A14" t="s">
        <v>192</v>
      </c>
      <c r="B14" t="s">
        <v>15</v>
      </c>
      <c r="C14" s="6">
        <v>3</v>
      </c>
      <c r="D14" t="s">
        <v>10</v>
      </c>
    </row>
    <row r="15" spans="1:6" x14ac:dyDescent="0.25">
      <c r="A15" t="s">
        <v>195</v>
      </c>
      <c r="B15" t="s">
        <v>15</v>
      </c>
      <c r="C15" s="6" t="s">
        <v>193</v>
      </c>
    </row>
    <row r="16" spans="1:6" x14ac:dyDescent="0.25">
      <c r="B16" t="s">
        <v>15</v>
      </c>
      <c r="C16" s="6" t="str">
        <f>C13&amp;" x " &amp;C14</f>
        <v>4 x 3</v>
      </c>
    </row>
    <row r="17" spans="1:4" x14ac:dyDescent="0.25">
      <c r="B17" t="s">
        <v>15</v>
      </c>
      <c r="C17" s="6">
        <f>C13*C14</f>
        <v>12</v>
      </c>
      <c r="D17" t="s">
        <v>32</v>
      </c>
    </row>
    <row r="18" spans="1:4" x14ac:dyDescent="0.25">
      <c r="A18" t="s">
        <v>194</v>
      </c>
      <c r="B18" t="s">
        <v>15</v>
      </c>
      <c r="C18" s="6">
        <v>18</v>
      </c>
    </row>
    <row r="19" spans="1:4" x14ac:dyDescent="0.25">
      <c r="A19" t="s">
        <v>196</v>
      </c>
      <c r="B19" t="s">
        <v>15</v>
      </c>
      <c r="C19" s="6" t="s">
        <v>197</v>
      </c>
    </row>
    <row r="20" spans="1:4" x14ac:dyDescent="0.25">
      <c r="B20" t="s">
        <v>15</v>
      </c>
      <c r="C20" s="6" t="str">
        <f>C18&amp;" x "&amp;C17</f>
        <v>18 x 12</v>
      </c>
    </row>
    <row r="21" spans="1:4" x14ac:dyDescent="0.25">
      <c r="B21" t="s">
        <v>15</v>
      </c>
      <c r="C21" s="6">
        <f>C18*C17</f>
        <v>216</v>
      </c>
      <c r="D21" t="s">
        <v>32</v>
      </c>
    </row>
    <row r="22" spans="1:4" x14ac:dyDescent="0.25">
      <c r="C22" s="6"/>
    </row>
    <row r="23" spans="1:4" x14ac:dyDescent="0.25">
      <c r="A23" t="s">
        <v>198</v>
      </c>
      <c r="B23" t="s">
        <v>15</v>
      </c>
      <c r="C23" s="6" t="s">
        <v>199</v>
      </c>
    </row>
    <row r="24" spans="1:4" x14ac:dyDescent="0.25">
      <c r="B24" t="s">
        <v>15</v>
      </c>
      <c r="C24" s="6" t="str">
        <f>C21&amp;" /  6"</f>
        <v>216 /  6</v>
      </c>
    </row>
    <row r="25" spans="1:4" x14ac:dyDescent="0.25">
      <c r="B25" t="s">
        <v>15</v>
      </c>
      <c r="C25" s="6">
        <f>C21/6</f>
        <v>36</v>
      </c>
      <c r="D25" t="s">
        <v>23</v>
      </c>
    </row>
  </sheetData>
  <mergeCells count="2">
    <mergeCell ref="A1:F1"/>
    <mergeCell ref="C3:F3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koral" id="{C026B5AC-1AC6-4858-8095-DBDCD6BBD872}">
            <xm:f>NOT(ISERROR(SEARCH("koral",Analisa!A1)))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A6:A25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RAB</vt:lpstr>
      <vt:lpstr>Analisa</vt:lpstr>
      <vt:lpstr>Rekap</vt:lpstr>
      <vt:lpstr>01.Pekerjaan Tiang besi</vt:lpstr>
      <vt:lpstr>02. Pekerjaan Sloof besi</vt:lpstr>
      <vt:lpstr>03. Pemasangan Atap</vt:lpstr>
      <vt:lpstr>04. Pekerjaan tutup Samping</vt:lpstr>
      <vt:lpstr>05. Pekerjaan lantai</vt:lpstr>
      <vt:lpstr>06. Pekerjaan dinding</vt:lpstr>
      <vt:lpstr>07. Pekerjaan pembuatan selasar</vt:lpstr>
      <vt:lpstr>08. Pek. Dinding seng</vt:lpstr>
      <vt:lpstr>RAB!Print_Area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Ujang RH</cp:lastModifiedBy>
  <cp:lastPrinted>2019-12-29T12:04:53Z</cp:lastPrinted>
  <dcterms:created xsi:type="dcterms:W3CDTF">2019-09-14T16:39:05Z</dcterms:created>
  <dcterms:modified xsi:type="dcterms:W3CDTF">2020-05-09T21:21:39Z</dcterms:modified>
</cp:coreProperties>
</file>