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omments2.xml" ContentType="application/vnd.openxmlformats-officedocument.spreadsheetml.comments+xml"/>
  <Override PartName="/xl/drawings/drawing15.xml" ContentType="application/vnd.openxmlformats-officedocument.drawing+xml"/>
  <Override PartName="/xl/comments3.xml" ContentType="application/vnd.openxmlformats-officedocument.spreadsheetml.comments+xml"/>
  <Override PartName="/xl/drawings/drawing16.xml" ContentType="application/vnd.openxmlformats-officedocument.drawing+xml"/>
  <Override PartName="/xl/comments4.xml" ContentType="application/vnd.openxmlformats-officedocument.spreadsheetml.comments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comments6.xml" ContentType="application/vnd.openxmlformats-officedocument.spreadsheetml.comments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DESA\03 PERENCANAAN\RKP-PERUBAHAN-covid 19\3. RKPDESA\"/>
    </mc:Choice>
  </mc:AlternateContent>
  <bookViews>
    <workbookView xWindow="0" yWindow="0" windowWidth="20490" windowHeight="7755" firstSheet="23" activeTab="25"/>
  </bookViews>
  <sheets>
    <sheet name="PINTU" sheetId="1" state="hidden" r:id="rId1"/>
    <sheet name="RAK COBA COBA" sheetId="2" state="hidden" r:id="rId2"/>
    <sheet name="utak atik baraeng di kecamatan" sheetId="51" r:id="rId3"/>
    <sheet name="Pnj APBDES" sheetId="7" r:id="rId4"/>
    <sheet name="RKP" sheetId="3" state="hidden" r:id="rId5"/>
    <sheet name="RKP (2)" sheetId="57" state="hidden" r:id="rId6"/>
    <sheet name="Buku-besar-RKP-Perubahan" sheetId="58" r:id="rId7"/>
    <sheet name="DU-RKP" sheetId="4" r:id="rId8"/>
    <sheet name="PAGU" sheetId="5" r:id="rId9"/>
    <sheet name="APBDES" sheetId="6" r:id="rId10"/>
    <sheet name="4.4 Bintek Perikanan" sheetId="8" r:id="rId11"/>
    <sheet name="4.3 Pelatihan karng taruna" sheetId="9" r:id="rId12"/>
    <sheet name="RKA" sheetId="10" r:id="rId13"/>
    <sheet name="RAK " sheetId="11" r:id="rId14"/>
    <sheet name="RKK" sheetId="12" state="hidden" r:id="rId15"/>
    <sheet name="RAK" sheetId="13" state="hidden" r:id="rId16"/>
    <sheet name="1.1 Siltun Kds" sheetId="14" r:id="rId17"/>
    <sheet name="1.2 Siltun Prngkt " sheetId="15" r:id="rId18"/>
    <sheet name="1.3 Bpjs " sheetId="16" r:id="rId19"/>
    <sheet name="1.4 O PEM pkpkd rusak" sheetId="17" state="hidden" r:id="rId20"/>
    <sheet name="1.4 O PEM UTK OPSI 2" sheetId="53" state="hidden" r:id="rId21"/>
    <sheet name="1.4 O PEM " sheetId="59" r:id="rId22"/>
    <sheet name="1.5 BPD" sheetId="18" r:id="rId23"/>
    <sheet name="1.6 OP BPD" sheetId="19" r:id="rId24"/>
    <sheet name="1.7 RT" sheetId="20" r:id="rId25"/>
    <sheet name="1.8 Mdl" sheetId="21" r:id="rId26"/>
    <sheet name="1.9 Musdes" sheetId="22" r:id="rId27"/>
    <sheet name="1.10 Hnr RKP" sheetId="23" r:id="rId28"/>
    <sheet name="1.11 Aset" sheetId="24" r:id="rId29"/>
    <sheet name="1.12 Pemilihan BPD" sheetId="25" r:id="rId30"/>
    <sheet name="1.13 Profil" sheetId="26" r:id="rId31"/>
    <sheet name="1.13 PBB" sheetId="27" r:id="rId32"/>
    <sheet name="1.14 TKD" sheetId="28" r:id="rId33"/>
    <sheet name="PSI Desa" sheetId="29" r:id="rId34"/>
    <sheet name=" LOMDES" sheetId="30" r:id="rId35"/>
    <sheet name="2.1 PAMSIMAS (2)" sheetId="54" r:id="rId36"/>
    <sheet name="2.1 PAMSIMAS" sheetId="31" state="hidden" r:id="rId37"/>
    <sheet name="2.1 PAUD DAN TK" sheetId="32" r:id="rId38"/>
    <sheet name="2.2 PAUD DAN TK (Teralis TK)" sheetId="33" r:id="rId39"/>
    <sheet name="2.2 HONOR MAdrasah" sheetId="34" r:id="rId40"/>
    <sheet name="2.3A. PSYANDU" sheetId="35" r:id="rId41"/>
    <sheet name="3.1 Linmas" sheetId="36" r:id="rId42"/>
    <sheet name="3.2 Kagmaan SARA" sheetId="37" r:id="rId43"/>
    <sheet name="3.3 HUT RI" sheetId="38" r:id="rId44"/>
    <sheet name="3.9 STQ - " sheetId="39" r:id="rId45"/>
    <sheet name="3.4 KATARUNA" sheetId="40" r:id="rId46"/>
    <sheet name="3.5 L.A" sheetId="41" r:id="rId47"/>
    <sheet name="3.6 LPM" sheetId="42" r:id="rId48"/>
    <sheet name="3.7 PKK" sheetId="43" r:id="rId49"/>
    <sheet name="3.8 HONOR RT" sheetId="44" r:id="rId50"/>
    <sheet name="4.1 Kds" sheetId="45" r:id="rId51"/>
    <sheet name="4.2 Prnkt" sheetId="46" r:id="rId52"/>
    <sheet name="4.5 Embung" sheetId="47" r:id="rId53"/>
    <sheet name="RINCIAN JAMBORE" sheetId="48" r:id="rId54"/>
    <sheet name="PENANGGULANGAN BENCANA" sheetId="49" state="hidden" r:id="rId55"/>
    <sheet name="BENCANA" sheetId="55" r:id="rId56"/>
    <sheet name="ringkasan pengurangan" sheetId="50" r:id="rId57"/>
    <sheet name="Sheet2" sheetId="52" r:id="rId58"/>
    <sheet name="BLT DESA" sheetId="56" r:id="rId59"/>
  </sheets>
  <externalReferences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\Z" localSheetId="29">#REF!</definedName>
    <definedName name="\Z" localSheetId="21">#REF!</definedName>
    <definedName name="\Z" localSheetId="20">#REF!</definedName>
    <definedName name="\Z" localSheetId="36">#REF!</definedName>
    <definedName name="\Z" localSheetId="35">#REF!</definedName>
    <definedName name="\Z" localSheetId="55">#REF!</definedName>
    <definedName name="\Z" localSheetId="58">#REF!</definedName>
    <definedName name="\Z" localSheetId="6">#REF!</definedName>
    <definedName name="\Z" localSheetId="33">#REF!</definedName>
    <definedName name="\Z" localSheetId="5">#REF!</definedName>
    <definedName name="\Z">#REF!</definedName>
    <definedName name="________alt1">#N/A</definedName>
    <definedName name="________APP3">#N/A</definedName>
    <definedName name="______alt1">#N/A</definedName>
    <definedName name="______APP3">#N/A</definedName>
    <definedName name="_____alt1">#N/A</definedName>
    <definedName name="_____APP3">#N/A</definedName>
    <definedName name="_____tsI3">#N/A</definedName>
    <definedName name="____alt1">#N/A</definedName>
    <definedName name="____APP3">#N/A</definedName>
    <definedName name="____tsI3">#N/A</definedName>
    <definedName name="___alt1">#N/A</definedName>
    <definedName name="___APP3">#N/A</definedName>
    <definedName name="___tsI3">#N/A</definedName>
    <definedName name="___up05">NA()</definedName>
    <definedName name="___UP15">NA()</definedName>
    <definedName name="___UP20">NA()</definedName>
    <definedName name="__123Graph_D" hidden="1">[1]SEX!$P$7:$P$7</definedName>
    <definedName name="__alt1">#N/A</definedName>
    <definedName name="__APP3">#N/A</definedName>
    <definedName name="__IntlFixup" hidden="1">TRUE</definedName>
    <definedName name="__tsI3">#N/A</definedName>
    <definedName name="__up05">NA()</definedName>
    <definedName name="__UP15">NA()</definedName>
    <definedName name="__UP20">NA()</definedName>
    <definedName name="_1__123Graph_ACHART_1" hidden="1">'[2]Cash Flow bulanan'!$K$203:$CX$203</definedName>
    <definedName name="_2__123Graph_ACHART_1" hidden="1">'[2]Cash Flow bulanan'!$K$203:$CX$203</definedName>
    <definedName name="_3__123Graph_ACHART_1" hidden="1">'[2]Cash Flow bulanan'!$K$203:$CX$203</definedName>
    <definedName name="_4_____123Graph_ACHART_1" hidden="1">'[2]Cash Flow bulanan'!$K$203:$CX$203</definedName>
    <definedName name="_7____123Graph_ACHART_1" hidden="1">'[2]Cash Flow bulanan'!$K$203:$CX$203</definedName>
    <definedName name="_A_10">NA()</definedName>
    <definedName name="_A_2">NA()</definedName>
    <definedName name="_BTN225">"s"</definedName>
    <definedName name="_xlnm._FilterDatabase" localSheetId="21" hidden="1">'[3]HRG BAHAN &amp; UPAH okk'!#REF!</definedName>
    <definedName name="_xlnm._FilterDatabase" localSheetId="20" hidden="1">'[3]HRG BAHAN &amp; UPAH okk'!#REF!</definedName>
    <definedName name="_xlnm._FilterDatabase" localSheetId="35" hidden="1">'[3]HRG BAHAN &amp; UPAH okk'!#REF!</definedName>
    <definedName name="_xlnm._FilterDatabase" localSheetId="55" hidden="1">'[3]HRG BAHAN &amp; UPAH okk'!#REF!</definedName>
    <definedName name="_xlnm._FilterDatabase" localSheetId="58" hidden="1">'[3]HRG BAHAN &amp; UPAH okk'!#REF!</definedName>
    <definedName name="_xlnm._FilterDatabase" localSheetId="6" hidden="1">'[3]HRG BAHAN &amp; UPAH okk'!#REF!</definedName>
    <definedName name="_xlnm._FilterDatabase" localSheetId="33" hidden="1">'[3]HRG BAHAN &amp; UPAH okk'!#REF!</definedName>
    <definedName name="_xlnm._FilterDatabase" localSheetId="5" hidden="1">'[3]HRG BAHAN &amp; UPAH okk'!#REF!</definedName>
    <definedName name="_xlnm._FilterDatabase" hidden="1">'[3]HRG BAHAN &amp; UPAH okk'!#REF!</definedName>
    <definedName name="_i">NA()</definedName>
    <definedName name="_Order1" hidden="1">255</definedName>
    <definedName name="_Order2" hidden="1">255</definedName>
    <definedName name="_Regression_Int" hidden="1">1</definedName>
    <definedName name="_t">NA()</definedName>
    <definedName name="_z">NA()</definedName>
    <definedName name="a" localSheetId="21">#REF!</definedName>
    <definedName name="a" localSheetId="20">#REF!</definedName>
    <definedName name="a" localSheetId="35">#REF!</definedName>
    <definedName name="a" localSheetId="55">#REF!</definedName>
    <definedName name="a" localSheetId="58">#REF!</definedName>
    <definedName name="a" localSheetId="6">#REF!</definedName>
    <definedName name="a" localSheetId="33">#REF!</definedName>
    <definedName name="a" localSheetId="13">#REF!</definedName>
    <definedName name="a" localSheetId="12">#REF!</definedName>
    <definedName name="a" localSheetId="5">#REF!</definedName>
    <definedName name="a">#REF!</definedName>
    <definedName name="AAC_12_1_10">NA()</definedName>
    <definedName name="AAC_12_10">NA()</definedName>
    <definedName name="AAC_12_12_10">NA()</definedName>
    <definedName name="AAC_12_13_10">NA()</definedName>
    <definedName name="AAC_12_14_10">NA()</definedName>
    <definedName name="AAC_12_15_10">NA()</definedName>
    <definedName name="AAC_12_4_10">NA()</definedName>
    <definedName name="AAC_12_5_10">NA()</definedName>
    <definedName name="AAC_13_1_10">NA()</definedName>
    <definedName name="AAC_13_10">NA()</definedName>
    <definedName name="AAC_13_12_10">NA()</definedName>
    <definedName name="AAC_13_13_10">NA()</definedName>
    <definedName name="AAC_13_14_10">NA()</definedName>
    <definedName name="AAC_13_15_10">NA()</definedName>
    <definedName name="AAC_13_4_10">NA()</definedName>
    <definedName name="AAC_13_5_10">NA()</definedName>
    <definedName name="AAC_14_1_10">NA()</definedName>
    <definedName name="AAC_14_10">NA()</definedName>
    <definedName name="AAC_14_12_10">NA()</definedName>
    <definedName name="AAC_14_13_10">NA()</definedName>
    <definedName name="AAC_14_14_10">NA()</definedName>
    <definedName name="AAC_14_15_10">NA()</definedName>
    <definedName name="AAC_14_4_10">NA()</definedName>
    <definedName name="AAC_14_5_10">NA()</definedName>
    <definedName name="AAC_15_1_10">NA()</definedName>
    <definedName name="AAC_15_10">NA()</definedName>
    <definedName name="AAC_15_12_10">NA()</definedName>
    <definedName name="AAC_15_13_10">NA()</definedName>
    <definedName name="AAC_15_14_10">NA()</definedName>
    <definedName name="AAC_15_15_10">NA()</definedName>
    <definedName name="AAC_15_4_10">NA()</definedName>
    <definedName name="AAC_15_5_10">NA()</definedName>
    <definedName name="AAC_16_10">NA()</definedName>
    <definedName name="AAC_16_12_10">NA()</definedName>
    <definedName name="AAC_16_13_10">NA()</definedName>
    <definedName name="AAC_16_14_10">NA()</definedName>
    <definedName name="AAC_16_15_10">NA()</definedName>
    <definedName name="AAC_16_4_10">NA()</definedName>
    <definedName name="AAC_16_5_10">NA()</definedName>
    <definedName name="AAC_4_10">NA()</definedName>
    <definedName name="AAC_5_1_10">NA()</definedName>
    <definedName name="AAC_5_10">NA()</definedName>
    <definedName name="AAC_5_12_10">NA()</definedName>
    <definedName name="AAC_5_13_10">NA()</definedName>
    <definedName name="AAC_5_14_10">NA()</definedName>
    <definedName name="AAC_5_15_10">NA()</definedName>
    <definedName name="AAC_5_4_10">NA()</definedName>
    <definedName name="AAC_5_5_10">NA()</definedName>
    <definedName name="AAD3_1">NA()</definedName>
    <definedName name="AAD3_1_12_10">NA()</definedName>
    <definedName name="AAD3_1_13_10">NA()</definedName>
    <definedName name="AAD3_1_14_10">NA()</definedName>
    <definedName name="AAD3_1_15_10">NA()</definedName>
    <definedName name="AAD3_1_4_10">NA()</definedName>
    <definedName name="AAD3_1_5_10">NA()</definedName>
    <definedName name="AAD3_10_10">NA()</definedName>
    <definedName name="AAD3_10_12_10">NA()</definedName>
    <definedName name="AAD3_10_13_10">NA()</definedName>
    <definedName name="AAD3_10_14_10">NA()</definedName>
    <definedName name="AAD3_10_15_10">NA()</definedName>
    <definedName name="AAD3_10_4_10">NA()</definedName>
    <definedName name="AAD3_10_5_10">NA()</definedName>
    <definedName name="AAD3_11_10">NA()</definedName>
    <definedName name="AAD3_11_12_10">NA()</definedName>
    <definedName name="AAD3_11_13_10">NA()</definedName>
    <definedName name="AAD3_11_14_10">NA()</definedName>
    <definedName name="AAD3_11_15_10">NA()</definedName>
    <definedName name="AAD3_11_4_10">NA()</definedName>
    <definedName name="AAD3_11_5_10">NA()</definedName>
    <definedName name="AAD3_12_10">NA()</definedName>
    <definedName name="AAD3_13_1_10">NA()</definedName>
    <definedName name="AAD3_13_10">NA()</definedName>
    <definedName name="AAD3_13_12_10">NA()</definedName>
    <definedName name="AAD3_13_13_10">NA()</definedName>
    <definedName name="AAD3_13_14_10">NA()</definedName>
    <definedName name="AAD3_13_15_10">NA()</definedName>
    <definedName name="AAD3_13_4_10">NA()</definedName>
    <definedName name="AAD3_13_5_10">NA()</definedName>
    <definedName name="AAD3_14_1_10">NA()</definedName>
    <definedName name="AAD3_14_10">NA()</definedName>
    <definedName name="AAD3_14_12_10">NA()</definedName>
    <definedName name="AAD3_14_13_10">NA()</definedName>
    <definedName name="AAD3_14_14_10">NA()</definedName>
    <definedName name="AAD3_14_15_10">NA()</definedName>
    <definedName name="AAD3_14_4_10">NA()</definedName>
    <definedName name="AAD3_14_5_10">NA()</definedName>
    <definedName name="AAD3_15_1_10">NA()</definedName>
    <definedName name="AAD3_15_10">NA()</definedName>
    <definedName name="AAD3_15_12_10">NA()</definedName>
    <definedName name="AAD3_15_13_10">NA()</definedName>
    <definedName name="AAD3_15_14_10">NA()</definedName>
    <definedName name="AAD3_15_15_10">NA()</definedName>
    <definedName name="AAD3_15_4_10">NA()</definedName>
    <definedName name="AAD3_15_5_10">NA()</definedName>
    <definedName name="AAD3_3_1_10">NA()</definedName>
    <definedName name="AAD3_3_12_10">NA()</definedName>
    <definedName name="AAD3_3_13_10">NA()</definedName>
    <definedName name="AAD3_3_14_10">NA()</definedName>
    <definedName name="AAD3_3_15_10">NA()</definedName>
    <definedName name="AAD3_3_4_10">NA()</definedName>
    <definedName name="AAD3_3_5_10">NA()</definedName>
    <definedName name="AAD3_4_10">NA()</definedName>
    <definedName name="AAD3_5_10">NA()</definedName>
    <definedName name="AAD3_6_10">NA()</definedName>
    <definedName name="AAD3_7_10">NA()</definedName>
    <definedName name="AAD3_8_10">NA()</definedName>
    <definedName name="AAD3_8_12_10">NA()</definedName>
    <definedName name="AAD3_8_13_10">NA()</definedName>
    <definedName name="AAD3_8_14_10">NA()</definedName>
    <definedName name="AAD3_8_15_10">NA()</definedName>
    <definedName name="AAD3_8_4_10">NA()</definedName>
    <definedName name="AAD3_8_5_10">NA()</definedName>
    <definedName name="AAD3_9_10">NA()</definedName>
    <definedName name="AAD3_9_12_10">NA()</definedName>
    <definedName name="AAD3_9_13_10">NA()</definedName>
    <definedName name="AAD3_9_14_10">NA()</definedName>
    <definedName name="AAD3_9_15_10">NA()</definedName>
    <definedName name="AAD3_9_4_10">NA()</definedName>
    <definedName name="AAD3_9_5_10">NA()</definedName>
    <definedName name="ABC">#N/A</definedName>
    <definedName name="ac" hidden="1">'[4]Agregat Halus &amp; Kasar'!$G$12:$G$20</definedName>
    <definedName name="ADAC_12_1_10">NA()</definedName>
    <definedName name="ADAC_12_10">NA()</definedName>
    <definedName name="ADAC_12_12_10">NA()</definedName>
    <definedName name="ADAC_12_13_10">NA()</definedName>
    <definedName name="ADAC_12_14_10">NA()</definedName>
    <definedName name="ADAC_12_15_10">NA()</definedName>
    <definedName name="ADAC_12_4_10">NA()</definedName>
    <definedName name="ADAC_12_5_10">NA()</definedName>
    <definedName name="ADAC_13_1_10">NA()</definedName>
    <definedName name="ADAC_13_10">NA()</definedName>
    <definedName name="ADAC_13_12_10">NA()</definedName>
    <definedName name="ADAC_13_13_10">NA()</definedName>
    <definedName name="ADAC_13_14_10">NA()</definedName>
    <definedName name="ADAC_13_15_10">NA()</definedName>
    <definedName name="ADAC_13_4_10">NA()</definedName>
    <definedName name="ADAC_13_5_10">NA()</definedName>
    <definedName name="ADAC_14_1_10">NA()</definedName>
    <definedName name="ADAC_14_10">NA()</definedName>
    <definedName name="ADAC_14_12_10">NA()</definedName>
    <definedName name="ADAC_14_13_10">NA()</definedName>
    <definedName name="ADAC_14_14_10">NA()</definedName>
    <definedName name="ADAC_14_15_10">NA()</definedName>
    <definedName name="ADAC_14_4_10">NA()</definedName>
    <definedName name="ADAC_14_5_10">NA()</definedName>
    <definedName name="ADAC_15_1_10">NA()</definedName>
    <definedName name="ADAC_15_10">NA()</definedName>
    <definedName name="ADAC_15_12_10">NA()</definedName>
    <definedName name="ADAC_15_13_10">NA()</definedName>
    <definedName name="ADAC_15_14_10">NA()</definedName>
    <definedName name="ADAC_15_15_10">NA()</definedName>
    <definedName name="ADAC_15_4_10">NA()</definedName>
    <definedName name="ADAC_15_5_10">NA()</definedName>
    <definedName name="ADAC_16_10">NA()</definedName>
    <definedName name="ADAC_16_12_10">NA()</definedName>
    <definedName name="ADAC_16_13_10">NA()</definedName>
    <definedName name="ADAC_16_14_10">NA()</definedName>
    <definedName name="ADAC_16_15_10">NA()</definedName>
    <definedName name="ADAC_16_4_10">NA()</definedName>
    <definedName name="ADAC_16_5_10">NA()</definedName>
    <definedName name="ADAC_4_10">NA()</definedName>
    <definedName name="ADAC_5_1_10">NA()</definedName>
    <definedName name="ADAC_5_10">NA()</definedName>
    <definedName name="ADAC_5_12_10">NA()</definedName>
    <definedName name="ADAC_5_13_10">NA()</definedName>
    <definedName name="ADAC_5_14_10">NA()</definedName>
    <definedName name="ADAC_5_15_10">NA()</definedName>
    <definedName name="ADAC_5_4_10">NA()</definedName>
    <definedName name="ADAC_5_5_10">NA()</definedName>
    <definedName name="ADD1_1">NA()</definedName>
    <definedName name="ADD1_1_12_10">NA()</definedName>
    <definedName name="ADD1_1_13_10">NA()</definedName>
    <definedName name="ADD1_1_14_10">NA()</definedName>
    <definedName name="ADD1_1_15_10">NA()</definedName>
    <definedName name="ADD1_1_4_10">NA()</definedName>
    <definedName name="ADD1_1_5_10">NA()</definedName>
    <definedName name="ADD1_10_10">NA()</definedName>
    <definedName name="ADD1_10_12_10">NA()</definedName>
    <definedName name="ADD1_10_13_10">NA()</definedName>
    <definedName name="ADD1_10_14_10">NA()</definedName>
    <definedName name="ADD1_10_15_10">NA()</definedName>
    <definedName name="ADD1_10_4_10">NA()</definedName>
    <definedName name="ADD1_10_5_10">NA()</definedName>
    <definedName name="ADD1_11_10">NA()</definedName>
    <definedName name="ADD1_11_12_10">NA()</definedName>
    <definedName name="ADD1_11_13_10">NA()</definedName>
    <definedName name="ADD1_11_14_10">NA()</definedName>
    <definedName name="ADD1_11_15_10">NA()</definedName>
    <definedName name="ADD1_11_4_10">NA()</definedName>
    <definedName name="ADD1_11_5_10">NA()</definedName>
    <definedName name="ADD1_12_10">NA()</definedName>
    <definedName name="ADD1_13_1_10">NA()</definedName>
    <definedName name="ADD1_13_10">NA()</definedName>
    <definedName name="ADD1_13_12_10">NA()</definedName>
    <definedName name="ADD1_13_13_10">NA()</definedName>
    <definedName name="ADD1_13_14_10">NA()</definedName>
    <definedName name="ADD1_13_15_10">NA()</definedName>
    <definedName name="ADD1_13_4_10">NA()</definedName>
    <definedName name="ADD1_13_5_10">NA()</definedName>
    <definedName name="ADD1_14_1_10">NA()</definedName>
    <definedName name="ADD1_14_10">NA()</definedName>
    <definedName name="ADD1_14_12_10">NA()</definedName>
    <definedName name="ADD1_14_13_10">NA()</definedName>
    <definedName name="ADD1_14_14_10">NA()</definedName>
    <definedName name="ADD1_14_15_10">NA()</definedName>
    <definedName name="ADD1_14_4_10">NA()</definedName>
    <definedName name="ADD1_14_5_10">NA()</definedName>
    <definedName name="ADD1_15_1_10">NA()</definedName>
    <definedName name="ADD1_15_10">NA()</definedName>
    <definedName name="ADD1_15_12_10">NA()</definedName>
    <definedName name="ADD1_15_13_10">NA()</definedName>
    <definedName name="ADD1_15_14_10">NA()</definedName>
    <definedName name="ADD1_15_15_10">NA()</definedName>
    <definedName name="ADD1_15_4_10">NA()</definedName>
    <definedName name="ADD1_15_5_10">NA()</definedName>
    <definedName name="ADD1_3_1_10">NA()</definedName>
    <definedName name="ADD1_3_12_10">NA()</definedName>
    <definedName name="ADD1_3_13_10">NA()</definedName>
    <definedName name="ADD1_3_14_10">NA()</definedName>
    <definedName name="ADD1_3_15_10">NA()</definedName>
    <definedName name="ADD1_3_4_10">NA()</definedName>
    <definedName name="ADD1_3_5_10">NA()</definedName>
    <definedName name="ADD1_4_10">NA()</definedName>
    <definedName name="ADD1_5_10">NA()</definedName>
    <definedName name="ADD1_6_10">NA()</definedName>
    <definedName name="ADD1_7_10">NA()</definedName>
    <definedName name="ADD1_8_10">NA()</definedName>
    <definedName name="ADD1_8_12_10">NA()</definedName>
    <definedName name="ADD1_8_13_10">NA()</definedName>
    <definedName name="ADD1_8_14_10">NA()</definedName>
    <definedName name="ADD1_8_15_10">NA()</definedName>
    <definedName name="ADD1_8_4_10">NA()</definedName>
    <definedName name="ADD1_8_5_10">NA()</definedName>
    <definedName name="ADD1_9_10">NA()</definedName>
    <definedName name="ADD1_9_12_10">NA()</definedName>
    <definedName name="ADD1_9_13_10">NA()</definedName>
    <definedName name="ADD1_9_14_10">NA()</definedName>
    <definedName name="ADD1_9_15_10">NA()</definedName>
    <definedName name="ADD1_9_4_10">NA()</definedName>
    <definedName name="ADD1_9_5_10">NA()</definedName>
    <definedName name="ADD2_1">NA()</definedName>
    <definedName name="ADD2_1_12_10">NA()</definedName>
    <definedName name="ADD2_1_13_10">NA()</definedName>
    <definedName name="ADD2_1_14_10">NA()</definedName>
    <definedName name="ADD2_1_15_10">NA()</definedName>
    <definedName name="ADD2_1_4_10">NA()</definedName>
    <definedName name="ADD2_1_5_10">NA()</definedName>
    <definedName name="ADD2_10_10">NA()</definedName>
    <definedName name="ADD2_10_12_10">NA()</definedName>
    <definedName name="ADD2_10_13_10">NA()</definedName>
    <definedName name="ADD2_10_14_10">NA()</definedName>
    <definedName name="ADD2_10_15_10">NA()</definedName>
    <definedName name="ADD2_10_4_10">NA()</definedName>
    <definedName name="ADD2_10_5_10">NA()</definedName>
    <definedName name="ADD2_11_10">NA()</definedName>
    <definedName name="ADD2_11_12_10">NA()</definedName>
    <definedName name="ADD2_11_13_10">NA()</definedName>
    <definedName name="ADD2_11_14_10">NA()</definedName>
    <definedName name="ADD2_11_15_10">NA()</definedName>
    <definedName name="ADD2_11_4_10">NA()</definedName>
    <definedName name="ADD2_11_5_10">NA()</definedName>
    <definedName name="ADD2_12_10">NA()</definedName>
    <definedName name="ADD2_13_1_10">NA()</definedName>
    <definedName name="ADD2_13_10">NA()</definedName>
    <definedName name="ADD2_13_12_10">NA()</definedName>
    <definedName name="ADD2_13_13_10">NA()</definedName>
    <definedName name="ADD2_13_14_10">NA()</definedName>
    <definedName name="ADD2_13_15_10">NA()</definedName>
    <definedName name="ADD2_13_4_10">NA()</definedName>
    <definedName name="ADD2_13_5_10">NA()</definedName>
    <definedName name="ADD2_14_1_10">NA()</definedName>
    <definedName name="ADD2_14_10">NA()</definedName>
    <definedName name="ADD2_14_12_10">NA()</definedName>
    <definedName name="ADD2_14_13_10">NA()</definedName>
    <definedName name="ADD2_14_14_10">NA()</definedName>
    <definedName name="ADD2_14_15_10">NA()</definedName>
    <definedName name="ADD2_14_4_10">NA()</definedName>
    <definedName name="ADD2_14_5_10">NA()</definedName>
    <definedName name="ADD2_15_1_10">NA()</definedName>
    <definedName name="ADD2_15_10">NA()</definedName>
    <definedName name="ADD2_15_12_10">NA()</definedName>
    <definedName name="ADD2_15_13_10">NA()</definedName>
    <definedName name="ADD2_15_14_10">NA()</definedName>
    <definedName name="ADD2_15_15_10">NA()</definedName>
    <definedName name="ADD2_15_4_10">NA()</definedName>
    <definedName name="ADD2_15_5_10">NA()</definedName>
    <definedName name="ADD2_3_1_10">NA()</definedName>
    <definedName name="ADD2_3_12_10">NA()</definedName>
    <definedName name="ADD2_3_13_10">NA()</definedName>
    <definedName name="ADD2_3_14_10">NA()</definedName>
    <definedName name="ADD2_3_15_10">NA()</definedName>
    <definedName name="ADD2_3_4_10">NA()</definedName>
    <definedName name="ADD2_3_5_10">NA()</definedName>
    <definedName name="ADD2_4_10">NA()</definedName>
    <definedName name="ADD2_5_10">NA()</definedName>
    <definedName name="ADD2_6_10">NA()</definedName>
    <definedName name="ADD2_7_10">NA()</definedName>
    <definedName name="ADD2_8_10">NA()</definedName>
    <definedName name="ADD2_8_12_10">NA()</definedName>
    <definedName name="ADD2_8_13_10">NA()</definedName>
    <definedName name="ADD2_8_14_10">NA()</definedName>
    <definedName name="ADD2_8_15_10">NA()</definedName>
    <definedName name="ADD2_8_4_10">NA()</definedName>
    <definedName name="ADD2_8_5_10">NA()</definedName>
    <definedName name="ADD2_9_10">NA()</definedName>
    <definedName name="ADD2_9_12_10">NA()</definedName>
    <definedName name="ADD2_9_13_10">NA()</definedName>
    <definedName name="ADD2_9_14_10">NA()</definedName>
    <definedName name="ADD2_9_15_10">NA()</definedName>
    <definedName name="ADD2_9_4_10">NA()</definedName>
    <definedName name="ADD2_9_5_10">NA()</definedName>
    <definedName name="ADD3_1">NA()</definedName>
    <definedName name="ADD3_1_12_10">NA()</definedName>
    <definedName name="ADD3_1_13_10">NA()</definedName>
    <definedName name="ADD3_1_14_10">NA()</definedName>
    <definedName name="ADD3_1_15_10">NA()</definedName>
    <definedName name="ADD3_1_4_10">NA()</definedName>
    <definedName name="ADD3_1_5_10">NA()</definedName>
    <definedName name="ADD3_10_10">NA()</definedName>
    <definedName name="ADD3_10_12_10">NA()</definedName>
    <definedName name="ADD3_10_13_10">NA()</definedName>
    <definedName name="ADD3_10_14_10">NA()</definedName>
    <definedName name="ADD3_10_15_10">NA()</definedName>
    <definedName name="ADD3_10_4_10">NA()</definedName>
    <definedName name="ADD3_10_5_10">NA()</definedName>
    <definedName name="ADD3_11_10">NA()</definedName>
    <definedName name="ADD3_11_12_10">NA()</definedName>
    <definedName name="ADD3_11_13_10">NA()</definedName>
    <definedName name="ADD3_11_14_10">NA()</definedName>
    <definedName name="ADD3_11_15_10">NA()</definedName>
    <definedName name="ADD3_11_4_10">NA()</definedName>
    <definedName name="ADD3_11_5_10">NA()</definedName>
    <definedName name="ADD3_12_10">NA()</definedName>
    <definedName name="ADD3_13_1_10">NA()</definedName>
    <definedName name="ADD3_13_10">NA()</definedName>
    <definedName name="ADD3_13_12_10">NA()</definedName>
    <definedName name="ADD3_13_13_10">NA()</definedName>
    <definedName name="ADD3_13_14_10">NA()</definedName>
    <definedName name="ADD3_13_15_10">NA()</definedName>
    <definedName name="ADD3_13_4_10">NA()</definedName>
    <definedName name="ADD3_13_5_10">NA()</definedName>
    <definedName name="ADD3_14_1_10">NA()</definedName>
    <definedName name="ADD3_14_10">NA()</definedName>
    <definedName name="ADD3_14_12_10">NA()</definedName>
    <definedName name="ADD3_14_13_10">NA()</definedName>
    <definedName name="ADD3_14_14_10">NA()</definedName>
    <definedName name="ADD3_14_15_10">NA()</definedName>
    <definedName name="ADD3_14_4_10">NA()</definedName>
    <definedName name="ADD3_14_5_10">NA()</definedName>
    <definedName name="ADD3_15_1_10">NA()</definedName>
    <definedName name="ADD3_15_10">NA()</definedName>
    <definedName name="ADD3_15_12_10">NA()</definedName>
    <definedName name="ADD3_15_13_10">NA()</definedName>
    <definedName name="ADD3_15_14_10">NA()</definedName>
    <definedName name="ADD3_15_15_10">NA()</definedName>
    <definedName name="ADD3_15_4_10">NA()</definedName>
    <definedName name="ADD3_15_5_10">NA()</definedName>
    <definedName name="ADD3_3_1_10">NA()</definedName>
    <definedName name="ADD3_3_12_10">NA()</definedName>
    <definedName name="ADD3_3_13_10">NA()</definedName>
    <definedName name="ADD3_3_14_10">NA()</definedName>
    <definedName name="ADD3_3_15_10">NA()</definedName>
    <definedName name="ADD3_3_4_10">NA()</definedName>
    <definedName name="ADD3_3_5_10">NA()</definedName>
    <definedName name="ADD3_4_10">NA()</definedName>
    <definedName name="ADD3_5_10">NA()</definedName>
    <definedName name="ADD3_6_10">NA()</definedName>
    <definedName name="ADD3_7_10">NA()</definedName>
    <definedName name="ADD3_8_10">NA()</definedName>
    <definedName name="ADD3_8_12_10">NA()</definedName>
    <definedName name="ADD3_8_13_10">NA()</definedName>
    <definedName name="ADD3_8_14_10">NA()</definedName>
    <definedName name="ADD3_8_15_10">NA()</definedName>
    <definedName name="ADD3_8_4_10">NA()</definedName>
    <definedName name="ADD3_8_5_10">NA()</definedName>
    <definedName name="ADD3_9_10">NA()</definedName>
    <definedName name="ADD3_9_12_10">NA()</definedName>
    <definedName name="ADD3_9_13_10">NA()</definedName>
    <definedName name="ADD3_9_14_10">NA()</definedName>
    <definedName name="ADD3_9_15_10">NA()</definedName>
    <definedName name="ADD3_9_4_10">NA()</definedName>
    <definedName name="ADD3_9_5_10">NA()</definedName>
    <definedName name="add3new">NA()</definedName>
    <definedName name="ADDR_1_12_10">NA()</definedName>
    <definedName name="ADDR_1_13_10">NA()</definedName>
    <definedName name="ADDR_1_14_10">NA()</definedName>
    <definedName name="ADDR_1_15_10">NA()</definedName>
    <definedName name="ADDR_1_4_10">NA()</definedName>
    <definedName name="ADDR_1_5_10">NA()</definedName>
    <definedName name="ADDR_10_10">NA()</definedName>
    <definedName name="ADDR_10_12_10">NA()</definedName>
    <definedName name="ADDR_10_13_10">NA()</definedName>
    <definedName name="ADDR_10_14_10">NA()</definedName>
    <definedName name="ADDR_10_15_10">NA()</definedName>
    <definedName name="ADDR_10_4_10">NA()</definedName>
    <definedName name="ADDR_10_5_10">NA()</definedName>
    <definedName name="ADDR_11_10">NA()</definedName>
    <definedName name="ADDR_11_12_10">NA()</definedName>
    <definedName name="ADDR_11_13_10">NA()</definedName>
    <definedName name="ADDR_11_14_10">NA()</definedName>
    <definedName name="ADDR_11_15_10">NA()</definedName>
    <definedName name="ADDR_11_4_10">NA()</definedName>
    <definedName name="ADDR_11_5_10">NA()</definedName>
    <definedName name="ADDR_12_10">NA()</definedName>
    <definedName name="ADDR_13_1_10">NA()</definedName>
    <definedName name="ADDR_13_10">NA()</definedName>
    <definedName name="ADDR_13_12_10">NA()</definedName>
    <definedName name="ADDR_13_13_10">NA()</definedName>
    <definedName name="ADDR_13_14_10">NA()</definedName>
    <definedName name="ADDR_13_15_10">NA()</definedName>
    <definedName name="ADDR_13_4_10">NA()</definedName>
    <definedName name="ADDR_13_5_10">NA()</definedName>
    <definedName name="ADDR_14_1_10">NA()</definedName>
    <definedName name="ADDR_14_10">NA()</definedName>
    <definedName name="ADDR_14_12_10">NA()</definedName>
    <definedName name="ADDR_14_13_10">NA()</definedName>
    <definedName name="ADDR_14_14_10">NA()</definedName>
    <definedName name="ADDR_14_15_10">NA()</definedName>
    <definedName name="ADDR_14_4_10">NA()</definedName>
    <definedName name="ADDR_14_5_10">NA()</definedName>
    <definedName name="ADDR_15_1_10">NA()</definedName>
    <definedName name="ADDR_15_10">NA()</definedName>
    <definedName name="ADDR_15_12_10">NA()</definedName>
    <definedName name="ADDR_15_13_10">NA()</definedName>
    <definedName name="ADDR_15_14_10">NA()</definedName>
    <definedName name="ADDR_15_15_10">NA()</definedName>
    <definedName name="ADDR_15_4_10">NA()</definedName>
    <definedName name="ADDR_15_5_10">NA()</definedName>
    <definedName name="ADDR_3_1_10">NA()</definedName>
    <definedName name="ADDR_3_12_10">NA()</definedName>
    <definedName name="ADDR_3_13_10">NA()</definedName>
    <definedName name="ADDR_3_14_10">NA()</definedName>
    <definedName name="ADDR_3_15_10">NA()</definedName>
    <definedName name="ADDR_3_4_10">NA()</definedName>
    <definedName name="ADDR_3_5_10">NA()</definedName>
    <definedName name="ADDR_4_10">NA()</definedName>
    <definedName name="ADDR_5_10">NA()</definedName>
    <definedName name="ADDR_6_10">NA()</definedName>
    <definedName name="ADDR_7_10">NA()</definedName>
    <definedName name="ADDR_8_10">NA()</definedName>
    <definedName name="ADDR_8_12_10">NA()</definedName>
    <definedName name="ADDR_8_13_10">NA()</definedName>
    <definedName name="ADDR_8_14_10">NA()</definedName>
    <definedName name="ADDR_8_15_10">NA()</definedName>
    <definedName name="ADDR_8_4_10">NA()</definedName>
    <definedName name="ADDR_8_5_10">NA()</definedName>
    <definedName name="ADDR_9_10">NA()</definedName>
    <definedName name="ADDR_9_12_10">NA()</definedName>
    <definedName name="ADDR_9_13_10">NA()</definedName>
    <definedName name="ADDR_9_14_10">NA()</definedName>
    <definedName name="ADDR_9_15_10">NA()</definedName>
    <definedName name="ADDR_9_4_10">NA()</definedName>
    <definedName name="ADDR_9_5_10">NA()</definedName>
    <definedName name="AGTR" hidden="1">'[5]Agregat Halus &amp; Kasar'!$H$12:$H$20</definedName>
    <definedName name="air">'[6]HARGA BAHAN'!$G$57</definedName>
    <definedName name="aka" hidden="1">'[4]Agregat Halus &amp; Kasar'!$G$12:$G$20</definedName>
    <definedName name="akustik_plafond">'[7]HARGA BAHAN'!$H$26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kali_primer">'[7]HARGA BAHAN'!$H$53</definedName>
    <definedName name="alkasit">'[7]HARGA BAHAN'!$H$25</definedName>
    <definedName name="alt_bnt">'[6]HARGA BAHAN'!$G$75</definedName>
    <definedName name="amplas">'[7]HARGA BAHAN'!$H$22</definedName>
    <definedName name="antirayap">'[7]HARGA BAHAN'!$H$27</definedName>
    <definedName name="ASAS_12_10">NA()</definedName>
    <definedName name="ASAS_13_1_10">NA()</definedName>
    <definedName name="ASAS_13_10">NA()</definedName>
    <definedName name="ASAS_13_12_10">NA()</definedName>
    <definedName name="ASAS_13_13_10">NA()</definedName>
    <definedName name="ASAS_13_14_10">NA()</definedName>
    <definedName name="ASAS_13_15_10">NA()</definedName>
    <definedName name="ASAS_13_4_10">NA()</definedName>
    <definedName name="ASAS_13_5_10">NA()</definedName>
    <definedName name="ASAS_14_1_10">NA()</definedName>
    <definedName name="ASAS_14_10">NA()</definedName>
    <definedName name="ASAS_14_12_10">NA()</definedName>
    <definedName name="ASAS_14_13_10">NA()</definedName>
    <definedName name="ASAS_14_14_10">NA()</definedName>
    <definedName name="ASAS_14_15_10">NA()</definedName>
    <definedName name="ASAS_14_4_10">NA()</definedName>
    <definedName name="ASAS_14_5_10">NA()</definedName>
    <definedName name="ASAS_15_1_10">NA()</definedName>
    <definedName name="ASAS_15_10">NA()</definedName>
    <definedName name="ASAS_15_12_10">NA()</definedName>
    <definedName name="ASAS_15_13_10">NA()</definedName>
    <definedName name="ASAS_15_14_10">NA()</definedName>
    <definedName name="ASAS_15_15_10">NA()</definedName>
    <definedName name="ASAS_15_4_10">NA()</definedName>
    <definedName name="ASAS_15_5_10">NA()</definedName>
    <definedName name="ASAS_16_10">NA()</definedName>
    <definedName name="ASAS_16_12_10">NA()</definedName>
    <definedName name="ASAS_16_13_10">NA()</definedName>
    <definedName name="ASAS_16_14_10">NA()</definedName>
    <definedName name="ASAS_16_15_10">NA()</definedName>
    <definedName name="ASAS_16_4_10">NA()</definedName>
    <definedName name="ASAS_16_5_10">NA()</definedName>
    <definedName name="ASAS_4_10">NA()</definedName>
    <definedName name="ASAS_5_1_10">NA()</definedName>
    <definedName name="ASAS_5_10">NA()</definedName>
    <definedName name="ASAS_5_12_10">NA()</definedName>
    <definedName name="ASAS_5_13_10">NA()</definedName>
    <definedName name="ASAS_5_14_10">NA()</definedName>
    <definedName name="ASAS_5_15_10">NA()</definedName>
    <definedName name="ASAS_5_4_10">NA()</definedName>
    <definedName name="ASAS_5_5_10">NA()</definedName>
    <definedName name="ASASASSJ" localSheetId="21">#REF!</definedName>
    <definedName name="ASASASSJ" localSheetId="20">#REF!</definedName>
    <definedName name="ASASASSJ" localSheetId="35">#REF!</definedName>
    <definedName name="ASASASSJ" localSheetId="55">#REF!</definedName>
    <definedName name="ASASASSJ" localSheetId="58">#REF!</definedName>
    <definedName name="ASASASSJ" localSheetId="6">#REF!</definedName>
    <definedName name="ASASASSJ" localSheetId="33">#REF!</definedName>
    <definedName name="ASASASSJ" localSheetId="13">#REF!</definedName>
    <definedName name="ASASASSJ" localSheetId="12">#REF!</definedName>
    <definedName name="ASASASSJ" localSheetId="5">#REF!</definedName>
    <definedName name="ASASASSJ">#REF!</definedName>
    <definedName name="ASVS_12_1_10">NA()</definedName>
    <definedName name="ASVS_12_10">NA()</definedName>
    <definedName name="ASVS_12_12_10">NA()</definedName>
    <definedName name="ASVS_12_13_10">NA()</definedName>
    <definedName name="ASVS_12_14_10">NA()</definedName>
    <definedName name="ASVS_12_15_10">NA()</definedName>
    <definedName name="ASVS_12_4_10">NA()</definedName>
    <definedName name="ASVS_12_5_10">NA()</definedName>
    <definedName name="ASVS_13_1_10">NA()</definedName>
    <definedName name="ASVS_13_10">NA()</definedName>
    <definedName name="ASVS_13_12_10">NA()</definedName>
    <definedName name="ASVS_13_13_10">NA()</definedName>
    <definedName name="ASVS_13_14_10">NA()</definedName>
    <definedName name="ASVS_13_15_10">NA()</definedName>
    <definedName name="ASVS_13_4_10">NA()</definedName>
    <definedName name="ASVS_13_5_10">NA()</definedName>
    <definedName name="ASVS_14_1_10">NA()</definedName>
    <definedName name="ASVS_14_10">NA()</definedName>
    <definedName name="ASVS_14_12_10">NA()</definedName>
    <definedName name="ASVS_14_13_10">NA()</definedName>
    <definedName name="ASVS_14_14_10">NA()</definedName>
    <definedName name="ASVS_14_15_10">NA()</definedName>
    <definedName name="ASVS_14_4_10">NA()</definedName>
    <definedName name="ASVS_14_5_10">NA()</definedName>
    <definedName name="ASVS_15_1_10">NA()</definedName>
    <definedName name="ASVS_15_10">NA()</definedName>
    <definedName name="ASVS_15_12_10">NA()</definedName>
    <definedName name="ASVS_15_13_10">NA()</definedName>
    <definedName name="ASVS_15_14_10">NA()</definedName>
    <definedName name="ASVS_15_15_10">NA()</definedName>
    <definedName name="ASVS_15_4_10">NA()</definedName>
    <definedName name="ASVS_15_5_10">NA()</definedName>
    <definedName name="ASVS_16_10">NA()</definedName>
    <definedName name="ASVS_16_12_10">NA()</definedName>
    <definedName name="ASVS_16_13_10">NA()</definedName>
    <definedName name="ASVS_16_14_10">NA()</definedName>
    <definedName name="ASVS_16_15_10">NA()</definedName>
    <definedName name="ASVS_16_4_10">NA()</definedName>
    <definedName name="ASVS_16_5_10">NA()</definedName>
    <definedName name="ASVS_4_10">NA()</definedName>
    <definedName name="ASVS_5_1_10">NA()</definedName>
    <definedName name="ASVS_5_10">NA()</definedName>
    <definedName name="ASVS_5_12_10">NA()</definedName>
    <definedName name="ASVS_5_13_10">NA()</definedName>
    <definedName name="ASVS_5_14_10">NA()</definedName>
    <definedName name="ASVS_5_15_10">NA()</definedName>
    <definedName name="ASVS_5_4_10">NA()</definedName>
    <definedName name="ASVS_5_5_10">NA()</definedName>
    <definedName name="ayub_5">NA()</definedName>
    <definedName name="ayub_6">NA()</definedName>
    <definedName name="ayub_7">NA()</definedName>
    <definedName name="ayub_8">NA()</definedName>
    <definedName name="ayub_9">NA()</definedName>
    <definedName name="b" hidden="1">'[4]Agregat Halus &amp; Kasar'!$G$12:$G$20</definedName>
    <definedName name="B.Aparatur" localSheetId="21">#REF!</definedName>
    <definedName name="B.Aparatur" localSheetId="20">#REF!</definedName>
    <definedName name="B.Aparatur" localSheetId="35">#REF!</definedName>
    <definedName name="B.Aparatur" localSheetId="55">#REF!</definedName>
    <definedName name="B.Aparatur" localSheetId="58">#REF!</definedName>
    <definedName name="B.Aparatur" localSheetId="6">#REF!</definedName>
    <definedName name="B.Aparatur" localSheetId="33">#REF!</definedName>
    <definedName name="B.Aparatur" localSheetId="13">#REF!</definedName>
    <definedName name="B.Aparatur" localSheetId="12">#REF!</definedName>
    <definedName name="B.Aparatur" localSheetId="5">#REF!</definedName>
    <definedName name="B.Aparatur">#REF!</definedName>
    <definedName name="B.Publik" localSheetId="21">#REF!</definedName>
    <definedName name="B.Publik" localSheetId="20">#REF!</definedName>
    <definedName name="B.Publik" localSheetId="35">#REF!</definedName>
    <definedName name="B.Publik" localSheetId="55">#REF!</definedName>
    <definedName name="B.Publik" localSheetId="58">#REF!</definedName>
    <definedName name="B.Publik" localSheetId="6">#REF!</definedName>
    <definedName name="B.Publik" localSheetId="33">#REF!</definedName>
    <definedName name="B.Publik" localSheetId="13">#REF!</definedName>
    <definedName name="B.Publik" localSheetId="12">#REF!</definedName>
    <definedName name="B.Publik" localSheetId="5">#REF!</definedName>
    <definedName name="B.Publik">#REF!</definedName>
    <definedName name="baja_profilIWF">'[7]HARGA BAHAN'!$H$34</definedName>
    <definedName name="baja_strip">'[7]HARGA BAHAN'!$H$38</definedName>
    <definedName name="bakfiber03m3">'[7]HARGA BAHAN'!$H$41</definedName>
    <definedName name="bakfiber1m3">'[7]HARGA BAHAN'!$H$42</definedName>
    <definedName name="bata">'[7]HARGA BAHAN'!$H$30</definedName>
    <definedName name="batako">'[6]HARGA BAHAN'!$G$24</definedName>
    <definedName name="batubelah_hitam">'[7]HARGA BAHAN'!$H$28</definedName>
    <definedName name="batusplit_23">'[7]HARGA BAHAN'!$H$29</definedName>
    <definedName name="batutempel_hitam">'[7]HARGA BAHAN'!$H$31</definedName>
    <definedName name="bc" hidden="1">'[4]Agregat Halus &amp; Kasar'!$I$12:$I$20</definedName>
    <definedName name="bendrat">'[7]HARGA BAHAN'!$H$86</definedName>
    <definedName name="besipolos">'[7]HARGA BAHAN'!$H$33</definedName>
    <definedName name="besiulir">'[7]HARGA BAHAN'!$H$32</definedName>
    <definedName name="billb_80120">'[6]HARGA BAHAN'!$G$53</definedName>
    <definedName name="BK_1_3">NA()</definedName>
    <definedName name="BK_10_3">"'file:///F:/ARST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K_11_3">"'file:///F:/ARST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K_12_3">NA()</definedName>
    <definedName name="BK_13_3">"'file:///F:/ARST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K_14_3">"'file:///F:/ARST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K_15_3">"'file:///F:/ARST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K_16_3">NA()</definedName>
    <definedName name="BK_2_3">NA()</definedName>
    <definedName name="BK_3">"'file:///E:/ARST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K_4_3">NA()</definedName>
    <definedName name="BK_5_3">NA()</definedName>
    <definedName name="BK_6_3">NA()</definedName>
    <definedName name="BK_7_3">"PROYEK QUANTA/0503 MEDITERANIA MARINA RESIDENCES/BERITA ACARA/AANWIJZING/ARST Documents/0Aaarst/PROYEK/MMC/PRC/ELEKTRIKAL_ELEKTRONIKA/My Documents/My Documents/0Aaarst/PROYEK/Mangga Dua/3.Mall/PRICING/PRC-Tata Udara/REVISI (5)-30-01-04/My Docu'#$I_KAMAR.$"</definedName>
    <definedName name="BK_9_3">"'file:///F:/ARST Documents/0Aaarst/PROYEK/MMC/BQ/MVAC/My Documents/My Documents/0Aaarst/PROYEK/Mangga Dua/3.Mall/PRICING/PRC-Tata Udara/REVISI (5)-30-01-04/My Documents/Combionic/Bk-Mangga_2/PROJECT/01/15/ESTIMATE/EST-1CV.XLS'#$I_KAMAR.$#REF!$#REF!:$#REF!"</definedName>
    <definedName name="blk_kayu_II">'[6]HARGA BAHAN'!$G$48</definedName>
    <definedName name="blk_kayu_III">'[6]HARGA BAHAN'!$G$49</definedName>
    <definedName name="block_glass">'[7]HARGA BAHAN'!$H$69</definedName>
    <definedName name="BOOK4">#N/A</definedName>
    <definedName name="boxskring">'[7]HARGA BAHAN'!$H$44</definedName>
    <definedName name="BPD" localSheetId="21">#REF!</definedName>
    <definedName name="BPD" localSheetId="20">#REF!</definedName>
    <definedName name="BPD" localSheetId="35">#REF!</definedName>
    <definedName name="BPD" localSheetId="55">#REF!</definedName>
    <definedName name="BPD" localSheetId="58">#REF!</definedName>
    <definedName name="BPD" localSheetId="6">#REF!</definedName>
    <definedName name="BPD" localSheetId="33">#REF!</definedName>
    <definedName name="BPD" localSheetId="13">#REF!</definedName>
    <definedName name="BPD" localSheetId="12">#REF!</definedName>
    <definedName name="BPD" localSheetId="5">#REF!</definedName>
    <definedName name="BPD">#REF!</definedName>
    <definedName name="bs_bj">'[6]HARGA BAHAN'!$G$31</definedName>
    <definedName name="bs_strip">'[6]HARGA BAHAN'!$G$61</definedName>
    <definedName name="bs_U24">'[6]HARGA BAHAN'!$G$29</definedName>
    <definedName name="bs_U39">'[6]HARGA BAHAN'!$G$30</definedName>
    <definedName name="bt_blh">'[6]HARGA BAHAN'!$G$25</definedName>
    <definedName name="bt_splt">'[6]HARGA BAHAN'!$G$26</definedName>
    <definedName name="buang_10_10">NA()</definedName>
    <definedName name="buang_10_12_10">NA()</definedName>
    <definedName name="buang_10_13_10">NA()</definedName>
    <definedName name="buang_10_14_10">NA()</definedName>
    <definedName name="buang_10_15_10">NA()</definedName>
    <definedName name="buang_10_4_10">NA()</definedName>
    <definedName name="buang_10_5_10">NA()</definedName>
    <definedName name="buang_11_10">NA()</definedName>
    <definedName name="buang_11_12_10">NA()</definedName>
    <definedName name="buang_11_13_10">NA()</definedName>
    <definedName name="buang_11_14_10">NA()</definedName>
    <definedName name="buang_11_15_10">NA()</definedName>
    <definedName name="buang_11_4_10">NA()</definedName>
    <definedName name="buang_11_5_10">NA()</definedName>
    <definedName name="buang_12_1_10">NA()</definedName>
    <definedName name="buang_12_10">NA()</definedName>
    <definedName name="buang_12_12_10">NA()</definedName>
    <definedName name="buang_12_13_10">NA()</definedName>
    <definedName name="buang_12_14_10">NA()</definedName>
    <definedName name="buang_12_15_10">NA()</definedName>
    <definedName name="buang_12_4_10">NA()</definedName>
    <definedName name="buang_12_5_10">NA()</definedName>
    <definedName name="buang_13_1_10">NA()</definedName>
    <definedName name="buang_13_10">NA()</definedName>
    <definedName name="buang_13_12_10">NA()</definedName>
    <definedName name="buang_13_13_10">NA()</definedName>
    <definedName name="buang_13_14_10">NA()</definedName>
    <definedName name="buang_13_15_10">NA()</definedName>
    <definedName name="buang_13_4_10">NA()</definedName>
    <definedName name="buang_13_5_10">NA()</definedName>
    <definedName name="buang_14_1_10">NA()</definedName>
    <definedName name="buang_14_10">NA()</definedName>
    <definedName name="buang_14_12_10">NA()</definedName>
    <definedName name="buang_14_13_10">NA()</definedName>
    <definedName name="buang_14_14_10">NA()</definedName>
    <definedName name="buang_14_15_10">NA()</definedName>
    <definedName name="buang_14_4_10">NA()</definedName>
    <definedName name="buang_14_5_10">NA()</definedName>
    <definedName name="buang_15_1_10">NA()</definedName>
    <definedName name="buang_15_10">NA()</definedName>
    <definedName name="buang_15_12_10">NA()</definedName>
    <definedName name="buang_15_13_10">NA()</definedName>
    <definedName name="buang_15_14_10">NA()</definedName>
    <definedName name="buang_15_15_10">NA()</definedName>
    <definedName name="buang_15_4_10">NA()</definedName>
    <definedName name="buang_15_5_10">NA()</definedName>
    <definedName name="buang_16_10">NA()</definedName>
    <definedName name="buang_16_12_10">NA()</definedName>
    <definedName name="buang_16_13_10">NA()</definedName>
    <definedName name="buang_16_14_10">NA()</definedName>
    <definedName name="buang_16_15_10">NA()</definedName>
    <definedName name="buang_16_4_10">NA()</definedName>
    <definedName name="buang_16_5_10">NA()</definedName>
    <definedName name="buang_4_10">NA()</definedName>
    <definedName name="buang_5_1_10">NA()</definedName>
    <definedName name="buang_5_10">NA()</definedName>
    <definedName name="buang_5_12_10">NA()</definedName>
    <definedName name="buang_5_13_10">NA()</definedName>
    <definedName name="buang_5_14_10">NA()</definedName>
    <definedName name="buang_5_15_10">NA()</definedName>
    <definedName name="buang_5_4_10">NA()</definedName>
    <definedName name="buang_5_5_10">NA()</definedName>
    <definedName name="buang_7_10">NA()</definedName>
    <definedName name="buang_7_12_10">NA()</definedName>
    <definedName name="buang_7_13_10">NA()</definedName>
    <definedName name="buang_7_14_10">NA()</definedName>
    <definedName name="buang_7_15_10">NA()</definedName>
    <definedName name="buang_7_4_10">NA()</definedName>
    <definedName name="buang_7_5_10">NA()</definedName>
    <definedName name="buang_8_10">NA()</definedName>
    <definedName name="buang_8_12_10">NA()</definedName>
    <definedName name="buang_8_13_10">NA()</definedName>
    <definedName name="buang_8_14_10">NA()</definedName>
    <definedName name="buang_8_15_10">NA()</definedName>
    <definedName name="buang_8_4_10">NA()</definedName>
    <definedName name="buang_8_5_10">NA()</definedName>
    <definedName name="buang_9_10">NA()</definedName>
    <definedName name="buang_9_12_10">NA()</definedName>
    <definedName name="buang_9_13_10">NA()</definedName>
    <definedName name="buang_9_14_10">NA()</definedName>
    <definedName name="buang_9_15_10">NA()</definedName>
    <definedName name="buang_9_4_10">NA()</definedName>
    <definedName name="buang_9_5_10">NA()</definedName>
    <definedName name="buis_beton20cm">'[7]HARGA BAHAN'!$H$39</definedName>
    <definedName name="buis_beton30cm">'[7]HARGA BAHAN'!$H$40</definedName>
    <definedName name="buis_btn_100">'[6]HARGA BAHAN'!$G$76</definedName>
    <definedName name="bumbungan_genteng">'[7]HARGA BAHAN'!$H$43</definedName>
    <definedName name="BVDB_12_10">NA()</definedName>
    <definedName name="BVDB_13_1_10">NA()</definedName>
    <definedName name="BVDB_13_10">NA()</definedName>
    <definedName name="BVDB_13_12_10">NA()</definedName>
    <definedName name="BVDB_13_13_10">NA()</definedName>
    <definedName name="BVDB_13_14_10">NA()</definedName>
    <definedName name="BVDB_13_15_10">NA()</definedName>
    <definedName name="BVDB_13_4_10">NA()</definedName>
    <definedName name="BVDB_13_5_10">NA()</definedName>
    <definedName name="BVDB_14_1_10">NA()</definedName>
    <definedName name="BVDB_14_10">NA()</definedName>
    <definedName name="BVDB_14_12_10">NA()</definedName>
    <definedName name="BVDB_14_13_10">NA()</definedName>
    <definedName name="BVDB_14_14_10">NA()</definedName>
    <definedName name="BVDB_14_15_10">NA()</definedName>
    <definedName name="BVDB_14_4_10">NA()</definedName>
    <definedName name="BVDB_14_5_10">NA()</definedName>
    <definedName name="BVDB_15_1_10">NA()</definedName>
    <definedName name="BVDB_15_10">NA()</definedName>
    <definedName name="BVDB_15_12_10">NA()</definedName>
    <definedName name="BVDB_15_13_10">NA()</definedName>
    <definedName name="BVDB_15_14_10">NA()</definedName>
    <definedName name="BVDB_15_15_10">NA()</definedName>
    <definedName name="BVDB_15_4_10">NA()</definedName>
    <definedName name="BVDB_15_5_10">NA()</definedName>
    <definedName name="BVDB_16_10">NA()</definedName>
    <definedName name="BVDB_16_12_10">NA()</definedName>
    <definedName name="BVDB_16_13_10">NA()</definedName>
    <definedName name="BVDB_16_14_10">NA()</definedName>
    <definedName name="BVDB_16_15_10">NA()</definedName>
    <definedName name="BVDB_16_4_10">NA()</definedName>
    <definedName name="BVDB_16_5_10">NA()</definedName>
    <definedName name="BVDB_4_10">NA()</definedName>
    <definedName name="BVDB_5_1_10">NA()</definedName>
    <definedName name="BVDB_5_10">NA()</definedName>
    <definedName name="BVDB_5_12_10">NA()</definedName>
    <definedName name="BVDB_5_13_10">NA()</definedName>
    <definedName name="BVDB_5_14_10">NA()</definedName>
    <definedName name="BVDB_5_15_10">NA()</definedName>
    <definedName name="BVDB_5_4_10">NA()</definedName>
    <definedName name="BVDB_5_5_10">NA()</definedName>
    <definedName name="cat_besizincromate">'[7]HARGA BAHAN'!$H$51</definedName>
    <definedName name="cat_duco">'[7]HARGA BAHAN'!$H$55</definedName>
    <definedName name="cat_ICIwathershield">'[7]HARGA BAHAN'!$H$54</definedName>
    <definedName name="cat_tembok">'[7]HARGA BAHAN'!$H$45</definedName>
    <definedName name="catdasar_tembok">'[7]HARGA BAHAN'!$H$46</definedName>
    <definedName name="catkayu">'[7]HARGA BAHAN'!$H$47</definedName>
    <definedName name="closet_jokk_keramik">'[7]HARGA BAHAN'!$H$119</definedName>
    <definedName name="CLVC3">0.1</definedName>
    <definedName name="coba" hidden="1">'[8]SITE-E'!$AI$33:$AI$144</definedName>
    <definedName name="COP">NA()</definedName>
    <definedName name="dbdssfn_12_10">NA()</definedName>
    <definedName name="dbdssfn_13_1_10">NA()</definedName>
    <definedName name="dbdssfn_13_10">NA()</definedName>
    <definedName name="dbdssfn_13_12_10">NA()</definedName>
    <definedName name="dbdssfn_13_13_10">NA()</definedName>
    <definedName name="dbdssfn_13_14_10">NA()</definedName>
    <definedName name="dbdssfn_13_15_10">NA()</definedName>
    <definedName name="dbdssfn_13_4_10">NA()</definedName>
    <definedName name="dbdssfn_13_5_10">NA()</definedName>
    <definedName name="dbdssfn_14_1_10">NA()</definedName>
    <definedName name="dbdssfn_14_10">NA()</definedName>
    <definedName name="dbdssfn_14_12_10">NA()</definedName>
    <definedName name="dbdssfn_14_13_10">NA()</definedName>
    <definedName name="dbdssfn_14_14_10">NA()</definedName>
    <definedName name="dbdssfn_14_15_10">NA()</definedName>
    <definedName name="dbdssfn_14_4_10">NA()</definedName>
    <definedName name="dbdssfn_14_5_10">NA()</definedName>
    <definedName name="dbdssfn_15_1_10">NA()</definedName>
    <definedName name="dbdssfn_15_10">NA()</definedName>
    <definedName name="dbdssfn_15_12_10">NA()</definedName>
    <definedName name="dbdssfn_15_13_10">NA()</definedName>
    <definedName name="dbdssfn_15_14_10">NA()</definedName>
    <definedName name="dbdssfn_15_15_10">NA()</definedName>
    <definedName name="dbdssfn_15_4_10">NA()</definedName>
    <definedName name="dbdssfn_15_5_10">NA()</definedName>
    <definedName name="dbdssfn_16_10">NA()</definedName>
    <definedName name="dbdssfn_16_12_10">NA()</definedName>
    <definedName name="dbdssfn_16_13_10">NA()</definedName>
    <definedName name="dbdssfn_16_14_10">NA()</definedName>
    <definedName name="dbdssfn_16_15_10">NA()</definedName>
    <definedName name="dbdssfn_16_4_10">NA()</definedName>
    <definedName name="dbdssfn_16_5_10">NA()</definedName>
    <definedName name="dbdssfn_4_10">NA()</definedName>
    <definedName name="dbdssfn_5_1_10">NA()</definedName>
    <definedName name="dbdssfn_5_10">NA()</definedName>
    <definedName name="dbdssfn_5_12_10">NA()</definedName>
    <definedName name="dbdssfn_5_13_10">NA()</definedName>
    <definedName name="dbdssfn_5_14_10">NA()</definedName>
    <definedName name="dbdssfn_5_15_10">NA()</definedName>
    <definedName name="dbdssfn_5_4_10">NA()</definedName>
    <definedName name="dbdssfn_5_5_10">NA()</definedName>
    <definedName name="dc">'[7]New MADC'!$AK$34</definedName>
    <definedName name="DEFFGB_12_10">NA()</definedName>
    <definedName name="DEFFGB_13_1_10">NA()</definedName>
    <definedName name="DEFFGB_13_10">NA()</definedName>
    <definedName name="DEFFGB_13_12_10">NA()</definedName>
    <definedName name="DEFFGB_13_13_10">NA()</definedName>
    <definedName name="DEFFGB_13_14_10">NA()</definedName>
    <definedName name="DEFFGB_13_15_10">NA()</definedName>
    <definedName name="DEFFGB_13_4_10">NA()</definedName>
    <definedName name="DEFFGB_13_5_10">NA()</definedName>
    <definedName name="DEFFGB_14_1_10">NA()</definedName>
    <definedName name="DEFFGB_14_10">NA()</definedName>
    <definedName name="DEFFGB_14_12_10">NA()</definedName>
    <definedName name="DEFFGB_14_13_10">NA()</definedName>
    <definedName name="DEFFGB_14_14_10">NA()</definedName>
    <definedName name="DEFFGB_14_15_10">NA()</definedName>
    <definedName name="DEFFGB_14_4_10">NA()</definedName>
    <definedName name="DEFFGB_14_5_10">NA()</definedName>
    <definedName name="DEFFGB_15_1_10">NA()</definedName>
    <definedName name="DEFFGB_15_10">NA()</definedName>
    <definedName name="DEFFGB_15_12_10">NA()</definedName>
    <definedName name="DEFFGB_15_13_10">NA()</definedName>
    <definedName name="DEFFGB_15_14_10">NA()</definedName>
    <definedName name="DEFFGB_15_15_10">NA()</definedName>
    <definedName name="DEFFGB_15_4_10">NA()</definedName>
    <definedName name="DEFFGB_15_5_10">NA()</definedName>
    <definedName name="DEFFGB_16_10">NA()</definedName>
    <definedName name="DEFFGB_16_12_10">NA()</definedName>
    <definedName name="DEFFGB_16_13_10">NA()</definedName>
    <definedName name="DEFFGB_16_14_10">NA()</definedName>
    <definedName name="DEFFGB_16_15_10">NA()</definedName>
    <definedName name="DEFFGB_16_4_10">NA()</definedName>
    <definedName name="DEFFGB_16_5_10">NA()</definedName>
    <definedName name="DEFFGB_4_10">NA()</definedName>
    <definedName name="DEFFGB_5_1_10">NA()</definedName>
    <definedName name="DEFFGB_5_10">NA()</definedName>
    <definedName name="DEFFGB_5_12_10">NA()</definedName>
    <definedName name="DEFFGB_5_13_10">NA()</definedName>
    <definedName name="DEFFGB_5_14_10">NA()</definedName>
    <definedName name="DEFFGB_5_15_10">NA()</definedName>
    <definedName name="DEFFGB_5_4_10">NA()</definedName>
    <definedName name="DEFFGB_5_5_10">NA()</definedName>
    <definedName name="dempulkayu">'[7]HARGA BAHAN'!$H$57</definedName>
    <definedName name="deniac">NA()</definedName>
    <definedName name="der_1">NA()</definedName>
    <definedName name="der_3">NA()</definedName>
    <definedName name="der_5">NA()</definedName>
    <definedName name="der_6">NA()</definedName>
    <definedName name="der_7">NA()</definedName>
    <definedName name="der_8">NA()</definedName>
    <definedName name="der_9">NA()</definedName>
    <definedName name="DFBCBZ_12_1_10">NA()</definedName>
    <definedName name="DFBCBZ_12_10">NA()</definedName>
    <definedName name="DFBCBZ_12_12_10">NA()</definedName>
    <definedName name="DFBCBZ_12_13_10">NA()</definedName>
    <definedName name="DFBCBZ_12_14_10">NA()</definedName>
    <definedName name="DFBCBZ_12_15_10">NA()</definedName>
    <definedName name="DFBCBZ_12_4_10">NA()</definedName>
    <definedName name="DFBCBZ_12_5_10">NA()</definedName>
    <definedName name="DFBCBZ_13_1_10">NA()</definedName>
    <definedName name="DFBCBZ_13_10">NA()</definedName>
    <definedName name="DFBCBZ_13_12_10">NA()</definedName>
    <definedName name="DFBCBZ_13_13_10">NA()</definedName>
    <definedName name="DFBCBZ_13_14_10">NA()</definedName>
    <definedName name="DFBCBZ_13_15_10">NA()</definedName>
    <definedName name="DFBCBZ_13_4_10">NA()</definedName>
    <definedName name="DFBCBZ_13_5_10">NA()</definedName>
    <definedName name="DFBCBZ_14_1_10">NA()</definedName>
    <definedName name="DFBCBZ_14_10">NA()</definedName>
    <definedName name="DFBCBZ_14_12_10">NA()</definedName>
    <definedName name="DFBCBZ_14_13_10">NA()</definedName>
    <definedName name="DFBCBZ_14_14_10">NA()</definedName>
    <definedName name="DFBCBZ_14_15_10">NA()</definedName>
    <definedName name="DFBCBZ_14_4_10">NA()</definedName>
    <definedName name="DFBCBZ_14_5_10">NA()</definedName>
    <definedName name="DFBCBZ_15_1_10">NA()</definedName>
    <definedName name="DFBCBZ_15_10">NA()</definedName>
    <definedName name="DFBCBZ_15_12_10">NA()</definedName>
    <definedName name="DFBCBZ_15_13_10">NA()</definedName>
    <definedName name="DFBCBZ_15_14_10">NA()</definedName>
    <definedName name="DFBCBZ_15_15_10">NA()</definedName>
    <definedName name="DFBCBZ_15_4_10">NA()</definedName>
    <definedName name="DFBCBZ_15_5_10">NA()</definedName>
    <definedName name="DFBCBZ_16_10">NA()</definedName>
    <definedName name="DFBCBZ_16_12_10">NA()</definedName>
    <definedName name="DFBCBZ_16_13_10">NA()</definedName>
    <definedName name="DFBCBZ_16_14_10">NA()</definedName>
    <definedName name="DFBCBZ_16_15_10">NA()</definedName>
    <definedName name="DFBCBZ_16_4_10">NA()</definedName>
    <definedName name="DFBCBZ_16_5_10">NA()</definedName>
    <definedName name="DFBCBZ_4_10">NA()</definedName>
    <definedName name="DFBCBZ_5_1_10">NA()</definedName>
    <definedName name="DFBCBZ_5_10">NA()</definedName>
    <definedName name="DFBCBZ_5_12_10">NA()</definedName>
    <definedName name="DFBCBZ_5_13_10">NA()</definedName>
    <definedName name="DFBCBZ_5_14_10">NA()</definedName>
    <definedName name="DFBCBZ_5_15_10">NA()</definedName>
    <definedName name="DFBCBZ_5_4_10">NA()</definedName>
    <definedName name="DFBCBZ_5_5_10">NA()</definedName>
    <definedName name="dhreje_12_10">NA()</definedName>
    <definedName name="dhreje_13_1_10">NA()</definedName>
    <definedName name="dhreje_13_10">NA()</definedName>
    <definedName name="dhreje_13_12_10">NA()</definedName>
    <definedName name="dhreje_13_13_10">NA()</definedName>
    <definedName name="dhreje_13_14_10">NA()</definedName>
    <definedName name="dhreje_13_15_10">NA()</definedName>
    <definedName name="dhreje_13_4_10">NA()</definedName>
    <definedName name="dhreje_13_5_10">NA()</definedName>
    <definedName name="dhreje_14_1_10">NA()</definedName>
    <definedName name="dhreje_14_10">NA()</definedName>
    <definedName name="dhreje_14_12_10">NA()</definedName>
    <definedName name="dhreje_14_13_10">NA()</definedName>
    <definedName name="dhreje_14_14_10">NA()</definedName>
    <definedName name="dhreje_14_15_10">NA()</definedName>
    <definedName name="dhreje_14_4_10">NA()</definedName>
    <definedName name="dhreje_14_5_10">NA()</definedName>
    <definedName name="dhreje_15_1_10">NA()</definedName>
    <definedName name="dhreje_15_10">NA()</definedName>
    <definedName name="dhreje_15_12_10">NA()</definedName>
    <definedName name="dhreje_15_13_10">NA()</definedName>
    <definedName name="dhreje_15_14_10">NA()</definedName>
    <definedName name="dhreje_15_15_10">NA()</definedName>
    <definedName name="dhreje_15_4_10">NA()</definedName>
    <definedName name="dhreje_15_5_10">NA()</definedName>
    <definedName name="dhreje_16_10">NA()</definedName>
    <definedName name="dhreje_16_12_10">NA()</definedName>
    <definedName name="dhreje_16_13_10">NA()</definedName>
    <definedName name="dhreje_16_14_10">NA()</definedName>
    <definedName name="dhreje_16_15_10">NA()</definedName>
    <definedName name="dhreje_16_4_10">NA()</definedName>
    <definedName name="dhreje_16_5_10">NA()</definedName>
    <definedName name="dhreje_4_10">NA()</definedName>
    <definedName name="dhreje_5_1_10">NA()</definedName>
    <definedName name="dhreje_5_10">NA()</definedName>
    <definedName name="dhreje_5_12_10">NA()</definedName>
    <definedName name="dhreje_5_13_10">NA()</definedName>
    <definedName name="dhreje_5_14_10">NA()</definedName>
    <definedName name="dhreje_5_15_10">NA()</definedName>
    <definedName name="dhreje_5_4_10">NA()</definedName>
    <definedName name="dhreje_5_5_10">NA()</definedName>
    <definedName name="dolken">'[6]HARGA BAHAN'!$G$45</definedName>
    <definedName name="dolken_4m">'[7]HARGA BAHAN'!$H$84</definedName>
    <definedName name="doorcloser">'[7]HARGA BAHAN'!$H$111</definedName>
    <definedName name="DPB" localSheetId="21">#REF!</definedName>
    <definedName name="DPB" localSheetId="20">#REF!</definedName>
    <definedName name="DPB" localSheetId="35">#REF!</definedName>
    <definedName name="DPB" localSheetId="55">#REF!</definedName>
    <definedName name="DPB" localSheetId="58">#REF!</definedName>
    <definedName name="DPB" localSheetId="6">#REF!</definedName>
    <definedName name="DPB" localSheetId="33">#REF!</definedName>
    <definedName name="DPB" localSheetId="13">#REF!</definedName>
    <definedName name="DPB" localSheetId="12">#REF!</definedName>
    <definedName name="DPB" localSheetId="5">#REF!</definedName>
    <definedName name="DPB">#REF!</definedName>
    <definedName name="DRK_TP_PKK" localSheetId="21">#REF!</definedName>
    <definedName name="DRK_TP_PKK" localSheetId="20">#REF!</definedName>
    <definedName name="DRK_TP_PKK" localSheetId="35">#REF!</definedName>
    <definedName name="DRK_TP_PKK" localSheetId="55">#REF!</definedName>
    <definedName name="DRK_TP_PKK" localSheetId="58">#REF!</definedName>
    <definedName name="DRK_TP_PKK" localSheetId="6">#REF!</definedName>
    <definedName name="DRK_TP_PKK" localSheetId="33">#REF!</definedName>
    <definedName name="DRK_TP_PKK" localSheetId="13">#REF!</definedName>
    <definedName name="DRK_TP_PKK" localSheetId="12">#REF!</definedName>
    <definedName name="DRK_TP_PKK" localSheetId="5">#REF!</definedName>
    <definedName name="DRK_TP_PKK">#REF!</definedName>
    <definedName name="dumptrc">'[6]HARGA BAHAN'!$G$74</definedName>
    <definedName name="egfbs_12_10">NA()</definedName>
    <definedName name="egfbs_13_1_10">NA()</definedName>
    <definedName name="egfbs_13_10">NA()</definedName>
    <definedName name="egfbs_13_12_10">NA()</definedName>
    <definedName name="egfbs_13_13_10">NA()</definedName>
    <definedName name="egfbs_13_14_10">NA()</definedName>
    <definedName name="egfbs_13_15_10">NA()</definedName>
    <definedName name="egfbs_13_4_10">NA()</definedName>
    <definedName name="egfbs_13_5_10">NA()</definedName>
    <definedName name="egfbs_14_1_10">NA()</definedName>
    <definedName name="egfbs_14_10">NA()</definedName>
    <definedName name="egfbs_14_12_10">NA()</definedName>
    <definedName name="egfbs_14_13_10">NA()</definedName>
    <definedName name="egfbs_14_14_10">NA()</definedName>
    <definedName name="egfbs_14_15_10">NA()</definedName>
    <definedName name="egfbs_14_4_10">NA()</definedName>
    <definedName name="egfbs_14_5_10">NA()</definedName>
    <definedName name="egfbs_15_1_10">NA()</definedName>
    <definedName name="egfbs_15_10">NA()</definedName>
    <definedName name="egfbs_15_12_10">NA()</definedName>
    <definedName name="egfbs_15_13_10">NA()</definedName>
    <definedName name="egfbs_15_14_10">NA()</definedName>
    <definedName name="egfbs_15_15_10">NA()</definedName>
    <definedName name="egfbs_15_4_10">NA()</definedName>
    <definedName name="egfbs_15_5_10">NA()</definedName>
    <definedName name="egfbs_16_10">NA()</definedName>
    <definedName name="egfbs_16_12_10">NA()</definedName>
    <definedName name="egfbs_16_13_10">NA()</definedName>
    <definedName name="egfbs_16_14_10">NA()</definedName>
    <definedName name="egfbs_16_15_10">NA()</definedName>
    <definedName name="egfbs_16_4_10">NA()</definedName>
    <definedName name="egfbs_16_5_10">NA()</definedName>
    <definedName name="egfbs_4_10">NA()</definedName>
    <definedName name="egfbs_5_1_10">NA()</definedName>
    <definedName name="egfbs_5_10">NA()</definedName>
    <definedName name="egfbs_5_12_10">NA()</definedName>
    <definedName name="egfbs_5_13_10">NA()</definedName>
    <definedName name="egfbs_5_14_10">NA()</definedName>
    <definedName name="egfbs_5_15_10">NA()</definedName>
    <definedName name="egfbs_5_4_10">NA()</definedName>
    <definedName name="egfbs_5_5_10">NA()</definedName>
    <definedName name="ERA">NA()</definedName>
    <definedName name="exca">'[6]HARGA BAHAN'!$G$73</definedName>
    <definedName name="F_10">NA()</definedName>
    <definedName name="F_5">NA()</definedName>
    <definedName name="F_6">NA()</definedName>
    <definedName name="F_7">NA()</definedName>
    <definedName name="F_8">NA()</definedName>
    <definedName name="F_9">NA()</definedName>
    <definedName name="F_SL_1_10">NA()</definedName>
    <definedName name="F_SL_10_10">NA()</definedName>
    <definedName name="F_SL_10_12_10">NA()</definedName>
    <definedName name="F_SL_10_13_10">NA()</definedName>
    <definedName name="F_SL_10_14_10">NA()</definedName>
    <definedName name="F_SL_10_15_10">NA()</definedName>
    <definedName name="F_SL_10_4_10">NA()</definedName>
    <definedName name="F_SL_10_5_10">NA()</definedName>
    <definedName name="F_SL_11_10">NA()</definedName>
    <definedName name="F_SL_11_12_10">NA()</definedName>
    <definedName name="F_SL_11_13_10">NA()</definedName>
    <definedName name="F_SL_11_14_10">NA()</definedName>
    <definedName name="F_SL_11_15_10">NA()</definedName>
    <definedName name="F_SL_11_4_10">NA()</definedName>
    <definedName name="F_SL_11_5_10">NA()</definedName>
    <definedName name="F_SL_12_10">NA()</definedName>
    <definedName name="F_SL_13_1_10">NA()</definedName>
    <definedName name="F_SL_13_10">NA()</definedName>
    <definedName name="F_SL_13_12_10">NA()</definedName>
    <definedName name="F_SL_13_13_10">NA()</definedName>
    <definedName name="F_SL_13_14_10">NA()</definedName>
    <definedName name="F_SL_13_15_10">NA()</definedName>
    <definedName name="F_SL_13_4_10">NA()</definedName>
    <definedName name="F_SL_13_5_10">NA()</definedName>
    <definedName name="F_SL_14_1_10">NA()</definedName>
    <definedName name="F_SL_14_10">NA()</definedName>
    <definedName name="F_SL_14_12_10">NA()</definedName>
    <definedName name="F_SL_14_13_10">NA()</definedName>
    <definedName name="F_SL_14_14_10">NA()</definedName>
    <definedName name="F_SL_14_15_10">NA()</definedName>
    <definedName name="F_SL_14_4_10">NA()</definedName>
    <definedName name="F_SL_14_5_10">NA()</definedName>
    <definedName name="F_SL_15_1_10">NA()</definedName>
    <definedName name="F_SL_15_10">NA()</definedName>
    <definedName name="F_SL_15_12_10">NA()</definedName>
    <definedName name="F_SL_15_13_10">NA()</definedName>
    <definedName name="F_SL_15_14_10">NA()</definedName>
    <definedName name="F_SL_15_15_10">NA()</definedName>
    <definedName name="F_SL_15_4_10">NA()</definedName>
    <definedName name="F_SL_15_5_10">NA()</definedName>
    <definedName name="F_SL_3_1_10">NA()</definedName>
    <definedName name="F_SL_3_10">NA()</definedName>
    <definedName name="F_SL_3_12_10">NA()</definedName>
    <definedName name="F_SL_3_13_10">NA()</definedName>
    <definedName name="F_SL_3_14_10">NA()</definedName>
    <definedName name="F_SL_3_15_10">NA()</definedName>
    <definedName name="F_SL_3_4_10">NA()</definedName>
    <definedName name="F_SL_3_5_10">NA()</definedName>
    <definedName name="F_SL_4_10">NA()</definedName>
    <definedName name="F_SL_5_10">NA()</definedName>
    <definedName name="F_SL_6_10">NA()</definedName>
    <definedName name="F_SL_7_10">NA()</definedName>
    <definedName name="F_SL_8_10">NA()</definedName>
    <definedName name="F_SL_8_12_10">NA()</definedName>
    <definedName name="F_SL_8_13_10">NA()</definedName>
    <definedName name="F_SL_8_14_10">NA()</definedName>
    <definedName name="F_SL_8_15_10">NA()</definedName>
    <definedName name="F_SL_8_4_10">NA()</definedName>
    <definedName name="F_SL_8_5_10">NA()</definedName>
    <definedName name="F_SL_9_10">NA()</definedName>
    <definedName name="F_SL_9_12_10">NA()</definedName>
    <definedName name="F_SL_9_13_10">NA()</definedName>
    <definedName name="F_SL_9_14_10">NA()</definedName>
    <definedName name="F_SL_9_15_10">NA()</definedName>
    <definedName name="F_SL_9_4_10">NA()</definedName>
    <definedName name="F_SL_9_5_10">NA()</definedName>
    <definedName name="fag_12_10">NA()</definedName>
    <definedName name="fag_13_1_10">NA()</definedName>
    <definedName name="fag_13_10">NA()</definedName>
    <definedName name="fag_13_12_10">NA()</definedName>
    <definedName name="fag_13_13_10">NA()</definedName>
    <definedName name="fag_13_14_10">NA()</definedName>
    <definedName name="fag_13_15_10">NA()</definedName>
    <definedName name="fag_13_4_10">NA()</definedName>
    <definedName name="fag_13_5_10">NA()</definedName>
    <definedName name="fag_14_1_10">NA()</definedName>
    <definedName name="fag_14_10">NA()</definedName>
    <definedName name="fag_14_12_10">NA()</definedName>
    <definedName name="fag_14_13_10">NA()</definedName>
    <definedName name="fag_14_14_10">NA()</definedName>
    <definedName name="fag_14_15_10">NA()</definedName>
    <definedName name="fag_14_4_10">NA()</definedName>
    <definedName name="fag_14_5_10">NA()</definedName>
    <definedName name="fag_15_1_10">NA()</definedName>
    <definedName name="fag_15_10">NA()</definedName>
    <definedName name="fag_15_12_10">NA()</definedName>
    <definedName name="fag_15_13_10">NA()</definedName>
    <definedName name="fag_15_14_10">NA()</definedName>
    <definedName name="fag_15_15_10">NA()</definedName>
    <definedName name="fag_15_4_10">NA()</definedName>
    <definedName name="fag_15_5_10">NA()</definedName>
    <definedName name="fag_16_10">NA()</definedName>
    <definedName name="fag_16_12_10">NA()</definedName>
    <definedName name="fag_16_13_10">NA()</definedName>
    <definedName name="fag_16_14_10">NA()</definedName>
    <definedName name="fag_16_15_10">NA()</definedName>
    <definedName name="fag_16_4_10">NA()</definedName>
    <definedName name="fag_16_5_10">NA()</definedName>
    <definedName name="fag_4_10">NA()</definedName>
    <definedName name="fag_5_1_10">NA()</definedName>
    <definedName name="fag_5_10">NA()</definedName>
    <definedName name="fag_5_12_10">NA()</definedName>
    <definedName name="fag_5_13_10">NA()</definedName>
    <definedName name="fag_5_14_10">NA()</definedName>
    <definedName name="fag_5_15_10">NA()</definedName>
    <definedName name="fag_5_4_10">NA()</definedName>
    <definedName name="fag_5_5_10">NA()</definedName>
    <definedName name="fas_12_10">NA()</definedName>
    <definedName name="fas_13_1_10">NA()</definedName>
    <definedName name="fas_13_10">NA()</definedName>
    <definedName name="fas_13_12_10">NA()</definedName>
    <definedName name="fas_13_13_10">NA()</definedName>
    <definedName name="fas_13_14_10">NA()</definedName>
    <definedName name="fas_13_15_10">NA()</definedName>
    <definedName name="fas_13_4_10">NA()</definedName>
    <definedName name="fas_13_5_10">NA()</definedName>
    <definedName name="fas_14_1_10">NA()</definedName>
    <definedName name="fas_14_10">NA()</definedName>
    <definedName name="fas_14_12_10">NA()</definedName>
    <definedName name="fas_14_13_10">NA()</definedName>
    <definedName name="fas_14_14_10">NA()</definedName>
    <definedName name="fas_14_15_10">NA()</definedName>
    <definedName name="fas_14_4_10">NA()</definedName>
    <definedName name="fas_14_5_10">NA()</definedName>
    <definedName name="fas_15_1_10">NA()</definedName>
    <definedName name="fas_15_10">NA()</definedName>
    <definedName name="fas_15_12_10">NA()</definedName>
    <definedName name="fas_15_13_10">NA()</definedName>
    <definedName name="fas_15_14_10">NA()</definedName>
    <definedName name="fas_15_15_10">NA()</definedName>
    <definedName name="fas_15_4_10">NA()</definedName>
    <definedName name="fas_15_5_10">NA()</definedName>
    <definedName name="fas_16_10">NA()</definedName>
    <definedName name="fas_16_12_10">NA()</definedName>
    <definedName name="fas_16_13_10">NA()</definedName>
    <definedName name="fas_16_14_10">NA()</definedName>
    <definedName name="fas_16_15_10">NA()</definedName>
    <definedName name="fas_16_4_10">NA()</definedName>
    <definedName name="fas_16_5_10">NA()</definedName>
    <definedName name="fas_4_10">NA()</definedName>
    <definedName name="fas_5_1_10">NA()</definedName>
    <definedName name="fas_5_10">NA()</definedName>
    <definedName name="fas_5_12_10">NA()</definedName>
    <definedName name="fas_5_13_10">NA()</definedName>
    <definedName name="fas_5_14_10">NA()</definedName>
    <definedName name="fas_5_15_10">NA()</definedName>
    <definedName name="fas_5_4_10">NA()</definedName>
    <definedName name="fas_5_5_10">NA()</definedName>
    <definedName name="fdbjn_12_10">NA()</definedName>
    <definedName name="fdbjn_13_1_10">NA()</definedName>
    <definedName name="fdbjn_13_10">NA()</definedName>
    <definedName name="fdbjn_13_12_10">NA()</definedName>
    <definedName name="fdbjn_13_13_10">NA()</definedName>
    <definedName name="fdbjn_13_14_10">NA()</definedName>
    <definedName name="fdbjn_13_15_10">NA()</definedName>
    <definedName name="fdbjn_13_4_10">NA()</definedName>
    <definedName name="fdbjn_13_5_10">NA()</definedName>
    <definedName name="fdbjn_14_1_10">NA()</definedName>
    <definedName name="fdbjn_14_10">NA()</definedName>
    <definedName name="fdbjn_14_12_10">NA()</definedName>
    <definedName name="fdbjn_14_13_10">NA()</definedName>
    <definedName name="fdbjn_14_14_10">NA()</definedName>
    <definedName name="fdbjn_14_15_10">NA()</definedName>
    <definedName name="fdbjn_14_4_10">NA()</definedName>
    <definedName name="fdbjn_14_5_10">NA()</definedName>
    <definedName name="fdbjn_15_1_10">NA()</definedName>
    <definedName name="fdbjn_15_10">NA()</definedName>
    <definedName name="fdbjn_15_12_10">NA()</definedName>
    <definedName name="fdbjn_15_13_10">NA()</definedName>
    <definedName name="fdbjn_15_14_10">NA()</definedName>
    <definedName name="fdbjn_15_15_10">NA()</definedName>
    <definedName name="fdbjn_15_4_10">NA()</definedName>
    <definedName name="fdbjn_15_5_10">NA()</definedName>
    <definedName name="fdbjn_16_10">NA()</definedName>
    <definedName name="fdbjn_16_12_10">NA()</definedName>
    <definedName name="fdbjn_16_13_10">NA()</definedName>
    <definedName name="fdbjn_16_14_10">NA()</definedName>
    <definedName name="fdbjn_16_15_10">NA()</definedName>
    <definedName name="fdbjn_16_4_10">NA()</definedName>
    <definedName name="fdbjn_16_5_10">NA()</definedName>
    <definedName name="fdbjn_4_10">NA()</definedName>
    <definedName name="fdbjn_5_1_10">NA()</definedName>
    <definedName name="fdbjn_5_10">NA()</definedName>
    <definedName name="fdbjn_5_12_10">NA()</definedName>
    <definedName name="fdbjn_5_13_10">NA()</definedName>
    <definedName name="fdbjn_5_14_10">NA()</definedName>
    <definedName name="fdbjn_5_15_10">NA()</definedName>
    <definedName name="fdbjn_5_4_10">NA()</definedName>
    <definedName name="fdbjn_5_5_10">NA()</definedName>
    <definedName name="FFV_12_10">NA()</definedName>
    <definedName name="FFV_13_1_10">NA()</definedName>
    <definedName name="FFV_13_10">NA()</definedName>
    <definedName name="FFV_13_12_10">NA()</definedName>
    <definedName name="FFV_13_13_10">NA()</definedName>
    <definedName name="FFV_13_14_10">NA()</definedName>
    <definedName name="FFV_13_15_10">NA()</definedName>
    <definedName name="FFV_13_4_10">NA()</definedName>
    <definedName name="FFV_13_5_10">NA()</definedName>
    <definedName name="FFV_14_1_10">NA()</definedName>
    <definedName name="FFV_14_10">NA()</definedName>
    <definedName name="FFV_14_12_10">NA()</definedName>
    <definedName name="FFV_14_13_10">NA()</definedName>
    <definedName name="FFV_14_14_10">NA()</definedName>
    <definedName name="FFV_14_15_10">NA()</definedName>
    <definedName name="FFV_14_4_10">NA()</definedName>
    <definedName name="FFV_14_5_10">NA()</definedName>
    <definedName name="FFV_15_1_10">NA()</definedName>
    <definedName name="FFV_15_10">NA()</definedName>
    <definedName name="FFV_15_12_10">NA()</definedName>
    <definedName name="FFV_15_13_10">NA()</definedName>
    <definedName name="FFV_15_14_10">NA()</definedName>
    <definedName name="FFV_15_15_10">NA()</definedName>
    <definedName name="FFV_15_4_10">NA()</definedName>
    <definedName name="FFV_15_5_10">NA()</definedName>
    <definedName name="FFV_16_10">NA()</definedName>
    <definedName name="FFV_16_12_10">NA()</definedName>
    <definedName name="FFV_16_13_10">NA()</definedName>
    <definedName name="FFV_16_14_10">NA()</definedName>
    <definedName name="FFV_16_15_10">NA()</definedName>
    <definedName name="FFV_16_4_10">NA()</definedName>
    <definedName name="FFV_16_5_10">NA()</definedName>
    <definedName name="FFV_4_10">NA()</definedName>
    <definedName name="FFV_5_1_10">NA()</definedName>
    <definedName name="FFV_5_10">NA()</definedName>
    <definedName name="FFV_5_12_10">NA()</definedName>
    <definedName name="FFV_5_13_10">NA()</definedName>
    <definedName name="FFV_5_14_10">NA()</definedName>
    <definedName name="FFV_5_15_10">NA()</definedName>
    <definedName name="FFV_5_4_10">NA()</definedName>
    <definedName name="FFV_5_5_10">NA()</definedName>
    <definedName name="FFVVS_12_10">NA()</definedName>
    <definedName name="FFVVS_13_1_10">NA()</definedName>
    <definedName name="FFVVS_13_10">NA()</definedName>
    <definedName name="FFVVS_13_12_10">NA()</definedName>
    <definedName name="FFVVS_13_13_10">NA()</definedName>
    <definedName name="FFVVS_13_14_10">NA()</definedName>
    <definedName name="FFVVS_13_15_10">NA()</definedName>
    <definedName name="FFVVS_13_4_10">NA()</definedName>
    <definedName name="FFVVS_13_5_10">NA()</definedName>
    <definedName name="FFVVS_14_1_10">NA()</definedName>
    <definedName name="FFVVS_14_10">NA()</definedName>
    <definedName name="FFVVS_14_12_10">NA()</definedName>
    <definedName name="FFVVS_14_13_10">NA()</definedName>
    <definedName name="FFVVS_14_14_10">NA()</definedName>
    <definedName name="FFVVS_14_15_10">NA()</definedName>
    <definedName name="FFVVS_14_4_10">NA()</definedName>
    <definedName name="FFVVS_14_5_10">NA()</definedName>
    <definedName name="FFVVS_15_1_10">NA()</definedName>
    <definedName name="FFVVS_15_10">NA()</definedName>
    <definedName name="FFVVS_15_12_10">NA()</definedName>
    <definedName name="FFVVS_15_13_10">NA()</definedName>
    <definedName name="FFVVS_15_14_10">NA()</definedName>
    <definedName name="FFVVS_15_15_10">NA()</definedName>
    <definedName name="FFVVS_15_4_10">NA()</definedName>
    <definedName name="FFVVS_15_5_10">NA()</definedName>
    <definedName name="FFVVS_16_10">NA()</definedName>
    <definedName name="FFVVS_16_12_10">NA()</definedName>
    <definedName name="FFVVS_16_13_10">NA()</definedName>
    <definedName name="FFVVS_16_14_10">NA()</definedName>
    <definedName name="FFVVS_16_15_10">NA()</definedName>
    <definedName name="FFVVS_16_4_10">NA()</definedName>
    <definedName name="FFVVS_16_5_10">NA()</definedName>
    <definedName name="FFVVS_4_10">NA()</definedName>
    <definedName name="FFVVS_5_1_10">NA()</definedName>
    <definedName name="FFVVS_5_10">NA()</definedName>
    <definedName name="FFVVS_5_12_10">NA()</definedName>
    <definedName name="FFVVS_5_13_10">NA()</definedName>
    <definedName name="FFVVS_5_14_10">NA()</definedName>
    <definedName name="FFVVS_5_15_10">NA()</definedName>
    <definedName name="FFVVS_5_4_10">NA()</definedName>
    <definedName name="FFVVS_5_5_10">NA()</definedName>
    <definedName name="fg">NA()</definedName>
    <definedName name="fgd">NA()</definedName>
    <definedName name="fggdfg_12_1_10">NA()</definedName>
    <definedName name="fggdfg_12_10">NA()</definedName>
    <definedName name="fggdfg_12_12_10">NA()</definedName>
    <definedName name="fggdfg_12_13_10">NA()</definedName>
    <definedName name="fggdfg_12_14_10">NA()</definedName>
    <definedName name="fggdfg_12_15_10">NA()</definedName>
    <definedName name="fggdfg_12_4_10">NA()</definedName>
    <definedName name="fggdfg_12_5_10">NA()</definedName>
    <definedName name="fggdfg_13_1_10">NA()</definedName>
    <definedName name="fggdfg_13_10">NA()</definedName>
    <definedName name="fggdfg_13_12_10">NA()</definedName>
    <definedName name="fggdfg_13_13_10">NA()</definedName>
    <definedName name="fggdfg_13_14_10">NA()</definedName>
    <definedName name="fggdfg_13_15_10">NA()</definedName>
    <definedName name="fggdfg_13_4_10">NA()</definedName>
    <definedName name="fggdfg_13_5_10">NA()</definedName>
    <definedName name="fggdfg_14_1_10">NA()</definedName>
    <definedName name="fggdfg_14_10">NA()</definedName>
    <definedName name="fggdfg_14_12_10">NA()</definedName>
    <definedName name="fggdfg_14_13_10">NA()</definedName>
    <definedName name="fggdfg_14_14_10">NA()</definedName>
    <definedName name="fggdfg_14_15_10">NA()</definedName>
    <definedName name="fggdfg_14_4_10">NA()</definedName>
    <definedName name="fggdfg_14_5_10">NA()</definedName>
    <definedName name="fggdfg_15_1_10">NA()</definedName>
    <definedName name="fggdfg_15_10">NA()</definedName>
    <definedName name="fggdfg_15_12_10">NA()</definedName>
    <definedName name="fggdfg_15_13_10">NA()</definedName>
    <definedName name="fggdfg_15_14_10">NA()</definedName>
    <definedName name="fggdfg_15_15_10">NA()</definedName>
    <definedName name="fggdfg_15_4_10">NA()</definedName>
    <definedName name="fggdfg_15_5_10">NA()</definedName>
    <definedName name="fggdfg_16_10">NA()</definedName>
    <definedName name="fggdfg_16_12_10">NA()</definedName>
    <definedName name="fggdfg_16_13_10">NA()</definedName>
    <definedName name="fggdfg_16_14_10">NA()</definedName>
    <definedName name="fggdfg_16_15_10">NA()</definedName>
    <definedName name="fggdfg_16_4_10">NA()</definedName>
    <definedName name="fggdfg_16_5_10">NA()</definedName>
    <definedName name="fggdfg_4_10">NA()</definedName>
    <definedName name="fggdfg_5_1_10">NA()</definedName>
    <definedName name="fggdfg_5_10">NA()</definedName>
    <definedName name="fggdfg_5_12_10">NA()</definedName>
    <definedName name="fggdfg_5_13_10">NA()</definedName>
    <definedName name="fggdfg_5_14_10">NA()</definedName>
    <definedName name="fggdfg_5_15_10">NA()</definedName>
    <definedName name="fggdfg_5_4_10">NA()</definedName>
    <definedName name="fggdfg_5_5_10">NA()</definedName>
    <definedName name="fkieifi" hidden="1">[9]H.Satuan!$C$106:$P$132</definedName>
    <definedName name="flincoat">'[7]HARGA BAHAN'!$H$62</definedName>
    <definedName name="frame_jendela">'[7]HARGA BAHAN'!$H$100</definedName>
    <definedName name="frame_pintu">'[7]HARGA BAHAN'!$H$99</definedName>
    <definedName name="FRG_12_10">NA()</definedName>
    <definedName name="FRG_13_1_10">NA()</definedName>
    <definedName name="FRG_13_10">NA()</definedName>
    <definedName name="FRG_13_12_10">NA()</definedName>
    <definedName name="FRG_13_13_10">NA()</definedName>
    <definedName name="FRG_13_14_10">NA()</definedName>
    <definedName name="FRG_13_15_10">NA()</definedName>
    <definedName name="FRG_13_4_10">NA()</definedName>
    <definedName name="FRG_13_5_10">NA()</definedName>
    <definedName name="FRG_14_1_10">NA()</definedName>
    <definedName name="FRG_14_10">NA()</definedName>
    <definedName name="FRG_14_12_10">NA()</definedName>
    <definedName name="FRG_14_13_10">NA()</definedName>
    <definedName name="FRG_14_14_10">NA()</definedName>
    <definedName name="FRG_14_15_10">NA()</definedName>
    <definedName name="FRG_14_4_10">NA()</definedName>
    <definedName name="FRG_14_5_10">NA()</definedName>
    <definedName name="FRG_15_1_10">NA()</definedName>
    <definedName name="FRG_15_10">NA()</definedName>
    <definedName name="FRG_15_12_10">NA()</definedName>
    <definedName name="FRG_15_13_10">NA()</definedName>
    <definedName name="FRG_15_14_10">NA()</definedName>
    <definedName name="FRG_15_15_10">NA()</definedName>
    <definedName name="FRG_15_4_10">NA()</definedName>
    <definedName name="FRG_15_5_10">NA()</definedName>
    <definedName name="FRG_16_10">NA()</definedName>
    <definedName name="FRG_16_12_10">NA()</definedName>
    <definedName name="FRG_16_13_10">NA()</definedName>
    <definedName name="FRG_16_14_10">NA()</definedName>
    <definedName name="FRG_16_15_10">NA()</definedName>
    <definedName name="FRG_16_4_10">NA()</definedName>
    <definedName name="FRG_16_5_10">NA()</definedName>
    <definedName name="FRG_4_10">NA()</definedName>
    <definedName name="FRG_5_1_10">NA()</definedName>
    <definedName name="FRG_5_10">NA()</definedName>
    <definedName name="FRG_5_12_10">NA()</definedName>
    <definedName name="FRG_5_13_10">NA()</definedName>
    <definedName name="FRG_5_14_10">NA()</definedName>
    <definedName name="FRG_5_15_10">NA()</definedName>
    <definedName name="FRG_5_4_10">NA()</definedName>
    <definedName name="FRG_5_5_10">NA()</definedName>
    <definedName name="gae">NA()</definedName>
    <definedName name="gdsd">NA()</definedName>
    <definedName name="genteng_onduline">'[7]HARGA BAHAN'!$H$24</definedName>
    <definedName name="gf" hidden="1">[10]H.Satuan!$CF$82</definedName>
    <definedName name="GFF" hidden="1">[11]SEX!$P$7:$P$7</definedName>
    <definedName name="gfhfmd_12_10">NA()</definedName>
    <definedName name="gfhfmd_13_1_10">NA()</definedName>
    <definedName name="gfhfmd_13_10">NA()</definedName>
    <definedName name="gfhfmd_13_12_10">NA()</definedName>
    <definedName name="gfhfmd_13_13_10">NA()</definedName>
    <definedName name="gfhfmd_13_14_10">NA()</definedName>
    <definedName name="gfhfmd_13_15_10">NA()</definedName>
    <definedName name="gfhfmd_13_4_10">NA()</definedName>
    <definedName name="gfhfmd_13_5_10">NA()</definedName>
    <definedName name="gfhfmd_14_1_10">NA()</definedName>
    <definedName name="gfhfmd_14_10">NA()</definedName>
    <definedName name="gfhfmd_14_12_10">NA()</definedName>
    <definedName name="gfhfmd_14_13_10">NA()</definedName>
    <definedName name="gfhfmd_14_14_10">NA()</definedName>
    <definedName name="gfhfmd_14_15_10">NA()</definedName>
    <definedName name="gfhfmd_14_4_10">NA()</definedName>
    <definedName name="gfhfmd_14_5_10">NA()</definedName>
    <definedName name="gfhfmd_15_1_10">NA()</definedName>
    <definedName name="gfhfmd_15_10">NA()</definedName>
    <definedName name="gfhfmd_15_12_10">NA()</definedName>
    <definedName name="gfhfmd_15_13_10">NA()</definedName>
    <definedName name="gfhfmd_15_14_10">NA()</definedName>
    <definedName name="gfhfmd_15_15_10">NA()</definedName>
    <definedName name="gfhfmd_15_4_10">NA()</definedName>
    <definedName name="gfhfmd_15_5_10">NA()</definedName>
    <definedName name="gfhfmd_16_10">NA()</definedName>
    <definedName name="gfhfmd_16_12_10">NA()</definedName>
    <definedName name="gfhfmd_16_13_10">NA()</definedName>
    <definedName name="gfhfmd_16_14_10">NA()</definedName>
    <definedName name="gfhfmd_16_15_10">NA()</definedName>
    <definedName name="gfhfmd_16_4_10">NA()</definedName>
    <definedName name="gfhfmd_16_5_10">NA()</definedName>
    <definedName name="gfhfmd_4_10">NA()</definedName>
    <definedName name="gfhfmd_5_1_10">NA()</definedName>
    <definedName name="gfhfmd_5_10">NA()</definedName>
    <definedName name="gfhfmd_5_12_10">NA()</definedName>
    <definedName name="gfhfmd_5_13_10">NA()</definedName>
    <definedName name="gfhfmd_5_14_10">NA()</definedName>
    <definedName name="gfhfmd_5_15_10">NA()</definedName>
    <definedName name="gfhfmd_5_4_10">NA()</definedName>
    <definedName name="gfhfmd_5_5_10">NA()</definedName>
    <definedName name="GHI">#N/A</definedName>
    <definedName name="gm">NA()</definedName>
    <definedName name="gogon" hidden="1">'[12]Master 1.0'!$K$203:$CX$203</definedName>
    <definedName name="granit60x60">'[7]HARGA BAHAN'!$H$88</definedName>
    <definedName name="GSVXG_12_1_10">NA()</definedName>
    <definedName name="GSVXG_12_10">NA()</definedName>
    <definedName name="GSVXG_12_12_10">NA()</definedName>
    <definedName name="GSVXG_12_13_10">NA()</definedName>
    <definedName name="GSVXG_12_14_10">NA()</definedName>
    <definedName name="GSVXG_12_15_10">NA()</definedName>
    <definedName name="GSVXG_12_4_10">NA()</definedName>
    <definedName name="GSVXG_12_5_10">NA()</definedName>
    <definedName name="GSVXG_13_1_10">NA()</definedName>
    <definedName name="GSVXG_13_10">NA()</definedName>
    <definedName name="GSVXG_13_12_10">NA()</definedName>
    <definedName name="GSVXG_13_13_10">NA()</definedName>
    <definedName name="GSVXG_13_14_10">NA()</definedName>
    <definedName name="GSVXG_13_15_10">NA()</definedName>
    <definedName name="GSVXG_13_4_10">NA()</definedName>
    <definedName name="GSVXG_13_5_10">NA()</definedName>
    <definedName name="GSVXG_14_1_10">NA()</definedName>
    <definedName name="GSVXG_14_10">NA()</definedName>
    <definedName name="GSVXG_14_12_10">NA()</definedName>
    <definedName name="GSVXG_14_13_10">NA()</definedName>
    <definedName name="GSVXG_14_14_10">NA()</definedName>
    <definedName name="GSVXG_14_15_10">NA()</definedName>
    <definedName name="GSVXG_14_4_10">NA()</definedName>
    <definedName name="GSVXG_14_5_10">NA()</definedName>
    <definedName name="GSVXG_15_1_10">NA()</definedName>
    <definedName name="GSVXG_15_10">NA()</definedName>
    <definedName name="GSVXG_15_12_10">NA()</definedName>
    <definedName name="GSVXG_15_13_10">NA()</definedName>
    <definedName name="GSVXG_15_14_10">NA()</definedName>
    <definedName name="GSVXG_15_15_10">NA()</definedName>
    <definedName name="GSVXG_15_4_10">NA()</definedName>
    <definedName name="GSVXG_15_5_10">NA()</definedName>
    <definedName name="GSVXG_16_10">NA()</definedName>
    <definedName name="GSVXG_16_12_10">NA()</definedName>
    <definedName name="GSVXG_16_13_10">NA()</definedName>
    <definedName name="GSVXG_16_14_10">NA()</definedName>
    <definedName name="GSVXG_16_15_10">NA()</definedName>
    <definedName name="GSVXG_16_4_10">NA()</definedName>
    <definedName name="GSVXG_16_5_10">NA()</definedName>
    <definedName name="GSVXG_4_10">NA()</definedName>
    <definedName name="GSVXG_5_1_10">NA()</definedName>
    <definedName name="GSVXG_5_10">NA()</definedName>
    <definedName name="GSVXG_5_12_10">NA()</definedName>
    <definedName name="GSVXG_5_13_10">NA()</definedName>
    <definedName name="GSVXG_5_14_10">NA()</definedName>
    <definedName name="GSVXG_5_15_10">NA()</definedName>
    <definedName name="GSVXG_5_4_10">NA()</definedName>
    <definedName name="GSVXG_5_5_10">NA()</definedName>
    <definedName name="gypsum9mm">'[7]HARGA BAHAN'!$H$66</definedName>
    <definedName name="Heä_soá_laép_xaø_H">1.7</definedName>
    <definedName name="HGF" localSheetId="21">#REF!</definedName>
    <definedName name="HGF" localSheetId="20">#REF!</definedName>
    <definedName name="HGF" localSheetId="35">#REF!</definedName>
    <definedName name="HGF" localSheetId="55">#REF!</definedName>
    <definedName name="HGF" localSheetId="58">#REF!</definedName>
    <definedName name="HGF" localSheetId="6">#REF!</definedName>
    <definedName name="HGF" localSheetId="33">#REF!</definedName>
    <definedName name="HGF" localSheetId="13">#REF!</definedName>
    <definedName name="HGF" localSheetId="12">#REF!</definedName>
    <definedName name="HGF" localSheetId="5">#REF!</definedName>
    <definedName name="HGF">#REF!</definedName>
    <definedName name="hjhj" hidden="1">[13]Mobilisasi!$G$27:$G$33</definedName>
    <definedName name="hollow_glv">'[7]HARGA BAHAN'!$H$71</definedName>
    <definedName name="HSCT3">0.1</definedName>
    <definedName name="HSDN">2.5</definedName>
    <definedName name="ijuk">'[7]HARGA BAHAN'!$H$74</definedName>
    <definedName name="Indra">NA()</definedName>
    <definedName name="J" localSheetId="21">#REF!</definedName>
    <definedName name="J" localSheetId="20">#REF!</definedName>
    <definedName name="J" localSheetId="35">#REF!</definedName>
    <definedName name="J" localSheetId="55">#REF!</definedName>
    <definedName name="J" localSheetId="58">#REF!</definedName>
    <definedName name="J" localSheetId="6">#REF!</definedName>
    <definedName name="J" localSheetId="33">#REF!</definedName>
    <definedName name="J" localSheetId="13">#REF!</definedName>
    <definedName name="J" localSheetId="12">#REF!</definedName>
    <definedName name="J" localSheetId="5">#REF!</definedName>
    <definedName name="J">#REF!</definedName>
    <definedName name="jaket">NA()</definedName>
    <definedName name="jend_nako">'[6]HARGA BAHAN'!$G$65</definedName>
    <definedName name="JGY_12_10">NA()</definedName>
    <definedName name="JGY_13_1_10">NA()</definedName>
    <definedName name="JGY_13_10">NA()</definedName>
    <definedName name="JGY_13_12_10">NA()</definedName>
    <definedName name="JGY_13_13_10">NA()</definedName>
    <definedName name="JGY_13_14_10">NA()</definedName>
    <definedName name="JGY_13_15_10">NA()</definedName>
    <definedName name="JGY_13_4_10">NA()</definedName>
    <definedName name="JGY_13_5_10">NA()</definedName>
    <definedName name="JGY_14_1_10">NA()</definedName>
    <definedName name="JGY_14_10">NA()</definedName>
    <definedName name="JGY_14_12_10">NA()</definedName>
    <definedName name="JGY_14_13_10">NA()</definedName>
    <definedName name="JGY_14_14_10">NA()</definedName>
    <definedName name="JGY_14_15_10">NA()</definedName>
    <definedName name="JGY_14_4_10">NA()</definedName>
    <definedName name="JGY_14_5_10">NA()</definedName>
    <definedName name="JGY_15_1_10">NA()</definedName>
    <definedName name="JGY_15_10">NA()</definedName>
    <definedName name="JGY_15_12_10">NA()</definedName>
    <definedName name="JGY_15_13_10">NA()</definedName>
    <definedName name="JGY_15_14_10">NA()</definedName>
    <definedName name="JGY_15_15_10">NA()</definedName>
    <definedName name="JGY_15_4_10">NA()</definedName>
    <definedName name="JGY_15_5_10">NA()</definedName>
    <definedName name="JGY_16_10">NA()</definedName>
    <definedName name="JGY_16_12_10">NA()</definedName>
    <definedName name="JGY_16_13_10">NA()</definedName>
    <definedName name="JGY_16_14_10">NA()</definedName>
    <definedName name="JGY_16_15_10">NA()</definedName>
    <definedName name="JGY_16_4_10">NA()</definedName>
    <definedName name="JGY_16_5_10">NA()</definedName>
    <definedName name="JGY_4_10">NA()</definedName>
    <definedName name="JGY_5_1_10">NA()</definedName>
    <definedName name="JGY_5_10">NA()</definedName>
    <definedName name="JGY_5_12_10">NA()</definedName>
    <definedName name="JGY_5_13_10">NA()</definedName>
    <definedName name="JGY_5_14_10">NA()</definedName>
    <definedName name="JGY_5_15_10">NA()</definedName>
    <definedName name="JGY_5_4_10">NA()</definedName>
    <definedName name="JGY_5_5_10">NA()</definedName>
    <definedName name="JKH" localSheetId="21">#REF!</definedName>
    <definedName name="JKH" localSheetId="20">#REF!</definedName>
    <definedName name="JKH" localSheetId="35">#REF!</definedName>
    <definedName name="JKH" localSheetId="55">#REF!</definedName>
    <definedName name="JKH" localSheetId="58">#REF!</definedName>
    <definedName name="JKH" localSheetId="6">#REF!</definedName>
    <definedName name="JKH" localSheetId="33">#REF!</definedName>
    <definedName name="JKH" localSheetId="13">#REF!</definedName>
    <definedName name="JKH" localSheetId="12">#REF!</definedName>
    <definedName name="JKH" localSheetId="5">#REF!</definedName>
    <definedName name="JKH">#REF!</definedName>
    <definedName name="k" localSheetId="21">#REF!</definedName>
    <definedName name="k" localSheetId="20">#REF!</definedName>
    <definedName name="k" localSheetId="35">#REF!</definedName>
    <definedName name="k" localSheetId="55">#REF!</definedName>
    <definedName name="k" localSheetId="58">#REF!</definedName>
    <definedName name="k" localSheetId="6">#REF!</definedName>
    <definedName name="k" localSheetId="33">#REF!</definedName>
    <definedName name="k" localSheetId="13">#REF!</definedName>
    <definedName name="k" localSheetId="12">#REF!</definedName>
    <definedName name="k" localSheetId="5">#REF!</definedName>
    <definedName name="k">#REF!</definedName>
    <definedName name="k_250">'[6]HARGA BAHAN'!$G$28</definedName>
    <definedName name="K_300">'[6]HARGA BAHAN'!$G$27</definedName>
    <definedName name="kaca_3mm">'[7]HARGA BAHAN'!$H$103</definedName>
    <definedName name="kaca_5mm">'[7]HARGA BAHAN'!$H$104</definedName>
    <definedName name="kaca_pls">'[6]HARGA BAHAN'!$G$66</definedName>
    <definedName name="kacaburam_5mm">'[7]HARGA BAHAN'!$H$106</definedName>
    <definedName name="kacareyband_5mm">'[7]HARGA BAHAN'!$H$107</definedName>
    <definedName name="kasagypsum">'[7]HARGA BAHAN'!$H$128</definedName>
    <definedName name="kawatlas">'[7]HARGA BAHAN'!$H$212</definedName>
    <definedName name="kawatpenggantung">'[7]HARGA BAHAN'!$H$131</definedName>
    <definedName name="kayu_57">'[6]HARGA BAHAN'!$G$46</definedName>
    <definedName name="kayu_III">'[6]HARGA BAHAN'!$G$47</definedName>
    <definedName name="kayu_ppn">'[6]HARGA BAHAN'!$G$54</definedName>
    <definedName name="kayubalok_kls3">'[7]HARGA BAHAN'!$H$80</definedName>
    <definedName name="kayubalok_kls4">'[7]HARGA BAHAN'!$H$82</definedName>
    <definedName name="kayupapan_kls2">'[7]HARGA BAHAN'!$H$79</definedName>
    <definedName name="kayupapan_kls3">'[7]HARGA BAHAN'!$H$81</definedName>
    <definedName name="kayupapan_kls4">'[7]HARGA BAHAN'!$H$83</definedName>
    <definedName name="Kep_tkg">'[6]HARGA BAHAN'!$G$17</definedName>
    <definedName name="keptuk">'[7]HARGA BAHAN'!$H$18</definedName>
    <definedName name="keramik20x20">'[7]HARGA BAHAN'!$H$89</definedName>
    <definedName name="keramik30x30">'[7]HARGA BAHAN'!$H$90</definedName>
    <definedName name="keramik40x40bergalasir">'[7]HARGA BAHAN'!$H$92</definedName>
    <definedName name="kerikil">'[7]HARGA BAHAN'!$H$75</definedName>
    <definedName name="KJGK_12_10">NA()</definedName>
    <definedName name="KJGK_13_1_10">NA()</definedName>
    <definedName name="KJGK_13_10">NA()</definedName>
    <definedName name="KJGK_13_12_10">NA()</definedName>
    <definedName name="KJGK_13_13_10">NA()</definedName>
    <definedName name="KJGK_13_14_10">NA()</definedName>
    <definedName name="KJGK_13_15_10">NA()</definedName>
    <definedName name="KJGK_13_4_10">NA()</definedName>
    <definedName name="KJGK_13_5_10">NA()</definedName>
    <definedName name="KJGK_14_1_10">NA()</definedName>
    <definedName name="KJGK_14_10">NA()</definedName>
    <definedName name="KJGK_14_12_10">NA()</definedName>
    <definedName name="KJGK_14_13_10">NA()</definedName>
    <definedName name="KJGK_14_14_10">NA()</definedName>
    <definedName name="KJGK_14_15_10">NA()</definedName>
    <definedName name="KJGK_14_4_10">NA()</definedName>
    <definedName name="KJGK_14_5_10">NA()</definedName>
    <definedName name="KJGK_15_1_10">NA()</definedName>
    <definedName name="KJGK_15_10">NA()</definedName>
    <definedName name="KJGK_15_12_10">NA()</definedName>
    <definedName name="KJGK_15_13_10">NA()</definedName>
    <definedName name="KJGK_15_14_10">NA()</definedName>
    <definedName name="KJGK_15_15_10">NA()</definedName>
    <definedName name="KJGK_15_4_10">NA()</definedName>
    <definedName name="KJGK_15_5_10">NA()</definedName>
    <definedName name="KJGK_16_10">NA()</definedName>
    <definedName name="KJGK_16_12_10">NA()</definedName>
    <definedName name="KJGK_16_13_10">NA()</definedName>
    <definedName name="KJGK_16_14_10">NA()</definedName>
    <definedName name="KJGK_16_15_10">NA()</definedName>
    <definedName name="KJGK_16_4_10">NA()</definedName>
    <definedName name="KJGK_16_5_10">NA()</definedName>
    <definedName name="KJGK_4_10">NA()</definedName>
    <definedName name="KJGK_5_1_10">NA()</definedName>
    <definedName name="KJGK_5_10">NA()</definedName>
    <definedName name="KJGK_5_12_10">NA()</definedName>
    <definedName name="KJGK_5_13_10">NA()</definedName>
    <definedName name="KJGK_5_14_10">NA()</definedName>
    <definedName name="KJGK_5_15_10">NA()</definedName>
    <definedName name="KJGK_5_4_10">NA()</definedName>
    <definedName name="KJGK_5_5_10">NA()</definedName>
    <definedName name="KJH_12_10">NA()</definedName>
    <definedName name="KJH_13_1_10">NA()</definedName>
    <definedName name="KJH_13_10">NA()</definedName>
    <definedName name="KJH_13_12_10">NA()</definedName>
    <definedName name="KJH_13_13_10">NA()</definedName>
    <definedName name="KJH_13_14_10">NA()</definedName>
    <definedName name="KJH_13_15_10">NA()</definedName>
    <definedName name="KJH_13_4_10">NA()</definedName>
    <definedName name="KJH_13_5_10">NA()</definedName>
    <definedName name="KJH_14_1_10">NA()</definedName>
    <definedName name="KJH_14_10">NA()</definedName>
    <definedName name="KJH_14_12_10">NA()</definedName>
    <definedName name="KJH_14_13_10">NA()</definedName>
    <definedName name="KJH_14_14_10">NA()</definedName>
    <definedName name="KJH_14_15_10">NA()</definedName>
    <definedName name="KJH_14_4_10">NA()</definedName>
    <definedName name="KJH_14_5_10">NA()</definedName>
    <definedName name="KJH_15_1_10">NA()</definedName>
    <definedName name="KJH_15_10">NA()</definedName>
    <definedName name="KJH_15_12_10">NA()</definedName>
    <definedName name="KJH_15_13_10">NA()</definedName>
    <definedName name="KJH_15_14_10">NA()</definedName>
    <definedName name="KJH_15_15_10">NA()</definedName>
    <definedName name="KJH_15_4_10">NA()</definedName>
    <definedName name="KJH_15_5_10">NA()</definedName>
    <definedName name="KJH_16_10">NA()</definedName>
    <definedName name="KJH_16_12_10">NA()</definedName>
    <definedName name="KJH_16_13_10">NA()</definedName>
    <definedName name="KJH_16_14_10">NA()</definedName>
    <definedName name="KJH_16_15_10">NA()</definedName>
    <definedName name="KJH_16_4_10">NA()</definedName>
    <definedName name="KJH_16_5_10">NA()</definedName>
    <definedName name="KJH_4_10">NA()</definedName>
    <definedName name="KJH_5_1_10">NA()</definedName>
    <definedName name="KJH_5_10">NA()</definedName>
    <definedName name="KJH_5_12_10">NA()</definedName>
    <definedName name="KJH_5_13_10">NA()</definedName>
    <definedName name="KJH_5_14_10">NA()</definedName>
    <definedName name="KJH_5_15_10">NA()</definedName>
    <definedName name="KJH_5_4_10">NA()</definedName>
    <definedName name="KJH_5_5_10">NA()</definedName>
    <definedName name="KNF_10_3">"'file:///F:/Program Files/My Documents/RS. MMC Jakarta/Tender Paket Pekejaan/STP/BQ/0DATA/DEVIS/UPAD/BOQ/HVAC/FORM.XLS'#$'B _ Norelec'.$#REF!$#REF!"</definedName>
    <definedName name="KNF_11_3">"'file:///F:/Program Files/My Documents/RS. MMC Jakarta/Tender Paket Pekejaan/STP/BQ/0DATA/DEVIS/UPAD/BOQ/HVAC/FORM.XLS'#$'B _ Norelec'.$#REF!$#REF!"</definedName>
    <definedName name="KNF_12_3">"'file:///F:/Program Files/My Documents/RS. MMC Jakarta/Tender Paket Pekejaan/STP/BQ/0DATA/DEVIS/UPAD/BOQ/HVAC/FORM.XLS'#$'B _ Norelec'.$#REF!$#REF!"</definedName>
    <definedName name="KNF_13_3">"'file:///F:/Program Files/My Documents/RS. MMC Jakarta/Tender Paket Pekejaan/STP/BQ/0DATA/DEVIS/UPAD/BOQ/HVAC/FORM.XLS'#$'B _ Norelec'.$#REF!$#REF!"</definedName>
    <definedName name="KNF_14_3">"'file:///F:/Program Files/My Documents/RS. MMC Jakarta/Tender Paket Pekejaan/STP/BQ/0DATA/DEVIS/UPAD/BOQ/HVAC/FORM.XLS'#$'B _ Norelec'.$#REF!$#REF!"</definedName>
    <definedName name="KNF_15_3">"'file:///F:/Program Files/My Documents/RS. MMC Jakarta/Tender Paket Pekejaan/STP/BQ/0DATA/DEVIS/UPAD/BOQ/HVAC/FORM.XLS'#$'B _ Norelec'.$#REF!$#REF!"</definedName>
    <definedName name="KNF_16_3">"'file:///F:/Program Files/My Documents/RS. MMC Jakarta/Tender Paket Pekejaan/STP/BQ/0DATA/DEVIS/UPAD/BOQ/HVAC/FORM.XLS'#$'B _ Norelec'.$#REF!$#REF!"</definedName>
    <definedName name="KNF_3">"'file:///E:/Program Files/My Documents/RS. MMC Jakarta/Tender Paket Pekejaan/STP/BQ/0DATA/DEVIS/UPAD/BOQ/HVAC/FORM.XLS'#$'B _ Norelec'.$#REF!$#REF!"</definedName>
    <definedName name="KNF_7_3">"'file:///F:/0ARST/PROYEK QUANTA/0503 MEDITERANIA MARINA RESIDENCES/BERITA ACARA/AANWIJZING/Program Files/My Documents/RS. MMC Jakarta/Tender Paket Pekejaan/STP/BQ/0DATA/DEVIS/UPAD/BOQ/HVAC/FORM.XLS'#$'B _ Norelec'.$#REF!$#REF!"</definedName>
    <definedName name="KNF_9_3">"'file:///F:/Program Files/My Documents/RS. MMC Jakarta/Tender Paket Pekejaan/STP/BQ/0DATA/DEVIS/UPAD/BOQ/HVAC/FORM.XLS'#$'B _ Norelec'.$#REF!$#REF!"</definedName>
    <definedName name="koralsikat">'[7]HARGA BAHAN'!$H$76</definedName>
    <definedName name="kuas4">'[7]HARGA BAHAN'!$H$115</definedName>
    <definedName name="kunc_tanam">'[6]HARGA BAHAN'!$G$67</definedName>
    <definedName name="kunci_SS">'[7]HARGA BAHAN'!$H$108</definedName>
    <definedName name="kwt_btn">'[6]HARGA BAHAN'!$G$71</definedName>
    <definedName name="Lamp" localSheetId="21">#REF!</definedName>
    <definedName name="Lamp" localSheetId="20">#REF!</definedName>
    <definedName name="Lamp" localSheetId="35">#REF!</definedName>
    <definedName name="Lamp" localSheetId="55">#REF!</definedName>
    <definedName name="Lamp" localSheetId="58">#REF!</definedName>
    <definedName name="Lamp" localSheetId="6">#REF!</definedName>
    <definedName name="Lamp" localSheetId="33">#REF!</definedName>
    <definedName name="Lamp" localSheetId="13">#REF!</definedName>
    <definedName name="Lamp" localSheetId="12">#REF!</definedName>
    <definedName name="Lamp" localSheetId="5">#REF!</definedName>
    <definedName name="Lamp">#REF!</definedName>
    <definedName name="lampi" localSheetId="21">#REF!</definedName>
    <definedName name="lampi" localSheetId="20">#REF!</definedName>
    <definedName name="lampi" localSheetId="35">#REF!</definedName>
    <definedName name="lampi" localSheetId="55">#REF!</definedName>
    <definedName name="lampi" localSheetId="58">#REF!</definedName>
    <definedName name="lampi" localSheetId="6">#REF!</definedName>
    <definedName name="lampi" localSheetId="33">#REF!</definedName>
    <definedName name="lampi" localSheetId="13">#REF!</definedName>
    <definedName name="lampi" localSheetId="12">#REF!</definedName>
    <definedName name="lampi" localSheetId="5">#REF!</definedName>
    <definedName name="lampi">#REF!</definedName>
    <definedName name="lemkayu">'[7]HARGA BAHAN'!$H$135</definedName>
    <definedName name="list_kayuprofile">'[7]HARGA BAHAN'!$H$133</definedName>
    <definedName name="listcornees_10cm">'[7]HARGA BAHAN'!$H$138</definedName>
    <definedName name="listcornees5_10cm">'[7]HARGA BAHAN'!$H$137</definedName>
    <definedName name="listcornees5cm">'[7]HARGA BAHAN'!$H$136</definedName>
    <definedName name="lmpp" hidden="1">'[14]HARGA MATERIAL'!$H$32:$Y$35</definedName>
    <definedName name="ls">NA()</definedName>
    <definedName name="m_besi">'[7]New MADC'!$AK$28</definedName>
    <definedName name="m_pers">'[7]New MADC'!$AK$23</definedName>
    <definedName name="m_semen">'[7]New MADC'!$AK$27</definedName>
    <definedName name="MA">#N/A</definedName>
    <definedName name="MakeIt">NA()</definedName>
    <definedName name="malat">'[7]New MADC'!$AK$14</definedName>
    <definedName name="mand">'[6]HARGA BAHAN'!$G$18</definedName>
    <definedName name="mapel">[7]Data!$D$16</definedName>
    <definedName name="mbahan">'[7]New MADC'!$AK$10</definedName>
    <definedName name="mbaja">'[7]New MADC'!$AK$24</definedName>
    <definedName name="mdr">'[7]HARGA BAHAN'!$H$19</definedName>
    <definedName name="menibesi">'[7]HARGA BAHAN'!$H$50</definedName>
    <definedName name="menikayu">'[7]HARGA BAHAN'!$H$48</definedName>
    <definedName name="Morning">NA()</definedName>
    <definedName name="Mpres">"mt"</definedName>
    <definedName name="msubkon">'[7]New MADC'!$AK$13</definedName>
    <definedName name="mtoto">'[7]New MADC'!$AK$22</definedName>
    <definedName name="multiplek9mm">'[7]HARGA BAHAN'!$H$164</definedName>
    <definedName name="mupah">'[7]New MADC'!$AK$12</definedName>
    <definedName name="myk_bekis">'[6]HARGA BAHAN'!$G$59</definedName>
    <definedName name="new_10_10">NA()</definedName>
    <definedName name="new_10_12_10">NA()</definedName>
    <definedName name="new_10_13_10">NA()</definedName>
    <definedName name="new_10_14_10">NA()</definedName>
    <definedName name="new_10_15_10">NA()</definedName>
    <definedName name="new_10_4_10">NA()</definedName>
    <definedName name="new_10_5_10">NA()</definedName>
    <definedName name="new_11_10">NA()</definedName>
    <definedName name="new_11_12_10">NA()</definedName>
    <definedName name="new_11_13_10">NA()</definedName>
    <definedName name="new_11_14_10">NA()</definedName>
    <definedName name="new_11_15_10">NA()</definedName>
    <definedName name="new_11_4_10">NA()</definedName>
    <definedName name="new_11_5_10">NA()</definedName>
    <definedName name="new_12_1_10">NA()</definedName>
    <definedName name="new_12_10">NA()</definedName>
    <definedName name="new_12_12_10">NA()</definedName>
    <definedName name="new_12_13_10">NA()</definedName>
    <definedName name="new_12_14_10">NA()</definedName>
    <definedName name="new_12_15_10">NA()</definedName>
    <definedName name="new_12_4_10">NA()</definedName>
    <definedName name="new_12_5_10">NA()</definedName>
    <definedName name="new_13_1_10">NA()</definedName>
    <definedName name="new_13_10">NA()</definedName>
    <definedName name="new_13_12_10">NA()</definedName>
    <definedName name="new_13_13_10">NA()</definedName>
    <definedName name="new_13_14_10">NA()</definedName>
    <definedName name="new_13_15_10">NA()</definedName>
    <definedName name="new_13_4_10">NA()</definedName>
    <definedName name="new_13_5_10">NA()</definedName>
    <definedName name="new_14_1_10">NA()</definedName>
    <definedName name="new_14_10">NA()</definedName>
    <definedName name="new_14_12_10">NA()</definedName>
    <definedName name="new_14_13_10">NA()</definedName>
    <definedName name="new_14_14_10">NA()</definedName>
    <definedName name="new_14_15_10">NA()</definedName>
    <definedName name="new_14_4_10">NA()</definedName>
    <definedName name="new_14_5_10">NA()</definedName>
    <definedName name="new_15_1_10">NA()</definedName>
    <definedName name="new_15_10">NA()</definedName>
    <definedName name="new_15_12_10">NA()</definedName>
    <definedName name="new_15_13_10">NA()</definedName>
    <definedName name="new_15_14_10">NA()</definedName>
    <definedName name="new_15_15_10">NA()</definedName>
    <definedName name="new_15_4_10">NA()</definedName>
    <definedName name="new_15_5_10">NA()</definedName>
    <definedName name="new_16_10">NA()</definedName>
    <definedName name="new_16_12_10">NA()</definedName>
    <definedName name="new_16_13_10">NA()</definedName>
    <definedName name="new_16_14_10">NA()</definedName>
    <definedName name="new_16_15_10">NA()</definedName>
    <definedName name="new_16_4_10">NA()</definedName>
    <definedName name="new_16_5_10">NA()</definedName>
    <definedName name="new_4_10">NA()</definedName>
    <definedName name="new_5_1_10">NA()</definedName>
    <definedName name="new_5_10">NA()</definedName>
    <definedName name="new_5_12_10">NA()</definedName>
    <definedName name="new_5_13_10">NA()</definedName>
    <definedName name="new_5_14_10">NA()</definedName>
    <definedName name="new_5_15_10">NA()</definedName>
    <definedName name="new_5_4_10">NA()</definedName>
    <definedName name="new_5_5_10">NA()</definedName>
    <definedName name="new_7_10">NA()</definedName>
    <definedName name="new_7_12_10">NA()</definedName>
    <definedName name="new_7_13_10">NA()</definedName>
    <definedName name="new_7_14_10">NA()</definedName>
    <definedName name="new_7_15_10">NA()</definedName>
    <definedName name="new_7_4_10">NA()</definedName>
    <definedName name="new_7_5_10">NA()</definedName>
    <definedName name="new_8_10">NA()</definedName>
    <definedName name="new_8_12_10">NA()</definedName>
    <definedName name="new_8_13_10">NA()</definedName>
    <definedName name="new_8_14_10">NA()</definedName>
    <definedName name="new_8_15_10">NA()</definedName>
    <definedName name="new_8_4_10">NA()</definedName>
    <definedName name="new_8_5_10">NA()</definedName>
    <definedName name="new_9_10">NA()</definedName>
    <definedName name="new_9_12_10">NA()</definedName>
    <definedName name="new_9_13_10">NA()</definedName>
    <definedName name="new_9_14_10">NA()</definedName>
    <definedName name="new_9_15_10">NA()</definedName>
    <definedName name="new_9_4_10">NA()</definedName>
    <definedName name="new_9_5_10">NA()</definedName>
    <definedName name="new5_10_10">NA()</definedName>
    <definedName name="new5_10_12_10">NA()</definedName>
    <definedName name="new5_10_13_10">NA()</definedName>
    <definedName name="new5_10_14_10">NA()</definedName>
    <definedName name="new5_10_15_10">NA()</definedName>
    <definedName name="new5_10_4_10">NA()</definedName>
    <definedName name="new5_10_5_10">NA()</definedName>
    <definedName name="new5_11_10">NA()</definedName>
    <definedName name="new5_11_12_10">NA()</definedName>
    <definedName name="new5_11_13_10">NA()</definedName>
    <definedName name="new5_11_14_10">NA()</definedName>
    <definedName name="new5_11_15_10">NA()</definedName>
    <definedName name="new5_11_4_10">NA()</definedName>
    <definedName name="new5_11_5_10">NA()</definedName>
    <definedName name="new5_12_1_10">NA()</definedName>
    <definedName name="new5_12_10">NA()</definedName>
    <definedName name="new5_12_12_10">NA()</definedName>
    <definedName name="new5_12_13_10">NA()</definedName>
    <definedName name="new5_12_14_10">NA()</definedName>
    <definedName name="new5_12_15_10">NA()</definedName>
    <definedName name="new5_12_4_10">NA()</definedName>
    <definedName name="new5_12_5_10">NA()</definedName>
    <definedName name="new5_13_1_10">NA()</definedName>
    <definedName name="new5_13_10">NA()</definedName>
    <definedName name="new5_13_12_10">NA()</definedName>
    <definedName name="new5_13_13_10">NA()</definedName>
    <definedName name="new5_13_14_10">NA()</definedName>
    <definedName name="new5_13_15_10">NA()</definedName>
    <definedName name="new5_13_4_10">NA()</definedName>
    <definedName name="new5_13_5_10">NA()</definedName>
    <definedName name="new5_14_1_10">NA()</definedName>
    <definedName name="new5_14_10">NA()</definedName>
    <definedName name="new5_14_12_10">NA()</definedName>
    <definedName name="new5_14_13_10">NA()</definedName>
    <definedName name="new5_14_14_10">NA()</definedName>
    <definedName name="new5_14_15_10">NA()</definedName>
    <definedName name="new5_14_4_10">NA()</definedName>
    <definedName name="new5_14_5_10">NA()</definedName>
    <definedName name="new5_15_1_10">NA()</definedName>
    <definedName name="new5_15_10">NA()</definedName>
    <definedName name="new5_15_12_10">NA()</definedName>
    <definedName name="new5_15_13_10">NA()</definedName>
    <definedName name="new5_15_14_10">NA()</definedName>
    <definedName name="new5_15_15_10">NA()</definedName>
    <definedName name="new5_15_4_10">NA()</definedName>
    <definedName name="new5_15_5_10">NA()</definedName>
    <definedName name="new5_16_10">NA()</definedName>
    <definedName name="new5_16_12_10">NA()</definedName>
    <definedName name="new5_16_13_10">NA()</definedName>
    <definedName name="new5_16_14_10">NA()</definedName>
    <definedName name="new5_16_15_10">NA()</definedName>
    <definedName name="new5_16_4_10">NA()</definedName>
    <definedName name="new5_16_5_10">NA()</definedName>
    <definedName name="new5_4_10">NA()</definedName>
    <definedName name="new5_5_1_10">NA()</definedName>
    <definedName name="new5_5_10">NA()</definedName>
    <definedName name="new5_5_12_10">NA()</definedName>
    <definedName name="new5_5_13_10">NA()</definedName>
    <definedName name="new5_5_14_10">NA()</definedName>
    <definedName name="new5_5_15_10">NA()</definedName>
    <definedName name="new5_5_4_10">NA()</definedName>
    <definedName name="new5_5_5_10">NA()</definedName>
    <definedName name="new5_7_10">NA()</definedName>
    <definedName name="new5_7_12_10">NA()</definedName>
    <definedName name="new5_7_13_10">NA()</definedName>
    <definedName name="new5_7_14_10">NA()</definedName>
    <definedName name="new5_7_15_10">NA()</definedName>
    <definedName name="new5_7_4_10">NA()</definedName>
    <definedName name="new5_7_5_10">NA()</definedName>
    <definedName name="new5_8_10">NA()</definedName>
    <definedName name="new5_8_12_10">NA()</definedName>
    <definedName name="new5_8_13_10">NA()</definedName>
    <definedName name="new5_8_14_10">NA()</definedName>
    <definedName name="new5_8_15_10">NA()</definedName>
    <definedName name="new5_8_4_10">NA()</definedName>
    <definedName name="new5_8_5_10">NA()</definedName>
    <definedName name="new5_9_10">NA()</definedName>
    <definedName name="new5_9_12_10">NA()</definedName>
    <definedName name="new5_9_13_10">NA()</definedName>
    <definedName name="new5_9_14_10">NA()</definedName>
    <definedName name="new5_9_15_10">NA()</definedName>
    <definedName name="new5_9_4_10">NA()</definedName>
    <definedName name="new5_9_5_10">NA()</definedName>
    <definedName name="newb_10_10">NA()</definedName>
    <definedName name="newb_10_12_10">NA()</definedName>
    <definedName name="newb_10_13_10">NA()</definedName>
    <definedName name="newb_10_14_10">NA()</definedName>
    <definedName name="newb_10_15_10">NA()</definedName>
    <definedName name="newb_10_4_10">NA()</definedName>
    <definedName name="newb_10_5_10">NA()</definedName>
    <definedName name="newb_11_10">NA()</definedName>
    <definedName name="newb_11_12_10">NA()</definedName>
    <definedName name="newb_11_13_10">NA()</definedName>
    <definedName name="newb_11_14_10">NA()</definedName>
    <definedName name="newb_11_15_10">NA()</definedName>
    <definedName name="newb_11_4_10">NA()</definedName>
    <definedName name="newb_11_5_10">NA()</definedName>
    <definedName name="newb_12_1_10">NA()</definedName>
    <definedName name="newb_12_10">NA()</definedName>
    <definedName name="newb_12_12_10">NA()</definedName>
    <definedName name="newb_12_13_10">NA()</definedName>
    <definedName name="newb_12_14_10">NA()</definedName>
    <definedName name="newb_12_15_10">NA()</definedName>
    <definedName name="newb_12_4_10">NA()</definedName>
    <definedName name="newb_12_5_10">NA()</definedName>
    <definedName name="newb_13_1_10">NA()</definedName>
    <definedName name="newb_13_10">NA()</definedName>
    <definedName name="newb_13_12_10">NA()</definedName>
    <definedName name="newb_13_13_10">NA()</definedName>
    <definedName name="newb_13_14_10">NA()</definedName>
    <definedName name="newb_13_15_10">NA()</definedName>
    <definedName name="newb_13_4_10">NA()</definedName>
    <definedName name="newb_13_5_10">NA()</definedName>
    <definedName name="newb_14_1_10">NA()</definedName>
    <definedName name="newb_14_10">NA()</definedName>
    <definedName name="newb_14_12_10">NA()</definedName>
    <definedName name="newb_14_13_10">NA()</definedName>
    <definedName name="newb_14_14_10">NA()</definedName>
    <definedName name="newb_14_15_10">NA()</definedName>
    <definedName name="newb_14_4_10">NA()</definedName>
    <definedName name="newb_14_5_10">NA()</definedName>
    <definedName name="newb_15_1_10">NA()</definedName>
    <definedName name="newb_15_10">NA()</definedName>
    <definedName name="newb_15_12_10">NA()</definedName>
    <definedName name="newb_15_13_10">NA()</definedName>
    <definedName name="newb_15_14_10">NA()</definedName>
    <definedName name="newb_15_15_10">NA()</definedName>
    <definedName name="newb_15_4_10">NA()</definedName>
    <definedName name="newb_15_5_10">NA()</definedName>
    <definedName name="newb_16_10">NA()</definedName>
    <definedName name="newb_16_12_10">NA()</definedName>
    <definedName name="newb_16_13_10">NA()</definedName>
    <definedName name="newb_16_14_10">NA()</definedName>
    <definedName name="newb_16_15_10">NA()</definedName>
    <definedName name="newb_16_4_10">NA()</definedName>
    <definedName name="newb_16_5_10">NA()</definedName>
    <definedName name="newb_4_10">NA()</definedName>
    <definedName name="newb_5_1_10">NA()</definedName>
    <definedName name="newb_5_10">NA()</definedName>
    <definedName name="newb_5_12_10">NA()</definedName>
    <definedName name="newb_5_13_10">NA()</definedName>
    <definedName name="newb_5_14_10">NA()</definedName>
    <definedName name="newb_5_15_10">NA()</definedName>
    <definedName name="newb_5_4_10">NA()</definedName>
    <definedName name="newb_5_5_10">NA()</definedName>
    <definedName name="newb_7_10">NA()</definedName>
    <definedName name="newb_7_12_10">NA()</definedName>
    <definedName name="newb_7_13_10">NA()</definedName>
    <definedName name="newb_7_14_10">NA()</definedName>
    <definedName name="newb_7_15_10">NA()</definedName>
    <definedName name="newb_7_4_10">NA()</definedName>
    <definedName name="newb_7_5_10">NA()</definedName>
    <definedName name="newb_8_10">NA()</definedName>
    <definedName name="newb_8_12_10">NA()</definedName>
    <definedName name="newb_8_13_10">NA()</definedName>
    <definedName name="newb_8_14_10">NA()</definedName>
    <definedName name="newb_8_15_10">NA()</definedName>
    <definedName name="newb_8_4_10">NA()</definedName>
    <definedName name="newb_8_5_10">NA()</definedName>
    <definedName name="newb_9_10">NA()</definedName>
    <definedName name="newb_9_12_10">NA()</definedName>
    <definedName name="newb_9_13_10">NA()</definedName>
    <definedName name="newb_9_14_10">NA()</definedName>
    <definedName name="newb_9_15_10">NA()</definedName>
    <definedName name="newb_9_4_10">NA()</definedName>
    <definedName name="newb_9_5_10">NA()</definedName>
    <definedName name="NNNNN" localSheetId="21">#REF!</definedName>
    <definedName name="NNNNN" localSheetId="20">#REF!</definedName>
    <definedName name="NNNNN" localSheetId="35">#REF!</definedName>
    <definedName name="NNNNN" localSheetId="55">#REF!</definedName>
    <definedName name="NNNNN" localSheetId="58">#REF!</definedName>
    <definedName name="NNNNN" localSheetId="6">#REF!</definedName>
    <definedName name="NNNNN" localSheetId="33">#REF!</definedName>
    <definedName name="NNNNN" localSheetId="13">#REF!</definedName>
    <definedName name="NNNNN" localSheetId="12">#REF!</definedName>
    <definedName name="NNNNN" localSheetId="5">#REF!</definedName>
    <definedName name="NNNNN">#REF!</definedName>
    <definedName name="Nusagolfres">#N/A</definedName>
    <definedName name="oke" hidden="1">'[15]HARGA MATERIAL'!$G$27:$X$33</definedName>
    <definedName name="out_let_TV">"pt_bpk"</definedName>
    <definedName name="paku">'[6]HARGA BAHAN'!$G$58</definedName>
    <definedName name="paku_bias">'[6]HARGA BAHAN'!$G$60</definedName>
    <definedName name="paku_skrup">'[7]HARGA BAHAN'!$H$151</definedName>
    <definedName name="paku_sumbat">'[7]HARGA BAHAN'!$H$152</definedName>
    <definedName name="pasir_cor">'[7]HARGA BAHAN'!$H$144</definedName>
    <definedName name="pasir_pasang">'[7]HARGA BAHAN'!$H$143</definedName>
    <definedName name="pasir_urug">'[7]HARGA BAHAN'!$H$145</definedName>
    <definedName name="paving">'[7]HARGA BAHAN'!$H$167</definedName>
    <definedName name="pek">'[6]HARGA BAHAN'!$G$12</definedName>
    <definedName name="pel">[7]Data!$D$13</definedName>
    <definedName name="pen">'[7]New MADC'!$AK$35</definedName>
    <definedName name="peralatanlas">'[7]HARGA BAHAN'!$H$215</definedName>
    <definedName name="perlengkapan">'[7]HARGA BAHAN'!$H$114</definedName>
    <definedName name="pintuframlees90x120">'[7]HARGA BAHAN'!$H$113</definedName>
    <definedName name="pipapvc_1">'[7]HARGA BAHAN'!$H$158</definedName>
    <definedName name="pipapvc_1_1_4">'[7]HARGA BAHAN'!$H$159</definedName>
    <definedName name="pipapvc_1_2">'[7]HARGA BAHAN'!$H$156</definedName>
    <definedName name="pipapvc_2">'[7]HARGA BAHAN'!$H$160</definedName>
    <definedName name="pipapvc_3">'[7]HARGA BAHAN'!$H$161</definedName>
    <definedName name="pipapvc_3_4">'[7]HARGA BAHAN'!$H$157</definedName>
    <definedName name="pipapvc_4">'[7]HARGA BAHAN'!$H$162</definedName>
    <definedName name="pipapvc_listrik3_8">'[7]HARGA BAHAN'!$H$163</definedName>
    <definedName name="plamir_kayu">'[7]HARGA BAHAN'!$H$155</definedName>
    <definedName name="plamir_tembok">'[7]HARGA BAHAN'!$H$154</definedName>
    <definedName name="PLOU" localSheetId="21">#REF!</definedName>
    <definedName name="PLOU" localSheetId="20">#REF!</definedName>
    <definedName name="PLOU" localSheetId="35">#REF!</definedName>
    <definedName name="PLOU" localSheetId="55">#REF!</definedName>
    <definedName name="PLOU" localSheetId="58">#REF!</definedName>
    <definedName name="PLOU" localSheetId="6">#REF!</definedName>
    <definedName name="PLOU" localSheetId="33">#REF!</definedName>
    <definedName name="PLOU" localSheetId="13">#REF!</definedName>
    <definedName name="PLOU" localSheetId="12">#REF!</definedName>
    <definedName name="PLOU" localSheetId="5">#REF!</definedName>
    <definedName name="PLOU">#REF!</definedName>
    <definedName name="plyw_4">'[6]HARGA BAHAN'!$G$51</definedName>
    <definedName name="plyw_9">'[6]HARGA BAHAN'!$G$52</definedName>
    <definedName name="pohon_pelindung">'[7]HARGA BAHAN'!$H$168</definedName>
    <definedName name="politur">'[7]HARGA BAHAN'!$H$170</definedName>
    <definedName name="_xlnm.Print_Area" localSheetId="34">' LOMDES'!$A$1:$I$42</definedName>
    <definedName name="_xlnm.Print_Area" localSheetId="16">'1.1 Siltun Kds'!$A$1:$H$33</definedName>
    <definedName name="_xlnm.Print_Area" localSheetId="27">'1.10 Hnr RKP'!$A$1:$H$36</definedName>
    <definedName name="_xlnm.Print_Area" localSheetId="28">'1.11 Aset'!$A$1:$H$32</definedName>
    <definedName name="_xlnm.Print_Area" localSheetId="29">'1.12 Pemilihan BPD'!$A$1:$H$54</definedName>
    <definedName name="_xlnm.Print_Area" localSheetId="31">'1.13 PBB'!$A$1:$H$32</definedName>
    <definedName name="_xlnm.Print_Area" localSheetId="30">'1.13 Profil'!$A$1:$H$29</definedName>
    <definedName name="_xlnm.Print_Area" localSheetId="32">'1.14 TKD'!$A$1:$H$33</definedName>
    <definedName name="_xlnm.Print_Area" localSheetId="17">'1.2 Siltun Prngkt '!$A$1:$G$43</definedName>
    <definedName name="_xlnm.Print_Area" localSheetId="18">'1.3 Bpjs '!$A$1:$H$34</definedName>
    <definedName name="_xlnm.Print_Area" localSheetId="22">'1.5 BPD'!$A$1:$H$30</definedName>
    <definedName name="_xlnm.Print_Area" localSheetId="23">'1.6 OP BPD'!$A$1:$H$50</definedName>
    <definedName name="_xlnm.Print_Area" localSheetId="24">'1.7 RT'!$A$1:$H$43</definedName>
    <definedName name="_xlnm.Print_Area" localSheetId="25">'1.8 Mdl'!$A$1:$H$30</definedName>
    <definedName name="_xlnm.Print_Area" localSheetId="26">'1.9 Musdes'!$A$1:$H$31</definedName>
    <definedName name="_xlnm.Print_Area" localSheetId="36">'2.1 PAMSIMAS'!$A$1:$H$39</definedName>
    <definedName name="_xlnm.Print_Area" localSheetId="35">'2.1 PAMSIMAS (2)'!$A$1:$H$39</definedName>
    <definedName name="_xlnm.Print_Area" localSheetId="37">'2.1 PAUD DAN TK'!$A$1:$H$30</definedName>
    <definedName name="_xlnm.Print_Area" localSheetId="39">'2.2 HONOR MAdrasah'!$A$1:$H$28</definedName>
    <definedName name="_xlnm.Print_Area" localSheetId="38">'2.2 PAUD DAN TK (Teralis TK)'!$A$1:$H$68</definedName>
    <definedName name="_xlnm.Print_Area" localSheetId="40">'2.3A. PSYANDU'!$A$1:$H$38</definedName>
    <definedName name="_xlnm.Print_Area" localSheetId="41">'3.1 Linmas'!$A$1:$H$29</definedName>
    <definedName name="_xlnm.Print_Area" localSheetId="42">'3.2 Kagmaan SARA'!$A$1:$H$32</definedName>
    <definedName name="_xlnm.Print_Area" localSheetId="43">'3.3 HUT RI'!$A$1:$H$38</definedName>
    <definedName name="_xlnm.Print_Area" localSheetId="45">'3.4 KATARUNA'!$A$1:$H$29</definedName>
    <definedName name="_xlnm.Print_Area" localSheetId="46">'3.5 L.A'!$A$1:$H$30</definedName>
    <definedName name="_xlnm.Print_Area" localSheetId="47">'3.6 LPM'!$A$1:$H$31</definedName>
    <definedName name="_xlnm.Print_Area" localSheetId="48">'3.7 PKK'!$A$1:$H$66</definedName>
    <definedName name="_xlnm.Print_Area" localSheetId="49">'3.8 HONOR RT'!$A$1:$H$30</definedName>
    <definedName name="_xlnm.Print_Area" localSheetId="50">'4.1 Kds'!$A$1:$H$60</definedName>
    <definedName name="_xlnm.Print_Area" localSheetId="51">'4.2 Prnkt'!$A$1:$H$62</definedName>
    <definedName name="_xlnm.Print_Area" localSheetId="11">'4.3 Pelatihan karng taruna'!$A$1:$H$53</definedName>
    <definedName name="_xlnm.Print_Area" localSheetId="10">'4.4 Bintek Perikanan'!$A$1:$H$74</definedName>
    <definedName name="_xlnm.Print_Area" localSheetId="52">'4.5 Embung'!$A$1:$I$32</definedName>
    <definedName name="_xlnm.Print_Area" localSheetId="7">'DU-RKP'!$A$1:$K$43</definedName>
    <definedName name="_xlnm.Print_Area" localSheetId="3">'Pnj APBDES'!$A$1:$N$341</definedName>
    <definedName name="_xlnm.Print_Area" localSheetId="33">'PSI Desa'!$A$1:$H$31</definedName>
    <definedName name="_xlnm.Print_Area" localSheetId="15">RAK!$A$1:$X$311</definedName>
    <definedName name="_xlnm.Print_Area" localSheetId="13">'RAK '!$A$1:$X$353</definedName>
    <definedName name="_xlnm.Print_Area" localSheetId="1">'RAK COBA COBA'!$A$1:$Z$451</definedName>
    <definedName name="_xlnm.Print_Area" localSheetId="12">RKA!$A$1:$X$307</definedName>
    <definedName name="_xlnm.Print_Area" localSheetId="14">RKK!$A$2:$T$81</definedName>
    <definedName name="_xlnm.Print_Area">'[16]F-25.b LEMBAR CATATAN'!$A$3:$L$68</definedName>
    <definedName name="psr_urug">'[6]HARGA BAHAN'!$G$36</definedName>
    <definedName name="ptt">[7]Data!$D$26</definedName>
    <definedName name="pupuk_kandang">'[7]HARGA BAHAN'!$H$169</definedName>
    <definedName name="QRY.3" hidden="1">'[17]Agregat Halus &amp; Kasar'!$I$12:$I$20</definedName>
    <definedName name="rangka_bajazincalum">'[7]HARGA BAHAN'!$H$172</definedName>
    <definedName name="residu">'[6]HARGA BAHAN'!$G$72</definedName>
    <definedName name="roster25x25">'[7]HARGA BAHAN'!$H$175</definedName>
    <definedName name="semenPC">'[7]HARGA BAHAN'!$H$184</definedName>
    <definedName name="semenwarna">'[7]HARGA BAHAN'!$H$185</definedName>
    <definedName name="seng_gel">'[6]HARGA BAHAN'!$G$62</definedName>
    <definedName name="seng_gelombang">'[7]HARGA BAHAN'!$H$189</definedName>
    <definedName name="seng_plt">'[6]HARGA BAHAN'!$G$63</definedName>
    <definedName name="sengplat_3x6">'[7]HARGA BAHAN'!$H$188</definedName>
    <definedName name="sengplat_60">'[7]HARGA BAHAN'!$H$187</definedName>
    <definedName name="sengplat_90">'[7]HARGA BAHAN'!$H$186</definedName>
    <definedName name="sewaperancah">'[7]HARGA BAHAN'!$H$194</definedName>
    <definedName name="sewascofulding">'[7]HARGA BAHAN'!$H$195</definedName>
    <definedName name="Sisa_ADD">'Pnj APBDES'!$T$33</definedName>
    <definedName name="Sisa_BKP">'Pnj APBDES'!$X$33</definedName>
    <definedName name="Sisa_DD">'Pnj APBDES'!$U$33</definedName>
    <definedName name="Sisa_PAD">'Pnj APBDES'!$W$33</definedName>
    <definedName name="Sisa_PBH">'Pnj APBDES'!$V$33</definedName>
    <definedName name="smn">'[6]HARGA BAHAN'!$G$32</definedName>
    <definedName name="SSS" localSheetId="21">#REF!</definedName>
    <definedName name="SSS" localSheetId="20">#REF!</definedName>
    <definedName name="SSS" localSheetId="35">#REF!</definedName>
    <definedName name="SSS" localSheetId="55">#REF!</definedName>
    <definedName name="SSS" localSheetId="58">#REF!</definedName>
    <definedName name="SSS" localSheetId="6">#REF!</definedName>
    <definedName name="SSS" localSheetId="33">#REF!</definedName>
    <definedName name="SSS" localSheetId="13">#REF!</definedName>
    <definedName name="SSS" localSheetId="12">#REF!</definedName>
    <definedName name="SSS" localSheetId="5">#REF!</definedName>
    <definedName name="SSS">#REF!</definedName>
    <definedName name="steeldeck">'[7]HARGA BAHAN'!$H$36</definedName>
    <definedName name="str">'[7]New MADC'!$AK$47</definedName>
    <definedName name="tanahurug">'[7]HARGA BAHAN'!$H$199</definedName>
    <definedName name="TaxTV">10%</definedName>
    <definedName name="TaxXL">5%</definedName>
    <definedName name="teakwood_4mm">'[7]HARGA BAHAN'!$H$202</definedName>
    <definedName name="teakwood_5mm">'[7]HARGA BAHAN'!$H$203</definedName>
    <definedName name="tepungGypsum">'[7]HARGA BAHAN'!$H$205</definedName>
    <definedName name="tgl">[7]Data!$D$30</definedName>
    <definedName name="thinner">'[7]HARGA BAHAN'!$H$198</definedName>
    <definedName name="tk">'[7]HARGA BAHAN'!$H$14</definedName>
    <definedName name="tkg_batu">'[6]HARGA BAHAN'!$G$14</definedName>
    <definedName name="tkg_kayu">'[6]HARGA BAHAN'!$G$13</definedName>
    <definedName name="tnh_urug">'[6]HARGA BAHAN'!$G$37</definedName>
    <definedName name="TPAPD" localSheetId="21">#REF!</definedName>
    <definedName name="TPAPD" localSheetId="20">#REF!</definedName>
    <definedName name="TPAPD" localSheetId="35">#REF!</definedName>
    <definedName name="TPAPD" localSheetId="55">#REF!</definedName>
    <definedName name="TPAPD" localSheetId="58">#REF!</definedName>
    <definedName name="TPAPD" localSheetId="6">#REF!</definedName>
    <definedName name="TPAPD" localSheetId="33">#REF!</definedName>
    <definedName name="TPAPD" localSheetId="13">#REF!</definedName>
    <definedName name="TPAPD" localSheetId="12">#REF!</definedName>
    <definedName name="TPAPD" localSheetId="5">#REF!</definedName>
    <definedName name="TPAPD">#REF!</definedName>
    <definedName name="trplk_3mm">'[7]HARGA BAHAN'!$H$201</definedName>
    <definedName name="urinoir_toto">'[7]HARGA BAHAN'!$H$206</definedName>
    <definedName name="vernis">'[7]HARGA BAHAN'!$H$209</definedName>
    <definedName name="versabord6mm">'[7]HARGA BAHAN'!$H$207</definedName>
    <definedName name="versaplank6mm">'[7]HARGA BAHAN'!$H$208</definedName>
    <definedName name="wapel">[7]Data!$D$15</definedName>
    <definedName name="westafel_toto">'[7]HARGA BAHAN'!$H$210</definedName>
    <definedName name="wtr_prfcoat">'[6]HARGA BAHAN'!$G$40</definedName>
    <definedName name="wtr_stp">'[6]HARGA BAHAN'!$G$39</definedName>
    <definedName name="XCCT">0.5</definedName>
    <definedName name="y" hidden="1">#N/A</definedName>
    <definedName name="ykk_40x100">'[7]HARGA BAHAN'!$H$101</definedName>
    <definedName name="Z_0F09EDAE_127A_4543_88A5_04139BD32AD8_.wvu.Cols" localSheetId="34" hidden="1">' LOMDES'!$G:$G</definedName>
    <definedName name="Z_0F09EDAE_127A_4543_88A5_04139BD32AD8_.wvu.Cols" localSheetId="52" hidden="1">'4.5 Embung'!$G:$G</definedName>
    <definedName name="Z_0F09EDAE_127A_4543_88A5_04139BD32AD8_.wvu.Cols" localSheetId="9" hidden="1">APBDES!$J:$J,APBDES!$P:$P</definedName>
    <definedName name="Z_0F09EDAE_127A_4543_88A5_04139BD32AD8_.wvu.Cols" localSheetId="6" hidden="1">'Buku-besar-RKP-Perubahan'!$G:$H,'Buku-besar-RKP-Perubahan'!$O:$R</definedName>
    <definedName name="Z_0F09EDAE_127A_4543_88A5_04139BD32AD8_.wvu.Cols" localSheetId="3" hidden="1">'Pnj APBDES'!$P:$Q</definedName>
    <definedName name="Z_0F09EDAE_127A_4543_88A5_04139BD32AD8_.wvu.Cols" localSheetId="4" hidden="1">RKP!$G:$H,RKP!$K:$N</definedName>
    <definedName name="Z_0F09EDAE_127A_4543_88A5_04139BD32AD8_.wvu.Cols" localSheetId="5" hidden="1">'RKP (2)'!$G:$H,'RKP (2)'!$V:$Y</definedName>
    <definedName name="Z_0F09EDAE_127A_4543_88A5_04139BD32AD8_.wvu.PrintArea" localSheetId="34" hidden="1">' LOMDES'!$A$1:$I$42</definedName>
    <definedName name="Z_0F09EDAE_127A_4543_88A5_04139BD32AD8_.wvu.PrintArea" localSheetId="16" hidden="1">'1.1 Siltun Kds'!$A$1:$H$33</definedName>
    <definedName name="Z_0F09EDAE_127A_4543_88A5_04139BD32AD8_.wvu.PrintArea" localSheetId="27" hidden="1">'1.10 Hnr RKP'!$A$1:$H$36</definedName>
    <definedName name="Z_0F09EDAE_127A_4543_88A5_04139BD32AD8_.wvu.PrintArea" localSheetId="28" hidden="1">'1.11 Aset'!$A$1:$H$32</definedName>
    <definedName name="Z_0F09EDAE_127A_4543_88A5_04139BD32AD8_.wvu.PrintArea" localSheetId="29" hidden="1">'1.12 Pemilihan BPD'!$A$1:$H$54</definedName>
    <definedName name="Z_0F09EDAE_127A_4543_88A5_04139BD32AD8_.wvu.PrintArea" localSheetId="31" hidden="1">'1.13 PBB'!$A$1:$H$32</definedName>
    <definedName name="Z_0F09EDAE_127A_4543_88A5_04139BD32AD8_.wvu.PrintArea" localSheetId="30" hidden="1">'1.13 Profil'!$A$1:$H$29</definedName>
    <definedName name="Z_0F09EDAE_127A_4543_88A5_04139BD32AD8_.wvu.PrintArea" localSheetId="32" hidden="1">'1.14 TKD'!$A$1:$H$33</definedName>
    <definedName name="Z_0F09EDAE_127A_4543_88A5_04139BD32AD8_.wvu.PrintArea" localSheetId="17" hidden="1">'1.2 Siltun Prngkt '!$A$1:$G$43</definedName>
    <definedName name="Z_0F09EDAE_127A_4543_88A5_04139BD32AD8_.wvu.PrintArea" localSheetId="18" hidden="1">'1.3 Bpjs '!$A$1:$H$34</definedName>
    <definedName name="Z_0F09EDAE_127A_4543_88A5_04139BD32AD8_.wvu.PrintArea" localSheetId="22" hidden="1">'1.5 BPD'!$A$1:$H$30</definedName>
    <definedName name="Z_0F09EDAE_127A_4543_88A5_04139BD32AD8_.wvu.PrintArea" localSheetId="23" hidden="1">'1.6 OP BPD'!$A$1:$H$50</definedName>
    <definedName name="Z_0F09EDAE_127A_4543_88A5_04139BD32AD8_.wvu.PrintArea" localSheetId="24" hidden="1">'1.7 RT'!$A$1:$H$43</definedName>
    <definedName name="Z_0F09EDAE_127A_4543_88A5_04139BD32AD8_.wvu.PrintArea" localSheetId="25" hidden="1">'1.8 Mdl'!$A$1:$H$30</definedName>
    <definedName name="Z_0F09EDAE_127A_4543_88A5_04139BD32AD8_.wvu.PrintArea" localSheetId="26" hidden="1">'1.9 Musdes'!$A$1:$H$31</definedName>
    <definedName name="Z_0F09EDAE_127A_4543_88A5_04139BD32AD8_.wvu.PrintArea" localSheetId="36" hidden="1">'2.1 PAMSIMAS'!$A$1:$H$39</definedName>
    <definedName name="Z_0F09EDAE_127A_4543_88A5_04139BD32AD8_.wvu.PrintArea" localSheetId="35" hidden="1">'2.1 PAMSIMAS (2)'!$A$1:$H$39</definedName>
    <definedName name="Z_0F09EDAE_127A_4543_88A5_04139BD32AD8_.wvu.PrintArea" localSheetId="37" hidden="1">'2.1 PAUD DAN TK'!$A$1:$H$30</definedName>
    <definedName name="Z_0F09EDAE_127A_4543_88A5_04139BD32AD8_.wvu.PrintArea" localSheetId="39" hidden="1">'2.2 HONOR MAdrasah'!$A$1:$H$28</definedName>
    <definedName name="Z_0F09EDAE_127A_4543_88A5_04139BD32AD8_.wvu.PrintArea" localSheetId="38" hidden="1">'2.2 PAUD DAN TK (Teralis TK)'!$A$1:$H$68</definedName>
    <definedName name="Z_0F09EDAE_127A_4543_88A5_04139BD32AD8_.wvu.PrintArea" localSheetId="40" hidden="1">'2.3A. PSYANDU'!$A$1:$H$38</definedName>
    <definedName name="Z_0F09EDAE_127A_4543_88A5_04139BD32AD8_.wvu.PrintArea" localSheetId="41" hidden="1">'3.1 Linmas'!$A$1:$H$29</definedName>
    <definedName name="Z_0F09EDAE_127A_4543_88A5_04139BD32AD8_.wvu.PrintArea" localSheetId="42" hidden="1">'3.2 Kagmaan SARA'!$A$1:$H$32</definedName>
    <definedName name="Z_0F09EDAE_127A_4543_88A5_04139BD32AD8_.wvu.PrintArea" localSheetId="43" hidden="1">'3.3 HUT RI'!$A$1:$H$38</definedName>
    <definedName name="Z_0F09EDAE_127A_4543_88A5_04139BD32AD8_.wvu.PrintArea" localSheetId="45" hidden="1">'3.4 KATARUNA'!$A$1:$H$29</definedName>
    <definedName name="Z_0F09EDAE_127A_4543_88A5_04139BD32AD8_.wvu.PrintArea" localSheetId="46" hidden="1">'3.5 L.A'!$A$1:$H$30</definedName>
    <definedName name="Z_0F09EDAE_127A_4543_88A5_04139BD32AD8_.wvu.PrintArea" localSheetId="47" hidden="1">'3.6 LPM'!$A$1:$H$31</definedName>
    <definedName name="Z_0F09EDAE_127A_4543_88A5_04139BD32AD8_.wvu.PrintArea" localSheetId="48" hidden="1">'3.7 PKK'!$A$1:$H$66</definedName>
    <definedName name="Z_0F09EDAE_127A_4543_88A5_04139BD32AD8_.wvu.PrintArea" localSheetId="49" hidden="1">'3.8 HONOR RT'!$A$1:$H$30</definedName>
    <definedName name="Z_0F09EDAE_127A_4543_88A5_04139BD32AD8_.wvu.PrintArea" localSheetId="50" hidden="1">'4.1 Kds'!$A$1:$H$60</definedName>
    <definedName name="Z_0F09EDAE_127A_4543_88A5_04139BD32AD8_.wvu.PrintArea" localSheetId="51" hidden="1">'4.2 Prnkt'!$A$1:$H$62</definedName>
    <definedName name="Z_0F09EDAE_127A_4543_88A5_04139BD32AD8_.wvu.PrintArea" localSheetId="11" hidden="1">'4.3 Pelatihan karng taruna'!$A$1:$H$53</definedName>
    <definedName name="Z_0F09EDAE_127A_4543_88A5_04139BD32AD8_.wvu.PrintArea" localSheetId="10" hidden="1">'4.4 Bintek Perikanan'!$A$1:$H$74</definedName>
    <definedName name="Z_0F09EDAE_127A_4543_88A5_04139BD32AD8_.wvu.PrintArea" localSheetId="52" hidden="1">'4.5 Embung'!$A$1:$I$32</definedName>
    <definedName name="Z_0F09EDAE_127A_4543_88A5_04139BD32AD8_.wvu.PrintArea" localSheetId="7" hidden="1">'DU-RKP'!$A$1:$K$43</definedName>
    <definedName name="Z_0F09EDAE_127A_4543_88A5_04139BD32AD8_.wvu.PrintArea" localSheetId="3" hidden="1">'Pnj APBDES'!$A$1:$N$341</definedName>
    <definedName name="Z_0F09EDAE_127A_4543_88A5_04139BD32AD8_.wvu.PrintArea" localSheetId="33" hidden="1">'PSI Desa'!$A$1:$H$31</definedName>
    <definedName name="Z_0F09EDAE_127A_4543_88A5_04139BD32AD8_.wvu.PrintArea" localSheetId="15" hidden="1">RAK!$A$1:$X$311</definedName>
    <definedName name="Z_0F09EDAE_127A_4543_88A5_04139BD32AD8_.wvu.PrintArea" localSheetId="13" hidden="1">'RAK '!$A$1:$X$353</definedName>
    <definedName name="Z_0F09EDAE_127A_4543_88A5_04139BD32AD8_.wvu.PrintArea" localSheetId="1" hidden="1">'RAK COBA COBA'!$A$1:$Z$451</definedName>
    <definedName name="Z_0F09EDAE_127A_4543_88A5_04139BD32AD8_.wvu.PrintArea" localSheetId="12" hidden="1">RKA!$A$1:$X$307</definedName>
    <definedName name="Z_0F09EDAE_127A_4543_88A5_04139BD32AD8_.wvu.PrintArea" localSheetId="14" hidden="1">RKK!$A$2:$T$81</definedName>
    <definedName name="Z_0F09EDAE_127A_4543_88A5_04139BD32AD8_.wvu.Rows" localSheetId="44" hidden="1">'3.9 STQ - '!$64:$64</definedName>
    <definedName name="Z_0F09EDAE_127A_4543_88A5_04139BD32AD8_.wvu.Rows" localSheetId="52" hidden="1">'4.5 Embung'!$2:$2</definedName>
    <definedName name="Z_0F09EDAE_127A_4543_88A5_04139BD32AD8_.wvu.Rows" localSheetId="3" hidden="1">'Pnj APBDES'!$131:$134</definedName>
    <definedName name="Z_0F09EDAE_127A_4543_88A5_04139BD32AD8_.wvu.Rows" localSheetId="1" hidden="1">'RAK COBA COBA'!$73:$74</definedName>
    <definedName name="Z_0F09EDAE_127A_4543_88A5_04139BD32AD8_.wvu.Rows" localSheetId="12" hidden="1">RKA!$65:$65</definedName>
    <definedName name="Z_4A4DBCF5_6E02_43D6_8F4D_223D21633DB8_.wvu.Rows" hidden="1">'[18]Analisa SNI STANDART '!$A$155:$IV$155,'[18]Analisa SNI STANDART '!$A$3144:$IV$3431</definedName>
    <definedName name="Z_60C09D59_E1B8_4DE0_84A5_C4D52EC877AC_.wvu.Rows" hidden="1">'[3]Analis Kusen okk'!$A$17:$IV$20,'[3]Analis Kusen okk'!$A$25:$IV$26,'[3]Analis Kusen okk'!$A$28:$IV$30,'[3]Analis Kusen okk'!$A$33:$IV$42,'[3]Analis Kusen okk'!$A$44:$IV$44,'[3]Analis Kusen okk'!$A$47:$IV$50,'[3]Analis Kusen okk'!$A$52:$IV$60,'[3]Analis Kusen okk'!$A$65:$IV$67,'[3]Analis Kusen okk'!$A$143:$IV$878</definedName>
    <definedName name="Z_B7ECE3D3_2ECC_46BB_8023_6ED3FA0C614C_.wvu.PrintTitles" localSheetId="44" hidden="1">'3.9 STQ - '!$11:$13</definedName>
    <definedName name="Z_B7ECE3D3_2ECC_46BB_8023_6ED3FA0C614C_.wvu.Rows" localSheetId="44" hidden="1">'3.9 STQ - '!$64:$64</definedName>
    <definedName name="Z_C05430D3_5A25_4A4C_823C_7D6EA772E5F0_.wvu.Cols" localSheetId="34" hidden="1">' LOMDES'!$G:$G</definedName>
    <definedName name="Z_C05430D3_5A25_4A4C_823C_7D6EA772E5F0_.wvu.Cols" localSheetId="52" hidden="1">'4.5 Embung'!$G:$G</definedName>
    <definedName name="Z_C05430D3_5A25_4A4C_823C_7D6EA772E5F0_.wvu.Cols" localSheetId="9" hidden="1">APBDES!$J:$J,APBDES!$P:$P</definedName>
    <definedName name="Z_C05430D3_5A25_4A4C_823C_7D6EA772E5F0_.wvu.Cols" localSheetId="6" hidden="1">'Buku-besar-RKP-Perubahan'!$G:$H,'Buku-besar-RKP-Perubahan'!$O:$R</definedName>
    <definedName name="Z_C05430D3_5A25_4A4C_823C_7D6EA772E5F0_.wvu.Cols" localSheetId="3" hidden="1">'Pnj APBDES'!$P:$Q</definedName>
    <definedName name="Z_C05430D3_5A25_4A4C_823C_7D6EA772E5F0_.wvu.Cols" localSheetId="4" hidden="1">RKP!$G:$H,RKP!$K:$N</definedName>
    <definedName name="Z_C05430D3_5A25_4A4C_823C_7D6EA772E5F0_.wvu.Cols" localSheetId="5" hidden="1">'RKP (2)'!$G:$H,'RKP (2)'!$V:$Y</definedName>
    <definedName name="Z_C05430D3_5A25_4A4C_823C_7D6EA772E5F0_.wvu.PrintArea" localSheetId="34" hidden="1">' LOMDES'!$A$1:$I$42</definedName>
    <definedName name="Z_C05430D3_5A25_4A4C_823C_7D6EA772E5F0_.wvu.PrintArea" localSheetId="16" hidden="1">'1.1 Siltun Kds'!$A$1:$H$33</definedName>
    <definedName name="Z_C05430D3_5A25_4A4C_823C_7D6EA772E5F0_.wvu.PrintArea" localSheetId="27" hidden="1">'1.10 Hnr RKP'!$A$1:$H$36</definedName>
    <definedName name="Z_C05430D3_5A25_4A4C_823C_7D6EA772E5F0_.wvu.PrintArea" localSheetId="28" hidden="1">'1.11 Aset'!$A$1:$H$32</definedName>
    <definedName name="Z_C05430D3_5A25_4A4C_823C_7D6EA772E5F0_.wvu.PrintArea" localSheetId="29" hidden="1">'1.12 Pemilihan BPD'!$A$1:$H$54</definedName>
    <definedName name="Z_C05430D3_5A25_4A4C_823C_7D6EA772E5F0_.wvu.PrintArea" localSheetId="31" hidden="1">'1.13 PBB'!$A$1:$H$32</definedName>
    <definedName name="Z_C05430D3_5A25_4A4C_823C_7D6EA772E5F0_.wvu.PrintArea" localSheetId="30" hidden="1">'1.13 Profil'!$A$1:$H$29</definedName>
    <definedName name="Z_C05430D3_5A25_4A4C_823C_7D6EA772E5F0_.wvu.PrintArea" localSheetId="32" hidden="1">'1.14 TKD'!$A$1:$H$33</definedName>
    <definedName name="Z_C05430D3_5A25_4A4C_823C_7D6EA772E5F0_.wvu.PrintArea" localSheetId="17" hidden="1">'1.2 Siltun Prngkt '!$A$1:$G$43</definedName>
    <definedName name="Z_C05430D3_5A25_4A4C_823C_7D6EA772E5F0_.wvu.PrintArea" localSheetId="18" hidden="1">'1.3 Bpjs '!$A$1:$H$34</definedName>
    <definedName name="Z_C05430D3_5A25_4A4C_823C_7D6EA772E5F0_.wvu.PrintArea" localSheetId="22" hidden="1">'1.5 BPD'!$A$1:$H$30</definedName>
    <definedName name="Z_C05430D3_5A25_4A4C_823C_7D6EA772E5F0_.wvu.PrintArea" localSheetId="23" hidden="1">'1.6 OP BPD'!$A$1:$H$50</definedName>
    <definedName name="Z_C05430D3_5A25_4A4C_823C_7D6EA772E5F0_.wvu.PrintArea" localSheetId="24" hidden="1">'1.7 RT'!$A$1:$H$43</definedName>
    <definedName name="Z_C05430D3_5A25_4A4C_823C_7D6EA772E5F0_.wvu.PrintArea" localSheetId="25" hidden="1">'1.8 Mdl'!$A$1:$H$30</definedName>
    <definedName name="Z_C05430D3_5A25_4A4C_823C_7D6EA772E5F0_.wvu.PrintArea" localSheetId="26" hidden="1">'1.9 Musdes'!$A$1:$H$31</definedName>
    <definedName name="Z_C05430D3_5A25_4A4C_823C_7D6EA772E5F0_.wvu.PrintArea" localSheetId="36" hidden="1">'2.1 PAMSIMAS'!$A$1:$H$39</definedName>
    <definedName name="Z_C05430D3_5A25_4A4C_823C_7D6EA772E5F0_.wvu.PrintArea" localSheetId="35" hidden="1">'2.1 PAMSIMAS (2)'!$A$1:$H$39</definedName>
    <definedName name="Z_C05430D3_5A25_4A4C_823C_7D6EA772E5F0_.wvu.PrintArea" localSheetId="37" hidden="1">'2.1 PAUD DAN TK'!$A$1:$H$30</definedName>
    <definedName name="Z_C05430D3_5A25_4A4C_823C_7D6EA772E5F0_.wvu.PrintArea" localSheetId="39" hidden="1">'2.2 HONOR MAdrasah'!$A$1:$H$28</definedName>
    <definedName name="Z_C05430D3_5A25_4A4C_823C_7D6EA772E5F0_.wvu.PrintArea" localSheetId="38" hidden="1">'2.2 PAUD DAN TK (Teralis TK)'!$A$1:$H$68</definedName>
    <definedName name="Z_C05430D3_5A25_4A4C_823C_7D6EA772E5F0_.wvu.PrintArea" localSheetId="40" hidden="1">'2.3A. PSYANDU'!$A$1:$H$38</definedName>
    <definedName name="Z_C05430D3_5A25_4A4C_823C_7D6EA772E5F0_.wvu.PrintArea" localSheetId="41" hidden="1">'3.1 Linmas'!$A$1:$H$29</definedName>
    <definedName name="Z_C05430D3_5A25_4A4C_823C_7D6EA772E5F0_.wvu.PrintArea" localSheetId="42" hidden="1">'3.2 Kagmaan SARA'!$A$1:$H$32</definedName>
    <definedName name="Z_C05430D3_5A25_4A4C_823C_7D6EA772E5F0_.wvu.PrintArea" localSheetId="43" hidden="1">'3.3 HUT RI'!$A$1:$H$38</definedName>
    <definedName name="Z_C05430D3_5A25_4A4C_823C_7D6EA772E5F0_.wvu.PrintArea" localSheetId="45" hidden="1">'3.4 KATARUNA'!$A$1:$H$29</definedName>
    <definedName name="Z_C05430D3_5A25_4A4C_823C_7D6EA772E5F0_.wvu.PrintArea" localSheetId="46" hidden="1">'3.5 L.A'!$A$1:$H$30</definedName>
    <definedName name="Z_C05430D3_5A25_4A4C_823C_7D6EA772E5F0_.wvu.PrintArea" localSheetId="47" hidden="1">'3.6 LPM'!$A$1:$H$31</definedName>
    <definedName name="Z_C05430D3_5A25_4A4C_823C_7D6EA772E5F0_.wvu.PrintArea" localSheetId="48" hidden="1">'3.7 PKK'!$A$1:$H$66</definedName>
    <definedName name="Z_C05430D3_5A25_4A4C_823C_7D6EA772E5F0_.wvu.PrintArea" localSheetId="49" hidden="1">'3.8 HONOR RT'!$A$1:$H$30</definedName>
    <definedName name="Z_C05430D3_5A25_4A4C_823C_7D6EA772E5F0_.wvu.PrintArea" localSheetId="50" hidden="1">'4.1 Kds'!$A$1:$H$60</definedName>
    <definedName name="Z_C05430D3_5A25_4A4C_823C_7D6EA772E5F0_.wvu.PrintArea" localSheetId="51" hidden="1">'4.2 Prnkt'!$A$1:$H$62</definedName>
    <definedName name="Z_C05430D3_5A25_4A4C_823C_7D6EA772E5F0_.wvu.PrintArea" localSheetId="11" hidden="1">'4.3 Pelatihan karng taruna'!$A$1:$H$53</definedName>
    <definedName name="Z_C05430D3_5A25_4A4C_823C_7D6EA772E5F0_.wvu.PrintArea" localSheetId="10" hidden="1">'4.4 Bintek Perikanan'!$A$1:$H$74</definedName>
    <definedName name="Z_C05430D3_5A25_4A4C_823C_7D6EA772E5F0_.wvu.PrintArea" localSheetId="52" hidden="1">'4.5 Embung'!$A$1:$I$32</definedName>
    <definedName name="Z_C05430D3_5A25_4A4C_823C_7D6EA772E5F0_.wvu.PrintArea" localSheetId="7" hidden="1">'DU-RKP'!$A$1:$K$43</definedName>
    <definedName name="Z_C05430D3_5A25_4A4C_823C_7D6EA772E5F0_.wvu.PrintArea" localSheetId="3" hidden="1">'Pnj APBDES'!$A$1:$N$341</definedName>
    <definedName name="Z_C05430D3_5A25_4A4C_823C_7D6EA772E5F0_.wvu.PrintArea" localSheetId="33" hidden="1">'PSI Desa'!$A$1:$H$31</definedName>
    <definedName name="Z_C05430D3_5A25_4A4C_823C_7D6EA772E5F0_.wvu.PrintArea" localSheetId="15" hidden="1">RAK!$A$1:$X$311</definedName>
    <definedName name="Z_C05430D3_5A25_4A4C_823C_7D6EA772E5F0_.wvu.PrintArea" localSheetId="13" hidden="1">'RAK '!$A$1:$X$353</definedName>
    <definedName name="Z_C05430D3_5A25_4A4C_823C_7D6EA772E5F0_.wvu.PrintArea" localSheetId="1" hidden="1">'RAK COBA COBA'!$A$1:$Z$451</definedName>
    <definedName name="Z_C05430D3_5A25_4A4C_823C_7D6EA772E5F0_.wvu.PrintArea" localSheetId="12" hidden="1">RKA!$A$1:$X$307</definedName>
    <definedName name="Z_C05430D3_5A25_4A4C_823C_7D6EA772E5F0_.wvu.PrintArea" localSheetId="14" hidden="1">RKK!$A$2:$T$81</definedName>
    <definedName name="Z_C05430D3_5A25_4A4C_823C_7D6EA772E5F0_.wvu.Rows" localSheetId="44" hidden="1">'3.9 STQ - '!$64:$64</definedName>
    <definedName name="Z_C05430D3_5A25_4A4C_823C_7D6EA772E5F0_.wvu.Rows" localSheetId="52" hidden="1">'4.5 Embung'!$2:$2</definedName>
    <definedName name="Z_C05430D3_5A25_4A4C_823C_7D6EA772E5F0_.wvu.Rows" localSheetId="3" hidden="1">'Pnj APBDES'!$131:$134</definedName>
    <definedName name="Z_C05430D3_5A25_4A4C_823C_7D6EA772E5F0_.wvu.Rows" localSheetId="1" hidden="1">'RAK COBA COBA'!$73:$74</definedName>
    <definedName name="Z_C05430D3_5A25_4A4C_823C_7D6EA772E5F0_.wvu.Rows" localSheetId="12" hidden="1">RKA!$65:$65</definedName>
    <definedName name="Z_C5F07B99_5B9B_4D7E_8E51_7715CFFC23CA_.wvu.Rows" hidden="1">[19]Estimate!$A$32:$IV$42,[19]Estimate!$A$56:$IV$63,[19]Estimate!$A$69:$IV$72,[19]Estimate!$A$85:$IV$90,[19]Estimate!$A$103:$IV$108,[19]Estimate!$A$125:$IV$126,[19]Estimate!$A$142:$IV$147,[19]Estimate!$A$151:$IV$154,[19]Estimate!$A$158:$IV$191,[19]Estimate!$A$193:$IV$194,[19]Estimate!$A$198:$IV$225,[19]Estimate!$A$227:$IV$232,[19]Estimate!$A$253:$IV$254,[19]Estimate!$A$265:$IV$274,[19]Estimate!$A$287:$IV$316,[19]Estimate!$A$319:$IV$354</definedName>
    <definedName name="Z_C68F7E66_DBEE_4C62_8CE7_6B99B31303FC_.wvu.Rows" hidden="1">'[20]AnalisaSIPIL RIIL'!$A$208:$IV$214,'[20]AnalisaSIPIL RIIL'!$A$224:$IV$231,'[20]AnalisaSIPIL RIIL'!$A$468:$IV$482</definedName>
    <definedName name="Z_EE0AB749_9D8D_49CF_BCD2_882EB5ACC90E_.wvu.PrintTitles" localSheetId="44" hidden="1">'3.9 STQ - '!$11:$13</definedName>
    <definedName name="Z_EE0AB749_9D8D_49CF_BCD2_882EB5ACC90E_.wvu.Rows" localSheetId="44" hidden="1">'3.9 STQ - '!$64:$64</definedName>
    <definedName name="zincromate">'[7]HARGA BAHAN'!$H$49</definedName>
  </definedNames>
  <calcPr calcId="152511"/>
  <customWorkbookViews>
    <customWorkbookView name="Windows 10 - Personal View" guid="{0F09EDAE-127A-4543-88A5-04139BD32AD8}" mergeInterval="0" personalView="1" maximized="1" xWindow="1" yWindow="1" windowWidth="1366" windowHeight="496" tabRatio="891" activeSheetId="49"/>
    <customWorkbookView name="Evaluation Software - Personal View" guid="{C05430D3-5A25-4A4C-823C-7D6EA772E5F0}" mergeInterval="0" personalView="1" maximized="1" windowWidth="1337" windowHeight="672" tabRatio="891" activeSheetId="49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7" i="58" l="1"/>
  <c r="M57" i="58"/>
  <c r="M54" i="58"/>
  <c r="M53" i="58"/>
  <c r="M55" i="58" s="1"/>
  <c r="M49" i="58"/>
  <c r="M50" i="58"/>
  <c r="M29" i="58"/>
  <c r="M31" i="58"/>
  <c r="K56" i="58"/>
  <c r="L56" i="58" s="1"/>
  <c r="L58" i="58" s="1"/>
  <c r="L54" i="58"/>
  <c r="L53" i="58"/>
  <c r="L55" i="58" s="1"/>
  <c r="K51" i="58"/>
  <c r="M51" i="58" s="1"/>
  <c r="L45" i="58"/>
  <c r="L39" i="58"/>
  <c r="L36" i="58"/>
  <c r="M36" i="58" s="1"/>
  <c r="L31" i="58"/>
  <c r="L28" i="58"/>
  <c r="L27" i="58"/>
  <c r="M56" i="58" l="1"/>
  <c r="K28" i="58" l="1"/>
  <c r="M28" i="58" s="1"/>
  <c r="K27" i="58"/>
  <c r="M27" i="58" s="1"/>
  <c r="L14" i="58"/>
  <c r="L13" i="58"/>
  <c r="L12" i="58"/>
  <c r="L101" i="7"/>
  <c r="K72" i="59"/>
  <c r="K73" i="59"/>
  <c r="K74" i="59"/>
  <c r="K71" i="59"/>
  <c r="I71" i="59"/>
  <c r="L71" i="59" s="1"/>
  <c r="L95" i="59"/>
  <c r="M95" i="59" s="1"/>
  <c r="G94" i="59"/>
  <c r="N94" i="59" s="1"/>
  <c r="N93" i="59"/>
  <c r="L91" i="59"/>
  <c r="L92" i="59" s="1"/>
  <c r="M92" i="59" s="1"/>
  <c r="G91" i="59"/>
  <c r="N91" i="59" s="1"/>
  <c r="N90" i="59"/>
  <c r="L88" i="59"/>
  <c r="G88" i="59"/>
  <c r="N88" i="59" s="1"/>
  <c r="L87" i="59"/>
  <c r="G87" i="59"/>
  <c r="L86" i="59"/>
  <c r="G86" i="59"/>
  <c r="N86" i="59" s="1"/>
  <c r="N85" i="59"/>
  <c r="L83" i="59"/>
  <c r="L84" i="59" s="1"/>
  <c r="M84" i="59" s="1"/>
  <c r="G83" i="59"/>
  <c r="N83" i="59" s="1"/>
  <c r="N82" i="59"/>
  <c r="L80" i="59"/>
  <c r="G80" i="59"/>
  <c r="G81" i="59" s="1"/>
  <c r="H81" i="59" s="1"/>
  <c r="N79" i="59"/>
  <c r="G78" i="59"/>
  <c r="H78" i="59" s="1"/>
  <c r="N77" i="59"/>
  <c r="L77" i="59"/>
  <c r="L78" i="59" s="1"/>
  <c r="M78" i="59" s="1"/>
  <c r="G77" i="59"/>
  <c r="N76" i="59"/>
  <c r="D74" i="59"/>
  <c r="G74" i="59" s="1"/>
  <c r="S73" i="59"/>
  <c r="D73" i="59"/>
  <c r="G73" i="59" s="1"/>
  <c r="D72" i="59"/>
  <c r="G72" i="59" s="1"/>
  <c r="D71" i="59"/>
  <c r="G71" i="59" s="1"/>
  <c r="N70" i="59"/>
  <c r="L68" i="59"/>
  <c r="L69" i="59" s="1"/>
  <c r="M69" i="59" s="1"/>
  <c r="G68" i="59"/>
  <c r="L67" i="59"/>
  <c r="G67" i="59"/>
  <c r="N67" i="59" s="1"/>
  <c r="N66" i="59"/>
  <c r="L66" i="59"/>
  <c r="G66" i="59"/>
  <c r="N65" i="59"/>
  <c r="G64" i="59"/>
  <c r="H64" i="59" s="1"/>
  <c r="K63" i="59"/>
  <c r="L63" i="59" s="1"/>
  <c r="L64" i="59" s="1"/>
  <c r="M64" i="59" s="1"/>
  <c r="G63" i="59"/>
  <c r="N63" i="59" s="1"/>
  <c r="N62" i="59"/>
  <c r="L61" i="59"/>
  <c r="M61" i="59" s="1"/>
  <c r="L60" i="59"/>
  <c r="N60" i="59" s="1"/>
  <c r="G60" i="59"/>
  <c r="L59" i="59"/>
  <c r="G59" i="59"/>
  <c r="N58" i="59"/>
  <c r="L56" i="59"/>
  <c r="G56" i="59"/>
  <c r="L55" i="59"/>
  <c r="G55" i="59"/>
  <c r="L54" i="59"/>
  <c r="G54" i="59"/>
  <c r="N54" i="59" s="1"/>
  <c r="N53" i="59"/>
  <c r="L53" i="59"/>
  <c r="G53" i="59"/>
  <c r="L52" i="59"/>
  <c r="G52" i="59"/>
  <c r="N51" i="59"/>
  <c r="G50" i="59"/>
  <c r="H50" i="59" s="1"/>
  <c r="N49" i="59"/>
  <c r="L49" i="59"/>
  <c r="L50" i="59" s="1"/>
  <c r="M50" i="59" s="1"/>
  <c r="G49" i="59"/>
  <c r="N48" i="59"/>
  <c r="L46" i="59"/>
  <c r="G46" i="59"/>
  <c r="L45" i="59"/>
  <c r="G45" i="59"/>
  <c r="N45" i="59" s="1"/>
  <c r="L44" i="59"/>
  <c r="G44" i="59"/>
  <c r="N44" i="59" s="1"/>
  <c r="L43" i="59"/>
  <c r="G43" i="59"/>
  <c r="L42" i="59"/>
  <c r="G42" i="59"/>
  <c r="N42" i="59" s="1"/>
  <c r="N41" i="59"/>
  <c r="L41" i="59"/>
  <c r="G41" i="59"/>
  <c r="L40" i="59"/>
  <c r="G40" i="59"/>
  <c r="L39" i="59"/>
  <c r="G39" i="59"/>
  <c r="N39" i="59" s="1"/>
  <c r="L38" i="59"/>
  <c r="G38" i="59"/>
  <c r="N38" i="59" s="1"/>
  <c r="L37" i="59"/>
  <c r="G37" i="59"/>
  <c r="N37" i="59" s="1"/>
  <c r="N36" i="59"/>
  <c r="L36" i="59"/>
  <c r="G36" i="59"/>
  <c r="L35" i="59"/>
  <c r="G35" i="59"/>
  <c r="N35" i="59" s="1"/>
  <c r="L34" i="59"/>
  <c r="G34" i="59"/>
  <c r="N34" i="59" s="1"/>
  <c r="L33" i="59"/>
  <c r="N33" i="59" s="1"/>
  <c r="G33" i="59"/>
  <c r="L32" i="59"/>
  <c r="G32" i="59"/>
  <c r="L31" i="59"/>
  <c r="G31" i="59"/>
  <c r="L30" i="59"/>
  <c r="G30" i="59"/>
  <c r="N30" i="59" s="1"/>
  <c r="N29" i="59"/>
  <c r="L29" i="59"/>
  <c r="G29" i="59"/>
  <c r="L28" i="59"/>
  <c r="N28" i="59" s="1"/>
  <c r="G28" i="59"/>
  <c r="L27" i="59"/>
  <c r="G27" i="59"/>
  <c r="N27" i="59" s="1"/>
  <c r="L26" i="59"/>
  <c r="G26" i="59"/>
  <c r="L25" i="59"/>
  <c r="G25" i="59"/>
  <c r="N25" i="59" s="1"/>
  <c r="L24" i="59"/>
  <c r="N24" i="59" s="1"/>
  <c r="G24" i="59"/>
  <c r="L23" i="59"/>
  <c r="G23" i="59"/>
  <c r="N23" i="59" s="1"/>
  <c r="L22" i="59"/>
  <c r="G22" i="59"/>
  <c r="N22" i="59" s="1"/>
  <c r="L21" i="59"/>
  <c r="N21" i="59" s="1"/>
  <c r="G21" i="59"/>
  <c r="L20" i="59"/>
  <c r="G20" i="59"/>
  <c r="N20" i="59" s="1"/>
  <c r="L19" i="59"/>
  <c r="G19" i="59"/>
  <c r="N19" i="59" s="1"/>
  <c r="L18" i="59"/>
  <c r="G18" i="59"/>
  <c r="N18" i="59" s="1"/>
  <c r="L17" i="59"/>
  <c r="G17" i="59"/>
  <c r="N17" i="59" s="1"/>
  <c r="L16" i="59"/>
  <c r="L47" i="59" s="1"/>
  <c r="M47" i="59" s="1"/>
  <c r="G16" i="59"/>
  <c r="P81" i="17"/>
  <c r="L24" i="58"/>
  <c r="K21" i="58"/>
  <c r="M21" i="58" s="1"/>
  <c r="K20" i="58"/>
  <c r="M20" i="58" s="1"/>
  <c r="K18" i="58"/>
  <c r="L18" i="58" s="1"/>
  <c r="M18" i="58" s="1"/>
  <c r="L17" i="58"/>
  <c r="K17" i="58"/>
  <c r="K58" i="58"/>
  <c r="M58" i="58" s="1"/>
  <c r="O56" i="58"/>
  <c r="K55" i="58"/>
  <c r="K48" i="58"/>
  <c r="K52" i="58" s="1"/>
  <c r="K46" i="58"/>
  <c r="M46" i="58" s="1"/>
  <c r="K45" i="58"/>
  <c r="M45" i="58" s="1"/>
  <c r="K44" i="58"/>
  <c r="L44" i="58" s="1"/>
  <c r="M44" i="58" s="1"/>
  <c r="K43" i="58"/>
  <c r="L43" i="58" s="1"/>
  <c r="M43" i="58" s="1"/>
  <c r="K42" i="58"/>
  <c r="K41" i="58"/>
  <c r="M41" i="58" s="1"/>
  <c r="K40" i="58"/>
  <c r="M40" i="58" s="1"/>
  <c r="K39" i="58"/>
  <c r="M39" i="58" s="1"/>
  <c r="K38" i="58"/>
  <c r="L38" i="58" s="1"/>
  <c r="M38" i="58" s="1"/>
  <c r="L35" i="58"/>
  <c r="M35" i="58" s="1"/>
  <c r="L34" i="58"/>
  <c r="M34" i="58" s="1"/>
  <c r="L33" i="58"/>
  <c r="M33" i="58" s="1"/>
  <c r="L32" i="58"/>
  <c r="M32" i="58" s="1"/>
  <c r="L30" i="58"/>
  <c r="K25" i="58"/>
  <c r="L25" i="58" s="1"/>
  <c r="M25" i="58" s="1"/>
  <c r="K24" i="58"/>
  <c r="K23" i="58"/>
  <c r="L23" i="58" s="1"/>
  <c r="M23" i="58" s="1"/>
  <c r="K22" i="58"/>
  <c r="L22" i="58" s="1"/>
  <c r="M22" i="58" s="1"/>
  <c r="K19" i="58"/>
  <c r="M19" i="58" s="1"/>
  <c r="K16" i="58"/>
  <c r="L16" i="58" s="1"/>
  <c r="M16" i="58" s="1"/>
  <c r="K15" i="58"/>
  <c r="K14" i="58"/>
  <c r="K13" i="58"/>
  <c r="K12" i="58"/>
  <c r="L37" i="58" l="1"/>
  <c r="M30" i="58"/>
  <c r="M37" i="58"/>
  <c r="M13" i="58"/>
  <c r="M12" i="58"/>
  <c r="M14" i="58"/>
  <c r="M17" i="58"/>
  <c r="M24" i="58"/>
  <c r="L48" i="58"/>
  <c r="N52" i="59"/>
  <c r="G95" i="59"/>
  <c r="I74" i="59"/>
  <c r="L74" i="59" s="1"/>
  <c r="N40" i="59"/>
  <c r="N32" i="59"/>
  <c r="G57" i="59"/>
  <c r="N56" i="59"/>
  <c r="G75" i="59"/>
  <c r="H75" i="59" s="1"/>
  <c r="G84" i="59"/>
  <c r="H84" i="59" s="1"/>
  <c r="L89" i="59"/>
  <c r="M89" i="59" s="1"/>
  <c r="G92" i="59"/>
  <c r="H92" i="59" s="1"/>
  <c r="N92" i="59" s="1"/>
  <c r="I73" i="59"/>
  <c r="L73" i="59" s="1"/>
  <c r="N73" i="59" s="1"/>
  <c r="N26" i="59"/>
  <c r="N31" i="59"/>
  <c r="N43" i="59"/>
  <c r="N46" i="59"/>
  <c r="N55" i="59"/>
  <c r="N68" i="59"/>
  <c r="N74" i="59"/>
  <c r="N87" i="59"/>
  <c r="I72" i="59"/>
  <c r="L72" i="59" s="1"/>
  <c r="N72" i="59" s="1"/>
  <c r="H57" i="59"/>
  <c r="G61" i="59"/>
  <c r="N59" i="59"/>
  <c r="N64" i="59"/>
  <c r="N84" i="59"/>
  <c r="N16" i="59"/>
  <c r="G47" i="59"/>
  <c r="L57" i="59"/>
  <c r="M57" i="59" s="1"/>
  <c r="N71" i="59"/>
  <c r="N50" i="59"/>
  <c r="G69" i="59"/>
  <c r="N80" i="59"/>
  <c r="L81" i="59"/>
  <c r="M81" i="59" s="1"/>
  <c r="G89" i="59"/>
  <c r="N78" i="59"/>
  <c r="K26" i="58"/>
  <c r="K47" i="58"/>
  <c r="K60" i="58" l="1"/>
  <c r="M96" i="59"/>
  <c r="L15" i="58" s="1"/>
  <c r="L104" i="7"/>
  <c r="L52" i="58"/>
  <c r="M48" i="58"/>
  <c r="M52" i="58" s="1"/>
  <c r="N81" i="59"/>
  <c r="L75" i="59"/>
  <c r="M75" i="59" s="1"/>
  <c r="H95" i="59"/>
  <c r="N95" i="59"/>
  <c r="H61" i="59"/>
  <c r="N61" i="59"/>
  <c r="N89" i="59"/>
  <c r="H89" i="59"/>
  <c r="N69" i="59"/>
  <c r="H69" i="59"/>
  <c r="N57" i="59"/>
  <c r="H47" i="59"/>
  <c r="N47" i="59"/>
  <c r="L26" i="58" l="1"/>
  <c r="M15" i="58"/>
  <c r="M26" i="58" s="1"/>
  <c r="D9" i="59"/>
  <c r="N75" i="59"/>
  <c r="G102" i="59"/>
  <c r="H96" i="59"/>
  <c r="N96" i="59" s="1"/>
  <c r="P96" i="59" s="1"/>
  <c r="K15" i="57" l="1"/>
  <c r="K13" i="57"/>
  <c r="K14" i="57"/>
  <c r="K16" i="57"/>
  <c r="K17" i="57"/>
  <c r="K18" i="57"/>
  <c r="K19" i="57"/>
  <c r="K20" i="57"/>
  <c r="K21" i="57"/>
  <c r="K12" i="57"/>
  <c r="L42" i="57"/>
  <c r="L41" i="57"/>
  <c r="L39" i="57"/>
  <c r="L33" i="57"/>
  <c r="L35" i="57"/>
  <c r="L36" i="57"/>
  <c r="L37" i="57"/>
  <c r="L32" i="57"/>
  <c r="L24" i="57"/>
  <c r="L27" i="57"/>
  <c r="L28" i="57"/>
  <c r="L30" i="57"/>
  <c r="L23" i="57"/>
  <c r="L13" i="57"/>
  <c r="L14" i="57"/>
  <c r="L16" i="57"/>
  <c r="L17" i="57"/>
  <c r="L18" i="57"/>
  <c r="L19" i="57"/>
  <c r="L20" i="57"/>
  <c r="L21" i="57"/>
  <c r="L12" i="57"/>
  <c r="T46" i="57"/>
  <c r="V44" i="57"/>
  <c r="T42" i="57"/>
  <c r="T41" i="57"/>
  <c r="T43" i="57" s="1"/>
  <c r="T39" i="57"/>
  <c r="T40" i="57" s="1"/>
  <c r="T37" i="57"/>
  <c r="T36" i="57"/>
  <c r="T35" i="57"/>
  <c r="T33" i="57"/>
  <c r="T32" i="57"/>
  <c r="L29" i="57"/>
  <c r="L26" i="57"/>
  <c r="L25" i="57"/>
  <c r="T24" i="57"/>
  <c r="T23" i="57"/>
  <c r="T21" i="57"/>
  <c r="T20" i="57"/>
  <c r="T19" i="57"/>
  <c r="T18" i="57"/>
  <c r="T17" i="57"/>
  <c r="T16" i="57"/>
  <c r="AD14" i="57"/>
  <c r="AG14" i="57" s="1"/>
  <c r="T14" i="57"/>
  <c r="T13" i="57"/>
  <c r="T12" i="57"/>
  <c r="AE14" i="57" l="1"/>
  <c r="AF14" i="57"/>
  <c r="T31" i="57"/>
  <c r="AB31" i="57" s="1"/>
  <c r="AD40" i="57"/>
  <c r="AC40" i="57"/>
  <c r="L78" i="17"/>
  <c r="N78" i="17" s="1"/>
  <c r="L77" i="17"/>
  <c r="N77" i="17" s="1"/>
  <c r="L76" i="17"/>
  <c r="L75" i="17"/>
  <c r="G78" i="17"/>
  <c r="G77" i="17"/>
  <c r="G76" i="17"/>
  <c r="G75" i="17"/>
  <c r="N75" i="17" l="1"/>
  <c r="L82" i="17"/>
  <c r="N82" i="17" s="1"/>
  <c r="P82" i="17" s="1"/>
  <c r="N76" i="17"/>
  <c r="M310" i="7"/>
  <c r="K306" i="7"/>
  <c r="L306" i="7"/>
  <c r="L307" i="7"/>
  <c r="L309" i="7"/>
  <c r="L224" i="7"/>
  <c r="L223" i="7"/>
  <c r="J28" i="56"/>
  <c r="J17" i="56"/>
  <c r="D16" i="56"/>
  <c r="G16" i="56" s="1"/>
  <c r="G18" i="56" s="1"/>
  <c r="G54" i="55"/>
  <c r="H54" i="55" s="1"/>
  <c r="N50" i="55"/>
  <c r="G48" i="55"/>
  <c r="G49" i="55" s="1"/>
  <c r="H49" i="55" s="1"/>
  <c r="G47" i="55"/>
  <c r="G46" i="55"/>
  <c r="H44" i="55"/>
  <c r="G43" i="55"/>
  <c r="G42" i="55"/>
  <c r="G41" i="55"/>
  <c r="G40" i="55"/>
  <c r="G39" i="55"/>
  <c r="G38" i="55"/>
  <c r="G37" i="55"/>
  <c r="G36" i="55"/>
  <c r="G35" i="55"/>
  <c r="G34" i="55"/>
  <c r="G33" i="55"/>
  <c r="G31" i="55"/>
  <c r="H31" i="55" s="1"/>
  <c r="G30" i="55"/>
  <c r="G29" i="55"/>
  <c r="G26" i="55"/>
  <c r="G25" i="55"/>
  <c r="G24" i="55"/>
  <c r="G23" i="55"/>
  <c r="G27" i="55" s="1"/>
  <c r="H27" i="55" s="1"/>
  <c r="G22" i="55"/>
  <c r="G19" i="55"/>
  <c r="G18" i="55"/>
  <c r="G17" i="55"/>
  <c r="G16" i="55"/>
  <c r="G20" i="55" s="1"/>
  <c r="G28" i="54"/>
  <c r="G26" i="54"/>
  <c r="G29" i="54" s="1"/>
  <c r="H29" i="54" s="1"/>
  <c r="G25" i="54"/>
  <c r="G21" i="54"/>
  <c r="G20" i="54"/>
  <c r="H18" i="54" s="1"/>
  <c r="G19" i="54"/>
  <c r="L222" i="7" l="1"/>
  <c r="L221" i="7" s="1"/>
  <c r="G19" i="56"/>
  <c r="H19" i="56" s="1"/>
  <c r="H18" i="56"/>
  <c r="G55" i="55"/>
  <c r="H20" i="55"/>
  <c r="H55" i="55" s="1"/>
  <c r="D10" i="55" s="1"/>
  <c r="H17" i="54"/>
  <c r="H24" i="54"/>
  <c r="H30" i="54" s="1"/>
  <c r="D11" i="54" s="1"/>
  <c r="L220" i="7" l="1"/>
  <c r="J23" i="56"/>
  <c r="J20" i="56"/>
  <c r="D10" i="56"/>
  <c r="M224" i="7" l="1"/>
  <c r="M223" i="7"/>
  <c r="K198" i="7"/>
  <c r="K222" i="7" l="1"/>
  <c r="K221" i="7" l="1"/>
  <c r="M222" i="7"/>
  <c r="L280" i="7"/>
  <c r="I41" i="3"/>
  <c r="I18" i="3"/>
  <c r="D10" i="20"/>
  <c r="I17" i="3" s="1"/>
  <c r="K220" i="7" l="1"/>
  <c r="M220" i="7" s="1"/>
  <c r="M221" i="7"/>
  <c r="L57" i="17"/>
  <c r="K87" i="17" l="1"/>
  <c r="K26" i="35" l="1"/>
  <c r="I22" i="35"/>
  <c r="L185" i="7"/>
  <c r="M23" i="27"/>
  <c r="M18" i="27"/>
  <c r="L18" i="27"/>
  <c r="G18" i="27"/>
  <c r="L17" i="27"/>
  <c r="G17" i="27"/>
  <c r="H18" i="27" s="1"/>
  <c r="L20" i="27"/>
  <c r="L112" i="7"/>
  <c r="N99" i="17"/>
  <c r="G29" i="51"/>
  <c r="N21" i="37"/>
  <c r="K63" i="17"/>
  <c r="L49" i="17"/>
  <c r="R152" i="7" l="1"/>
  <c r="R151" i="7"/>
  <c r="R150" i="7"/>
  <c r="N30" i="43"/>
  <c r="G7" i="51"/>
  <c r="I18" i="25"/>
  <c r="I19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6" i="25"/>
  <c r="I37" i="25"/>
  <c r="I38" i="25"/>
  <c r="I39" i="25"/>
  <c r="I40" i="25"/>
  <c r="I41" i="25"/>
  <c r="I42" i="25"/>
  <c r="I17" i="25"/>
  <c r="R153" i="7" l="1"/>
  <c r="G8" i="51"/>
  <c r="K63" i="53"/>
  <c r="L95" i="53"/>
  <c r="M95" i="53" s="1"/>
  <c r="G94" i="53"/>
  <c r="N93" i="53"/>
  <c r="L92" i="53"/>
  <c r="M92" i="53" s="1"/>
  <c r="G92" i="53"/>
  <c r="H92" i="53" s="1"/>
  <c r="L91" i="53"/>
  <c r="N91" i="53" s="1"/>
  <c r="G91" i="53"/>
  <c r="N90" i="53"/>
  <c r="N88" i="53"/>
  <c r="L88" i="53"/>
  <c r="G88" i="53"/>
  <c r="L87" i="53"/>
  <c r="N87" i="53" s="1"/>
  <c r="G87" i="53"/>
  <c r="L86" i="53"/>
  <c r="L89" i="53" s="1"/>
  <c r="M89" i="53" s="1"/>
  <c r="G86" i="53"/>
  <c r="N85" i="53"/>
  <c r="G84" i="53"/>
  <c r="H84" i="53" s="1"/>
  <c r="L83" i="53"/>
  <c r="N83" i="53" s="1"/>
  <c r="G83" i="53"/>
  <c r="N82" i="53"/>
  <c r="M81" i="53"/>
  <c r="G81" i="53"/>
  <c r="H81" i="53" s="1"/>
  <c r="N80" i="53"/>
  <c r="L80" i="53"/>
  <c r="L81" i="53" s="1"/>
  <c r="G80" i="53"/>
  <c r="N79" i="53"/>
  <c r="G78" i="53"/>
  <c r="H78" i="53" s="1"/>
  <c r="L77" i="53"/>
  <c r="L78" i="53" s="1"/>
  <c r="M78" i="53" s="1"/>
  <c r="G77" i="53"/>
  <c r="N77" i="53" s="1"/>
  <c r="N76" i="53"/>
  <c r="I74" i="53"/>
  <c r="L74" i="53" s="1"/>
  <c r="D74" i="53"/>
  <c r="G74" i="53" s="1"/>
  <c r="N74" i="53" s="1"/>
  <c r="S73" i="53"/>
  <c r="I73" i="53"/>
  <c r="L73" i="53" s="1"/>
  <c r="D73" i="53"/>
  <c r="G73" i="53" s="1"/>
  <c r="N73" i="53" s="1"/>
  <c r="I72" i="53"/>
  <c r="L72" i="53" s="1"/>
  <c r="G72" i="53"/>
  <c r="N72" i="53" s="1"/>
  <c r="D72" i="53"/>
  <c r="I71" i="53"/>
  <c r="L71" i="53" s="1"/>
  <c r="L75" i="53" s="1"/>
  <c r="M75" i="53" s="1"/>
  <c r="D71" i="53"/>
  <c r="G71" i="53" s="1"/>
  <c r="N70" i="53"/>
  <c r="G69" i="53"/>
  <c r="H69" i="53" s="1"/>
  <c r="L68" i="53"/>
  <c r="G68" i="53"/>
  <c r="N68" i="53" s="1"/>
  <c r="N67" i="53"/>
  <c r="L67" i="53"/>
  <c r="G67" i="53"/>
  <c r="L66" i="53"/>
  <c r="G66" i="53"/>
  <c r="N65" i="53"/>
  <c r="G64" i="53"/>
  <c r="H64" i="53" s="1"/>
  <c r="L63" i="53"/>
  <c r="L64" i="53" s="1"/>
  <c r="M64" i="53" s="1"/>
  <c r="G63" i="53"/>
  <c r="N62" i="53"/>
  <c r="G61" i="53"/>
  <c r="H61" i="53" s="1"/>
  <c r="L60" i="53"/>
  <c r="L61" i="53" s="1"/>
  <c r="M61" i="53" s="1"/>
  <c r="G60" i="53"/>
  <c r="N60" i="53" s="1"/>
  <c r="N59" i="53"/>
  <c r="L59" i="53"/>
  <c r="G59" i="53"/>
  <c r="N58" i="53"/>
  <c r="G57" i="53"/>
  <c r="H57" i="53" s="1"/>
  <c r="L56" i="53"/>
  <c r="G56" i="53"/>
  <c r="L55" i="53"/>
  <c r="N55" i="53" s="1"/>
  <c r="G55" i="53"/>
  <c r="L54" i="53"/>
  <c r="N54" i="53" s="1"/>
  <c r="G54" i="53"/>
  <c r="L53" i="53"/>
  <c r="G53" i="53"/>
  <c r="L52" i="53"/>
  <c r="G52" i="53"/>
  <c r="N52" i="53" s="1"/>
  <c r="N51" i="53"/>
  <c r="L49" i="53"/>
  <c r="L50" i="53" s="1"/>
  <c r="M50" i="53" s="1"/>
  <c r="G49" i="53"/>
  <c r="N48" i="53"/>
  <c r="L46" i="53"/>
  <c r="N46" i="53" s="1"/>
  <c r="G46" i="53"/>
  <c r="L45" i="53"/>
  <c r="G45" i="53"/>
  <c r="L44" i="53"/>
  <c r="G44" i="53"/>
  <c r="N44" i="53" s="1"/>
  <c r="N43" i="53"/>
  <c r="L43" i="53"/>
  <c r="G43" i="53"/>
  <c r="L42" i="53"/>
  <c r="N42" i="53" s="1"/>
  <c r="G42" i="53"/>
  <c r="L41" i="53"/>
  <c r="G41" i="53"/>
  <c r="L40" i="53"/>
  <c r="G40" i="53"/>
  <c r="N40" i="53" s="1"/>
  <c r="L39" i="53"/>
  <c r="N39" i="53" s="1"/>
  <c r="G39" i="53"/>
  <c r="L38" i="53"/>
  <c r="N38" i="53" s="1"/>
  <c r="G38" i="53"/>
  <c r="L37" i="53"/>
  <c r="G37" i="53"/>
  <c r="L36" i="53"/>
  <c r="G36" i="53"/>
  <c r="L35" i="53"/>
  <c r="N35" i="53" s="1"/>
  <c r="G35" i="53"/>
  <c r="L34" i="53"/>
  <c r="N34" i="53" s="1"/>
  <c r="G34" i="53"/>
  <c r="L33" i="53"/>
  <c r="G33" i="53"/>
  <c r="L32" i="53"/>
  <c r="G32" i="53"/>
  <c r="N32" i="53" s="1"/>
  <c r="L31" i="53"/>
  <c r="N31" i="53" s="1"/>
  <c r="G31" i="53"/>
  <c r="L30" i="53"/>
  <c r="N30" i="53" s="1"/>
  <c r="G30" i="53"/>
  <c r="L29" i="53"/>
  <c r="G29" i="53"/>
  <c r="L28" i="53"/>
  <c r="G28" i="53"/>
  <c r="N28" i="53" s="1"/>
  <c r="N27" i="53"/>
  <c r="L27" i="53"/>
  <c r="G27" i="53"/>
  <c r="L26" i="53"/>
  <c r="N26" i="53" s="1"/>
  <c r="G26" i="53"/>
  <c r="L25" i="53"/>
  <c r="G25" i="53"/>
  <c r="L24" i="53"/>
  <c r="G24" i="53"/>
  <c r="N24" i="53" s="1"/>
  <c r="L23" i="53"/>
  <c r="N23" i="53" s="1"/>
  <c r="G23" i="53"/>
  <c r="L22" i="53"/>
  <c r="N22" i="53" s="1"/>
  <c r="G22" i="53"/>
  <c r="L21" i="53"/>
  <c r="G21" i="53"/>
  <c r="N21" i="53" s="1"/>
  <c r="L20" i="53"/>
  <c r="G20" i="53"/>
  <c r="L19" i="53"/>
  <c r="N19" i="53" s="1"/>
  <c r="G19" i="53"/>
  <c r="L18" i="53"/>
  <c r="N18" i="53" s="1"/>
  <c r="G18" i="53"/>
  <c r="L17" i="53"/>
  <c r="G17" i="53"/>
  <c r="L16" i="53"/>
  <c r="G16" i="53"/>
  <c r="N63" i="53" l="1"/>
  <c r="N53" i="53"/>
  <c r="L57" i="53"/>
  <c r="M57" i="53" s="1"/>
  <c r="N56" i="53"/>
  <c r="N37" i="53"/>
  <c r="L47" i="53"/>
  <c r="M47" i="53" s="1"/>
  <c r="N20" i="53"/>
  <c r="N29" i="53"/>
  <c r="N36" i="53"/>
  <c r="N45" i="53"/>
  <c r="N86" i="53"/>
  <c r="G89" i="53"/>
  <c r="N16" i="53"/>
  <c r="G47" i="53"/>
  <c r="G50" i="53"/>
  <c r="N49" i="53"/>
  <c r="N61" i="53"/>
  <c r="N69" i="53"/>
  <c r="L69" i="53"/>
  <c r="M69" i="53" s="1"/>
  <c r="N66" i="53"/>
  <c r="L84" i="53"/>
  <c r="M84" i="53" s="1"/>
  <c r="G95" i="53"/>
  <c r="N94" i="53"/>
  <c r="N17" i="53"/>
  <c r="N25" i="53"/>
  <c r="N33" i="53"/>
  <c r="N41" i="53"/>
  <c r="G75" i="53"/>
  <c r="N71" i="53"/>
  <c r="N78" i="53"/>
  <c r="N64" i="53"/>
  <c r="N81" i="53"/>
  <c r="N84" i="53"/>
  <c r="N92" i="53"/>
  <c r="G10" i="51"/>
  <c r="G12" i="51"/>
  <c r="G11" i="51"/>
  <c r="G9" i="51"/>
  <c r="F8" i="51"/>
  <c r="G13" i="51"/>
  <c r="N57" i="53" l="1"/>
  <c r="M96" i="53"/>
  <c r="D9" i="53" s="1"/>
  <c r="N95" i="53"/>
  <c r="H95" i="53"/>
  <c r="N50" i="53"/>
  <c r="H50" i="53"/>
  <c r="H47" i="53"/>
  <c r="N47" i="53"/>
  <c r="N75" i="53"/>
  <c r="H75" i="53"/>
  <c r="H89" i="53"/>
  <c r="N89" i="53"/>
  <c r="F13" i="51"/>
  <c r="F12" i="51"/>
  <c r="F11" i="51"/>
  <c r="F10" i="51"/>
  <c r="F9" i="51"/>
  <c r="H96" i="53" l="1"/>
  <c r="N96" i="53" s="1"/>
  <c r="G4" i="50"/>
  <c r="G6" i="50"/>
  <c r="G7" i="50" s="1"/>
  <c r="W12" i="7" l="1"/>
  <c r="E15" i="50" l="1"/>
  <c r="E14" i="50"/>
  <c r="E13" i="50"/>
  <c r="E11" i="50"/>
  <c r="N26" i="23"/>
  <c r="E10" i="50"/>
  <c r="F9" i="50"/>
  <c r="N32" i="20"/>
  <c r="E8" i="50"/>
  <c r="F8" i="50" s="1"/>
  <c r="F5" i="50"/>
  <c r="F4" i="50"/>
  <c r="S40" i="7" l="1"/>
  <c r="S39" i="7"/>
  <c r="L27" i="35"/>
  <c r="L26" i="35"/>
  <c r="L28" i="35" s="1"/>
  <c r="L25" i="35"/>
  <c r="L22" i="35"/>
  <c r="L23" i="35" s="1"/>
  <c r="M23" i="35" s="1"/>
  <c r="I19" i="35"/>
  <c r="L19" i="35" s="1"/>
  <c r="L18" i="35"/>
  <c r="L17" i="35"/>
  <c r="L20" i="35" s="1"/>
  <c r="M20" i="35" s="1"/>
  <c r="L208" i="7" l="1"/>
  <c r="M28" i="35"/>
  <c r="L29" i="35"/>
  <c r="L209" i="7" s="1"/>
  <c r="M29" i="35"/>
  <c r="L259" i="7"/>
  <c r="L258" i="7"/>
  <c r="L257" i="7"/>
  <c r="U28" i="7" l="1"/>
  <c r="L21" i="27"/>
  <c r="L18" i="37"/>
  <c r="K19" i="37"/>
  <c r="L19" i="37" s="1"/>
  <c r="K20" i="37"/>
  <c r="K16" i="37"/>
  <c r="L16" i="37" s="1"/>
  <c r="K17" i="37"/>
  <c r="L17" i="37" s="1"/>
  <c r="L20" i="37"/>
  <c r="K15" i="37"/>
  <c r="L15" i="37" s="1"/>
  <c r="L22" i="27" l="1"/>
  <c r="L23" i="27" s="1"/>
  <c r="L21" i="37"/>
  <c r="L22" i="37" s="1"/>
  <c r="L236" i="7" s="1"/>
  <c r="V28" i="7" s="1"/>
  <c r="S73" i="17"/>
  <c r="K112" i="7"/>
  <c r="L102" i="17"/>
  <c r="L113" i="7" s="1"/>
  <c r="G99" i="17"/>
  <c r="H99" i="17" s="1"/>
  <c r="G47" i="17"/>
  <c r="G69" i="17"/>
  <c r="G101" i="17"/>
  <c r="G102" i="17" s="1"/>
  <c r="K113" i="7" s="1"/>
  <c r="N100" i="17"/>
  <c r="L310" i="7"/>
  <c r="S31" i="7"/>
  <c r="L284" i="7"/>
  <c r="L283" i="7" s="1"/>
  <c r="L282" i="7"/>
  <c r="L281" i="7" s="1"/>
  <c r="L279" i="7"/>
  <c r="L277" i="7"/>
  <c r="L278" i="7"/>
  <c r="L275" i="7"/>
  <c r="L274" i="7"/>
  <c r="L273" i="7"/>
  <c r="L254" i="7"/>
  <c r="L253" i="7" s="1"/>
  <c r="L248" i="7"/>
  <c r="L247" i="7" s="1"/>
  <c r="L245" i="7"/>
  <c r="L244" i="7" s="1"/>
  <c r="L243" i="7"/>
  <c r="L242" i="7"/>
  <c r="L241" i="7"/>
  <c r="L239" i="7"/>
  <c r="L240" i="7"/>
  <c r="N21" i="39"/>
  <c r="M21" i="39"/>
  <c r="K157" i="7"/>
  <c r="K158" i="7"/>
  <c r="K159" i="7"/>
  <c r="K160" i="7"/>
  <c r="K161" i="7"/>
  <c r="K162" i="7"/>
  <c r="K163" i="7"/>
  <c r="K164" i="7"/>
  <c r="K165" i="7"/>
  <c r="K166" i="7"/>
  <c r="K167" i="7"/>
  <c r="K168" i="7"/>
  <c r="M145" i="7"/>
  <c r="M190" i="7"/>
  <c r="M197" i="7"/>
  <c r="M210" i="7"/>
  <c r="M215" i="7"/>
  <c r="M216" i="7"/>
  <c r="M217" i="7"/>
  <c r="M218" i="7"/>
  <c r="M246" i="7"/>
  <c r="M294" i="7"/>
  <c r="M301" i="7"/>
  <c r="M313" i="7"/>
  <c r="M317" i="7"/>
  <c r="M319" i="7"/>
  <c r="M321" i="7"/>
  <c r="M323" i="7"/>
  <c r="M326" i="7"/>
  <c r="M328" i="7"/>
  <c r="M330" i="7"/>
  <c r="M331" i="7"/>
  <c r="L149" i="7"/>
  <c r="L148" i="7" s="1"/>
  <c r="L147" i="7" s="1"/>
  <c r="L146" i="7" s="1"/>
  <c r="L142" i="7"/>
  <c r="L143" i="7"/>
  <c r="L144" i="7"/>
  <c r="K129" i="7"/>
  <c r="L129" i="7" s="1"/>
  <c r="L128" i="7" s="1"/>
  <c r="L127" i="7" s="1"/>
  <c r="L126" i="7" s="1"/>
  <c r="L125" i="7"/>
  <c r="L124" i="7" s="1"/>
  <c r="L123" i="7"/>
  <c r="L121" i="7"/>
  <c r="L118" i="7"/>
  <c r="M105" i="7"/>
  <c r="L84" i="7"/>
  <c r="L85" i="7"/>
  <c r="L86" i="7"/>
  <c r="L87" i="7"/>
  <c r="L88" i="7"/>
  <c r="L89" i="7"/>
  <c r="M99" i="7"/>
  <c r="M122" i="7"/>
  <c r="M21" i="7"/>
  <c r="M22" i="7"/>
  <c r="M24" i="7"/>
  <c r="M25" i="7"/>
  <c r="M26" i="7"/>
  <c r="M27" i="7"/>
  <c r="M28" i="7"/>
  <c r="M29" i="7"/>
  <c r="M31" i="7"/>
  <c r="M32" i="7"/>
  <c r="M34" i="7"/>
  <c r="M35" i="7"/>
  <c r="M44" i="7"/>
  <c r="M45" i="7"/>
  <c r="M47" i="7"/>
  <c r="M48" i="7"/>
  <c r="M51" i="7"/>
  <c r="M53" i="7"/>
  <c r="M55" i="7"/>
  <c r="M57" i="7"/>
  <c r="M59" i="7"/>
  <c r="M61" i="7"/>
  <c r="M63" i="7"/>
  <c r="T12" i="7"/>
  <c r="V12" i="7" s="1"/>
  <c r="L329" i="7"/>
  <c r="L327" i="7"/>
  <c r="L325" i="7"/>
  <c r="L322" i="7"/>
  <c r="L320" i="7"/>
  <c r="L318" i="7"/>
  <c r="L316" i="7"/>
  <c r="L315" i="7" s="1"/>
  <c r="L249" i="7"/>
  <c r="L214" i="7"/>
  <c r="L213" i="7"/>
  <c r="L211" i="7"/>
  <c r="L135" i="7"/>
  <c r="L130" i="7" s="1"/>
  <c r="L134" i="7"/>
  <c r="L133" i="7" s="1"/>
  <c r="L132" i="7" s="1"/>
  <c r="L131" i="7" s="1"/>
  <c r="L62" i="7"/>
  <c r="L60" i="7"/>
  <c r="L58" i="7"/>
  <c r="L56" i="7"/>
  <c r="L54" i="7"/>
  <c r="L52" i="7"/>
  <c r="L50" i="7"/>
  <c r="L46" i="7"/>
  <c r="L43" i="7"/>
  <c r="L42" i="7"/>
  <c r="L41" i="7" s="1"/>
  <c r="L40" i="7"/>
  <c r="L38" i="7"/>
  <c r="L37" i="7" s="1"/>
  <c r="L33" i="7"/>
  <c r="L30" i="7"/>
  <c r="L23" i="7"/>
  <c r="L20" i="7"/>
  <c r="V13" i="7"/>
  <c r="V14" i="7"/>
  <c r="V15" i="7"/>
  <c r="V16" i="7"/>
  <c r="V17" i="7"/>
  <c r="U18" i="7"/>
  <c r="T21" i="7" s="1"/>
  <c r="D11" i="23"/>
  <c r="L19" i="7" l="1"/>
  <c r="L324" i="7"/>
  <c r="L39" i="7"/>
  <c r="L36" i="7" s="1"/>
  <c r="U31" i="7"/>
  <c r="L314" i="7"/>
  <c r="L49" i="7"/>
  <c r="L141" i="7"/>
  <c r="L140" i="7" s="1"/>
  <c r="M22" i="27"/>
  <c r="I11" i="27" s="1"/>
  <c r="M21" i="37"/>
  <c r="M22" i="37" s="1"/>
  <c r="M113" i="7"/>
  <c r="L235" i="7"/>
  <c r="M129" i="7"/>
  <c r="L256" i="7"/>
  <c r="L255" i="7" s="1"/>
  <c r="L42" i="58" s="1"/>
  <c r="L83" i="7"/>
  <c r="L82" i="7" s="1"/>
  <c r="N101" i="17"/>
  <c r="L276" i="7"/>
  <c r="L252" i="7"/>
  <c r="L238" i="7"/>
  <c r="L237" i="7" s="1"/>
  <c r="L120" i="7"/>
  <c r="O42" i="39"/>
  <c r="O38" i="39"/>
  <c r="O34" i="39"/>
  <c r="O16" i="39"/>
  <c r="O21" i="39"/>
  <c r="N34" i="39"/>
  <c r="O43" i="39"/>
  <c r="O15" i="39"/>
  <c r="O17" i="39"/>
  <c r="O18" i="39"/>
  <c r="O19" i="39"/>
  <c r="O20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6" i="39"/>
  <c r="O37" i="39"/>
  <c r="O39" i="39"/>
  <c r="O40" i="39"/>
  <c r="O41" i="39"/>
  <c r="M15" i="39"/>
  <c r="M40" i="39"/>
  <c r="N42" i="39" s="1"/>
  <c r="M36" i="39"/>
  <c r="N38" i="39" s="1"/>
  <c r="M33" i="39"/>
  <c r="M32" i="39"/>
  <c r="M31" i="39"/>
  <c r="M30" i="39"/>
  <c r="M29" i="39"/>
  <c r="M28" i="39"/>
  <c r="M27" i="39"/>
  <c r="M25" i="39"/>
  <c r="M24" i="39"/>
  <c r="M23" i="39"/>
  <c r="M20" i="39"/>
  <c r="M19" i="39"/>
  <c r="M18" i="39"/>
  <c r="N16" i="39"/>
  <c r="K7" i="39"/>
  <c r="N21" i="25"/>
  <c r="N22" i="25"/>
  <c r="N26" i="25"/>
  <c r="N29" i="25"/>
  <c r="N30" i="25"/>
  <c r="N33" i="25"/>
  <c r="N35" i="25"/>
  <c r="N37" i="25"/>
  <c r="N39" i="25"/>
  <c r="N42" i="25"/>
  <c r="L42" i="25"/>
  <c r="L180" i="7" s="1"/>
  <c r="L41" i="25"/>
  <c r="L179" i="7" s="1"/>
  <c r="L40" i="25"/>
  <c r="L178" i="7" s="1"/>
  <c r="L37" i="25"/>
  <c r="L171" i="7" s="1"/>
  <c r="L36" i="25"/>
  <c r="L33" i="25"/>
  <c r="L168" i="7" s="1"/>
  <c r="M168" i="7" s="1"/>
  <c r="L32" i="25"/>
  <c r="L167" i="7" s="1"/>
  <c r="M167" i="7" s="1"/>
  <c r="L31" i="25"/>
  <c r="L166" i="7" s="1"/>
  <c r="M166" i="7" s="1"/>
  <c r="L30" i="25"/>
  <c r="L165" i="7" s="1"/>
  <c r="M165" i="7" s="1"/>
  <c r="L29" i="25"/>
  <c r="L164" i="7" s="1"/>
  <c r="M164" i="7" s="1"/>
  <c r="L28" i="25"/>
  <c r="L163" i="7" s="1"/>
  <c r="M163" i="7" s="1"/>
  <c r="L27" i="25"/>
  <c r="L162" i="7" s="1"/>
  <c r="M162" i="7" s="1"/>
  <c r="L26" i="25"/>
  <c r="L161" i="7" s="1"/>
  <c r="M161" i="7" s="1"/>
  <c r="L25" i="25"/>
  <c r="L160" i="7" s="1"/>
  <c r="M160" i="7" s="1"/>
  <c r="L24" i="25"/>
  <c r="L159" i="7" s="1"/>
  <c r="M159" i="7" s="1"/>
  <c r="L23" i="25"/>
  <c r="L158" i="7" s="1"/>
  <c r="M158" i="7" s="1"/>
  <c r="L22" i="25"/>
  <c r="L157" i="7" s="1"/>
  <c r="M157" i="7" s="1"/>
  <c r="L19" i="25"/>
  <c r="L175" i="7" s="1"/>
  <c r="L18" i="25"/>
  <c r="L174" i="7" s="1"/>
  <c r="L17" i="25"/>
  <c r="L173" i="7" s="1"/>
  <c r="K18" i="43"/>
  <c r="L18" i="43" s="1"/>
  <c r="N18" i="43" s="1"/>
  <c r="K19" i="43"/>
  <c r="K20" i="43"/>
  <c r="K21" i="43"/>
  <c r="L21" i="43" s="1"/>
  <c r="N21" i="43" s="1"/>
  <c r="K17" i="43"/>
  <c r="L17" i="43"/>
  <c r="N23" i="43"/>
  <c r="N25" i="43"/>
  <c r="N31" i="43"/>
  <c r="N32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19" i="43"/>
  <c r="N17" i="43"/>
  <c r="L20" i="43"/>
  <c r="N20" i="43" s="1"/>
  <c r="L54" i="43"/>
  <c r="L55" i="43" s="1"/>
  <c r="M55" i="43" s="1"/>
  <c r="L53" i="43"/>
  <c r="L51" i="43"/>
  <c r="L52" i="43" s="1"/>
  <c r="M52" i="43" s="1"/>
  <c r="L50" i="43"/>
  <c r="L48" i="43"/>
  <c r="L49" i="43" s="1"/>
  <c r="M49" i="43" s="1"/>
  <c r="L45" i="43"/>
  <c r="L46" i="43" s="1"/>
  <c r="M46" i="43" s="1"/>
  <c r="L42" i="43"/>
  <c r="L41" i="43"/>
  <c r="L43" i="43" s="1"/>
  <c r="M43" i="43" s="1"/>
  <c r="L38" i="43"/>
  <c r="L37" i="43"/>
  <c r="L39" i="43" s="1"/>
  <c r="M39" i="43" s="1"/>
  <c r="L36" i="43"/>
  <c r="L33" i="43"/>
  <c r="N33" i="43" s="1"/>
  <c r="L32" i="43"/>
  <c r="L34" i="43" s="1"/>
  <c r="M34" i="43" s="1"/>
  <c r="L29" i="43"/>
  <c r="N29" i="43" s="1"/>
  <c r="L28" i="43"/>
  <c r="N28" i="43" s="1"/>
  <c r="L27" i="43"/>
  <c r="L26" i="43"/>
  <c r="N26" i="43" s="1"/>
  <c r="L25" i="43"/>
  <c r="L24" i="43"/>
  <c r="N24" i="43" s="1"/>
  <c r="L19" i="43"/>
  <c r="D10" i="40"/>
  <c r="N17" i="40"/>
  <c r="N18" i="40"/>
  <c r="N19" i="40"/>
  <c r="N16" i="40"/>
  <c r="L17" i="40"/>
  <c r="L16" i="40"/>
  <c r="L18" i="40" s="1"/>
  <c r="L19" i="40" s="1"/>
  <c r="D10" i="38"/>
  <c r="N18" i="38"/>
  <c r="N19" i="38"/>
  <c r="N20" i="38"/>
  <c r="N21" i="38"/>
  <c r="N22" i="38"/>
  <c r="N23" i="38"/>
  <c r="N24" i="38"/>
  <c r="N25" i="38"/>
  <c r="N26" i="38"/>
  <c r="N27" i="38"/>
  <c r="N28" i="38"/>
  <c r="N17" i="38"/>
  <c r="L26" i="38"/>
  <c r="L27" i="38" s="1"/>
  <c r="M27" i="38" s="1"/>
  <c r="L23" i="38"/>
  <c r="L22" i="38"/>
  <c r="L18" i="38"/>
  <c r="L17" i="38"/>
  <c r="L20" i="38" s="1"/>
  <c r="G26" i="23"/>
  <c r="N18" i="23"/>
  <c r="N19" i="23"/>
  <c r="N20" i="23"/>
  <c r="N21" i="23"/>
  <c r="N22" i="23"/>
  <c r="N23" i="23"/>
  <c r="N24" i="23"/>
  <c r="N25" i="23"/>
  <c r="N17" i="23"/>
  <c r="L24" i="23"/>
  <c r="L25" i="23" s="1"/>
  <c r="M25" i="23" s="1"/>
  <c r="L23" i="23"/>
  <c r="L20" i="23"/>
  <c r="L19" i="23"/>
  <c r="L18" i="23"/>
  <c r="L17" i="23"/>
  <c r="D10" i="22"/>
  <c r="N17" i="22"/>
  <c r="N18" i="22"/>
  <c r="N19" i="22"/>
  <c r="N20" i="22"/>
  <c r="N21" i="22"/>
  <c r="N16" i="22"/>
  <c r="L18" i="22"/>
  <c r="L17" i="22"/>
  <c r="L16" i="22"/>
  <c r="D11" i="19"/>
  <c r="L40" i="19"/>
  <c r="G40" i="19"/>
  <c r="N40" i="19"/>
  <c r="N31" i="19"/>
  <c r="N36" i="19"/>
  <c r="L38" i="19"/>
  <c r="L37" i="19"/>
  <c r="L34" i="19"/>
  <c r="L33" i="19"/>
  <c r="L32" i="19"/>
  <c r="L29" i="19"/>
  <c r="L28" i="19"/>
  <c r="L27" i="19"/>
  <c r="L26" i="19"/>
  <c r="L25" i="19"/>
  <c r="L24" i="19"/>
  <c r="L23" i="19"/>
  <c r="L22" i="19"/>
  <c r="L21" i="19"/>
  <c r="L20" i="19"/>
  <c r="L19" i="19"/>
  <c r="L18" i="19"/>
  <c r="L17" i="19"/>
  <c r="K17" i="20"/>
  <c r="K18" i="20"/>
  <c r="L18" i="20" s="1"/>
  <c r="N18" i="20" s="1"/>
  <c r="K19" i="20"/>
  <c r="K20" i="20"/>
  <c r="K21" i="20"/>
  <c r="K22" i="20"/>
  <c r="K23" i="20"/>
  <c r="K24" i="20"/>
  <c r="L24" i="20" s="1"/>
  <c r="N24" i="20" s="1"/>
  <c r="K25" i="20"/>
  <c r="L25" i="20" s="1"/>
  <c r="N25" i="20" s="1"/>
  <c r="K26" i="20"/>
  <c r="L26" i="20" s="1"/>
  <c r="N26" i="20" s="1"/>
  <c r="K27" i="20"/>
  <c r="K28" i="20"/>
  <c r="K29" i="20"/>
  <c r="K30" i="20"/>
  <c r="K31" i="20"/>
  <c r="K16" i="20"/>
  <c r="L19" i="20"/>
  <c r="N19" i="20" s="1"/>
  <c r="L23" i="20"/>
  <c r="N23" i="20" s="1"/>
  <c r="L28" i="20"/>
  <c r="N28" i="20" s="1"/>
  <c r="L31" i="20"/>
  <c r="N31" i="20" s="1"/>
  <c r="L16" i="20"/>
  <c r="L22" i="20"/>
  <c r="N22" i="20" s="1"/>
  <c r="L29" i="20"/>
  <c r="N29" i="20" s="1"/>
  <c r="L30" i="20"/>
  <c r="N30" i="20" s="1"/>
  <c r="L27" i="20"/>
  <c r="N27" i="20" s="1"/>
  <c r="L21" i="20"/>
  <c r="N21" i="20" s="1"/>
  <c r="L20" i="20"/>
  <c r="N20" i="20" s="1"/>
  <c r="L17" i="20"/>
  <c r="N17" i="20" s="1"/>
  <c r="K16" i="18"/>
  <c r="K17" i="18"/>
  <c r="K18" i="18"/>
  <c r="K15" i="18"/>
  <c r="I18" i="18"/>
  <c r="I17" i="18"/>
  <c r="I16" i="18"/>
  <c r="I15" i="18"/>
  <c r="G19" i="17"/>
  <c r="G42" i="17"/>
  <c r="G38" i="17"/>
  <c r="L63" i="17"/>
  <c r="L93" i="17"/>
  <c r="L109" i="7" s="1"/>
  <c r="N97" i="17"/>
  <c r="N92" i="17"/>
  <c r="N89" i="17"/>
  <c r="N86" i="17"/>
  <c r="N83" i="17"/>
  <c r="N70" i="17"/>
  <c r="N65" i="17"/>
  <c r="N62" i="17"/>
  <c r="N58" i="17"/>
  <c r="N51" i="17"/>
  <c r="N48" i="17"/>
  <c r="L98" i="17"/>
  <c r="L99" i="17" s="1"/>
  <c r="M99" i="17" s="1"/>
  <c r="L95" i="17"/>
  <c r="L110" i="7" s="1"/>
  <c r="L94" i="17"/>
  <c r="L96" i="17" s="1"/>
  <c r="L90" i="17"/>
  <c r="L91" i="17" s="1"/>
  <c r="L107" i="7" s="1"/>
  <c r="L106" i="7" s="1"/>
  <c r="L87" i="17"/>
  <c r="L88" i="17" s="1"/>
  <c r="L84" i="17"/>
  <c r="L85" i="17" s="1"/>
  <c r="L74" i="17"/>
  <c r="L73" i="17"/>
  <c r="L72" i="17"/>
  <c r="L71" i="17"/>
  <c r="L68" i="17"/>
  <c r="L67" i="17"/>
  <c r="L66" i="17"/>
  <c r="L60" i="17"/>
  <c r="L59" i="17"/>
  <c r="L56" i="17"/>
  <c r="L55" i="17"/>
  <c r="L54" i="17"/>
  <c r="L53" i="17"/>
  <c r="L52" i="17"/>
  <c r="L50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47" i="58" l="1"/>
  <c r="L60" i="58" s="1"/>
  <c r="M60" i="58" s="1"/>
  <c r="M42" i="58"/>
  <c r="M47" i="58" s="1"/>
  <c r="I34" i="3"/>
  <c r="T34" i="57"/>
  <c r="L18" i="7"/>
  <c r="L64" i="7"/>
  <c r="L177" i="7"/>
  <c r="L176" i="7" s="1"/>
  <c r="L156" i="7"/>
  <c r="N41" i="25"/>
  <c r="N32" i="25"/>
  <c r="N28" i="25"/>
  <c r="N24" i="25"/>
  <c r="N19" i="25"/>
  <c r="L38" i="25"/>
  <c r="L170" i="7"/>
  <c r="L169" i="7" s="1"/>
  <c r="N40" i="25"/>
  <c r="N36" i="25"/>
  <c r="N31" i="25"/>
  <c r="N27" i="25"/>
  <c r="N23" i="25"/>
  <c r="N18" i="25"/>
  <c r="L172" i="7"/>
  <c r="N25" i="25"/>
  <c r="N17" i="25"/>
  <c r="L47" i="17"/>
  <c r="N47" i="17" s="1"/>
  <c r="L64" i="17"/>
  <c r="M64" i="17" s="1"/>
  <c r="L234" i="7"/>
  <c r="L97" i="7"/>
  <c r="L108" i="7"/>
  <c r="M85" i="17"/>
  <c r="L102" i="7"/>
  <c r="M88" i="17"/>
  <c r="M102" i="17"/>
  <c r="L111" i="7"/>
  <c r="M50" i="17"/>
  <c r="L94" i="7"/>
  <c r="L251" i="7"/>
  <c r="L250" i="7" s="1"/>
  <c r="L139" i="7"/>
  <c r="L119" i="7"/>
  <c r="L81" i="7"/>
  <c r="N43" i="39"/>
  <c r="L43" i="25"/>
  <c r="L20" i="25"/>
  <c r="L34" i="25"/>
  <c r="N34" i="43"/>
  <c r="L22" i="43"/>
  <c r="L30" i="43"/>
  <c r="M18" i="40"/>
  <c r="M19" i="40" s="1"/>
  <c r="L24" i="38"/>
  <c r="M24" i="38" s="1"/>
  <c r="L28" i="38"/>
  <c r="M20" i="38"/>
  <c r="M28" i="38" s="1"/>
  <c r="I10" i="38" s="1"/>
  <c r="L21" i="23"/>
  <c r="L26" i="23"/>
  <c r="M21" i="23"/>
  <c r="M26" i="23" s="1"/>
  <c r="I11" i="23" s="1"/>
  <c r="L20" i="22"/>
  <c r="L21" i="22" s="1"/>
  <c r="L35" i="19"/>
  <c r="M35" i="19" s="1"/>
  <c r="L39" i="19"/>
  <c r="M39" i="19" s="1"/>
  <c r="L30" i="19"/>
  <c r="M30" i="19"/>
  <c r="N16" i="20"/>
  <c r="L32" i="20"/>
  <c r="L16" i="18"/>
  <c r="L17" i="18"/>
  <c r="L15" i="18"/>
  <c r="L18" i="18"/>
  <c r="L69" i="17"/>
  <c r="M69" i="17" s="1"/>
  <c r="M96" i="17"/>
  <c r="L61" i="17"/>
  <c r="M57" i="17"/>
  <c r="M91" i="17"/>
  <c r="M21" i="14"/>
  <c r="M18" i="14"/>
  <c r="M22" i="14"/>
  <c r="M20" i="14"/>
  <c r="M19" i="14"/>
  <c r="M17" i="14"/>
  <c r="K17" i="15"/>
  <c r="M17" i="15" s="1"/>
  <c r="M23" i="15"/>
  <c r="M24" i="15"/>
  <c r="M25" i="15"/>
  <c r="M26" i="15"/>
  <c r="M27" i="15"/>
  <c r="M28" i="15"/>
  <c r="M29" i="15"/>
  <c r="M30" i="15"/>
  <c r="M31" i="15"/>
  <c r="M32" i="15"/>
  <c r="M22" i="15"/>
  <c r="M21" i="15"/>
  <c r="K18" i="15"/>
  <c r="M18" i="15" s="1"/>
  <c r="K19" i="15"/>
  <c r="M19" i="15" s="1"/>
  <c r="K31" i="15"/>
  <c r="K30" i="15"/>
  <c r="K29" i="15"/>
  <c r="K28" i="15"/>
  <c r="K25" i="15"/>
  <c r="K24" i="15"/>
  <c r="K23" i="15"/>
  <c r="K22" i="15"/>
  <c r="L21" i="14"/>
  <c r="L22" i="14" s="1"/>
  <c r="L18" i="14"/>
  <c r="L19" i="14" s="1"/>
  <c r="L15" i="14"/>
  <c r="L16" i="14" s="1"/>
  <c r="L34" i="57" l="1"/>
  <c r="T38" i="57"/>
  <c r="L155" i="7"/>
  <c r="L154" i="7" s="1"/>
  <c r="M43" i="25"/>
  <c r="N43" i="25"/>
  <c r="M38" i="25"/>
  <c r="N38" i="25"/>
  <c r="M34" i="25"/>
  <c r="N34" i="25"/>
  <c r="M20" i="25"/>
  <c r="N20" i="25"/>
  <c r="L233" i="7"/>
  <c r="L103" i="7"/>
  <c r="M82" i="17"/>
  <c r="M103" i="17" s="1"/>
  <c r="L15" i="57" s="1"/>
  <c r="L100" i="7"/>
  <c r="M61" i="17"/>
  <c r="L96" i="7"/>
  <c r="L98" i="7"/>
  <c r="L95" i="7"/>
  <c r="M47" i="17"/>
  <c r="L93" i="7"/>
  <c r="M30" i="43"/>
  <c r="M56" i="43" s="1"/>
  <c r="D11" i="43" s="1"/>
  <c r="L272" i="7"/>
  <c r="L44" i="25"/>
  <c r="L56" i="43"/>
  <c r="N22" i="43"/>
  <c r="M22" i="43"/>
  <c r="M20" i="22"/>
  <c r="M21" i="22" s="1"/>
  <c r="M40" i="19"/>
  <c r="M32" i="20"/>
  <c r="L33" i="20"/>
  <c r="L19" i="18"/>
  <c r="M15" i="14"/>
  <c r="M16" i="14" s="1"/>
  <c r="L23" i="14"/>
  <c r="M23" i="14" s="1"/>
  <c r="K16" i="15"/>
  <c r="K26" i="15"/>
  <c r="K32" i="15"/>
  <c r="L32" i="15" s="1"/>
  <c r="L91" i="7" l="1"/>
  <c r="L90" i="7" s="1"/>
  <c r="T15" i="57" s="1"/>
  <c r="T22" i="57" s="1"/>
  <c r="T48" i="57" s="1"/>
  <c r="G109" i="17"/>
  <c r="L92" i="7"/>
  <c r="M44" i="25"/>
  <c r="N44" i="25"/>
  <c r="E12" i="50" s="1"/>
  <c r="L232" i="7"/>
  <c r="I33" i="3" s="1"/>
  <c r="L271" i="7"/>
  <c r="M33" i="20"/>
  <c r="N33" i="20" s="1"/>
  <c r="M19" i="18"/>
  <c r="M20" i="18"/>
  <c r="K20" i="15"/>
  <c r="L26" i="15"/>
  <c r="S30" i="7"/>
  <c r="X30" i="7"/>
  <c r="N103" i="17" l="1"/>
  <c r="G6" i="51" s="1"/>
  <c r="D9" i="17"/>
  <c r="I15" i="3"/>
  <c r="I11" i="25"/>
  <c r="D11" i="25"/>
  <c r="I42" i="3"/>
  <c r="L270" i="7"/>
  <c r="L269" i="7" s="1"/>
  <c r="I37" i="3" s="1"/>
  <c r="L20" i="15"/>
  <c r="G31" i="49" l="1"/>
  <c r="G20" i="49"/>
  <c r="H20" i="49"/>
  <c r="G52" i="49" l="1"/>
  <c r="G30" i="49"/>
  <c r="G34" i="49" l="1"/>
  <c r="G42" i="49" l="1"/>
  <c r="G23" i="49"/>
  <c r="G27" i="49" s="1"/>
  <c r="G24" i="49"/>
  <c r="G25" i="49"/>
  <c r="G26" i="49"/>
  <c r="N50" i="49"/>
  <c r="G37" i="49"/>
  <c r="G38" i="49"/>
  <c r="G39" i="49"/>
  <c r="G40" i="49"/>
  <c r="G44" i="49" s="1"/>
  <c r="G41" i="49"/>
  <c r="G43" i="49"/>
  <c r="G47" i="49" l="1"/>
  <c r="G48" i="49"/>
  <c r="G49" i="49" s="1"/>
  <c r="G51" i="49"/>
  <c r="G54" i="49" s="1"/>
  <c r="G46" i="49"/>
  <c r="G36" i="49"/>
  <c r="G35" i="49"/>
  <c r="G33" i="49"/>
  <c r="G29" i="49"/>
  <c r="G22" i="49"/>
  <c r="G19" i="49"/>
  <c r="G18" i="49"/>
  <c r="G17" i="49"/>
  <c r="G16" i="49"/>
  <c r="H49" i="49" l="1"/>
  <c r="G55" i="49"/>
  <c r="H44" i="49"/>
  <c r="H54" i="49"/>
  <c r="H27" i="49"/>
  <c r="H31" i="49" l="1"/>
  <c r="H55" i="49" s="1"/>
  <c r="S14" i="3"/>
  <c r="U14" i="3" s="1"/>
  <c r="D10" i="49" l="1"/>
  <c r="T14" i="3"/>
  <c r="V14" i="3"/>
  <c r="I43" i="3" l="1"/>
  <c r="M308" i="7"/>
  <c r="R307" i="7" s="1"/>
  <c r="F32" i="9"/>
  <c r="X31" i="7" l="1"/>
  <c r="D38" i="33"/>
  <c r="F31" i="15" l="1"/>
  <c r="F30" i="15"/>
  <c r="F29" i="15"/>
  <c r="F28" i="15"/>
  <c r="H21" i="14"/>
  <c r="H22" i="14" s="1"/>
  <c r="K74" i="7" s="1"/>
  <c r="K137" i="7"/>
  <c r="M137" i="7" s="1"/>
  <c r="K136" i="7"/>
  <c r="L74" i="7" l="1"/>
  <c r="M136" i="7"/>
  <c r="K135" i="7"/>
  <c r="M135" i="7" s="1"/>
  <c r="F32" i="15"/>
  <c r="G32" i="15" s="1"/>
  <c r="K80" i="7" s="1"/>
  <c r="L80" i="7" l="1"/>
  <c r="M80" i="7" s="1"/>
  <c r="M74" i="7"/>
  <c r="G17" i="25"/>
  <c r="G17" i="24"/>
  <c r="G16" i="24"/>
  <c r="G18" i="22"/>
  <c r="G17" i="22"/>
  <c r="G16" i="22"/>
  <c r="F19" i="15"/>
  <c r="F17" i="15"/>
  <c r="F18" i="15"/>
  <c r="F16" i="15"/>
  <c r="M16" i="15" s="1"/>
  <c r="H18" i="14"/>
  <c r="H19" i="14" s="1"/>
  <c r="H15" i="14"/>
  <c r="G54" i="43"/>
  <c r="G55" i="43" s="1"/>
  <c r="G53" i="43"/>
  <c r="G38" i="43"/>
  <c r="G28" i="43"/>
  <c r="V26" i="7" l="1"/>
  <c r="F20" i="15"/>
  <c r="E9" i="48"/>
  <c r="E3" i="48"/>
  <c r="E4" i="48"/>
  <c r="E7" i="48"/>
  <c r="E8" i="48"/>
  <c r="E12" i="48"/>
  <c r="E13" i="48"/>
  <c r="E2" i="48"/>
  <c r="G47" i="8"/>
  <c r="G40" i="8"/>
  <c r="G39" i="8"/>
  <c r="G33" i="8"/>
  <c r="G34" i="8"/>
  <c r="G35" i="8"/>
  <c r="G36" i="8"/>
  <c r="G37" i="8"/>
  <c r="G38" i="8"/>
  <c r="G41" i="8"/>
  <c r="K70" i="8"/>
  <c r="L33" i="15" l="1"/>
  <c r="F33" i="15"/>
  <c r="E5" i="48"/>
  <c r="E10" i="48"/>
  <c r="G42" i="8"/>
  <c r="K259" i="7"/>
  <c r="M259" i="7" s="1"/>
  <c r="K258" i="7"/>
  <c r="M258" i="7" s="1"/>
  <c r="M33" i="15" l="1"/>
  <c r="E15" i="48"/>
  <c r="E17" i="48" s="1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1" i="33"/>
  <c r="F35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K257" i="7" l="1"/>
  <c r="K256" i="7" l="1"/>
  <c r="M257" i="7"/>
  <c r="G18" i="21"/>
  <c r="I284" i="7"/>
  <c r="K284" i="7"/>
  <c r="K283" i="7" l="1"/>
  <c r="M283" i="7" s="1"/>
  <c r="M284" i="7"/>
  <c r="K255" i="7"/>
  <c r="M256" i="7"/>
  <c r="H55" i="43"/>
  <c r="D18" i="16"/>
  <c r="M255" i="7" l="1"/>
  <c r="J39" i="29"/>
  <c r="J41" i="29" s="1"/>
  <c r="K28" i="29"/>
  <c r="G16" i="29"/>
  <c r="G20" i="29" s="1"/>
  <c r="H20" i="29" s="1"/>
  <c r="H21" i="29" s="1"/>
  <c r="G21" i="29" l="1"/>
  <c r="D11" i="29"/>
  <c r="I171" i="7" l="1"/>
  <c r="I170" i="7"/>
  <c r="J158" i="7"/>
  <c r="J159" i="7"/>
  <c r="J160" i="7"/>
  <c r="J161" i="7"/>
  <c r="J162" i="7"/>
  <c r="J163" i="7"/>
  <c r="J164" i="7"/>
  <c r="J165" i="7"/>
  <c r="J166" i="7"/>
  <c r="J167" i="7"/>
  <c r="J168" i="7"/>
  <c r="J157" i="7"/>
  <c r="I158" i="7"/>
  <c r="I159" i="7"/>
  <c r="I160" i="7"/>
  <c r="I161" i="7"/>
  <c r="I162" i="7"/>
  <c r="I163" i="7"/>
  <c r="I164" i="7"/>
  <c r="I165" i="7"/>
  <c r="I166" i="7"/>
  <c r="I167" i="7"/>
  <c r="I168" i="7"/>
  <c r="I157" i="7"/>
  <c r="K173" i="7"/>
  <c r="M173" i="7" s="1"/>
  <c r="J174" i="7"/>
  <c r="J175" i="7"/>
  <c r="J173" i="7"/>
  <c r="I174" i="7"/>
  <c r="I175" i="7"/>
  <c r="I173" i="7"/>
  <c r="Q135" i="7" l="1"/>
  <c r="K130" i="7"/>
  <c r="G42" i="25"/>
  <c r="K180" i="7" s="1"/>
  <c r="M180" i="7" s="1"/>
  <c r="G41" i="25"/>
  <c r="K179" i="7" s="1"/>
  <c r="M179" i="7" s="1"/>
  <c r="G40" i="25"/>
  <c r="G37" i="25"/>
  <c r="K171" i="7" s="1"/>
  <c r="M171" i="7" s="1"/>
  <c r="G36" i="25"/>
  <c r="K170" i="7" s="1"/>
  <c r="M170" i="7" s="1"/>
  <c r="G23" i="25"/>
  <c r="G24" i="25"/>
  <c r="G25" i="25"/>
  <c r="G26" i="25"/>
  <c r="G27" i="25"/>
  <c r="G28" i="25"/>
  <c r="G29" i="25"/>
  <c r="G30" i="25"/>
  <c r="G31" i="25"/>
  <c r="G32" i="25"/>
  <c r="G33" i="25"/>
  <c r="G22" i="25"/>
  <c r="M130" i="7" l="1"/>
  <c r="K169" i="7"/>
  <c r="M169" i="7" s="1"/>
  <c r="G34" i="25"/>
  <c r="H34" i="25" s="1"/>
  <c r="K156" i="7"/>
  <c r="M156" i="7" s="1"/>
  <c r="G43" i="25"/>
  <c r="H43" i="25" s="1"/>
  <c r="K178" i="7"/>
  <c r="G38" i="25"/>
  <c r="H38" i="25" s="1"/>
  <c r="K177" i="7" l="1"/>
  <c r="M178" i="7"/>
  <c r="D73" i="17"/>
  <c r="G20" i="28"/>
  <c r="K176" i="7" l="1"/>
  <c r="M176" i="7" s="1"/>
  <c r="M177" i="7"/>
  <c r="G90" i="17"/>
  <c r="N90" i="17" s="1"/>
  <c r="K42" i="7"/>
  <c r="M42" i="7" s="1"/>
  <c r="K40" i="7"/>
  <c r="M40" i="7" s="1"/>
  <c r="K38" i="7"/>
  <c r="M38" i="7" s="1"/>
  <c r="G91" i="17" l="1"/>
  <c r="D20" i="5"/>
  <c r="D21" i="5"/>
  <c r="D22" i="5"/>
  <c r="D23" i="5"/>
  <c r="D24" i="5"/>
  <c r="D25" i="5"/>
  <c r="D26" i="5"/>
  <c r="D27" i="5"/>
  <c r="D28" i="5"/>
  <c r="D29" i="5"/>
  <c r="D30" i="5"/>
  <c r="D31" i="5"/>
  <c r="D19" i="5"/>
  <c r="E20" i="5"/>
  <c r="E21" i="5"/>
  <c r="E22" i="5"/>
  <c r="E23" i="5"/>
  <c r="E24" i="5"/>
  <c r="E25" i="5"/>
  <c r="E26" i="5"/>
  <c r="E27" i="5"/>
  <c r="E28" i="5"/>
  <c r="E29" i="5"/>
  <c r="E30" i="5"/>
  <c r="E31" i="5"/>
  <c r="E19" i="5"/>
  <c r="H91" i="17" l="1"/>
  <c r="K107" i="7" s="1"/>
  <c r="N91" i="17"/>
  <c r="E40" i="5"/>
  <c r="E41" i="5"/>
  <c r="E42" i="5"/>
  <c r="E43" i="5"/>
  <c r="E44" i="5"/>
  <c r="E45" i="5"/>
  <c r="E46" i="5"/>
  <c r="E47" i="5"/>
  <c r="E39" i="5"/>
  <c r="M31" i="5"/>
  <c r="L22" i="5"/>
  <c r="M30" i="5"/>
  <c r="M32" i="5"/>
  <c r="L25" i="5"/>
  <c r="L30" i="5"/>
  <c r="L32" i="5"/>
  <c r="L16" i="5"/>
  <c r="L17" i="5"/>
  <c r="L18" i="5"/>
  <c r="L19" i="5"/>
  <c r="L23" i="5"/>
  <c r="L24" i="5"/>
  <c r="L15" i="5"/>
  <c r="F78" i="5"/>
  <c r="E9" i="5"/>
  <c r="T23" i="5" s="1"/>
  <c r="E8" i="5"/>
  <c r="T19" i="5"/>
  <c r="E108" i="5"/>
  <c r="E53" i="5"/>
  <c r="F156" i="5"/>
  <c r="F153" i="5"/>
  <c r="F151" i="5"/>
  <c r="F149" i="5"/>
  <c r="F140" i="5"/>
  <c r="F137" i="5"/>
  <c r="F135" i="5"/>
  <c r="F133" i="5"/>
  <c r="F123" i="5"/>
  <c r="F121" i="5"/>
  <c r="F119" i="5"/>
  <c r="F117" i="5"/>
  <c r="F105" i="5"/>
  <c r="F103" i="5"/>
  <c r="F99" i="5"/>
  <c r="F97" i="5"/>
  <c r="M88" i="5"/>
  <c r="E88" i="5"/>
  <c r="F85" i="5"/>
  <c r="F80" i="5"/>
  <c r="F58" i="5"/>
  <c r="F50" i="5"/>
  <c r="F38" i="5"/>
  <c r="U22" i="5"/>
  <c r="U24" i="5"/>
  <c r="T12" i="5"/>
  <c r="S12" i="5"/>
  <c r="U12" i="5"/>
  <c r="K106" i="7" l="1"/>
  <c r="M106" i="7" s="1"/>
  <c r="M107" i="7"/>
  <c r="E128" i="5"/>
  <c r="E143" i="5"/>
  <c r="F10" i="5"/>
  <c r="E89" i="5"/>
  <c r="F89" i="5" s="1"/>
  <c r="E144" i="5"/>
  <c r="E109" i="5"/>
  <c r="E110" i="5" s="1"/>
  <c r="R22" i="5" s="1"/>
  <c r="E127" i="5"/>
  <c r="F128" i="5" s="1"/>
  <c r="E15" i="5"/>
  <c r="T21" i="5"/>
  <c r="T22" i="5"/>
  <c r="V22" i="5" s="1"/>
  <c r="T24" i="5"/>
  <c r="V24" i="5" s="1"/>
  <c r="T20" i="5"/>
  <c r="E54" i="5"/>
  <c r="F54" i="5" s="1"/>
  <c r="U21" i="5"/>
  <c r="U20" i="5"/>
  <c r="U23" i="5"/>
  <c r="V23" i="5" s="1"/>
  <c r="E90" i="5" l="1"/>
  <c r="R21" i="5" s="1"/>
  <c r="F144" i="5"/>
  <c r="E145" i="5"/>
  <c r="R24" i="5" s="1"/>
  <c r="K5" i="5"/>
  <c r="L14" i="5"/>
  <c r="F109" i="5"/>
  <c r="E129" i="5"/>
  <c r="R23" i="5" s="1"/>
  <c r="V21" i="5"/>
  <c r="L20" i="5"/>
  <c r="V20" i="5"/>
  <c r="L97" i="5"/>
  <c r="E55" i="5"/>
  <c r="R20" i="5" s="1"/>
  <c r="F21" i="16" l="1"/>
  <c r="F20" i="16"/>
  <c r="G20" i="16" s="1"/>
  <c r="K88" i="7" s="1"/>
  <c r="M88" i="7" s="1"/>
  <c r="F19" i="16"/>
  <c r="G19" i="16" s="1"/>
  <c r="K87" i="7" s="1"/>
  <c r="M87" i="7" s="1"/>
  <c r="F18" i="16"/>
  <c r="G18" i="16" s="1"/>
  <c r="K86" i="7" s="1"/>
  <c r="M86" i="7" s="1"/>
  <c r="F17" i="16"/>
  <c r="G17" i="16" s="1"/>
  <c r="K85" i="7" s="1"/>
  <c r="M85" i="7" s="1"/>
  <c r="F16" i="16"/>
  <c r="G16" i="16" s="1"/>
  <c r="N22" i="16"/>
  <c r="N23" i="16"/>
  <c r="N21" i="16"/>
  <c r="L22" i="16"/>
  <c r="L23" i="16"/>
  <c r="L21" i="16"/>
  <c r="N15" i="16"/>
  <c r="N16" i="16"/>
  <c r="N14" i="16"/>
  <c r="L15" i="16"/>
  <c r="L16" i="16"/>
  <c r="L14" i="16"/>
  <c r="D21" i="16"/>
  <c r="G21" i="16" s="1"/>
  <c r="K89" i="7" s="1"/>
  <c r="M89" i="7" s="1"/>
  <c r="G23" i="16" l="1"/>
  <c r="K84" i="7"/>
  <c r="M84" i="7" s="1"/>
  <c r="I46" i="3"/>
  <c r="K18" i="11" l="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7" i="11"/>
  <c r="K16" i="11"/>
  <c r="W320" i="11"/>
  <c r="W338" i="11"/>
  <c r="L324" i="11"/>
  <c r="M324" i="11"/>
  <c r="N324" i="11"/>
  <c r="O324" i="11"/>
  <c r="P324" i="11"/>
  <c r="Q324" i="11"/>
  <c r="R324" i="11"/>
  <c r="S324" i="11"/>
  <c r="T324" i="11"/>
  <c r="U324" i="11"/>
  <c r="V324" i="11"/>
  <c r="L326" i="11"/>
  <c r="M326" i="11"/>
  <c r="N326" i="11"/>
  <c r="O326" i="11"/>
  <c r="P326" i="11"/>
  <c r="Q326" i="11"/>
  <c r="R326" i="11"/>
  <c r="S326" i="11"/>
  <c r="T326" i="11"/>
  <c r="U326" i="11"/>
  <c r="V326" i="11"/>
  <c r="L328" i="11"/>
  <c r="M328" i="11"/>
  <c r="N328" i="11"/>
  <c r="O328" i="11"/>
  <c r="P328" i="11"/>
  <c r="Q328" i="11"/>
  <c r="R328" i="11"/>
  <c r="S328" i="11"/>
  <c r="T328" i="11"/>
  <c r="U328" i="11"/>
  <c r="V328" i="11"/>
  <c r="L330" i="11"/>
  <c r="M330" i="11"/>
  <c r="N330" i="11"/>
  <c r="O330" i="11"/>
  <c r="P330" i="11"/>
  <c r="Q330" i="11"/>
  <c r="R330" i="11"/>
  <c r="S330" i="11"/>
  <c r="T330" i="11"/>
  <c r="U330" i="11"/>
  <c r="V330" i="11"/>
  <c r="L333" i="11"/>
  <c r="M333" i="11"/>
  <c r="N333" i="11"/>
  <c r="O333" i="11"/>
  <c r="P333" i="11"/>
  <c r="Q333" i="11"/>
  <c r="R333" i="11"/>
  <c r="S333" i="11"/>
  <c r="T333" i="11"/>
  <c r="U333" i="11"/>
  <c r="V333" i="11"/>
  <c r="L335" i="11"/>
  <c r="M335" i="11"/>
  <c r="N335" i="11"/>
  <c r="O335" i="11"/>
  <c r="P335" i="11"/>
  <c r="Q335" i="11"/>
  <c r="R335" i="11"/>
  <c r="S335" i="11"/>
  <c r="T335" i="11"/>
  <c r="U335" i="11"/>
  <c r="V335" i="11"/>
  <c r="L337" i="11"/>
  <c r="M337" i="11"/>
  <c r="N337" i="11"/>
  <c r="O337" i="11"/>
  <c r="P337" i="11"/>
  <c r="Q337" i="11"/>
  <c r="R337" i="11"/>
  <c r="S337" i="11"/>
  <c r="T337" i="11"/>
  <c r="U337" i="11"/>
  <c r="V337" i="11"/>
  <c r="K324" i="11"/>
  <c r="K326" i="11"/>
  <c r="K328" i="11"/>
  <c r="K330" i="11"/>
  <c r="K333" i="11"/>
  <c r="K335" i="11"/>
  <c r="K337" i="11"/>
  <c r="L86" i="11"/>
  <c r="M86" i="11"/>
  <c r="N86" i="11"/>
  <c r="O86" i="11"/>
  <c r="P86" i="11"/>
  <c r="Q86" i="11"/>
  <c r="R86" i="11"/>
  <c r="S86" i="11"/>
  <c r="T86" i="11"/>
  <c r="U86" i="11"/>
  <c r="V86" i="11"/>
  <c r="L87" i="11"/>
  <c r="M87" i="11"/>
  <c r="N87" i="11"/>
  <c r="O87" i="11"/>
  <c r="P87" i="11"/>
  <c r="Q87" i="11"/>
  <c r="R87" i="11"/>
  <c r="S87" i="11"/>
  <c r="T87" i="11"/>
  <c r="U87" i="11"/>
  <c r="V87" i="11"/>
  <c r="L88" i="11"/>
  <c r="M88" i="11"/>
  <c r="N88" i="11"/>
  <c r="O88" i="11"/>
  <c r="P88" i="11"/>
  <c r="Q88" i="11"/>
  <c r="R88" i="11"/>
  <c r="S88" i="11"/>
  <c r="T88" i="11"/>
  <c r="U88" i="11"/>
  <c r="V88" i="11"/>
  <c r="L89" i="11"/>
  <c r="M89" i="11"/>
  <c r="N89" i="11"/>
  <c r="O89" i="11"/>
  <c r="P89" i="11"/>
  <c r="Q89" i="11"/>
  <c r="R89" i="11"/>
  <c r="S89" i="11"/>
  <c r="T89" i="11"/>
  <c r="U89" i="11"/>
  <c r="V89" i="11"/>
  <c r="L90" i="11"/>
  <c r="M90" i="11"/>
  <c r="N90" i="11"/>
  <c r="O90" i="11"/>
  <c r="P90" i="11"/>
  <c r="Q90" i="11"/>
  <c r="R90" i="11"/>
  <c r="S90" i="11"/>
  <c r="T90" i="11"/>
  <c r="U90" i="11"/>
  <c r="V90" i="11"/>
  <c r="L91" i="11"/>
  <c r="M91" i="11"/>
  <c r="N91" i="11"/>
  <c r="O91" i="11"/>
  <c r="P91" i="11"/>
  <c r="Q91" i="11"/>
  <c r="R91" i="11"/>
  <c r="S91" i="11"/>
  <c r="T91" i="11"/>
  <c r="U91" i="11"/>
  <c r="V91" i="11"/>
  <c r="L92" i="11"/>
  <c r="M92" i="11"/>
  <c r="N92" i="11"/>
  <c r="O92" i="11"/>
  <c r="P92" i="11"/>
  <c r="Q92" i="11"/>
  <c r="R92" i="11"/>
  <c r="S92" i="11"/>
  <c r="T92" i="11"/>
  <c r="U92" i="11"/>
  <c r="V92" i="11"/>
  <c r="L97" i="11"/>
  <c r="M97" i="11"/>
  <c r="N97" i="11"/>
  <c r="O97" i="11"/>
  <c r="P97" i="11"/>
  <c r="Q97" i="11"/>
  <c r="R97" i="11"/>
  <c r="S97" i="11"/>
  <c r="T97" i="11"/>
  <c r="U97" i="11"/>
  <c r="V97" i="11"/>
  <c r="L98" i="11"/>
  <c r="M98" i="11"/>
  <c r="N98" i="11"/>
  <c r="O98" i="11"/>
  <c r="P98" i="11"/>
  <c r="Q98" i="11"/>
  <c r="R98" i="11"/>
  <c r="S98" i="11"/>
  <c r="T98" i="11"/>
  <c r="U98" i="11"/>
  <c r="V98" i="11"/>
  <c r="L100" i="11"/>
  <c r="M100" i="11"/>
  <c r="N100" i="11"/>
  <c r="O100" i="11"/>
  <c r="P100" i="11"/>
  <c r="Q100" i="11"/>
  <c r="R100" i="11"/>
  <c r="S100" i="11"/>
  <c r="T100" i="11"/>
  <c r="U100" i="11"/>
  <c r="V100" i="11"/>
  <c r="L101" i="11"/>
  <c r="M101" i="11"/>
  <c r="N101" i="11"/>
  <c r="O101" i="11"/>
  <c r="P101" i="11"/>
  <c r="Q101" i="11"/>
  <c r="R101" i="11"/>
  <c r="S101" i="11"/>
  <c r="T101" i="11"/>
  <c r="U101" i="11"/>
  <c r="V101" i="11"/>
  <c r="L102" i="11"/>
  <c r="N102" i="11"/>
  <c r="O102" i="11"/>
  <c r="P102" i="11"/>
  <c r="Q102" i="11"/>
  <c r="R102" i="11"/>
  <c r="S102" i="11"/>
  <c r="T102" i="11"/>
  <c r="U102" i="11"/>
  <c r="V102" i="11"/>
  <c r="L104" i="11"/>
  <c r="M104" i="11"/>
  <c r="N104" i="11"/>
  <c r="O104" i="11"/>
  <c r="P104" i="11"/>
  <c r="Q104" i="11"/>
  <c r="R104" i="11"/>
  <c r="S104" i="11"/>
  <c r="T104" i="11"/>
  <c r="U104" i="11"/>
  <c r="V104" i="11"/>
  <c r="L112" i="11"/>
  <c r="M112" i="11"/>
  <c r="N112" i="11"/>
  <c r="O112" i="11"/>
  <c r="P112" i="11"/>
  <c r="Q112" i="11"/>
  <c r="R112" i="11"/>
  <c r="S112" i="11"/>
  <c r="T112" i="11"/>
  <c r="U112" i="11"/>
  <c r="V112" i="11"/>
  <c r="L113" i="11"/>
  <c r="M113" i="11"/>
  <c r="N113" i="11"/>
  <c r="O113" i="11"/>
  <c r="P113" i="11"/>
  <c r="Q113" i="11"/>
  <c r="R113" i="11"/>
  <c r="S113" i="11"/>
  <c r="T113" i="11"/>
  <c r="U113" i="11"/>
  <c r="V113" i="11"/>
  <c r="L114" i="11"/>
  <c r="M114" i="11"/>
  <c r="N114" i="11"/>
  <c r="O114" i="11"/>
  <c r="P114" i="11"/>
  <c r="Q114" i="11"/>
  <c r="R114" i="11"/>
  <c r="S114" i="11"/>
  <c r="T114" i="11"/>
  <c r="U114" i="11"/>
  <c r="V114" i="11"/>
  <c r="L116" i="11"/>
  <c r="N116" i="11"/>
  <c r="O116" i="11"/>
  <c r="P116" i="11"/>
  <c r="Q116" i="11"/>
  <c r="R116" i="11"/>
  <c r="S116" i="11"/>
  <c r="T116" i="11"/>
  <c r="U116" i="11"/>
  <c r="V116" i="11"/>
  <c r="L125" i="11"/>
  <c r="M125" i="11"/>
  <c r="N125" i="11"/>
  <c r="O125" i="11"/>
  <c r="P125" i="11"/>
  <c r="Q125" i="11"/>
  <c r="R125" i="11"/>
  <c r="S125" i="11"/>
  <c r="T125" i="11"/>
  <c r="U125" i="11"/>
  <c r="V125" i="11"/>
  <c r="L126" i="11"/>
  <c r="M126" i="11"/>
  <c r="N126" i="11"/>
  <c r="O126" i="11"/>
  <c r="P126" i="11"/>
  <c r="Q126" i="11"/>
  <c r="R126" i="11"/>
  <c r="S126" i="11"/>
  <c r="T126" i="11"/>
  <c r="U126" i="11"/>
  <c r="V126" i="11"/>
  <c r="L131" i="11"/>
  <c r="M131" i="11"/>
  <c r="N131" i="11"/>
  <c r="O131" i="11"/>
  <c r="P131" i="11"/>
  <c r="Q131" i="11"/>
  <c r="R131" i="11"/>
  <c r="S131" i="11"/>
  <c r="T131" i="11"/>
  <c r="U131" i="11"/>
  <c r="V131" i="11"/>
  <c r="L136" i="11"/>
  <c r="M136" i="11"/>
  <c r="N136" i="11"/>
  <c r="O136" i="11"/>
  <c r="P136" i="11"/>
  <c r="Q136" i="11"/>
  <c r="R136" i="11"/>
  <c r="S136" i="11"/>
  <c r="T136" i="11"/>
  <c r="U136" i="11"/>
  <c r="V136" i="11"/>
  <c r="L137" i="11"/>
  <c r="M137" i="11"/>
  <c r="N137" i="11"/>
  <c r="O137" i="11"/>
  <c r="P137" i="11"/>
  <c r="Q137" i="11"/>
  <c r="R137" i="11"/>
  <c r="S137" i="11"/>
  <c r="T137" i="11"/>
  <c r="U137" i="11"/>
  <c r="V137" i="11"/>
  <c r="L138" i="11"/>
  <c r="M138" i="11"/>
  <c r="N138" i="11"/>
  <c r="O138" i="11"/>
  <c r="P138" i="11"/>
  <c r="Q138" i="11"/>
  <c r="R138" i="11"/>
  <c r="S138" i="11"/>
  <c r="T138" i="11"/>
  <c r="U138" i="11"/>
  <c r="V138" i="11"/>
  <c r="L139" i="11"/>
  <c r="M139" i="11"/>
  <c r="N139" i="11"/>
  <c r="O139" i="11"/>
  <c r="P139" i="11"/>
  <c r="Q139" i="11"/>
  <c r="R139" i="11"/>
  <c r="S139" i="11"/>
  <c r="T139" i="11"/>
  <c r="U139" i="11"/>
  <c r="V139" i="11"/>
  <c r="L143" i="11"/>
  <c r="M143" i="11"/>
  <c r="O143" i="11"/>
  <c r="P143" i="11"/>
  <c r="Q143" i="11"/>
  <c r="R143" i="11"/>
  <c r="S143" i="11"/>
  <c r="T143" i="11"/>
  <c r="U143" i="11"/>
  <c r="V143" i="11"/>
  <c r="L147" i="11"/>
  <c r="M147" i="11"/>
  <c r="O147" i="11"/>
  <c r="P147" i="11"/>
  <c r="Q147" i="11"/>
  <c r="R147" i="11"/>
  <c r="S147" i="11"/>
  <c r="T147" i="11"/>
  <c r="U147" i="11"/>
  <c r="V147" i="11"/>
  <c r="L149" i="11"/>
  <c r="M149" i="11"/>
  <c r="N149" i="11"/>
  <c r="O149" i="11"/>
  <c r="P149" i="11"/>
  <c r="Q149" i="11"/>
  <c r="R149" i="11"/>
  <c r="S149" i="11"/>
  <c r="T149" i="11"/>
  <c r="U149" i="11"/>
  <c r="V149" i="11"/>
  <c r="L151" i="11"/>
  <c r="M151" i="11"/>
  <c r="O151" i="11"/>
  <c r="P151" i="11"/>
  <c r="Q151" i="11"/>
  <c r="R151" i="11"/>
  <c r="S151" i="11"/>
  <c r="T151" i="11"/>
  <c r="U151" i="11"/>
  <c r="V151" i="11"/>
  <c r="L152" i="11"/>
  <c r="M152" i="11"/>
  <c r="O152" i="11"/>
  <c r="P152" i="11"/>
  <c r="Q152" i="11"/>
  <c r="R152" i="11"/>
  <c r="S152" i="11"/>
  <c r="T152" i="11"/>
  <c r="U152" i="11"/>
  <c r="V152" i="11"/>
  <c r="L153" i="11"/>
  <c r="M153" i="11"/>
  <c r="O153" i="11"/>
  <c r="P153" i="11"/>
  <c r="Q153" i="11"/>
  <c r="R153" i="11"/>
  <c r="S153" i="11"/>
  <c r="T153" i="11"/>
  <c r="U153" i="11"/>
  <c r="V153" i="11"/>
  <c r="L154" i="11"/>
  <c r="M154" i="11"/>
  <c r="O154" i="11"/>
  <c r="P154" i="11"/>
  <c r="Q154" i="11"/>
  <c r="R154" i="11"/>
  <c r="S154" i="11"/>
  <c r="T154" i="11"/>
  <c r="U154" i="11"/>
  <c r="V154" i="11"/>
  <c r="L155" i="11"/>
  <c r="M155" i="11"/>
  <c r="N155" i="11"/>
  <c r="O155" i="11"/>
  <c r="P155" i="11"/>
  <c r="Q155" i="11"/>
  <c r="R155" i="11"/>
  <c r="S155" i="11"/>
  <c r="T155" i="11"/>
  <c r="U155" i="11"/>
  <c r="V155" i="11"/>
  <c r="L160" i="11"/>
  <c r="M160" i="11"/>
  <c r="N160" i="11"/>
  <c r="O160" i="11"/>
  <c r="P160" i="11"/>
  <c r="Q160" i="11"/>
  <c r="S160" i="11"/>
  <c r="T160" i="11"/>
  <c r="U160" i="11"/>
  <c r="V160" i="11"/>
  <c r="L164" i="11"/>
  <c r="M164" i="11"/>
  <c r="N164" i="11"/>
  <c r="O164" i="11"/>
  <c r="P164" i="11"/>
  <c r="Q164" i="11"/>
  <c r="R164" i="11"/>
  <c r="S164" i="11"/>
  <c r="U164" i="11"/>
  <c r="V164" i="11"/>
  <c r="L165" i="11"/>
  <c r="M165" i="11"/>
  <c r="N165" i="11"/>
  <c r="O165" i="11"/>
  <c r="P165" i="11"/>
  <c r="Q165" i="11"/>
  <c r="R165" i="11"/>
  <c r="S165" i="11"/>
  <c r="T165" i="11"/>
  <c r="U165" i="11"/>
  <c r="V165" i="11"/>
  <c r="L172" i="11"/>
  <c r="M172" i="11"/>
  <c r="N172" i="11"/>
  <c r="O172" i="11"/>
  <c r="P172" i="11"/>
  <c r="Q172" i="11"/>
  <c r="R172" i="11"/>
  <c r="S172" i="11"/>
  <c r="T172" i="11"/>
  <c r="U172" i="11"/>
  <c r="V172" i="11"/>
  <c r="L175" i="11"/>
  <c r="M175" i="11"/>
  <c r="O175" i="11"/>
  <c r="P175" i="11"/>
  <c r="Q175" i="11"/>
  <c r="R175" i="11"/>
  <c r="S175" i="11"/>
  <c r="T175" i="11"/>
  <c r="U175" i="11"/>
  <c r="V175" i="11"/>
  <c r="L176" i="11"/>
  <c r="M176" i="11"/>
  <c r="O176" i="11"/>
  <c r="P176" i="11"/>
  <c r="Q176" i="11"/>
  <c r="R176" i="11"/>
  <c r="S176" i="11"/>
  <c r="T176" i="11"/>
  <c r="U176" i="11"/>
  <c r="V176" i="11"/>
  <c r="L177" i="11"/>
  <c r="M177" i="11"/>
  <c r="O177" i="11"/>
  <c r="P177" i="11"/>
  <c r="Q177" i="11"/>
  <c r="R177" i="11"/>
  <c r="S177" i="11"/>
  <c r="T177" i="11"/>
  <c r="U177" i="11"/>
  <c r="V177" i="11"/>
  <c r="L178" i="11"/>
  <c r="M178" i="11"/>
  <c r="N178" i="11"/>
  <c r="O178" i="11"/>
  <c r="P178" i="11"/>
  <c r="Q178" i="11"/>
  <c r="R178" i="11"/>
  <c r="S178" i="11"/>
  <c r="T178" i="11"/>
  <c r="U178" i="11"/>
  <c r="V178" i="11"/>
  <c r="L184" i="11"/>
  <c r="M184" i="11"/>
  <c r="N184" i="11"/>
  <c r="O184" i="11"/>
  <c r="P184" i="11"/>
  <c r="Q184" i="11"/>
  <c r="R184" i="11"/>
  <c r="S184" i="11"/>
  <c r="T184" i="11"/>
  <c r="U184" i="11"/>
  <c r="V184" i="11"/>
  <c r="L185" i="11"/>
  <c r="M185" i="11"/>
  <c r="N185" i="11"/>
  <c r="O185" i="11"/>
  <c r="P185" i="11"/>
  <c r="R185" i="11"/>
  <c r="S185" i="11"/>
  <c r="T185" i="11"/>
  <c r="U185" i="11"/>
  <c r="V185" i="11"/>
  <c r="L186" i="11"/>
  <c r="M186" i="11"/>
  <c r="N186" i="11"/>
  <c r="O186" i="11"/>
  <c r="P186" i="11"/>
  <c r="Q186" i="11"/>
  <c r="R186" i="11"/>
  <c r="S186" i="11"/>
  <c r="T186" i="11"/>
  <c r="U186" i="11"/>
  <c r="V186" i="11"/>
  <c r="L191" i="11"/>
  <c r="M191" i="11"/>
  <c r="N191" i="11"/>
  <c r="O191" i="11"/>
  <c r="P191" i="11"/>
  <c r="Q191" i="11"/>
  <c r="R191" i="11"/>
  <c r="S191" i="11"/>
  <c r="T191" i="11"/>
  <c r="U191" i="11"/>
  <c r="V191" i="11"/>
  <c r="L192" i="11"/>
  <c r="M192" i="11"/>
  <c r="N192" i="11"/>
  <c r="O192" i="11"/>
  <c r="P192" i="11"/>
  <c r="Q192" i="11"/>
  <c r="R192" i="11"/>
  <c r="S192" i="11"/>
  <c r="T192" i="11"/>
  <c r="U192" i="11"/>
  <c r="V192" i="11"/>
  <c r="L193" i="11"/>
  <c r="M193" i="11"/>
  <c r="N193" i="11"/>
  <c r="O193" i="11"/>
  <c r="P193" i="11"/>
  <c r="Q193" i="11"/>
  <c r="R193" i="11"/>
  <c r="S193" i="11"/>
  <c r="T193" i="11"/>
  <c r="U193" i="11"/>
  <c r="V193" i="11"/>
  <c r="L194" i="11"/>
  <c r="M194" i="11"/>
  <c r="N194" i="11"/>
  <c r="O194" i="11"/>
  <c r="P194" i="11"/>
  <c r="Q194" i="11"/>
  <c r="R194" i="11"/>
  <c r="S194" i="11"/>
  <c r="T194" i="11"/>
  <c r="U194" i="11"/>
  <c r="V194" i="11"/>
  <c r="L198" i="11"/>
  <c r="M198" i="11"/>
  <c r="N198" i="11"/>
  <c r="O198" i="11"/>
  <c r="P198" i="11"/>
  <c r="Q198" i="11"/>
  <c r="R198" i="11"/>
  <c r="S198" i="11"/>
  <c r="T198" i="11"/>
  <c r="U198" i="11"/>
  <c r="V198" i="11"/>
  <c r="L199" i="11"/>
  <c r="M199" i="11"/>
  <c r="N199" i="11"/>
  <c r="O199" i="11"/>
  <c r="P199" i="11"/>
  <c r="Q199" i="11"/>
  <c r="R199" i="11"/>
  <c r="S199" i="11"/>
  <c r="T199" i="11"/>
  <c r="U199" i="11"/>
  <c r="V199" i="11"/>
  <c r="L202" i="11"/>
  <c r="M202" i="11"/>
  <c r="N202" i="11"/>
  <c r="O202" i="11"/>
  <c r="P202" i="11"/>
  <c r="Q202" i="11"/>
  <c r="R202" i="11"/>
  <c r="S202" i="11"/>
  <c r="T202" i="11"/>
  <c r="U202" i="11"/>
  <c r="V202" i="11"/>
  <c r="L203" i="11"/>
  <c r="M203" i="11"/>
  <c r="N203" i="11"/>
  <c r="O203" i="11"/>
  <c r="P203" i="11"/>
  <c r="Q203" i="11"/>
  <c r="R203" i="11"/>
  <c r="S203" i="11"/>
  <c r="T203" i="11"/>
  <c r="U203" i="11"/>
  <c r="V203" i="11"/>
  <c r="L204" i="11"/>
  <c r="M204" i="11"/>
  <c r="N204" i="11"/>
  <c r="O204" i="11"/>
  <c r="P204" i="11"/>
  <c r="Q204" i="11"/>
  <c r="R204" i="11"/>
  <c r="S204" i="11"/>
  <c r="T204" i="11"/>
  <c r="U204" i="11"/>
  <c r="V204" i="11"/>
  <c r="L205" i="11"/>
  <c r="M205" i="11"/>
  <c r="N205" i="11"/>
  <c r="O205" i="11"/>
  <c r="P205" i="11"/>
  <c r="Q205" i="11"/>
  <c r="R205" i="11"/>
  <c r="S205" i="11"/>
  <c r="T205" i="11"/>
  <c r="U205" i="11"/>
  <c r="V205" i="11"/>
  <c r="L217" i="11"/>
  <c r="M217" i="11"/>
  <c r="N217" i="11"/>
  <c r="O217" i="11"/>
  <c r="P217" i="11"/>
  <c r="Q217" i="11"/>
  <c r="R217" i="11"/>
  <c r="S217" i="11"/>
  <c r="T217" i="11"/>
  <c r="U217" i="11"/>
  <c r="V217" i="11"/>
  <c r="L220" i="11"/>
  <c r="M220" i="11"/>
  <c r="N220" i="11"/>
  <c r="O220" i="11"/>
  <c r="P220" i="11"/>
  <c r="Q220" i="11"/>
  <c r="R220" i="11"/>
  <c r="S220" i="11"/>
  <c r="T220" i="11"/>
  <c r="U220" i="11"/>
  <c r="V220" i="11"/>
  <c r="L221" i="11"/>
  <c r="M221" i="11"/>
  <c r="N221" i="11"/>
  <c r="O221" i="11"/>
  <c r="P221" i="11"/>
  <c r="Q221" i="11"/>
  <c r="R221" i="11"/>
  <c r="S221" i="11"/>
  <c r="T221" i="11"/>
  <c r="U221" i="11"/>
  <c r="V221" i="11"/>
  <c r="L222" i="11"/>
  <c r="M222" i="11"/>
  <c r="N222" i="11"/>
  <c r="O222" i="11"/>
  <c r="P222" i="11"/>
  <c r="Q222" i="11"/>
  <c r="R222" i="11"/>
  <c r="S222" i="11"/>
  <c r="T222" i="11"/>
  <c r="U222" i="11"/>
  <c r="V222" i="11"/>
  <c r="L223" i="11"/>
  <c r="M223" i="11"/>
  <c r="N223" i="11"/>
  <c r="O223" i="11"/>
  <c r="P223" i="11"/>
  <c r="Q223" i="11"/>
  <c r="R223" i="11"/>
  <c r="S223" i="11"/>
  <c r="T223" i="11"/>
  <c r="U223" i="11"/>
  <c r="V223" i="11"/>
  <c r="L224" i="11"/>
  <c r="M224" i="11"/>
  <c r="N224" i="11"/>
  <c r="O224" i="11"/>
  <c r="P224" i="11"/>
  <c r="Q224" i="11"/>
  <c r="R224" i="11"/>
  <c r="S224" i="11"/>
  <c r="T224" i="11"/>
  <c r="U224" i="11"/>
  <c r="V224" i="11"/>
  <c r="L226" i="11"/>
  <c r="M226" i="11"/>
  <c r="N226" i="11"/>
  <c r="O226" i="11"/>
  <c r="P226" i="11"/>
  <c r="Q226" i="11"/>
  <c r="R226" i="11"/>
  <c r="S226" i="11"/>
  <c r="T226" i="11"/>
  <c r="U226" i="11"/>
  <c r="V226" i="11"/>
  <c r="L227" i="11"/>
  <c r="M227" i="11"/>
  <c r="N227" i="11"/>
  <c r="O227" i="11"/>
  <c r="P227" i="11"/>
  <c r="Q227" i="11"/>
  <c r="R227" i="11"/>
  <c r="S227" i="11"/>
  <c r="T227" i="11"/>
  <c r="U227" i="11"/>
  <c r="V227" i="11"/>
  <c r="L229" i="11"/>
  <c r="M229" i="11"/>
  <c r="N229" i="11"/>
  <c r="O229" i="11"/>
  <c r="P229" i="11"/>
  <c r="Q229" i="11"/>
  <c r="R229" i="11"/>
  <c r="S229" i="11"/>
  <c r="T229" i="11"/>
  <c r="U229" i="11"/>
  <c r="V229" i="11"/>
  <c r="L230" i="11"/>
  <c r="M230" i="11"/>
  <c r="N230" i="11"/>
  <c r="O230" i="11"/>
  <c r="P230" i="11"/>
  <c r="Q230" i="11"/>
  <c r="R230" i="11"/>
  <c r="S230" i="11"/>
  <c r="T230" i="11"/>
  <c r="U230" i="11"/>
  <c r="V230" i="11"/>
  <c r="L248" i="11"/>
  <c r="M248" i="11"/>
  <c r="N248" i="11"/>
  <c r="O248" i="11"/>
  <c r="P248" i="11"/>
  <c r="Q248" i="11"/>
  <c r="R248" i="11"/>
  <c r="S248" i="11"/>
  <c r="T248" i="11"/>
  <c r="U248" i="11"/>
  <c r="V248" i="11"/>
  <c r="L249" i="11"/>
  <c r="M249" i="11"/>
  <c r="N249" i="11"/>
  <c r="O249" i="11"/>
  <c r="P249" i="11"/>
  <c r="Q249" i="11"/>
  <c r="R249" i="11"/>
  <c r="S249" i="11"/>
  <c r="T249" i="11"/>
  <c r="U249" i="11"/>
  <c r="V249" i="11"/>
  <c r="L250" i="11"/>
  <c r="M250" i="11"/>
  <c r="N250" i="11"/>
  <c r="O250" i="11"/>
  <c r="P250" i="11"/>
  <c r="Q250" i="11"/>
  <c r="R250" i="11"/>
  <c r="S250" i="11"/>
  <c r="T250" i="11"/>
  <c r="U250" i="11"/>
  <c r="V250" i="11"/>
  <c r="L251" i="11"/>
  <c r="M251" i="11"/>
  <c r="N251" i="11"/>
  <c r="O251" i="11"/>
  <c r="P251" i="11"/>
  <c r="Q251" i="11"/>
  <c r="R251" i="11"/>
  <c r="S251" i="11"/>
  <c r="T251" i="11"/>
  <c r="U251" i="11"/>
  <c r="V251" i="11"/>
  <c r="L253" i="11"/>
  <c r="M253" i="11"/>
  <c r="N253" i="11"/>
  <c r="O253" i="11"/>
  <c r="P253" i="11"/>
  <c r="Q253" i="11"/>
  <c r="R253" i="11"/>
  <c r="S253" i="11"/>
  <c r="T253" i="11"/>
  <c r="U253" i="11"/>
  <c r="V253" i="11"/>
  <c r="L256" i="11"/>
  <c r="M256" i="11"/>
  <c r="N256" i="11"/>
  <c r="O256" i="11"/>
  <c r="P256" i="11"/>
  <c r="Q256" i="11"/>
  <c r="R256" i="11"/>
  <c r="S256" i="11"/>
  <c r="T256" i="11"/>
  <c r="U256" i="11"/>
  <c r="V256" i="11"/>
  <c r="L258" i="11"/>
  <c r="M258" i="11"/>
  <c r="N258" i="11"/>
  <c r="O258" i="11"/>
  <c r="P258" i="11"/>
  <c r="Q258" i="11"/>
  <c r="R258" i="11"/>
  <c r="S258" i="11"/>
  <c r="T258" i="11"/>
  <c r="U258" i="11"/>
  <c r="V258" i="11"/>
  <c r="L259" i="11"/>
  <c r="M259" i="11"/>
  <c r="N259" i="11"/>
  <c r="O259" i="11"/>
  <c r="P259" i="11"/>
  <c r="Q259" i="11"/>
  <c r="R259" i="11"/>
  <c r="S259" i="11"/>
  <c r="T259" i="11"/>
  <c r="U259" i="11"/>
  <c r="V259" i="11"/>
  <c r="L266" i="11"/>
  <c r="M266" i="11"/>
  <c r="N266" i="11"/>
  <c r="O266" i="11"/>
  <c r="P266" i="11"/>
  <c r="Q266" i="11"/>
  <c r="R266" i="11"/>
  <c r="S266" i="11"/>
  <c r="T266" i="11"/>
  <c r="U266" i="11"/>
  <c r="V266" i="11"/>
  <c r="L268" i="11"/>
  <c r="M268" i="11"/>
  <c r="N268" i="11"/>
  <c r="O268" i="11"/>
  <c r="P268" i="11"/>
  <c r="Q268" i="11"/>
  <c r="R268" i="11"/>
  <c r="S268" i="11"/>
  <c r="T268" i="11"/>
  <c r="U268" i="11"/>
  <c r="V268" i="11"/>
  <c r="L269" i="11"/>
  <c r="M269" i="11"/>
  <c r="N269" i="11"/>
  <c r="O269" i="11"/>
  <c r="P269" i="11"/>
  <c r="Q269" i="11"/>
  <c r="R269" i="11"/>
  <c r="S269" i="11"/>
  <c r="T269" i="11"/>
  <c r="U269" i="11"/>
  <c r="V269" i="11"/>
  <c r="L270" i="11"/>
  <c r="M270" i="11"/>
  <c r="N270" i="11"/>
  <c r="O270" i="11"/>
  <c r="P270" i="11"/>
  <c r="Q270" i="11"/>
  <c r="R270" i="11"/>
  <c r="S270" i="11"/>
  <c r="T270" i="11"/>
  <c r="U270" i="11"/>
  <c r="V270" i="11"/>
  <c r="L272" i="11"/>
  <c r="M272" i="11"/>
  <c r="N272" i="11"/>
  <c r="O272" i="11"/>
  <c r="P272" i="11"/>
  <c r="Q272" i="11"/>
  <c r="R272" i="11"/>
  <c r="S272" i="11"/>
  <c r="T272" i="11"/>
  <c r="U272" i="11"/>
  <c r="V272" i="11"/>
  <c r="L273" i="11"/>
  <c r="M273" i="11"/>
  <c r="N273" i="11"/>
  <c r="O273" i="11"/>
  <c r="P273" i="11"/>
  <c r="Q273" i="11"/>
  <c r="R273" i="11"/>
  <c r="S273" i="11"/>
  <c r="T273" i="11"/>
  <c r="U273" i="11"/>
  <c r="V273" i="11"/>
  <c r="L274" i="11"/>
  <c r="M274" i="11"/>
  <c r="N274" i="11"/>
  <c r="O274" i="11"/>
  <c r="P274" i="11"/>
  <c r="Q274" i="11"/>
  <c r="R274" i="11"/>
  <c r="S274" i="11"/>
  <c r="T274" i="11"/>
  <c r="U274" i="11"/>
  <c r="V274" i="11"/>
  <c r="L276" i="11"/>
  <c r="M276" i="11"/>
  <c r="N276" i="11"/>
  <c r="O276" i="11"/>
  <c r="P276" i="11"/>
  <c r="Q276" i="11"/>
  <c r="R276" i="11"/>
  <c r="S276" i="11"/>
  <c r="T276" i="11"/>
  <c r="U276" i="11"/>
  <c r="V276" i="11"/>
  <c r="L278" i="11"/>
  <c r="M278" i="11"/>
  <c r="N278" i="11"/>
  <c r="O278" i="11"/>
  <c r="P278" i="11"/>
  <c r="Q278" i="11"/>
  <c r="R278" i="11"/>
  <c r="S278" i="11"/>
  <c r="T278" i="11"/>
  <c r="U278" i="11"/>
  <c r="V278" i="11"/>
  <c r="L280" i="11"/>
  <c r="M280" i="11"/>
  <c r="N280" i="11"/>
  <c r="O280" i="11"/>
  <c r="P280" i="11"/>
  <c r="Q280" i="11"/>
  <c r="R280" i="11"/>
  <c r="S280" i="11"/>
  <c r="T280" i="11"/>
  <c r="U280" i="11"/>
  <c r="V280" i="11"/>
  <c r="L281" i="11"/>
  <c r="M281" i="11"/>
  <c r="N281" i="11"/>
  <c r="O281" i="11"/>
  <c r="P281" i="11"/>
  <c r="Q281" i="11"/>
  <c r="R281" i="11"/>
  <c r="S281" i="11"/>
  <c r="T281" i="11"/>
  <c r="U281" i="11"/>
  <c r="V281" i="11"/>
  <c r="L282" i="11"/>
  <c r="M282" i="11"/>
  <c r="N282" i="11"/>
  <c r="O282" i="11"/>
  <c r="P282" i="11"/>
  <c r="Q282" i="11"/>
  <c r="R282" i="11"/>
  <c r="S282" i="11"/>
  <c r="T282" i="11"/>
  <c r="U282" i="11"/>
  <c r="V282" i="11"/>
  <c r="L283" i="11"/>
  <c r="M283" i="11"/>
  <c r="N283" i="11"/>
  <c r="O283" i="11"/>
  <c r="P283" i="11"/>
  <c r="Q283" i="11"/>
  <c r="R283" i="11"/>
  <c r="S283" i="11"/>
  <c r="T283" i="11"/>
  <c r="U283" i="11"/>
  <c r="V283" i="11"/>
  <c r="L285" i="11"/>
  <c r="M285" i="11"/>
  <c r="N285" i="11"/>
  <c r="O285" i="11"/>
  <c r="P285" i="11"/>
  <c r="Q285" i="11"/>
  <c r="R285" i="11"/>
  <c r="S285" i="11"/>
  <c r="T285" i="11"/>
  <c r="U285" i="11"/>
  <c r="V285" i="11"/>
  <c r="L286" i="11"/>
  <c r="M286" i="11"/>
  <c r="N286" i="11"/>
  <c r="O286" i="11"/>
  <c r="P286" i="11"/>
  <c r="Q286" i="11"/>
  <c r="R286" i="11"/>
  <c r="S286" i="11"/>
  <c r="T286" i="11"/>
  <c r="U286" i="11"/>
  <c r="V286" i="11"/>
  <c r="L287" i="11"/>
  <c r="M287" i="11"/>
  <c r="N287" i="11"/>
  <c r="O287" i="11"/>
  <c r="P287" i="11"/>
  <c r="Q287" i="11"/>
  <c r="R287" i="11"/>
  <c r="S287" i="11"/>
  <c r="T287" i="11"/>
  <c r="U287" i="11"/>
  <c r="V287" i="11"/>
  <c r="L289" i="11"/>
  <c r="M289" i="11"/>
  <c r="N289" i="11"/>
  <c r="O289" i="11"/>
  <c r="P289" i="11"/>
  <c r="Q289" i="11"/>
  <c r="R289" i="11"/>
  <c r="S289" i="11"/>
  <c r="T289" i="11"/>
  <c r="U289" i="11"/>
  <c r="V289" i="11"/>
  <c r="L291" i="11"/>
  <c r="M291" i="11"/>
  <c r="N291" i="11"/>
  <c r="O291" i="11"/>
  <c r="P291" i="11"/>
  <c r="Q291" i="11"/>
  <c r="R291" i="11"/>
  <c r="S291" i="11"/>
  <c r="T291" i="11"/>
  <c r="U291" i="11"/>
  <c r="V291" i="11"/>
  <c r="L292" i="11"/>
  <c r="M292" i="11"/>
  <c r="N292" i="11"/>
  <c r="O292" i="11"/>
  <c r="P292" i="11"/>
  <c r="Q292" i="11"/>
  <c r="R292" i="11"/>
  <c r="S292" i="11"/>
  <c r="T292" i="11"/>
  <c r="U292" i="11"/>
  <c r="V292" i="11"/>
  <c r="L293" i="11"/>
  <c r="M293" i="11"/>
  <c r="N293" i="11"/>
  <c r="O293" i="11"/>
  <c r="P293" i="11"/>
  <c r="Q293" i="11"/>
  <c r="R293" i="11"/>
  <c r="S293" i="11"/>
  <c r="T293" i="11"/>
  <c r="U293" i="11"/>
  <c r="V293" i="11"/>
  <c r="L294" i="11"/>
  <c r="M294" i="11"/>
  <c r="N294" i="11"/>
  <c r="O294" i="11"/>
  <c r="P294" i="11"/>
  <c r="Q294" i="11"/>
  <c r="R294" i="11"/>
  <c r="S294" i="11"/>
  <c r="T294" i="11"/>
  <c r="U294" i="11"/>
  <c r="V294" i="11"/>
  <c r="L296" i="11"/>
  <c r="M296" i="11"/>
  <c r="N296" i="11"/>
  <c r="O296" i="11"/>
  <c r="P296" i="11"/>
  <c r="Q296" i="11"/>
  <c r="R296" i="11"/>
  <c r="S296" i="11"/>
  <c r="T296" i="11"/>
  <c r="U296" i="11"/>
  <c r="V296" i="11"/>
  <c r="L297" i="11"/>
  <c r="M297" i="11"/>
  <c r="N297" i="11"/>
  <c r="O297" i="11"/>
  <c r="P297" i="11"/>
  <c r="Q297" i="11"/>
  <c r="R297" i="11"/>
  <c r="S297" i="11"/>
  <c r="T297" i="11"/>
  <c r="U297" i="11"/>
  <c r="V297" i="11"/>
  <c r="L298" i="11"/>
  <c r="M298" i="11"/>
  <c r="N298" i="11"/>
  <c r="O298" i="11"/>
  <c r="P298" i="11"/>
  <c r="Q298" i="11"/>
  <c r="R298" i="11"/>
  <c r="S298" i="11"/>
  <c r="T298" i="11"/>
  <c r="U298" i="11"/>
  <c r="V298" i="11"/>
  <c r="L303" i="11"/>
  <c r="M303" i="11"/>
  <c r="N303" i="11"/>
  <c r="O303" i="11"/>
  <c r="P303" i="11"/>
  <c r="Q303" i="11"/>
  <c r="R303" i="11"/>
  <c r="S303" i="11"/>
  <c r="T303" i="11"/>
  <c r="U303" i="11"/>
  <c r="V303" i="11"/>
  <c r="L304" i="11"/>
  <c r="M304" i="11"/>
  <c r="N304" i="11"/>
  <c r="O304" i="11"/>
  <c r="P304" i="11"/>
  <c r="Q304" i="11"/>
  <c r="R304" i="11"/>
  <c r="S304" i="11"/>
  <c r="T304" i="11"/>
  <c r="U304" i="11"/>
  <c r="V304" i="11"/>
  <c r="L305" i="11"/>
  <c r="M305" i="11"/>
  <c r="N305" i="11"/>
  <c r="O305" i="11"/>
  <c r="P305" i="11"/>
  <c r="Q305" i="11"/>
  <c r="R305" i="11"/>
  <c r="S305" i="11"/>
  <c r="T305" i="11"/>
  <c r="U305" i="11"/>
  <c r="V305" i="11"/>
  <c r="L306" i="11"/>
  <c r="M306" i="11"/>
  <c r="N306" i="11"/>
  <c r="O306" i="11"/>
  <c r="P306" i="11"/>
  <c r="Q306" i="11"/>
  <c r="R306" i="11"/>
  <c r="S306" i="11"/>
  <c r="T306" i="11"/>
  <c r="U306" i="11"/>
  <c r="V306" i="11"/>
  <c r="L307" i="11"/>
  <c r="M307" i="11"/>
  <c r="N307" i="11"/>
  <c r="O307" i="11"/>
  <c r="P307" i="11"/>
  <c r="Q307" i="11"/>
  <c r="R307" i="11"/>
  <c r="S307" i="11"/>
  <c r="T307" i="11"/>
  <c r="U307" i="11"/>
  <c r="V307" i="11"/>
  <c r="L309" i="11"/>
  <c r="M309" i="11"/>
  <c r="N309" i="11"/>
  <c r="O309" i="11"/>
  <c r="P309" i="11"/>
  <c r="Q309" i="11"/>
  <c r="R309" i="11"/>
  <c r="S309" i="11"/>
  <c r="T309" i="11"/>
  <c r="U309" i="11"/>
  <c r="V309" i="11"/>
  <c r="L310" i="11"/>
  <c r="M310" i="11"/>
  <c r="N310" i="11"/>
  <c r="O310" i="11"/>
  <c r="P310" i="11"/>
  <c r="Q310" i="11"/>
  <c r="R310" i="11"/>
  <c r="S310" i="11"/>
  <c r="T310" i="11"/>
  <c r="U310" i="11"/>
  <c r="V310" i="11"/>
  <c r="L311" i="11"/>
  <c r="M311" i="11"/>
  <c r="N311" i="11"/>
  <c r="O311" i="11"/>
  <c r="P311" i="11"/>
  <c r="Q311" i="11"/>
  <c r="R311" i="11"/>
  <c r="S311" i="11"/>
  <c r="T311" i="11"/>
  <c r="U311" i="11"/>
  <c r="V311" i="11"/>
  <c r="L313" i="11"/>
  <c r="M313" i="11"/>
  <c r="N313" i="11"/>
  <c r="O313" i="11"/>
  <c r="P313" i="11"/>
  <c r="Q313" i="11"/>
  <c r="R313" i="11"/>
  <c r="S313" i="11"/>
  <c r="T313" i="11"/>
  <c r="U313" i="11"/>
  <c r="V313" i="11"/>
  <c r="L315" i="11"/>
  <c r="M315" i="11"/>
  <c r="N315" i="11"/>
  <c r="O315" i="11"/>
  <c r="P315" i="11"/>
  <c r="Q315" i="11"/>
  <c r="R315" i="11"/>
  <c r="S315" i="11"/>
  <c r="T315" i="11"/>
  <c r="U315" i="11"/>
  <c r="V315" i="11"/>
  <c r="L316" i="11"/>
  <c r="M316" i="11"/>
  <c r="N316" i="11"/>
  <c r="O316" i="11"/>
  <c r="P316" i="11"/>
  <c r="Q316" i="11"/>
  <c r="R316" i="11"/>
  <c r="S316" i="11"/>
  <c r="T316" i="11"/>
  <c r="U316" i="11"/>
  <c r="V316" i="11"/>
  <c r="L317" i="11"/>
  <c r="M317" i="11"/>
  <c r="N317" i="11"/>
  <c r="O317" i="11"/>
  <c r="P317" i="11"/>
  <c r="Q317" i="11"/>
  <c r="R317" i="11"/>
  <c r="S317" i="11"/>
  <c r="T317" i="11"/>
  <c r="U317" i="11"/>
  <c r="V317" i="11"/>
  <c r="K86" i="11"/>
  <c r="K87" i="11"/>
  <c r="K88" i="11"/>
  <c r="K89" i="11"/>
  <c r="W89" i="11" s="1"/>
  <c r="K90" i="11"/>
  <c r="K91" i="11"/>
  <c r="K92" i="11"/>
  <c r="K97" i="11"/>
  <c r="W97" i="11" s="1"/>
  <c r="K98" i="11"/>
  <c r="K100" i="11"/>
  <c r="K101" i="11"/>
  <c r="K102" i="11"/>
  <c r="K104" i="11"/>
  <c r="K112" i="11"/>
  <c r="K113" i="11"/>
  <c r="K114" i="11"/>
  <c r="K116" i="11"/>
  <c r="K125" i="11"/>
  <c r="K126" i="11"/>
  <c r="K131" i="11"/>
  <c r="W131" i="11" s="1"/>
  <c r="K136" i="11"/>
  <c r="K137" i="11"/>
  <c r="K138" i="11"/>
  <c r="K139" i="11"/>
  <c r="W139" i="11" s="1"/>
  <c r="K143" i="11"/>
  <c r="K147" i="11"/>
  <c r="K149" i="11"/>
  <c r="K151" i="11"/>
  <c r="K152" i="11"/>
  <c r="K153" i="11"/>
  <c r="K154" i="11"/>
  <c r="K155" i="11"/>
  <c r="W155" i="11" s="1"/>
  <c r="K160" i="11"/>
  <c r="K164" i="11"/>
  <c r="K165" i="11"/>
  <c r="K172" i="11"/>
  <c r="K175" i="11"/>
  <c r="K176" i="11"/>
  <c r="K177" i="11"/>
  <c r="K178" i="11"/>
  <c r="K184" i="11"/>
  <c r="K185" i="11"/>
  <c r="K186" i="11"/>
  <c r="K191" i="11"/>
  <c r="W191" i="11" s="1"/>
  <c r="K192" i="11"/>
  <c r="K193" i="11"/>
  <c r="K194" i="11"/>
  <c r="K198" i="11"/>
  <c r="K199" i="11"/>
  <c r="K202" i="11"/>
  <c r="K203" i="11"/>
  <c r="K204" i="11"/>
  <c r="K205" i="11"/>
  <c r="K217" i="11"/>
  <c r="K220" i="11"/>
  <c r="K221" i="11"/>
  <c r="W221" i="11" s="1"/>
  <c r="K222" i="11"/>
  <c r="K223" i="11"/>
  <c r="K224" i="11"/>
  <c r="K226" i="11"/>
  <c r="K227" i="11"/>
  <c r="K229" i="11"/>
  <c r="K230" i="11"/>
  <c r="K248" i="11"/>
  <c r="W248" i="11" s="1"/>
  <c r="K249" i="11"/>
  <c r="K250" i="11"/>
  <c r="K251" i="11"/>
  <c r="K253" i="11"/>
  <c r="K256" i="11"/>
  <c r="K258" i="11"/>
  <c r="K259" i="11"/>
  <c r="K266" i="11"/>
  <c r="W266" i="11" s="1"/>
  <c r="K268" i="11"/>
  <c r="K269" i="11"/>
  <c r="K270" i="11"/>
  <c r="K272" i="11"/>
  <c r="W272" i="11" s="1"/>
  <c r="K273" i="11"/>
  <c r="K274" i="11"/>
  <c r="K276" i="11"/>
  <c r="K278" i="11"/>
  <c r="W278" i="11" s="1"/>
  <c r="K280" i="11"/>
  <c r="K281" i="11"/>
  <c r="K282" i="11"/>
  <c r="K283" i="11"/>
  <c r="W283" i="11" s="1"/>
  <c r="K285" i="11"/>
  <c r="K286" i="11"/>
  <c r="K287" i="11"/>
  <c r="K289" i="11"/>
  <c r="W289" i="11" s="1"/>
  <c r="K291" i="11"/>
  <c r="K292" i="11"/>
  <c r="K293" i="11"/>
  <c r="K294" i="11"/>
  <c r="W294" i="11" s="1"/>
  <c r="K296" i="11"/>
  <c r="K297" i="11"/>
  <c r="K298" i="11"/>
  <c r="K303" i="11"/>
  <c r="W303" i="11" s="1"/>
  <c r="K304" i="11"/>
  <c r="K305" i="11"/>
  <c r="K306" i="11"/>
  <c r="K307" i="11"/>
  <c r="W307" i="11" s="1"/>
  <c r="K309" i="11"/>
  <c r="K310" i="11"/>
  <c r="K311" i="11"/>
  <c r="K313" i="11"/>
  <c r="W313" i="11" s="1"/>
  <c r="K315" i="11"/>
  <c r="K316" i="11"/>
  <c r="K317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G32" i="9"/>
  <c r="W316" i="11" l="1"/>
  <c r="W310" i="11"/>
  <c r="W305" i="11"/>
  <c r="W297" i="11"/>
  <c r="W292" i="11"/>
  <c r="W286" i="11"/>
  <c r="W281" i="11"/>
  <c r="W274" i="11"/>
  <c r="W269" i="11"/>
  <c r="W258" i="11"/>
  <c r="W250" i="11"/>
  <c r="W229" i="11"/>
  <c r="W223" i="11"/>
  <c r="W217" i="11"/>
  <c r="W193" i="11"/>
  <c r="W137" i="11"/>
  <c r="W125" i="11"/>
  <c r="W91" i="11"/>
  <c r="W87" i="11"/>
  <c r="W335" i="11"/>
  <c r="W138" i="11"/>
  <c r="W136" i="11"/>
  <c r="W126" i="11"/>
  <c r="W113" i="11"/>
  <c r="W104" i="11"/>
  <c r="W101" i="11"/>
  <c r="W90" i="11"/>
  <c r="W88" i="11"/>
  <c r="W86" i="11"/>
  <c r="W317" i="11"/>
  <c r="W315" i="11"/>
  <c r="W311" i="11"/>
  <c r="W309" i="11"/>
  <c r="W306" i="11"/>
  <c r="W304" i="11"/>
  <c r="W298" i="11"/>
  <c r="W296" i="11"/>
  <c r="W293" i="11"/>
  <c r="W291" i="11"/>
  <c r="W287" i="11"/>
  <c r="W285" i="11"/>
  <c r="W282" i="11"/>
  <c r="W280" i="11"/>
  <c r="W276" i="11"/>
  <c r="W273" i="11"/>
  <c r="W270" i="11"/>
  <c r="W268" i="11"/>
  <c r="W259" i="11"/>
  <c r="W256" i="11"/>
  <c r="W251" i="11"/>
  <c r="W249" i="11"/>
  <c r="W230" i="11"/>
  <c r="W227" i="11"/>
  <c r="W205" i="11"/>
  <c r="W203" i="11"/>
  <c r="W199" i="11"/>
  <c r="W165" i="11"/>
  <c r="W149" i="11"/>
  <c r="W337" i="11"/>
  <c r="W333" i="11"/>
  <c r="W253" i="11"/>
  <c r="W112" i="11"/>
  <c r="W100" i="11"/>
  <c r="W92" i="11"/>
  <c r="W114" i="11"/>
  <c r="W98" i="11"/>
  <c r="W226" i="11"/>
  <c r="W224" i="11"/>
  <c r="W222" i="11"/>
  <c r="W220" i="11"/>
  <c r="W204" i="11"/>
  <c r="W202" i="11"/>
  <c r="W198" i="11"/>
  <c r="W194" i="11"/>
  <c r="W192" i="11"/>
  <c r="W186" i="11"/>
  <c r="W184" i="11"/>
  <c r="W178" i="11"/>
  <c r="W172" i="11"/>
  <c r="W330" i="11"/>
  <c r="W328" i="11"/>
  <c r="W326" i="11"/>
  <c r="W324" i="11"/>
  <c r="L275" i="10" l="1"/>
  <c r="M275" i="10"/>
  <c r="N275" i="10"/>
  <c r="O275" i="10"/>
  <c r="P275" i="10"/>
  <c r="Q275" i="10"/>
  <c r="R275" i="10"/>
  <c r="S275" i="10"/>
  <c r="T275" i="10"/>
  <c r="U275" i="10"/>
  <c r="V275" i="10"/>
  <c r="L277" i="10"/>
  <c r="L325" i="11" s="1"/>
  <c r="M277" i="10"/>
  <c r="M325" i="11" s="1"/>
  <c r="N277" i="10"/>
  <c r="N325" i="11" s="1"/>
  <c r="O277" i="10"/>
  <c r="O325" i="11" s="1"/>
  <c r="P277" i="10"/>
  <c r="P325" i="11" s="1"/>
  <c r="Q277" i="10"/>
  <c r="Q325" i="11" s="1"/>
  <c r="R277" i="10"/>
  <c r="R325" i="11" s="1"/>
  <c r="S277" i="10"/>
  <c r="S325" i="11" s="1"/>
  <c r="T277" i="10"/>
  <c r="T325" i="11" s="1"/>
  <c r="U277" i="10"/>
  <c r="U325" i="11" s="1"/>
  <c r="V277" i="10"/>
  <c r="V325" i="11" s="1"/>
  <c r="L279" i="10"/>
  <c r="L327" i="11" s="1"/>
  <c r="M279" i="10"/>
  <c r="M327" i="11" s="1"/>
  <c r="N279" i="10"/>
  <c r="N327" i="11" s="1"/>
  <c r="O279" i="10"/>
  <c r="O327" i="11" s="1"/>
  <c r="P279" i="10"/>
  <c r="P327" i="11" s="1"/>
  <c r="Q279" i="10"/>
  <c r="Q327" i="11" s="1"/>
  <c r="R279" i="10"/>
  <c r="R327" i="11" s="1"/>
  <c r="S279" i="10"/>
  <c r="S327" i="11" s="1"/>
  <c r="T279" i="10"/>
  <c r="T327" i="11" s="1"/>
  <c r="U279" i="10"/>
  <c r="U327" i="11" s="1"/>
  <c r="V279" i="10"/>
  <c r="V327" i="11" s="1"/>
  <c r="L281" i="10"/>
  <c r="L329" i="11" s="1"/>
  <c r="M281" i="10"/>
  <c r="M329" i="11" s="1"/>
  <c r="N281" i="10"/>
  <c r="N329" i="11" s="1"/>
  <c r="O281" i="10"/>
  <c r="O329" i="11" s="1"/>
  <c r="P281" i="10"/>
  <c r="P329" i="11" s="1"/>
  <c r="Q281" i="10"/>
  <c r="Q329" i="11" s="1"/>
  <c r="R281" i="10"/>
  <c r="R329" i="11" s="1"/>
  <c r="S281" i="10"/>
  <c r="S329" i="11" s="1"/>
  <c r="T281" i="10"/>
  <c r="T329" i="11" s="1"/>
  <c r="U281" i="10"/>
  <c r="U329" i="11" s="1"/>
  <c r="V281" i="10"/>
  <c r="V329" i="11" s="1"/>
  <c r="L284" i="10"/>
  <c r="M284" i="10"/>
  <c r="M332" i="11" s="1"/>
  <c r="N284" i="10"/>
  <c r="O284" i="10"/>
  <c r="O332" i="11" s="1"/>
  <c r="P284" i="10"/>
  <c r="Q284" i="10"/>
  <c r="Q332" i="11" s="1"/>
  <c r="R284" i="10"/>
  <c r="S284" i="10"/>
  <c r="S332" i="11" s="1"/>
  <c r="T284" i="10"/>
  <c r="T332" i="11" s="1"/>
  <c r="U284" i="10"/>
  <c r="U332" i="11" s="1"/>
  <c r="V284" i="10"/>
  <c r="L286" i="10"/>
  <c r="L334" i="11" s="1"/>
  <c r="M286" i="10"/>
  <c r="N286" i="10"/>
  <c r="N334" i="11" s="1"/>
  <c r="O286" i="10"/>
  <c r="P286" i="10"/>
  <c r="P334" i="11" s="1"/>
  <c r="Q286" i="10"/>
  <c r="R286" i="10"/>
  <c r="R334" i="11" s="1"/>
  <c r="S286" i="10"/>
  <c r="T286" i="10"/>
  <c r="T334" i="11" s="1"/>
  <c r="U286" i="10"/>
  <c r="V286" i="10"/>
  <c r="V334" i="11" s="1"/>
  <c r="L288" i="10"/>
  <c r="L336" i="11" s="1"/>
  <c r="M288" i="10"/>
  <c r="M336" i="11" s="1"/>
  <c r="N288" i="10"/>
  <c r="N336" i="11" s="1"/>
  <c r="O288" i="10"/>
  <c r="O336" i="11" s="1"/>
  <c r="P288" i="10"/>
  <c r="P336" i="11" s="1"/>
  <c r="Q288" i="10"/>
  <c r="Q336" i="11" s="1"/>
  <c r="R288" i="10"/>
  <c r="R336" i="11" s="1"/>
  <c r="S288" i="10"/>
  <c r="S336" i="11" s="1"/>
  <c r="T288" i="10"/>
  <c r="T336" i="11" s="1"/>
  <c r="U288" i="10"/>
  <c r="U336" i="11" s="1"/>
  <c r="V288" i="10"/>
  <c r="V336" i="11" s="1"/>
  <c r="K286" i="10"/>
  <c r="K334" i="11" s="1"/>
  <c r="K275" i="10"/>
  <c r="K323" i="11" s="1"/>
  <c r="K288" i="10"/>
  <c r="K336" i="11" s="1"/>
  <c r="K284" i="10"/>
  <c r="K332" i="11" s="1"/>
  <c r="K281" i="10"/>
  <c r="K329" i="11" s="1"/>
  <c r="K279" i="10"/>
  <c r="K327" i="11" s="1"/>
  <c r="K277" i="10"/>
  <c r="K325" i="11" s="1"/>
  <c r="A65" i="10"/>
  <c r="B65" i="10"/>
  <c r="C65" i="10"/>
  <c r="D65" i="10"/>
  <c r="E65" i="10"/>
  <c r="F65" i="10"/>
  <c r="G65" i="10"/>
  <c r="H65" i="10"/>
  <c r="I65" i="10"/>
  <c r="J65" i="10"/>
  <c r="W65" i="10"/>
  <c r="W327" i="11" l="1"/>
  <c r="W336" i="11"/>
  <c r="X65" i="10"/>
  <c r="K274" i="10"/>
  <c r="K283" i="10"/>
  <c r="K331" i="11" s="1"/>
  <c r="Y65" i="10"/>
  <c r="W325" i="11"/>
  <c r="W329" i="11"/>
  <c r="U274" i="10"/>
  <c r="U323" i="11"/>
  <c r="S274" i="10"/>
  <c r="S323" i="11"/>
  <c r="Q274" i="10"/>
  <c r="Q323" i="11"/>
  <c r="O274" i="10"/>
  <c r="O323" i="11"/>
  <c r="M274" i="10"/>
  <c r="M323" i="11"/>
  <c r="U283" i="10"/>
  <c r="U331" i="11" s="1"/>
  <c r="U334" i="11"/>
  <c r="S283" i="10"/>
  <c r="S331" i="11" s="1"/>
  <c r="S334" i="11"/>
  <c r="Q283" i="10"/>
  <c r="Q331" i="11" s="1"/>
  <c r="Q334" i="11"/>
  <c r="O283" i="10"/>
  <c r="O331" i="11" s="1"/>
  <c r="O334" i="11"/>
  <c r="M283" i="10"/>
  <c r="M331" i="11" s="1"/>
  <c r="M334" i="11"/>
  <c r="W334" i="11" s="1"/>
  <c r="V283" i="10"/>
  <c r="V331" i="11" s="1"/>
  <c r="V332" i="11"/>
  <c r="R283" i="10"/>
  <c r="R331" i="11" s="1"/>
  <c r="R332" i="11"/>
  <c r="P283" i="10"/>
  <c r="P331" i="11" s="1"/>
  <c r="P332" i="11"/>
  <c r="N283" i="10"/>
  <c r="N331" i="11" s="1"/>
  <c r="N332" i="11"/>
  <c r="L283" i="10"/>
  <c r="L331" i="11" s="1"/>
  <c r="L332" i="11"/>
  <c r="V274" i="10"/>
  <c r="V323" i="11"/>
  <c r="T274" i="10"/>
  <c r="T322" i="11" s="1"/>
  <c r="T323" i="11"/>
  <c r="R274" i="10"/>
  <c r="R323" i="11"/>
  <c r="P274" i="10"/>
  <c r="P322" i="11" s="1"/>
  <c r="P323" i="11"/>
  <c r="N274" i="10"/>
  <c r="N323" i="11"/>
  <c r="L274" i="10"/>
  <c r="L322" i="11" s="1"/>
  <c r="L323" i="11"/>
  <c r="T283" i="10"/>
  <c r="K273" i="10" l="1"/>
  <c r="K321" i="11" s="1"/>
  <c r="K322" i="11"/>
  <c r="W323" i="11"/>
  <c r="W332" i="11"/>
  <c r="L273" i="10"/>
  <c r="L321" i="11" s="1"/>
  <c r="N273" i="10"/>
  <c r="N321" i="11" s="1"/>
  <c r="N322" i="11"/>
  <c r="R273" i="10"/>
  <c r="R321" i="11" s="1"/>
  <c r="R322" i="11"/>
  <c r="P273" i="10"/>
  <c r="P321" i="11" s="1"/>
  <c r="T273" i="10"/>
  <c r="T321" i="11" s="1"/>
  <c r="T331" i="11"/>
  <c r="W331" i="11" s="1"/>
  <c r="V273" i="10"/>
  <c r="V321" i="11" s="1"/>
  <c r="V322" i="11"/>
  <c r="M273" i="10"/>
  <c r="M321" i="11" s="1"/>
  <c r="M322" i="11"/>
  <c r="O273" i="10"/>
  <c r="O321" i="11" s="1"/>
  <c r="O322" i="11"/>
  <c r="Q273" i="10"/>
  <c r="Q321" i="11" s="1"/>
  <c r="Q322" i="11"/>
  <c r="S273" i="10"/>
  <c r="S321" i="11" s="1"/>
  <c r="S322" i="11"/>
  <c r="U273" i="10"/>
  <c r="U321" i="11" s="1"/>
  <c r="U322" i="11"/>
  <c r="R264" i="10"/>
  <c r="R312" i="11" s="1"/>
  <c r="S247" i="10"/>
  <c r="S295" i="11" s="1"/>
  <c r="I230" i="10"/>
  <c r="I241" i="10"/>
  <c r="I259" i="10"/>
  <c r="N223" i="10"/>
  <c r="N271" i="11" s="1"/>
  <c r="G17" i="44"/>
  <c r="G19" i="44" s="1"/>
  <c r="H19" i="44" s="1"/>
  <c r="H21" i="44" s="1"/>
  <c r="L37" i="10"/>
  <c r="L85" i="11" s="1"/>
  <c r="M37" i="10"/>
  <c r="M85" i="11" s="1"/>
  <c r="N37" i="10"/>
  <c r="N85" i="11" s="1"/>
  <c r="O37" i="10"/>
  <c r="O85" i="11" s="1"/>
  <c r="P37" i="10"/>
  <c r="P85" i="11" s="1"/>
  <c r="Q37" i="10"/>
  <c r="Q85" i="11" s="1"/>
  <c r="R37" i="10"/>
  <c r="R85" i="11" s="1"/>
  <c r="S37" i="10"/>
  <c r="S85" i="11" s="1"/>
  <c r="T37" i="10"/>
  <c r="T85" i="11" s="1"/>
  <c r="U37" i="10"/>
  <c r="U85" i="11" s="1"/>
  <c r="V37" i="10"/>
  <c r="V85" i="11" s="1"/>
  <c r="K37" i="10"/>
  <c r="K85" i="11" s="1"/>
  <c r="K51" i="10"/>
  <c r="K99" i="11" s="1"/>
  <c r="T67" i="10"/>
  <c r="T115" i="11" s="1"/>
  <c r="Q67" i="10"/>
  <c r="Q115" i="11" s="1"/>
  <c r="R67" i="10"/>
  <c r="R115" i="11" s="1"/>
  <c r="S67" i="10"/>
  <c r="S115" i="11" s="1"/>
  <c r="N67" i="10"/>
  <c r="N115" i="11" s="1"/>
  <c r="O67" i="10"/>
  <c r="O115" i="11" s="1"/>
  <c r="P67" i="10"/>
  <c r="P115" i="11" s="1"/>
  <c r="W43" i="10"/>
  <c r="W44" i="10"/>
  <c r="W49" i="10"/>
  <c r="W50" i="10"/>
  <c r="W52" i="10"/>
  <c r="W53" i="10"/>
  <c r="W56" i="10"/>
  <c r="W64" i="10"/>
  <c r="W66" i="10"/>
  <c r="W77" i="10"/>
  <c r="W78" i="10"/>
  <c r="W83" i="10"/>
  <c r="W88" i="10"/>
  <c r="W89" i="10"/>
  <c r="W90" i="10"/>
  <c r="W91" i="10"/>
  <c r="W101" i="10"/>
  <c r="W107" i="10"/>
  <c r="W117" i="10"/>
  <c r="W124" i="10"/>
  <c r="W130" i="10"/>
  <c r="W136" i="10"/>
  <c r="W138" i="10"/>
  <c r="W143" i="10"/>
  <c r="W144" i="10"/>
  <c r="W145" i="10"/>
  <c r="W146" i="10"/>
  <c r="W150" i="10"/>
  <c r="W151" i="10"/>
  <c r="W154" i="10"/>
  <c r="W155" i="10"/>
  <c r="W156" i="10"/>
  <c r="W157" i="10"/>
  <c r="W169" i="10"/>
  <c r="W172" i="10"/>
  <c r="W173" i="10"/>
  <c r="W174" i="10"/>
  <c r="W175" i="10"/>
  <c r="W176" i="10"/>
  <c r="W178" i="10"/>
  <c r="W179" i="10"/>
  <c r="W181" i="10"/>
  <c r="W182" i="10"/>
  <c r="W200" i="10"/>
  <c r="W201" i="10"/>
  <c r="W202" i="10"/>
  <c r="W203" i="10"/>
  <c r="W205" i="10"/>
  <c r="W208" i="10"/>
  <c r="W210" i="10"/>
  <c r="W218" i="10"/>
  <c r="W220" i="10"/>
  <c r="W221" i="10"/>
  <c r="W222" i="10"/>
  <c r="W224" i="10"/>
  <c r="W225" i="10"/>
  <c r="W226" i="10"/>
  <c r="W228" i="10"/>
  <c r="W230" i="10"/>
  <c r="W232" i="10"/>
  <c r="W233" i="10"/>
  <c r="W234" i="10"/>
  <c r="W235" i="10"/>
  <c r="W237" i="10"/>
  <c r="W238" i="10"/>
  <c r="W239" i="10"/>
  <c r="W241" i="10"/>
  <c r="W243" i="10"/>
  <c r="W244" i="10"/>
  <c r="W245" i="10"/>
  <c r="W246" i="10"/>
  <c r="W248" i="10"/>
  <c r="W249" i="10"/>
  <c r="W250" i="10"/>
  <c r="W255" i="10"/>
  <c r="W256" i="10"/>
  <c r="W257" i="10"/>
  <c r="W258" i="10"/>
  <c r="W259" i="10"/>
  <c r="W261" i="10"/>
  <c r="W262" i="10"/>
  <c r="W263" i="10"/>
  <c r="W265" i="10"/>
  <c r="W267" i="10"/>
  <c r="Y267" i="10" s="1"/>
  <c r="W268" i="10"/>
  <c r="Y268" i="10" s="1"/>
  <c r="W269" i="10"/>
  <c r="Y269" i="10" s="1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Y290" i="10" s="1"/>
  <c r="L48" i="10"/>
  <c r="L96" i="11" s="1"/>
  <c r="M48" i="10"/>
  <c r="M96" i="11" s="1"/>
  <c r="N48" i="10"/>
  <c r="N96" i="11" s="1"/>
  <c r="O48" i="10"/>
  <c r="O96" i="11" s="1"/>
  <c r="P48" i="10"/>
  <c r="P96" i="11" s="1"/>
  <c r="Q48" i="10"/>
  <c r="Q96" i="11" s="1"/>
  <c r="R48" i="10"/>
  <c r="R96" i="11" s="1"/>
  <c r="S48" i="10"/>
  <c r="S96" i="11" s="1"/>
  <c r="T48" i="10"/>
  <c r="T96" i="11" s="1"/>
  <c r="U48" i="10"/>
  <c r="U96" i="11" s="1"/>
  <c r="V48" i="10"/>
  <c r="V96" i="11" s="1"/>
  <c r="L51" i="10"/>
  <c r="L99" i="11" s="1"/>
  <c r="N51" i="10"/>
  <c r="N99" i="11" s="1"/>
  <c r="O51" i="10"/>
  <c r="O99" i="11" s="1"/>
  <c r="P51" i="10"/>
  <c r="P99" i="11" s="1"/>
  <c r="Q51" i="10"/>
  <c r="Q99" i="11" s="1"/>
  <c r="R51" i="10"/>
  <c r="R99" i="11" s="1"/>
  <c r="S51" i="10"/>
  <c r="S99" i="11" s="1"/>
  <c r="T51" i="10"/>
  <c r="T99" i="11" s="1"/>
  <c r="U51" i="10"/>
  <c r="U99" i="11" s="1"/>
  <c r="V51" i="10"/>
  <c r="V99" i="11" s="1"/>
  <c r="L55" i="10"/>
  <c r="L103" i="11" s="1"/>
  <c r="M55" i="10"/>
  <c r="M103" i="11" s="1"/>
  <c r="N55" i="10"/>
  <c r="N103" i="11" s="1"/>
  <c r="O55" i="10"/>
  <c r="O103" i="11" s="1"/>
  <c r="P55" i="10"/>
  <c r="P103" i="11" s="1"/>
  <c r="Q55" i="10"/>
  <c r="Q103" i="11" s="1"/>
  <c r="R55" i="10"/>
  <c r="R103" i="11" s="1"/>
  <c r="S55" i="10"/>
  <c r="S103" i="11" s="1"/>
  <c r="T55" i="10"/>
  <c r="T103" i="11" s="1"/>
  <c r="U55" i="10"/>
  <c r="U103" i="11" s="1"/>
  <c r="V55" i="10"/>
  <c r="V103" i="11" s="1"/>
  <c r="L63" i="10"/>
  <c r="L111" i="11" s="1"/>
  <c r="M63" i="10"/>
  <c r="M111" i="11" s="1"/>
  <c r="N63" i="10"/>
  <c r="N111" i="11" s="1"/>
  <c r="O63" i="10"/>
  <c r="P63" i="10"/>
  <c r="P111" i="11" s="1"/>
  <c r="Q63" i="10"/>
  <c r="Q111" i="11" s="1"/>
  <c r="R63" i="10"/>
  <c r="R111" i="11" s="1"/>
  <c r="S63" i="10"/>
  <c r="S111" i="11" s="1"/>
  <c r="T63" i="10"/>
  <c r="T111" i="11" s="1"/>
  <c r="U63" i="10"/>
  <c r="U111" i="11" s="1"/>
  <c r="V63" i="10"/>
  <c r="V111" i="11" s="1"/>
  <c r="L67" i="10"/>
  <c r="L115" i="11" s="1"/>
  <c r="U67" i="10"/>
  <c r="U115" i="11" s="1"/>
  <c r="V67" i="10"/>
  <c r="V115" i="11" s="1"/>
  <c r="L76" i="10"/>
  <c r="L124" i="11" s="1"/>
  <c r="M76" i="10"/>
  <c r="M124" i="11" s="1"/>
  <c r="N76" i="10"/>
  <c r="N124" i="11" s="1"/>
  <c r="O76" i="10"/>
  <c r="O124" i="11" s="1"/>
  <c r="P76" i="10"/>
  <c r="P124" i="11" s="1"/>
  <c r="Q76" i="10"/>
  <c r="Q124" i="11" s="1"/>
  <c r="R76" i="10"/>
  <c r="R124" i="11" s="1"/>
  <c r="S76" i="10"/>
  <c r="S124" i="11" s="1"/>
  <c r="T76" i="10"/>
  <c r="T124" i="11" s="1"/>
  <c r="U76" i="10"/>
  <c r="U124" i="11" s="1"/>
  <c r="V76" i="10"/>
  <c r="V124" i="11" s="1"/>
  <c r="L82" i="10"/>
  <c r="L130" i="11" s="1"/>
  <c r="M82" i="10"/>
  <c r="M130" i="11" s="1"/>
  <c r="N82" i="10"/>
  <c r="N130" i="11" s="1"/>
  <c r="O82" i="10"/>
  <c r="O130" i="11" s="1"/>
  <c r="P82" i="10"/>
  <c r="P130" i="11" s="1"/>
  <c r="Q82" i="10"/>
  <c r="Q130" i="11" s="1"/>
  <c r="R82" i="10"/>
  <c r="R130" i="11" s="1"/>
  <c r="S82" i="10"/>
  <c r="S130" i="11" s="1"/>
  <c r="T82" i="10"/>
  <c r="T130" i="11" s="1"/>
  <c r="U82" i="10"/>
  <c r="U130" i="11" s="1"/>
  <c r="V82" i="10"/>
  <c r="V130" i="11" s="1"/>
  <c r="L87" i="10"/>
  <c r="L135" i="11" s="1"/>
  <c r="M87" i="10"/>
  <c r="N87" i="10"/>
  <c r="O87" i="10"/>
  <c r="P87" i="10"/>
  <c r="P135" i="11" s="1"/>
  <c r="Q87" i="10"/>
  <c r="R87" i="10"/>
  <c r="S87" i="10"/>
  <c r="T87" i="10"/>
  <c r="T135" i="11" s="1"/>
  <c r="U87" i="10"/>
  <c r="V87" i="10"/>
  <c r="L94" i="10"/>
  <c r="M94" i="10"/>
  <c r="M142" i="11" s="1"/>
  <c r="O94" i="10"/>
  <c r="P94" i="10"/>
  <c r="Q94" i="10"/>
  <c r="R94" i="10"/>
  <c r="R142" i="11" s="1"/>
  <c r="S94" i="10"/>
  <c r="T94" i="10"/>
  <c r="U94" i="10"/>
  <c r="V94" i="10"/>
  <c r="V142" i="11" s="1"/>
  <c r="P98" i="10"/>
  <c r="L98" i="10"/>
  <c r="M98" i="10"/>
  <c r="O98" i="10"/>
  <c r="O146" i="11" s="1"/>
  <c r="Q98" i="10"/>
  <c r="R98" i="10"/>
  <c r="S98" i="10"/>
  <c r="T98" i="10"/>
  <c r="T146" i="11" s="1"/>
  <c r="U98" i="10"/>
  <c r="V98" i="10"/>
  <c r="L102" i="10"/>
  <c r="M102" i="10"/>
  <c r="O102" i="10"/>
  <c r="P102" i="10"/>
  <c r="Q102" i="10"/>
  <c r="R102" i="10"/>
  <c r="S102" i="10"/>
  <c r="T102" i="10"/>
  <c r="U102" i="10"/>
  <c r="V102" i="10"/>
  <c r="Q111" i="10"/>
  <c r="L111" i="10"/>
  <c r="L159" i="11" s="1"/>
  <c r="M111" i="10"/>
  <c r="N111" i="10"/>
  <c r="O111" i="10"/>
  <c r="P111" i="10"/>
  <c r="P159" i="11" s="1"/>
  <c r="S111" i="10"/>
  <c r="T111" i="10"/>
  <c r="U111" i="10"/>
  <c r="V111" i="10"/>
  <c r="V159" i="11" s="1"/>
  <c r="L115" i="10"/>
  <c r="M115" i="10"/>
  <c r="N115" i="10"/>
  <c r="O115" i="10"/>
  <c r="O163" i="11" s="1"/>
  <c r="P115" i="10"/>
  <c r="Q115" i="10"/>
  <c r="R115" i="10"/>
  <c r="S115" i="10"/>
  <c r="S163" i="11" s="1"/>
  <c r="U115" i="10"/>
  <c r="V115" i="10"/>
  <c r="L126" i="10"/>
  <c r="M126" i="10"/>
  <c r="O126" i="10"/>
  <c r="P126" i="10"/>
  <c r="Q126" i="10"/>
  <c r="R126" i="10"/>
  <c r="S126" i="10"/>
  <c r="T126" i="10"/>
  <c r="U126" i="10"/>
  <c r="V126" i="10"/>
  <c r="L142" i="10"/>
  <c r="M142" i="10"/>
  <c r="N142" i="10"/>
  <c r="O142" i="10"/>
  <c r="P142" i="10"/>
  <c r="Q142" i="10"/>
  <c r="Q190" i="11" s="1"/>
  <c r="R142" i="10"/>
  <c r="S142" i="10"/>
  <c r="T142" i="10"/>
  <c r="U142" i="10"/>
  <c r="U190" i="11" s="1"/>
  <c r="V142" i="10"/>
  <c r="L149" i="10"/>
  <c r="M149" i="10"/>
  <c r="N149" i="10"/>
  <c r="N197" i="11" s="1"/>
  <c r="O149" i="10"/>
  <c r="P149" i="10"/>
  <c r="Q149" i="10"/>
  <c r="R149" i="10"/>
  <c r="R197" i="11" s="1"/>
  <c r="S149" i="10"/>
  <c r="T149" i="10"/>
  <c r="U149" i="10"/>
  <c r="V149" i="10"/>
  <c r="V197" i="11" s="1"/>
  <c r="L153" i="10"/>
  <c r="M153" i="10"/>
  <c r="N153" i="10"/>
  <c r="O153" i="10"/>
  <c r="P153" i="10"/>
  <c r="Q153" i="10"/>
  <c r="R153" i="10"/>
  <c r="S153" i="10"/>
  <c r="T153" i="10"/>
  <c r="U153" i="10"/>
  <c r="V153" i="10"/>
  <c r="L171" i="10"/>
  <c r="M171" i="10"/>
  <c r="M219" i="11" s="1"/>
  <c r="N171" i="10"/>
  <c r="N219" i="11" s="1"/>
  <c r="O171" i="10"/>
  <c r="O219" i="11" s="1"/>
  <c r="P171" i="10"/>
  <c r="P219" i="11" s="1"/>
  <c r="Q171" i="10"/>
  <c r="Q219" i="11" s="1"/>
  <c r="R171" i="10"/>
  <c r="R219" i="11" s="1"/>
  <c r="S171" i="10"/>
  <c r="S219" i="11" s="1"/>
  <c r="T171" i="10"/>
  <c r="T219" i="11" s="1"/>
  <c r="U171" i="10"/>
  <c r="U219" i="11" s="1"/>
  <c r="V171" i="10"/>
  <c r="V219" i="11" s="1"/>
  <c r="L177" i="10"/>
  <c r="L225" i="11" s="1"/>
  <c r="L180" i="10"/>
  <c r="L228" i="11" s="1"/>
  <c r="M177" i="10"/>
  <c r="M225" i="11" s="1"/>
  <c r="N177" i="10"/>
  <c r="N225" i="11" s="1"/>
  <c r="O177" i="10"/>
  <c r="O225" i="11" s="1"/>
  <c r="P177" i="10"/>
  <c r="P225" i="11" s="1"/>
  <c r="Q177" i="10"/>
  <c r="R177" i="10"/>
  <c r="R225" i="11" s="1"/>
  <c r="S177" i="10"/>
  <c r="S225" i="11" s="1"/>
  <c r="T177" i="10"/>
  <c r="T225" i="11" s="1"/>
  <c r="U177" i="10"/>
  <c r="U225" i="11" s="1"/>
  <c r="V177" i="10"/>
  <c r="V225" i="11" s="1"/>
  <c r="M180" i="10"/>
  <c r="M228" i="11" s="1"/>
  <c r="N180" i="10"/>
  <c r="N228" i="11" s="1"/>
  <c r="O180" i="10"/>
  <c r="O228" i="11" s="1"/>
  <c r="P180" i="10"/>
  <c r="P228" i="11" s="1"/>
  <c r="Q180" i="10"/>
  <c r="Q228" i="11" s="1"/>
  <c r="R180" i="10"/>
  <c r="R228" i="11" s="1"/>
  <c r="S180" i="10"/>
  <c r="S228" i="11" s="1"/>
  <c r="T180" i="10"/>
  <c r="T228" i="11" s="1"/>
  <c r="U180" i="10"/>
  <c r="U228" i="11" s="1"/>
  <c r="V180" i="10"/>
  <c r="V228" i="11" s="1"/>
  <c r="L199" i="10"/>
  <c r="L247" i="11" s="1"/>
  <c r="M199" i="10"/>
  <c r="M247" i="11" s="1"/>
  <c r="N199" i="10"/>
  <c r="N247" i="11" s="1"/>
  <c r="O199" i="10"/>
  <c r="O247" i="11" s="1"/>
  <c r="P199" i="10"/>
  <c r="P247" i="11" s="1"/>
  <c r="Q199" i="10"/>
  <c r="Q247" i="11" s="1"/>
  <c r="R199" i="10"/>
  <c r="R247" i="11" s="1"/>
  <c r="S199" i="10"/>
  <c r="S247" i="11" s="1"/>
  <c r="T199" i="10"/>
  <c r="T247" i="11" s="1"/>
  <c r="U199" i="10"/>
  <c r="U247" i="11" s="1"/>
  <c r="V199" i="10"/>
  <c r="V247" i="11" s="1"/>
  <c r="L207" i="10"/>
  <c r="L255" i="11" s="1"/>
  <c r="M207" i="10"/>
  <c r="M255" i="11" s="1"/>
  <c r="N207" i="10"/>
  <c r="N255" i="11" s="1"/>
  <c r="O207" i="10"/>
  <c r="O255" i="11" s="1"/>
  <c r="P207" i="10"/>
  <c r="P255" i="11" s="1"/>
  <c r="Q207" i="10"/>
  <c r="Q255" i="11" s="1"/>
  <c r="R207" i="10"/>
  <c r="R255" i="11" s="1"/>
  <c r="S207" i="10"/>
  <c r="S255" i="11" s="1"/>
  <c r="T207" i="10"/>
  <c r="T255" i="11" s="1"/>
  <c r="U207" i="10"/>
  <c r="U255" i="11" s="1"/>
  <c r="V207" i="10"/>
  <c r="V255" i="11" s="1"/>
  <c r="L209" i="10"/>
  <c r="L257" i="11" s="1"/>
  <c r="M209" i="10"/>
  <c r="M257" i="11" s="1"/>
  <c r="N209" i="10"/>
  <c r="N257" i="11" s="1"/>
  <c r="O209" i="10"/>
  <c r="O257" i="11" s="1"/>
  <c r="P209" i="10"/>
  <c r="P257" i="11" s="1"/>
  <c r="Q209" i="10"/>
  <c r="Q257" i="11" s="1"/>
  <c r="R209" i="10"/>
  <c r="R257" i="11" s="1"/>
  <c r="S209" i="10"/>
  <c r="S257" i="11" s="1"/>
  <c r="T209" i="10"/>
  <c r="T257" i="11" s="1"/>
  <c r="U209" i="10"/>
  <c r="U257" i="11" s="1"/>
  <c r="V209" i="10"/>
  <c r="V257" i="11" s="1"/>
  <c r="L219" i="10"/>
  <c r="L267" i="11" s="1"/>
  <c r="M219" i="10"/>
  <c r="M267" i="11" s="1"/>
  <c r="N219" i="10"/>
  <c r="N267" i="11" s="1"/>
  <c r="O219" i="10"/>
  <c r="O267" i="11" s="1"/>
  <c r="P219" i="10"/>
  <c r="P267" i="11" s="1"/>
  <c r="Q219" i="10"/>
  <c r="Q267" i="11" s="1"/>
  <c r="R219" i="10"/>
  <c r="R267" i="11" s="1"/>
  <c r="S219" i="10"/>
  <c r="S267" i="11" s="1"/>
  <c r="T219" i="10"/>
  <c r="T267" i="11" s="1"/>
  <c r="U219" i="10"/>
  <c r="U267" i="11" s="1"/>
  <c r="V219" i="10"/>
  <c r="V267" i="11" s="1"/>
  <c r="L223" i="10"/>
  <c r="L271" i="11" s="1"/>
  <c r="M223" i="10"/>
  <c r="M271" i="11" s="1"/>
  <c r="O223" i="10"/>
  <c r="O271" i="11" s="1"/>
  <c r="P223" i="10"/>
  <c r="P271" i="11" s="1"/>
  <c r="Q223" i="10"/>
  <c r="Q271" i="11" s="1"/>
  <c r="R223" i="10"/>
  <c r="R271" i="11" s="1"/>
  <c r="S223" i="10"/>
  <c r="S271" i="11" s="1"/>
  <c r="T223" i="10"/>
  <c r="T271" i="11" s="1"/>
  <c r="U223" i="10"/>
  <c r="U271" i="11" s="1"/>
  <c r="V223" i="10"/>
  <c r="V271" i="11" s="1"/>
  <c r="L227" i="10"/>
  <c r="L275" i="11" s="1"/>
  <c r="M227" i="10"/>
  <c r="M275" i="11" s="1"/>
  <c r="N227" i="10"/>
  <c r="N275" i="11" s="1"/>
  <c r="O227" i="10"/>
  <c r="O275" i="11" s="1"/>
  <c r="P227" i="10"/>
  <c r="P275" i="11" s="1"/>
  <c r="Q227" i="10"/>
  <c r="Q275" i="11" s="1"/>
  <c r="R227" i="10"/>
  <c r="R275" i="11" s="1"/>
  <c r="S227" i="10"/>
  <c r="S275" i="11" s="1"/>
  <c r="T227" i="10"/>
  <c r="T275" i="11" s="1"/>
  <c r="U227" i="10"/>
  <c r="U275" i="11" s="1"/>
  <c r="V227" i="10"/>
  <c r="V275" i="11" s="1"/>
  <c r="L231" i="10"/>
  <c r="L279" i="11" s="1"/>
  <c r="M231" i="10"/>
  <c r="M279" i="11" s="1"/>
  <c r="N231" i="10"/>
  <c r="N279" i="11" s="1"/>
  <c r="O231" i="10"/>
  <c r="O279" i="11" s="1"/>
  <c r="P231" i="10"/>
  <c r="P279" i="11" s="1"/>
  <c r="Q231" i="10"/>
  <c r="Q279" i="11" s="1"/>
  <c r="R231" i="10"/>
  <c r="R279" i="11" s="1"/>
  <c r="S231" i="10"/>
  <c r="S279" i="11" s="1"/>
  <c r="T231" i="10"/>
  <c r="T279" i="11" s="1"/>
  <c r="U231" i="10"/>
  <c r="U279" i="11" s="1"/>
  <c r="V231" i="10"/>
  <c r="V279" i="11" s="1"/>
  <c r="L236" i="10"/>
  <c r="L284" i="11" s="1"/>
  <c r="M236" i="10"/>
  <c r="M284" i="11" s="1"/>
  <c r="N236" i="10"/>
  <c r="N284" i="11" s="1"/>
  <c r="O236" i="10"/>
  <c r="O284" i="11" s="1"/>
  <c r="P236" i="10"/>
  <c r="P284" i="11" s="1"/>
  <c r="Q236" i="10"/>
  <c r="Q284" i="11" s="1"/>
  <c r="R236" i="10"/>
  <c r="R284" i="11" s="1"/>
  <c r="S236" i="10"/>
  <c r="S284" i="11" s="1"/>
  <c r="T236" i="10"/>
  <c r="T284" i="11" s="1"/>
  <c r="U236" i="10"/>
  <c r="U284" i="11" s="1"/>
  <c r="V236" i="10"/>
  <c r="V284" i="11" s="1"/>
  <c r="L242" i="10"/>
  <c r="L290" i="11" s="1"/>
  <c r="M242" i="10"/>
  <c r="M290" i="11" s="1"/>
  <c r="N242" i="10"/>
  <c r="N290" i="11" s="1"/>
  <c r="O242" i="10"/>
  <c r="O290" i="11" s="1"/>
  <c r="P242" i="10"/>
  <c r="P290" i="11" s="1"/>
  <c r="Q242" i="10"/>
  <c r="Q290" i="11" s="1"/>
  <c r="R242" i="10"/>
  <c r="R290" i="11" s="1"/>
  <c r="S242" i="10"/>
  <c r="S290" i="11" s="1"/>
  <c r="T242" i="10"/>
  <c r="T290" i="11" s="1"/>
  <c r="U242" i="10"/>
  <c r="U290" i="11" s="1"/>
  <c r="V242" i="10"/>
  <c r="V290" i="11" s="1"/>
  <c r="L247" i="10"/>
  <c r="L295" i="11" s="1"/>
  <c r="M247" i="10"/>
  <c r="M295" i="11" s="1"/>
  <c r="N247" i="10"/>
  <c r="N295" i="11" s="1"/>
  <c r="O247" i="10"/>
  <c r="O295" i="11" s="1"/>
  <c r="P247" i="10"/>
  <c r="P295" i="11" s="1"/>
  <c r="Q247" i="10"/>
  <c r="Q295" i="11" s="1"/>
  <c r="R247" i="10"/>
  <c r="R295" i="11" s="1"/>
  <c r="T247" i="10"/>
  <c r="T295" i="11" s="1"/>
  <c r="U247" i="10"/>
  <c r="U295" i="11" s="1"/>
  <c r="V247" i="10"/>
  <c r="V295" i="11" s="1"/>
  <c r="L254" i="10"/>
  <c r="L302" i="11" s="1"/>
  <c r="M254" i="10"/>
  <c r="M302" i="11" s="1"/>
  <c r="N254" i="10"/>
  <c r="N302" i="11" s="1"/>
  <c r="O254" i="10"/>
  <c r="O302" i="11" s="1"/>
  <c r="P254" i="10"/>
  <c r="P302" i="11" s="1"/>
  <c r="Q254" i="10"/>
  <c r="Q302" i="11" s="1"/>
  <c r="R254" i="10"/>
  <c r="R302" i="11" s="1"/>
  <c r="S254" i="10"/>
  <c r="S302" i="11" s="1"/>
  <c r="T254" i="10"/>
  <c r="T302" i="11" s="1"/>
  <c r="U254" i="10"/>
  <c r="U302" i="11" s="1"/>
  <c r="V254" i="10"/>
  <c r="V302" i="11" s="1"/>
  <c r="L260" i="10"/>
  <c r="L308" i="11" s="1"/>
  <c r="M260" i="10"/>
  <c r="M308" i="11" s="1"/>
  <c r="N260" i="10"/>
  <c r="N308" i="11" s="1"/>
  <c r="O260" i="10"/>
  <c r="O308" i="11" s="1"/>
  <c r="P260" i="10"/>
  <c r="P308" i="11" s="1"/>
  <c r="Q260" i="10"/>
  <c r="Q308" i="11" s="1"/>
  <c r="R260" i="10"/>
  <c r="R308" i="11" s="1"/>
  <c r="S260" i="10"/>
  <c r="S308" i="11" s="1"/>
  <c r="T260" i="10"/>
  <c r="T308" i="11" s="1"/>
  <c r="U260" i="10"/>
  <c r="U308" i="11" s="1"/>
  <c r="V260" i="10"/>
  <c r="V308" i="11" s="1"/>
  <c r="L264" i="10"/>
  <c r="L312" i="11" s="1"/>
  <c r="M264" i="10"/>
  <c r="M312" i="11" s="1"/>
  <c r="N264" i="10"/>
  <c r="N312" i="11" s="1"/>
  <c r="O264" i="10"/>
  <c r="O312" i="11" s="1"/>
  <c r="P264" i="10"/>
  <c r="P312" i="11" s="1"/>
  <c r="Q264" i="10"/>
  <c r="Q312" i="11" s="1"/>
  <c r="S264" i="10"/>
  <c r="S312" i="11" s="1"/>
  <c r="T264" i="10"/>
  <c r="T312" i="11" s="1"/>
  <c r="U264" i="10"/>
  <c r="U312" i="11" s="1"/>
  <c r="V264" i="10"/>
  <c r="V312" i="11" s="1"/>
  <c r="L266" i="10"/>
  <c r="L314" i="11" s="1"/>
  <c r="M266" i="10"/>
  <c r="M314" i="11" s="1"/>
  <c r="N266" i="10"/>
  <c r="N314" i="11" s="1"/>
  <c r="O266" i="10"/>
  <c r="O314" i="11" s="1"/>
  <c r="P266" i="10"/>
  <c r="P314" i="11" s="1"/>
  <c r="Q266" i="10"/>
  <c r="Q314" i="11" s="1"/>
  <c r="R266" i="10"/>
  <c r="R314" i="11" s="1"/>
  <c r="S266" i="10"/>
  <c r="S314" i="11" s="1"/>
  <c r="T266" i="10"/>
  <c r="T314" i="11" s="1"/>
  <c r="U266" i="10"/>
  <c r="U314" i="11" s="1"/>
  <c r="V266" i="10"/>
  <c r="V314" i="11" s="1"/>
  <c r="J269" i="10"/>
  <c r="H269" i="10"/>
  <c r="G269" i="10"/>
  <c r="F269" i="10"/>
  <c r="E269" i="10"/>
  <c r="D269" i="10"/>
  <c r="C269" i="10"/>
  <c r="B269" i="10"/>
  <c r="A269" i="10"/>
  <c r="J259" i="10"/>
  <c r="H259" i="10"/>
  <c r="G259" i="10"/>
  <c r="F259" i="10"/>
  <c r="E259" i="10"/>
  <c r="D259" i="10"/>
  <c r="C259" i="10"/>
  <c r="B259" i="10"/>
  <c r="A259" i="10"/>
  <c r="J258" i="10"/>
  <c r="H258" i="10"/>
  <c r="G258" i="10"/>
  <c r="F258" i="10"/>
  <c r="E258" i="10"/>
  <c r="D258" i="10"/>
  <c r="C258" i="10"/>
  <c r="B258" i="10"/>
  <c r="A258" i="10"/>
  <c r="J257" i="10"/>
  <c r="H257" i="10"/>
  <c r="G257" i="10"/>
  <c r="F257" i="10"/>
  <c r="E257" i="10"/>
  <c r="D257" i="10"/>
  <c r="C257" i="10"/>
  <c r="B257" i="10"/>
  <c r="A257" i="10"/>
  <c r="J256" i="10"/>
  <c r="H256" i="10"/>
  <c r="G256" i="10"/>
  <c r="F256" i="10"/>
  <c r="E256" i="10"/>
  <c r="D256" i="10"/>
  <c r="C256" i="10"/>
  <c r="B256" i="10"/>
  <c r="A256" i="10"/>
  <c r="J255" i="10"/>
  <c r="H255" i="10"/>
  <c r="G255" i="10"/>
  <c r="F255" i="10"/>
  <c r="E255" i="10"/>
  <c r="D255" i="10"/>
  <c r="C255" i="10"/>
  <c r="B255" i="10"/>
  <c r="A255" i="10"/>
  <c r="J254" i="10"/>
  <c r="H254" i="10"/>
  <c r="G254" i="10"/>
  <c r="F254" i="10"/>
  <c r="E254" i="10"/>
  <c r="D254" i="10"/>
  <c r="C254" i="10"/>
  <c r="B254" i="10"/>
  <c r="A254" i="10"/>
  <c r="J253" i="10"/>
  <c r="H253" i="10"/>
  <c r="G253" i="10"/>
  <c r="F253" i="10"/>
  <c r="E253" i="10"/>
  <c r="D253" i="10"/>
  <c r="C253" i="10"/>
  <c r="B253" i="10"/>
  <c r="A253" i="10"/>
  <c r="J252" i="10"/>
  <c r="H252" i="10"/>
  <c r="G252" i="10"/>
  <c r="F252" i="10"/>
  <c r="E252" i="10"/>
  <c r="D252" i="10"/>
  <c r="C252" i="10"/>
  <c r="B252" i="10"/>
  <c r="A252" i="10"/>
  <c r="J251" i="10"/>
  <c r="H251" i="10"/>
  <c r="G251" i="10"/>
  <c r="F251" i="10"/>
  <c r="E251" i="10"/>
  <c r="D251" i="10"/>
  <c r="C251" i="10"/>
  <c r="B251" i="10"/>
  <c r="A251" i="10"/>
  <c r="J250" i="10"/>
  <c r="H250" i="10"/>
  <c r="G250" i="10"/>
  <c r="F250" i="10"/>
  <c r="E250" i="10"/>
  <c r="D250" i="10"/>
  <c r="C250" i="10"/>
  <c r="B250" i="10"/>
  <c r="A250" i="10"/>
  <c r="J249" i="10"/>
  <c r="H249" i="10"/>
  <c r="G249" i="10"/>
  <c r="F249" i="10"/>
  <c r="E249" i="10"/>
  <c r="D249" i="10"/>
  <c r="C249" i="10"/>
  <c r="B249" i="10"/>
  <c r="A249" i="10"/>
  <c r="K247" i="10"/>
  <c r="K295" i="11" s="1"/>
  <c r="J239" i="10"/>
  <c r="H239" i="10"/>
  <c r="G239" i="10"/>
  <c r="F239" i="10"/>
  <c r="E239" i="10"/>
  <c r="D239" i="10"/>
  <c r="C239" i="10"/>
  <c r="B239" i="10"/>
  <c r="A239" i="10"/>
  <c r="J229" i="10"/>
  <c r="H229" i="10"/>
  <c r="G229" i="10"/>
  <c r="F229" i="10"/>
  <c r="E229" i="10"/>
  <c r="D229" i="10"/>
  <c r="C229" i="10"/>
  <c r="B229" i="10"/>
  <c r="A229" i="10"/>
  <c r="K219" i="10"/>
  <c r="K267" i="11" s="1"/>
  <c r="J219" i="10"/>
  <c r="G36" i="45"/>
  <c r="G37" i="45"/>
  <c r="G38" i="45"/>
  <c r="G39" i="45"/>
  <c r="G32" i="45"/>
  <c r="G33" i="45"/>
  <c r="G42" i="45"/>
  <c r="G43" i="45"/>
  <c r="G44" i="45" s="1"/>
  <c r="H44" i="45" s="1"/>
  <c r="H219" i="10"/>
  <c r="G219" i="10"/>
  <c r="F219" i="10"/>
  <c r="E219" i="10"/>
  <c r="D219" i="10"/>
  <c r="C219" i="10"/>
  <c r="B219" i="10"/>
  <c r="A219" i="10"/>
  <c r="K209" i="10"/>
  <c r="K257" i="11" s="1"/>
  <c r="J209" i="10"/>
  <c r="G45" i="43"/>
  <c r="G46" i="43" s="1"/>
  <c r="H46" i="43" s="1"/>
  <c r="K282" i="7" s="1"/>
  <c r="M282" i="7" s="1"/>
  <c r="H209" i="10"/>
  <c r="G209" i="10"/>
  <c r="F209" i="10"/>
  <c r="E209" i="10"/>
  <c r="D209" i="10"/>
  <c r="C209" i="10"/>
  <c r="B209" i="10"/>
  <c r="A209" i="10"/>
  <c r="K207" i="10"/>
  <c r="K255" i="11" s="1"/>
  <c r="K199" i="10"/>
  <c r="K247" i="11" s="1"/>
  <c r="J199" i="10"/>
  <c r="G24" i="43"/>
  <c r="G25" i="43"/>
  <c r="G26" i="43"/>
  <c r="G27" i="43"/>
  <c r="N27" i="43" s="1"/>
  <c r="G29" i="43"/>
  <c r="G51" i="43"/>
  <c r="G52" i="43" s="1"/>
  <c r="H52" i="43" s="1"/>
  <c r="K273" i="7" s="1"/>
  <c r="G36" i="43"/>
  <c r="G37" i="43"/>
  <c r="G41" i="43"/>
  <c r="G42" i="43"/>
  <c r="H199" i="10"/>
  <c r="G199" i="10"/>
  <c r="F199" i="10"/>
  <c r="E199" i="10"/>
  <c r="D199" i="10"/>
  <c r="C199" i="10"/>
  <c r="B199" i="10"/>
  <c r="A199" i="10"/>
  <c r="J189" i="10"/>
  <c r="G17" i="41"/>
  <c r="G19" i="41" s="1"/>
  <c r="H19" i="41" s="1"/>
  <c r="H20" i="41" s="1"/>
  <c r="K264" i="7" s="1"/>
  <c r="L264" i="7" s="1"/>
  <c r="H189" i="10"/>
  <c r="G189" i="10"/>
  <c r="F189" i="10"/>
  <c r="E189" i="10"/>
  <c r="D189" i="10"/>
  <c r="C189" i="10"/>
  <c r="B189" i="10"/>
  <c r="A189" i="10"/>
  <c r="J179" i="10"/>
  <c r="I179" i="10"/>
  <c r="H179" i="10"/>
  <c r="G179" i="10"/>
  <c r="F179" i="10"/>
  <c r="E179" i="10"/>
  <c r="D179" i="10"/>
  <c r="C179" i="10"/>
  <c r="B179" i="10"/>
  <c r="A179" i="10"/>
  <c r="J169" i="10"/>
  <c r="I169" i="10"/>
  <c r="H169" i="10"/>
  <c r="G169" i="10"/>
  <c r="F169" i="10"/>
  <c r="E169" i="10"/>
  <c r="D169" i="10"/>
  <c r="C169" i="10"/>
  <c r="B169" i="10"/>
  <c r="A169" i="10"/>
  <c r="J159" i="10"/>
  <c r="G17" i="36"/>
  <c r="G18" i="36"/>
  <c r="G19" i="36" s="1"/>
  <c r="H19" i="36" s="1"/>
  <c r="H20" i="36" s="1"/>
  <c r="K231" i="7" s="1"/>
  <c r="I163" i="10" s="1"/>
  <c r="U163" i="10" s="1"/>
  <c r="H159" i="10"/>
  <c r="G159" i="10"/>
  <c r="F159" i="10"/>
  <c r="E159" i="10"/>
  <c r="D159" i="10"/>
  <c r="C159" i="10"/>
  <c r="B159" i="10"/>
  <c r="A159" i="10"/>
  <c r="J158" i="10"/>
  <c r="G15" i="37"/>
  <c r="G16" i="37"/>
  <c r="G17" i="37"/>
  <c r="G18" i="37"/>
  <c r="G19" i="37"/>
  <c r="G20" i="37"/>
  <c r="G26" i="38"/>
  <c r="G27" i="38" s="1"/>
  <c r="H27" i="38" s="1"/>
  <c r="K239" i="7" s="1"/>
  <c r="I220" i="11" s="1"/>
  <c r="G17" i="38"/>
  <c r="G18" i="38"/>
  <c r="H18" i="39"/>
  <c r="H19" i="39"/>
  <c r="H20" i="39"/>
  <c r="H15" i="39"/>
  <c r="E36" i="39"/>
  <c r="H36" i="39" s="1"/>
  <c r="I38" i="39" s="1"/>
  <c r="K242" i="7" s="1"/>
  <c r="H23" i="39"/>
  <c r="H24" i="39"/>
  <c r="H25" i="39"/>
  <c r="H27" i="39"/>
  <c r="H28" i="39"/>
  <c r="H29" i="39"/>
  <c r="H30" i="39"/>
  <c r="H31" i="39"/>
  <c r="H32" i="39"/>
  <c r="H33" i="39"/>
  <c r="H40" i="39"/>
  <c r="I42" i="39" s="1"/>
  <c r="K245" i="7" s="1"/>
  <c r="M245" i="7" s="1"/>
  <c r="G22" i="38"/>
  <c r="G23" i="38"/>
  <c r="G24" i="38" s="1"/>
  <c r="H24" i="38" s="1"/>
  <c r="K248" i="7" s="1"/>
  <c r="I181" i="10" s="1"/>
  <c r="X181" i="10" s="1"/>
  <c r="G16" i="40"/>
  <c r="G17" i="40"/>
  <c r="G17" i="42"/>
  <c r="G18" i="42"/>
  <c r="G20" i="42" s="1"/>
  <c r="H20" i="42" s="1"/>
  <c r="H21" i="42" s="1"/>
  <c r="K268" i="7" s="1"/>
  <c r="I196" i="10" s="1"/>
  <c r="Q196" i="10" s="1"/>
  <c r="G48" i="43"/>
  <c r="G49" i="43" s="1"/>
  <c r="H49" i="43" s="1"/>
  <c r="G17" i="43"/>
  <c r="G18" i="43"/>
  <c r="G19" i="43"/>
  <c r="G20" i="43"/>
  <c r="G21" i="43"/>
  <c r="G32" i="43"/>
  <c r="G33" i="43"/>
  <c r="H158" i="10"/>
  <c r="G158" i="10"/>
  <c r="F158" i="10"/>
  <c r="E158" i="10"/>
  <c r="D158" i="10"/>
  <c r="C158" i="10"/>
  <c r="B158" i="10"/>
  <c r="A158" i="10"/>
  <c r="J157" i="10"/>
  <c r="I157" i="10"/>
  <c r="H157" i="10"/>
  <c r="G157" i="10"/>
  <c r="F157" i="10"/>
  <c r="E157" i="10"/>
  <c r="D157" i="10"/>
  <c r="C157" i="10"/>
  <c r="B157" i="10"/>
  <c r="A157" i="10"/>
  <c r="J156" i="10"/>
  <c r="H156" i="10"/>
  <c r="G156" i="10"/>
  <c r="F156" i="10"/>
  <c r="E156" i="10"/>
  <c r="D156" i="10"/>
  <c r="C156" i="10"/>
  <c r="B156" i="10"/>
  <c r="A156" i="10"/>
  <c r="J155" i="10"/>
  <c r="H155" i="10"/>
  <c r="G155" i="10"/>
  <c r="F155" i="10"/>
  <c r="E155" i="10"/>
  <c r="D155" i="10"/>
  <c r="C155" i="10"/>
  <c r="B155" i="10"/>
  <c r="A155" i="10"/>
  <c r="J154" i="10"/>
  <c r="H154" i="10"/>
  <c r="G154" i="10"/>
  <c r="F154" i="10"/>
  <c r="E154" i="10"/>
  <c r="D154" i="10"/>
  <c r="C154" i="10"/>
  <c r="B154" i="10"/>
  <c r="A154" i="10"/>
  <c r="J153" i="10"/>
  <c r="H153" i="10"/>
  <c r="G153" i="10"/>
  <c r="F153" i="10"/>
  <c r="E153" i="10"/>
  <c r="D153" i="10"/>
  <c r="C153" i="10"/>
  <c r="B153" i="10"/>
  <c r="A153" i="10"/>
  <c r="J152" i="10"/>
  <c r="H152" i="10"/>
  <c r="G152" i="10"/>
  <c r="F152" i="10"/>
  <c r="E152" i="10"/>
  <c r="D152" i="10"/>
  <c r="C152" i="10"/>
  <c r="B152" i="10"/>
  <c r="A152" i="10"/>
  <c r="J151" i="10"/>
  <c r="G25" i="31"/>
  <c r="G26" i="31"/>
  <c r="G27" i="31"/>
  <c r="G28" i="31"/>
  <c r="G29" i="31" s="1"/>
  <c r="H29" i="31" s="1"/>
  <c r="H151" i="10"/>
  <c r="G151" i="10"/>
  <c r="F151" i="10"/>
  <c r="E151" i="10"/>
  <c r="D151" i="10"/>
  <c r="C151" i="10"/>
  <c r="B151" i="10"/>
  <c r="A151" i="10"/>
  <c r="J150" i="10"/>
  <c r="G19" i="31"/>
  <c r="G20" i="31"/>
  <c r="G21" i="31"/>
  <c r="H150" i="10"/>
  <c r="G150" i="10"/>
  <c r="F150" i="10"/>
  <c r="E150" i="10"/>
  <c r="D150" i="10"/>
  <c r="C150" i="10"/>
  <c r="B150" i="10"/>
  <c r="A150" i="10"/>
  <c r="K149" i="10"/>
  <c r="K197" i="11" s="1"/>
  <c r="J149" i="10"/>
  <c r="H149" i="10"/>
  <c r="G149" i="10"/>
  <c r="F149" i="10"/>
  <c r="E149" i="10"/>
  <c r="D149" i="10"/>
  <c r="C149" i="10"/>
  <c r="B149" i="10"/>
  <c r="A149" i="10"/>
  <c r="J139" i="10"/>
  <c r="H139" i="10"/>
  <c r="G139" i="10"/>
  <c r="F139" i="10"/>
  <c r="E139" i="10"/>
  <c r="D139" i="10"/>
  <c r="C139" i="10"/>
  <c r="B139" i="10"/>
  <c r="A139" i="10"/>
  <c r="J129" i="10"/>
  <c r="H129" i="10"/>
  <c r="G129" i="10"/>
  <c r="F129" i="10"/>
  <c r="E129" i="10"/>
  <c r="D129" i="10"/>
  <c r="C129" i="10"/>
  <c r="B129" i="10"/>
  <c r="A129" i="10"/>
  <c r="J119" i="10"/>
  <c r="H119" i="10"/>
  <c r="G119" i="10"/>
  <c r="F119" i="10"/>
  <c r="E119" i="10"/>
  <c r="D119" i="10"/>
  <c r="C119" i="10"/>
  <c r="B119" i="10"/>
  <c r="A119" i="10"/>
  <c r="J109" i="10"/>
  <c r="G20" i="27"/>
  <c r="G21" i="27"/>
  <c r="H109" i="10"/>
  <c r="G109" i="10"/>
  <c r="F109" i="10"/>
  <c r="E109" i="10"/>
  <c r="D109" i="10"/>
  <c r="C109" i="10"/>
  <c r="B109" i="10"/>
  <c r="A109" i="10"/>
  <c r="K102" i="10"/>
  <c r="K150" i="11" s="1"/>
  <c r="J99" i="10"/>
  <c r="G22" i="24"/>
  <c r="H22" i="24" s="1"/>
  <c r="H99" i="10"/>
  <c r="G99" i="10"/>
  <c r="F99" i="10"/>
  <c r="E99" i="10"/>
  <c r="D99" i="10"/>
  <c r="C99" i="10"/>
  <c r="B99" i="10"/>
  <c r="A99" i="10"/>
  <c r="J89" i="10"/>
  <c r="K143" i="7"/>
  <c r="H89" i="10"/>
  <c r="G89" i="10"/>
  <c r="F89" i="10"/>
  <c r="E89" i="10"/>
  <c r="D89" i="10"/>
  <c r="C89" i="10"/>
  <c r="B89" i="10"/>
  <c r="A89" i="10"/>
  <c r="K87" i="10"/>
  <c r="K135" i="11" s="1"/>
  <c r="J79" i="10"/>
  <c r="G16" i="26"/>
  <c r="G17" i="26"/>
  <c r="G18" i="26"/>
  <c r="H79" i="10"/>
  <c r="G79" i="10"/>
  <c r="F79" i="10"/>
  <c r="E79" i="10"/>
  <c r="D79" i="10"/>
  <c r="C79" i="10"/>
  <c r="B79" i="10"/>
  <c r="A79" i="10"/>
  <c r="J69" i="1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H69" i="10"/>
  <c r="G69" i="10"/>
  <c r="F69" i="10"/>
  <c r="E69" i="10"/>
  <c r="D69" i="10"/>
  <c r="C69" i="10"/>
  <c r="B69" i="10"/>
  <c r="A69" i="10"/>
  <c r="J59" i="10"/>
  <c r="D15" i="18"/>
  <c r="G15" i="18" s="1"/>
  <c r="N15" i="18" s="1"/>
  <c r="D16" i="18"/>
  <c r="G16" i="18" s="1"/>
  <c r="N16" i="18" s="1"/>
  <c r="D17" i="18"/>
  <c r="G17" i="18" s="1"/>
  <c r="N17" i="18" s="1"/>
  <c r="D18" i="18"/>
  <c r="G18" i="18" s="1"/>
  <c r="N18" i="18" s="1"/>
  <c r="H59" i="10"/>
  <c r="G59" i="10"/>
  <c r="F59" i="10"/>
  <c r="E59" i="10"/>
  <c r="D59" i="10"/>
  <c r="C59" i="10"/>
  <c r="B59" i="10"/>
  <c r="A59" i="10"/>
  <c r="J58" i="10"/>
  <c r="H58" i="10"/>
  <c r="G58" i="10"/>
  <c r="F58" i="10"/>
  <c r="E58" i="10"/>
  <c r="D58" i="10"/>
  <c r="C58" i="10"/>
  <c r="B58" i="10"/>
  <c r="A58" i="10"/>
  <c r="J57" i="10"/>
  <c r="H57" i="10"/>
  <c r="G57" i="10"/>
  <c r="F57" i="10"/>
  <c r="E57" i="10"/>
  <c r="D57" i="10"/>
  <c r="C57" i="10"/>
  <c r="B57" i="10"/>
  <c r="A57" i="10"/>
  <c r="J56" i="10"/>
  <c r="G98" i="17"/>
  <c r="H56" i="10"/>
  <c r="G56" i="10"/>
  <c r="F56" i="10"/>
  <c r="E56" i="10"/>
  <c r="D56" i="10"/>
  <c r="C56" i="10"/>
  <c r="B56" i="10"/>
  <c r="A56" i="10"/>
  <c r="J55" i="10"/>
  <c r="H55" i="10"/>
  <c r="G55" i="10"/>
  <c r="F55" i="10"/>
  <c r="E55" i="10"/>
  <c r="D55" i="10"/>
  <c r="C55" i="10"/>
  <c r="B55" i="10"/>
  <c r="A55" i="10"/>
  <c r="J54" i="10"/>
  <c r="G95" i="17"/>
  <c r="H54" i="10"/>
  <c r="G54" i="10"/>
  <c r="F54" i="10"/>
  <c r="E54" i="10"/>
  <c r="D54" i="10"/>
  <c r="C54" i="10"/>
  <c r="B54" i="10"/>
  <c r="A54" i="10"/>
  <c r="J53" i="10"/>
  <c r="G94" i="17"/>
  <c r="N94" i="17" s="1"/>
  <c r="H53" i="10"/>
  <c r="G53" i="10"/>
  <c r="F53" i="10"/>
  <c r="E53" i="10"/>
  <c r="D53" i="10"/>
  <c r="C53" i="10"/>
  <c r="B53" i="10"/>
  <c r="A53" i="10"/>
  <c r="J52" i="10"/>
  <c r="G93" i="17"/>
  <c r="H52" i="10"/>
  <c r="G52" i="10"/>
  <c r="F52" i="10"/>
  <c r="E52" i="10"/>
  <c r="D52" i="10"/>
  <c r="C52" i="10"/>
  <c r="B52" i="10"/>
  <c r="A52" i="10"/>
  <c r="J51" i="10"/>
  <c r="H51" i="10"/>
  <c r="G51" i="10"/>
  <c r="F51" i="10"/>
  <c r="E51" i="10"/>
  <c r="D51" i="10"/>
  <c r="C51" i="10"/>
  <c r="B51" i="10"/>
  <c r="A51" i="10"/>
  <c r="J50" i="10"/>
  <c r="H50" i="10"/>
  <c r="G50" i="10"/>
  <c r="F50" i="10"/>
  <c r="E50" i="10"/>
  <c r="D50" i="10"/>
  <c r="C50" i="10"/>
  <c r="B50" i="10"/>
  <c r="A50" i="10"/>
  <c r="J49" i="10"/>
  <c r="G87" i="17"/>
  <c r="I92" i="13" s="1"/>
  <c r="I91" i="13" s="1"/>
  <c r="H49" i="10"/>
  <c r="G49" i="10"/>
  <c r="F49" i="10"/>
  <c r="E49" i="10"/>
  <c r="D49" i="10"/>
  <c r="C49" i="10"/>
  <c r="B49" i="10"/>
  <c r="A49" i="10"/>
  <c r="K48" i="10"/>
  <c r="K96" i="11" s="1"/>
  <c r="J39" i="10"/>
  <c r="G49" i="17"/>
  <c r="N49" i="17" s="1"/>
  <c r="W39" i="10"/>
  <c r="H39" i="10"/>
  <c r="G39" i="10"/>
  <c r="F39" i="10"/>
  <c r="E39" i="10"/>
  <c r="D39" i="10"/>
  <c r="C39" i="10"/>
  <c r="B39" i="10"/>
  <c r="A39" i="10"/>
  <c r="J29" i="10"/>
  <c r="I31" i="10"/>
  <c r="I32" i="10"/>
  <c r="I33" i="10"/>
  <c r="Q89" i="7"/>
  <c r="H29" i="10"/>
  <c r="G29" i="10"/>
  <c r="F29" i="10"/>
  <c r="E29" i="10"/>
  <c r="D29" i="10"/>
  <c r="C29" i="10"/>
  <c r="B29" i="10"/>
  <c r="A29" i="10"/>
  <c r="J19" i="10"/>
  <c r="H16" i="14"/>
  <c r="K73" i="7"/>
  <c r="L73" i="7" s="1"/>
  <c r="H19" i="10"/>
  <c r="G19" i="10"/>
  <c r="F19" i="10"/>
  <c r="E19" i="10"/>
  <c r="D19" i="10"/>
  <c r="C19" i="10"/>
  <c r="B19" i="10"/>
  <c r="A19" i="10"/>
  <c r="Y169" i="10"/>
  <c r="R229" i="10"/>
  <c r="R277" i="11" s="1"/>
  <c r="N240" i="10"/>
  <c r="N288" i="11" s="1"/>
  <c r="R62" i="10"/>
  <c r="Q240" i="10"/>
  <c r="Q288" i="11" s="1"/>
  <c r="S229" i="10"/>
  <c r="S277" i="11" s="1"/>
  <c r="N229" i="10"/>
  <c r="N277" i="11" s="1"/>
  <c r="P62" i="10"/>
  <c r="P110" i="11" s="1"/>
  <c r="L62" i="10"/>
  <c r="L110" i="11" s="1"/>
  <c r="T170" i="10"/>
  <c r="T218" i="11" s="1"/>
  <c r="P170" i="10"/>
  <c r="P218" i="11" s="1"/>
  <c r="S253" i="10"/>
  <c r="S301" i="11" s="1"/>
  <c r="N170" i="10"/>
  <c r="N218" i="11" s="1"/>
  <c r="W272" i="10"/>
  <c r="Y272" i="10" s="1"/>
  <c r="K266" i="10"/>
  <c r="K314" i="11" s="1"/>
  <c r="K264" i="10"/>
  <c r="K260" i="10"/>
  <c r="K254" i="10"/>
  <c r="K302" i="11" s="1"/>
  <c r="K242" i="10"/>
  <c r="K236" i="10"/>
  <c r="K231" i="10"/>
  <c r="K279" i="11" s="1"/>
  <c r="W279" i="11" s="1"/>
  <c r="K227" i="10"/>
  <c r="K223" i="10"/>
  <c r="K180" i="10"/>
  <c r="K177" i="10"/>
  <c r="K171" i="10"/>
  <c r="K219" i="11" s="1"/>
  <c r="K153" i="10"/>
  <c r="K142" i="10"/>
  <c r="K126" i="10"/>
  <c r="K115" i="10"/>
  <c r="K111" i="10"/>
  <c r="K159" i="11" s="1"/>
  <c r="K98" i="10"/>
  <c r="K146" i="11" s="1"/>
  <c r="K94" i="10"/>
  <c r="K142" i="11" s="1"/>
  <c r="K82" i="10"/>
  <c r="K76" i="10"/>
  <c r="K67" i="10"/>
  <c r="K115" i="11" s="1"/>
  <c r="K63" i="10"/>
  <c r="K55" i="10"/>
  <c r="K75" i="10"/>
  <c r="K97" i="10"/>
  <c r="K142" i="7"/>
  <c r="K144" i="7"/>
  <c r="M144" i="7" s="1"/>
  <c r="G17" i="23"/>
  <c r="G18" i="23"/>
  <c r="G19" i="23"/>
  <c r="G20" i="23"/>
  <c r="G23" i="23"/>
  <c r="G24" i="23"/>
  <c r="I103" i="10"/>
  <c r="N103" i="10" s="1"/>
  <c r="G18" i="25"/>
  <c r="G19" i="25"/>
  <c r="I106" i="10"/>
  <c r="N106" i="10" s="1"/>
  <c r="J63" i="10"/>
  <c r="G17" i="19"/>
  <c r="N17" i="19" s="1"/>
  <c r="G18" i="19"/>
  <c r="N18" i="19" s="1"/>
  <c r="G19" i="19"/>
  <c r="N19" i="19" s="1"/>
  <c r="G20" i="19"/>
  <c r="N20" i="19" s="1"/>
  <c r="G21" i="19"/>
  <c r="N21" i="19" s="1"/>
  <c r="G22" i="19"/>
  <c r="N22" i="19" s="1"/>
  <c r="G23" i="19"/>
  <c r="N23" i="19" s="1"/>
  <c r="G24" i="19"/>
  <c r="N24" i="19" s="1"/>
  <c r="G25" i="19"/>
  <c r="N25" i="19" s="1"/>
  <c r="G26" i="19"/>
  <c r="N26" i="19" s="1"/>
  <c r="G27" i="19"/>
  <c r="N27" i="19" s="1"/>
  <c r="G28" i="19"/>
  <c r="N28" i="19" s="1"/>
  <c r="G29" i="19"/>
  <c r="N29" i="19" s="1"/>
  <c r="G32" i="19"/>
  <c r="N32" i="19" s="1"/>
  <c r="G33" i="19"/>
  <c r="N33" i="19" s="1"/>
  <c r="G34" i="19"/>
  <c r="N34" i="19" s="1"/>
  <c r="G37" i="19"/>
  <c r="N37" i="19" s="1"/>
  <c r="G38" i="19"/>
  <c r="N38" i="19" s="1"/>
  <c r="W211" i="10"/>
  <c r="X267" i="10"/>
  <c r="I276" i="10"/>
  <c r="I278" i="10"/>
  <c r="I280" i="10"/>
  <c r="I282" i="10"/>
  <c r="Y282" i="10" s="1"/>
  <c r="I285" i="10"/>
  <c r="X285" i="10" s="1"/>
  <c r="I287" i="10"/>
  <c r="I289" i="10"/>
  <c r="X289" i="10" s="1"/>
  <c r="J18" i="10"/>
  <c r="J20" i="10"/>
  <c r="J21" i="10"/>
  <c r="J22" i="10"/>
  <c r="J23" i="10"/>
  <c r="J24" i="10"/>
  <c r="J25" i="10"/>
  <c r="J26" i="10"/>
  <c r="J27" i="10"/>
  <c r="J28" i="10"/>
  <c r="J30" i="10"/>
  <c r="J31" i="10"/>
  <c r="J32" i="10"/>
  <c r="J33" i="10"/>
  <c r="J34" i="10"/>
  <c r="J35" i="10"/>
  <c r="J36" i="10"/>
  <c r="J37" i="10"/>
  <c r="J38" i="10"/>
  <c r="J40" i="10"/>
  <c r="J41" i="10"/>
  <c r="J42" i="10"/>
  <c r="J43" i="10"/>
  <c r="J44" i="10"/>
  <c r="J45" i="10"/>
  <c r="J46" i="10"/>
  <c r="J47" i="10"/>
  <c r="J48" i="10"/>
  <c r="J60" i="10"/>
  <c r="J61" i="10"/>
  <c r="J62" i="10"/>
  <c r="J64" i="10"/>
  <c r="J66" i="10"/>
  <c r="J67" i="10"/>
  <c r="J68" i="10"/>
  <c r="J70" i="10"/>
  <c r="J71" i="10"/>
  <c r="J72" i="10"/>
  <c r="J73" i="10"/>
  <c r="J74" i="10"/>
  <c r="J75" i="10"/>
  <c r="J76" i="10"/>
  <c r="J77" i="10"/>
  <c r="J78" i="10"/>
  <c r="J80" i="10"/>
  <c r="J81" i="10"/>
  <c r="J82" i="10"/>
  <c r="J83" i="10"/>
  <c r="J84" i="10"/>
  <c r="J85" i="10"/>
  <c r="J86" i="10"/>
  <c r="J87" i="10"/>
  <c r="J88" i="10"/>
  <c r="J90" i="10"/>
  <c r="J91" i="10"/>
  <c r="J92" i="10"/>
  <c r="J93" i="10"/>
  <c r="J94" i="10"/>
  <c r="J95" i="10"/>
  <c r="J96" i="10"/>
  <c r="J97" i="10"/>
  <c r="J98" i="10"/>
  <c r="J100" i="10"/>
  <c r="J101" i="10"/>
  <c r="J102" i="10"/>
  <c r="J103" i="10"/>
  <c r="J104" i="10"/>
  <c r="J105" i="10"/>
  <c r="J106" i="10"/>
  <c r="J107" i="10"/>
  <c r="J108" i="10"/>
  <c r="J110" i="10"/>
  <c r="J111" i="10"/>
  <c r="J112" i="10"/>
  <c r="J113" i="10"/>
  <c r="J114" i="10"/>
  <c r="J115" i="10"/>
  <c r="J116" i="10"/>
  <c r="J117" i="10"/>
  <c r="J118" i="10"/>
  <c r="J120" i="10"/>
  <c r="J121" i="10"/>
  <c r="J122" i="10"/>
  <c r="J123" i="10"/>
  <c r="J124" i="10"/>
  <c r="J125" i="10"/>
  <c r="J126" i="10"/>
  <c r="J127" i="10"/>
  <c r="J128" i="10"/>
  <c r="J130" i="10"/>
  <c r="J131" i="10"/>
  <c r="J132" i="10"/>
  <c r="J133" i="10"/>
  <c r="J134" i="10"/>
  <c r="J135" i="10"/>
  <c r="J136" i="10"/>
  <c r="J137" i="10"/>
  <c r="J138" i="10"/>
  <c r="J140" i="10"/>
  <c r="J141" i="10"/>
  <c r="J142" i="10"/>
  <c r="J143" i="10"/>
  <c r="J144" i="10"/>
  <c r="J145" i="10"/>
  <c r="J146" i="10"/>
  <c r="J147" i="10"/>
  <c r="J148" i="10"/>
  <c r="J160" i="10"/>
  <c r="J161" i="10"/>
  <c r="J162" i="10"/>
  <c r="J163" i="10"/>
  <c r="J164" i="10"/>
  <c r="J165" i="10"/>
  <c r="J166" i="10"/>
  <c r="J167" i="10"/>
  <c r="J168" i="10"/>
  <c r="J170" i="10"/>
  <c r="J171" i="10"/>
  <c r="J172" i="10"/>
  <c r="J173" i="10"/>
  <c r="J174" i="10"/>
  <c r="J175" i="10"/>
  <c r="J176" i="10"/>
  <c r="J177" i="10"/>
  <c r="J178" i="10"/>
  <c r="J180" i="10"/>
  <c r="J181" i="10"/>
  <c r="J182" i="10"/>
  <c r="J183" i="10"/>
  <c r="J184" i="10"/>
  <c r="J185" i="10"/>
  <c r="J186" i="10"/>
  <c r="J187" i="10"/>
  <c r="J188" i="10"/>
  <c r="J190" i="10"/>
  <c r="J191" i="10"/>
  <c r="J192" i="10"/>
  <c r="J193" i="10"/>
  <c r="J194" i="10"/>
  <c r="J195" i="10"/>
  <c r="J196" i="10"/>
  <c r="J197" i="10"/>
  <c r="J198" i="10"/>
  <c r="J200" i="10"/>
  <c r="J201" i="10"/>
  <c r="J202" i="10"/>
  <c r="J203" i="10"/>
  <c r="J204" i="10"/>
  <c r="J205" i="10"/>
  <c r="J206" i="10"/>
  <c r="J207" i="10"/>
  <c r="J208" i="10"/>
  <c r="J210" i="10"/>
  <c r="J211" i="10"/>
  <c r="J212" i="10"/>
  <c r="J213" i="10"/>
  <c r="J214" i="10"/>
  <c r="J215" i="10"/>
  <c r="J216" i="10"/>
  <c r="J217" i="10"/>
  <c r="J218" i="10"/>
  <c r="J220" i="10"/>
  <c r="J221" i="10"/>
  <c r="J222" i="10"/>
  <c r="J223" i="10"/>
  <c r="J224" i="10"/>
  <c r="J225" i="10"/>
  <c r="J226" i="10"/>
  <c r="J227" i="10"/>
  <c r="J228" i="10"/>
  <c r="J230" i="10"/>
  <c r="J231" i="10"/>
  <c r="J232" i="10"/>
  <c r="J233" i="10"/>
  <c r="J234" i="10"/>
  <c r="J235" i="10"/>
  <c r="J236" i="10"/>
  <c r="J237" i="10"/>
  <c r="J238" i="10"/>
  <c r="J240" i="10"/>
  <c r="J241" i="10"/>
  <c r="J242" i="10"/>
  <c r="J243" i="10"/>
  <c r="J244" i="10"/>
  <c r="J245" i="10"/>
  <c r="J246" i="10"/>
  <c r="J247" i="10"/>
  <c r="J248" i="10"/>
  <c r="J260" i="10"/>
  <c r="J261" i="10"/>
  <c r="J262" i="10"/>
  <c r="J263" i="10"/>
  <c r="J264" i="10"/>
  <c r="J265" i="10"/>
  <c r="J266" i="10"/>
  <c r="J267" i="10"/>
  <c r="J268" i="10"/>
  <c r="J270" i="10"/>
  <c r="J17" i="10"/>
  <c r="J16" i="10"/>
  <c r="I44" i="10"/>
  <c r="Y44" i="10" s="1"/>
  <c r="I78" i="10"/>
  <c r="Y78" i="10" s="1"/>
  <c r="I91" i="10"/>
  <c r="Y91" i="10" s="1"/>
  <c r="I107" i="10"/>
  <c r="X107" i="10" s="1"/>
  <c r="I117" i="10"/>
  <c r="Y117" i="10" s="1"/>
  <c r="I124" i="10"/>
  <c r="Y124" i="10" s="1"/>
  <c r="I130" i="10"/>
  <c r="I138" i="10"/>
  <c r="Y138" i="10" s="1"/>
  <c r="I211" i="10"/>
  <c r="Y211" i="10" s="1"/>
  <c r="I218" i="10"/>
  <c r="Y218" i="10" s="1"/>
  <c r="H17" i="10"/>
  <c r="H18" i="10"/>
  <c r="H20" i="10"/>
  <c r="H21" i="10"/>
  <c r="H22" i="10"/>
  <c r="H23" i="10"/>
  <c r="H24" i="10"/>
  <c r="H25" i="10"/>
  <c r="H26" i="10"/>
  <c r="H27" i="10"/>
  <c r="H28" i="10"/>
  <c r="H30" i="10"/>
  <c r="H31" i="10"/>
  <c r="H32" i="10"/>
  <c r="H33" i="10"/>
  <c r="H34" i="10"/>
  <c r="H35" i="10"/>
  <c r="H36" i="10"/>
  <c r="H37" i="10"/>
  <c r="H38" i="10"/>
  <c r="H40" i="10"/>
  <c r="H41" i="10"/>
  <c r="H42" i="10"/>
  <c r="H43" i="10"/>
  <c r="H44" i="10"/>
  <c r="H45" i="10"/>
  <c r="H46" i="10"/>
  <c r="H47" i="10"/>
  <c r="H48" i="10"/>
  <c r="H60" i="10"/>
  <c r="H61" i="10"/>
  <c r="H62" i="10"/>
  <c r="H63" i="10"/>
  <c r="H64" i="10"/>
  <c r="H66" i="10"/>
  <c r="H67" i="10"/>
  <c r="H68" i="10"/>
  <c r="H70" i="10"/>
  <c r="H71" i="10"/>
  <c r="H72" i="10"/>
  <c r="H73" i="10"/>
  <c r="H74" i="10"/>
  <c r="H75" i="10"/>
  <c r="H76" i="10"/>
  <c r="H77" i="10"/>
  <c r="H78" i="10"/>
  <c r="H80" i="10"/>
  <c r="H81" i="10"/>
  <c r="H82" i="10"/>
  <c r="H83" i="10"/>
  <c r="H84" i="10"/>
  <c r="H85" i="10"/>
  <c r="H86" i="10"/>
  <c r="H87" i="10"/>
  <c r="H88" i="10"/>
  <c r="H90" i="10"/>
  <c r="H91" i="10"/>
  <c r="H92" i="10"/>
  <c r="H93" i="10"/>
  <c r="H94" i="10"/>
  <c r="H95" i="10"/>
  <c r="H96" i="10"/>
  <c r="H97" i="10"/>
  <c r="H98" i="10"/>
  <c r="H100" i="10"/>
  <c r="H101" i="10"/>
  <c r="H102" i="10"/>
  <c r="H103" i="10"/>
  <c r="H104" i="10"/>
  <c r="H105" i="10"/>
  <c r="H106" i="10"/>
  <c r="H107" i="10"/>
  <c r="H108" i="10"/>
  <c r="H110" i="10"/>
  <c r="H111" i="10"/>
  <c r="H112" i="10"/>
  <c r="H113" i="10"/>
  <c r="H114" i="10"/>
  <c r="H115" i="10"/>
  <c r="H116" i="10"/>
  <c r="H117" i="10"/>
  <c r="H118" i="10"/>
  <c r="H120" i="10"/>
  <c r="H121" i="10"/>
  <c r="H122" i="10"/>
  <c r="H123" i="10"/>
  <c r="H124" i="10"/>
  <c r="H125" i="10"/>
  <c r="H126" i="10"/>
  <c r="H127" i="10"/>
  <c r="H128" i="10"/>
  <c r="H130" i="10"/>
  <c r="H131" i="10"/>
  <c r="H132" i="10"/>
  <c r="H133" i="10"/>
  <c r="H134" i="10"/>
  <c r="H135" i="10"/>
  <c r="H136" i="10"/>
  <c r="H137" i="10"/>
  <c r="H138" i="10"/>
  <c r="H140" i="10"/>
  <c r="H141" i="10"/>
  <c r="H142" i="10"/>
  <c r="H143" i="10"/>
  <c r="H144" i="10"/>
  <c r="H145" i="10"/>
  <c r="H146" i="10"/>
  <c r="H147" i="10"/>
  <c r="H148" i="10"/>
  <c r="H160" i="10"/>
  <c r="H161" i="10"/>
  <c r="H162" i="10"/>
  <c r="H163" i="10"/>
  <c r="H164" i="10"/>
  <c r="H165" i="10"/>
  <c r="H166" i="10"/>
  <c r="H167" i="10"/>
  <c r="H168" i="10"/>
  <c r="H170" i="10"/>
  <c r="H171" i="10"/>
  <c r="H172" i="10"/>
  <c r="H173" i="10"/>
  <c r="H174" i="10"/>
  <c r="H175" i="10"/>
  <c r="H176" i="10"/>
  <c r="H177" i="10"/>
  <c r="H178" i="10"/>
  <c r="H180" i="10"/>
  <c r="H181" i="10"/>
  <c r="H182" i="10"/>
  <c r="H183" i="10"/>
  <c r="H184" i="10"/>
  <c r="H185" i="10"/>
  <c r="H186" i="10"/>
  <c r="H187" i="10"/>
  <c r="H188" i="10"/>
  <c r="H190" i="10"/>
  <c r="H191" i="10"/>
  <c r="H192" i="10"/>
  <c r="H193" i="10"/>
  <c r="H194" i="10"/>
  <c r="H195" i="10"/>
  <c r="H196" i="10"/>
  <c r="H197" i="10"/>
  <c r="H198" i="10"/>
  <c r="H200" i="10"/>
  <c r="H201" i="10"/>
  <c r="H202" i="10"/>
  <c r="H203" i="10"/>
  <c r="H204" i="10"/>
  <c r="H205" i="10"/>
  <c r="H206" i="10"/>
  <c r="H207" i="10"/>
  <c r="H208" i="10"/>
  <c r="H210" i="10"/>
  <c r="H211" i="10"/>
  <c r="H212" i="10"/>
  <c r="H213" i="10"/>
  <c r="H214" i="10"/>
  <c r="H215" i="10"/>
  <c r="H216" i="10"/>
  <c r="H217" i="10"/>
  <c r="H218" i="10"/>
  <c r="H220" i="10"/>
  <c r="H221" i="10"/>
  <c r="H222" i="10"/>
  <c r="H223" i="10"/>
  <c r="H224" i="10"/>
  <c r="H225" i="10"/>
  <c r="H226" i="10"/>
  <c r="H227" i="10"/>
  <c r="H228" i="10"/>
  <c r="H230" i="10"/>
  <c r="H231" i="10"/>
  <c r="H232" i="10"/>
  <c r="H233" i="10"/>
  <c r="H234" i="10"/>
  <c r="H235" i="10"/>
  <c r="H236" i="10"/>
  <c r="H237" i="10"/>
  <c r="H238" i="10"/>
  <c r="H240" i="10"/>
  <c r="H241" i="10"/>
  <c r="H242" i="10"/>
  <c r="H243" i="10"/>
  <c r="H244" i="10"/>
  <c r="H245" i="10"/>
  <c r="H246" i="10"/>
  <c r="H247" i="10"/>
  <c r="H248" i="10"/>
  <c r="H260" i="10"/>
  <c r="H261" i="10"/>
  <c r="H262" i="10"/>
  <c r="H263" i="10"/>
  <c r="H264" i="10"/>
  <c r="H265" i="10"/>
  <c r="H266" i="10"/>
  <c r="H267" i="10"/>
  <c r="H268" i="10"/>
  <c r="H16" i="10"/>
  <c r="H64" i="11" s="1"/>
  <c r="A266" i="10"/>
  <c r="B266" i="10"/>
  <c r="C266" i="10"/>
  <c r="D266" i="10"/>
  <c r="E266" i="10"/>
  <c r="F266" i="10"/>
  <c r="G266" i="10"/>
  <c r="A267" i="10"/>
  <c r="B267" i="10"/>
  <c r="C267" i="10"/>
  <c r="D267" i="10"/>
  <c r="E267" i="10"/>
  <c r="F267" i="10"/>
  <c r="G267" i="10"/>
  <c r="A268" i="10"/>
  <c r="B268" i="10"/>
  <c r="C268" i="10"/>
  <c r="D268" i="10"/>
  <c r="E268" i="10"/>
  <c r="F268" i="10"/>
  <c r="G268" i="10"/>
  <c r="A260" i="10"/>
  <c r="B260" i="10"/>
  <c r="C260" i="10"/>
  <c r="D260" i="10"/>
  <c r="E260" i="10"/>
  <c r="F260" i="10"/>
  <c r="G260" i="10"/>
  <c r="A261" i="10"/>
  <c r="B261" i="10"/>
  <c r="C261" i="10"/>
  <c r="D261" i="10"/>
  <c r="E261" i="10"/>
  <c r="F261" i="10"/>
  <c r="G261" i="10"/>
  <c r="A262" i="10"/>
  <c r="B262" i="10"/>
  <c r="C262" i="10"/>
  <c r="D262" i="10"/>
  <c r="E262" i="10"/>
  <c r="F262" i="10"/>
  <c r="G262" i="10"/>
  <c r="A263" i="10"/>
  <c r="B263" i="10"/>
  <c r="C263" i="10"/>
  <c r="D263" i="10"/>
  <c r="E263" i="10"/>
  <c r="F263" i="10"/>
  <c r="G263" i="10"/>
  <c r="A264" i="10"/>
  <c r="B264" i="10"/>
  <c r="C264" i="10"/>
  <c r="D264" i="10"/>
  <c r="E264" i="10"/>
  <c r="F264" i="10"/>
  <c r="G264" i="10"/>
  <c r="A265" i="10"/>
  <c r="B265" i="10"/>
  <c r="C265" i="10"/>
  <c r="D265" i="10"/>
  <c r="E265" i="10"/>
  <c r="F265" i="10"/>
  <c r="G265" i="10"/>
  <c r="A238" i="10"/>
  <c r="B238" i="10"/>
  <c r="C238" i="10"/>
  <c r="D238" i="10"/>
  <c r="E238" i="10"/>
  <c r="F238" i="10"/>
  <c r="G238" i="10"/>
  <c r="A240" i="10"/>
  <c r="B240" i="10"/>
  <c r="C240" i="10"/>
  <c r="D240" i="10"/>
  <c r="E240" i="10"/>
  <c r="F240" i="10"/>
  <c r="G240" i="10"/>
  <c r="A241" i="10"/>
  <c r="B241" i="10"/>
  <c r="C241" i="10"/>
  <c r="D241" i="10"/>
  <c r="E241" i="10"/>
  <c r="F241" i="10"/>
  <c r="G241" i="10"/>
  <c r="A242" i="10"/>
  <c r="B242" i="10"/>
  <c r="C242" i="10"/>
  <c r="D242" i="10"/>
  <c r="E242" i="10"/>
  <c r="F242" i="10"/>
  <c r="G242" i="10"/>
  <c r="A243" i="10"/>
  <c r="B243" i="10"/>
  <c r="C243" i="10"/>
  <c r="D243" i="10"/>
  <c r="E243" i="10"/>
  <c r="F243" i="10"/>
  <c r="G243" i="10"/>
  <c r="A244" i="10"/>
  <c r="B244" i="10"/>
  <c r="C244" i="10"/>
  <c r="D244" i="10"/>
  <c r="E244" i="10"/>
  <c r="F244" i="10"/>
  <c r="G244" i="10"/>
  <c r="A245" i="10"/>
  <c r="B245" i="10"/>
  <c r="C245" i="10"/>
  <c r="D245" i="10"/>
  <c r="E245" i="10"/>
  <c r="F245" i="10"/>
  <c r="G245" i="10"/>
  <c r="A246" i="10"/>
  <c r="B246" i="10"/>
  <c r="C246" i="10"/>
  <c r="D246" i="10"/>
  <c r="E246" i="10"/>
  <c r="F246" i="10"/>
  <c r="G246" i="10"/>
  <c r="A247" i="10"/>
  <c r="B247" i="10"/>
  <c r="C247" i="10"/>
  <c r="D247" i="10"/>
  <c r="E247" i="10"/>
  <c r="F247" i="10"/>
  <c r="G247" i="10"/>
  <c r="A248" i="10"/>
  <c r="B248" i="10"/>
  <c r="C248" i="10"/>
  <c r="D248" i="10"/>
  <c r="E248" i="10"/>
  <c r="F248" i="10"/>
  <c r="G248" i="10"/>
  <c r="A17" i="10"/>
  <c r="B17" i="10"/>
  <c r="C17" i="10"/>
  <c r="D17" i="10"/>
  <c r="E17" i="10"/>
  <c r="F17" i="10"/>
  <c r="G17" i="10"/>
  <c r="A18" i="10"/>
  <c r="B18" i="10"/>
  <c r="C18" i="10"/>
  <c r="D18" i="10"/>
  <c r="E18" i="10"/>
  <c r="F18" i="10"/>
  <c r="G18" i="10"/>
  <c r="A20" i="10"/>
  <c r="B20" i="10"/>
  <c r="C20" i="10"/>
  <c r="D20" i="10"/>
  <c r="E20" i="10"/>
  <c r="F20" i="10"/>
  <c r="G20" i="10"/>
  <c r="A21" i="10"/>
  <c r="B21" i="10"/>
  <c r="C21" i="10"/>
  <c r="D21" i="10"/>
  <c r="E21" i="10"/>
  <c r="F21" i="10"/>
  <c r="G21" i="10"/>
  <c r="A22" i="10"/>
  <c r="B22" i="10"/>
  <c r="C22" i="10"/>
  <c r="D22" i="10"/>
  <c r="E22" i="10"/>
  <c r="F22" i="10"/>
  <c r="G22" i="10"/>
  <c r="A23" i="10"/>
  <c r="B23" i="10"/>
  <c r="C23" i="10"/>
  <c r="D23" i="10"/>
  <c r="E23" i="10"/>
  <c r="F23" i="10"/>
  <c r="G23" i="10"/>
  <c r="A24" i="10"/>
  <c r="B24" i="10"/>
  <c r="C24" i="10"/>
  <c r="D24" i="10"/>
  <c r="E24" i="10"/>
  <c r="F24" i="10"/>
  <c r="G24" i="10"/>
  <c r="A25" i="10"/>
  <c r="B25" i="10"/>
  <c r="C25" i="10"/>
  <c r="D25" i="10"/>
  <c r="E25" i="10"/>
  <c r="F25" i="10"/>
  <c r="G25" i="10"/>
  <c r="A26" i="10"/>
  <c r="B26" i="10"/>
  <c r="C26" i="10"/>
  <c r="D26" i="10"/>
  <c r="E26" i="10"/>
  <c r="F26" i="10"/>
  <c r="G26" i="10"/>
  <c r="A27" i="10"/>
  <c r="B27" i="10"/>
  <c r="C27" i="10"/>
  <c r="D27" i="10"/>
  <c r="E27" i="10"/>
  <c r="F27" i="10"/>
  <c r="G27" i="10"/>
  <c r="A28" i="10"/>
  <c r="B28" i="10"/>
  <c r="C28" i="10"/>
  <c r="D28" i="10"/>
  <c r="E28" i="10"/>
  <c r="F28" i="10"/>
  <c r="G28" i="10"/>
  <c r="A30" i="10"/>
  <c r="B30" i="10"/>
  <c r="C30" i="10"/>
  <c r="D30" i="10"/>
  <c r="E30" i="10"/>
  <c r="F30" i="10"/>
  <c r="G30" i="10"/>
  <c r="A31" i="10"/>
  <c r="B31" i="10"/>
  <c r="C31" i="10"/>
  <c r="D31" i="10"/>
  <c r="E31" i="10"/>
  <c r="F31" i="10"/>
  <c r="G31" i="10"/>
  <c r="A32" i="10"/>
  <c r="B32" i="10"/>
  <c r="C32" i="10"/>
  <c r="D32" i="10"/>
  <c r="E32" i="10"/>
  <c r="F32" i="10"/>
  <c r="G32" i="10"/>
  <c r="A33" i="10"/>
  <c r="B33" i="10"/>
  <c r="C33" i="10"/>
  <c r="D33" i="10"/>
  <c r="E33" i="10"/>
  <c r="F33" i="10"/>
  <c r="G33" i="10"/>
  <c r="A34" i="10"/>
  <c r="B34" i="10"/>
  <c r="C34" i="10"/>
  <c r="D34" i="10"/>
  <c r="E34" i="10"/>
  <c r="F34" i="10"/>
  <c r="G34" i="10"/>
  <c r="A35" i="10"/>
  <c r="B35" i="10"/>
  <c r="C35" i="10"/>
  <c r="D35" i="10"/>
  <c r="E35" i="10"/>
  <c r="F35" i="10"/>
  <c r="G35" i="10"/>
  <c r="A36" i="10"/>
  <c r="B36" i="10"/>
  <c r="C36" i="10"/>
  <c r="D36" i="10"/>
  <c r="E36" i="10"/>
  <c r="F36" i="10"/>
  <c r="G36" i="10"/>
  <c r="A37" i="10"/>
  <c r="B37" i="10"/>
  <c r="C37" i="10"/>
  <c r="D37" i="10"/>
  <c r="E37" i="10"/>
  <c r="F37" i="10"/>
  <c r="G37" i="10"/>
  <c r="A38" i="10"/>
  <c r="B38" i="10"/>
  <c r="C38" i="10"/>
  <c r="D38" i="10"/>
  <c r="E38" i="10"/>
  <c r="F38" i="10"/>
  <c r="G38" i="10"/>
  <c r="A40" i="10"/>
  <c r="B40" i="10"/>
  <c r="C40" i="10"/>
  <c r="D40" i="10"/>
  <c r="E40" i="10"/>
  <c r="F40" i="10"/>
  <c r="G40" i="10"/>
  <c r="A41" i="10"/>
  <c r="B41" i="10"/>
  <c r="C41" i="10"/>
  <c r="D41" i="10"/>
  <c r="E41" i="10"/>
  <c r="F41" i="10"/>
  <c r="G41" i="10"/>
  <c r="A42" i="10"/>
  <c r="B42" i="10"/>
  <c r="C42" i="10"/>
  <c r="D42" i="10"/>
  <c r="E42" i="10"/>
  <c r="F42" i="10"/>
  <c r="G42" i="10"/>
  <c r="A43" i="10"/>
  <c r="B43" i="10"/>
  <c r="C43" i="10"/>
  <c r="D43" i="10"/>
  <c r="E43" i="10"/>
  <c r="F43" i="10"/>
  <c r="G43" i="10"/>
  <c r="A44" i="10"/>
  <c r="B44" i="10"/>
  <c r="C44" i="10"/>
  <c r="D44" i="10"/>
  <c r="E44" i="10"/>
  <c r="F44" i="10"/>
  <c r="G44" i="10"/>
  <c r="A45" i="10"/>
  <c r="B45" i="10"/>
  <c r="C45" i="10"/>
  <c r="D45" i="10"/>
  <c r="E45" i="10"/>
  <c r="F45" i="10"/>
  <c r="G45" i="10"/>
  <c r="A46" i="10"/>
  <c r="B46" i="10"/>
  <c r="C46" i="10"/>
  <c r="D46" i="10"/>
  <c r="E46" i="10"/>
  <c r="F46" i="10"/>
  <c r="G46" i="10"/>
  <c r="A47" i="10"/>
  <c r="B47" i="10"/>
  <c r="C47" i="10"/>
  <c r="D47" i="10"/>
  <c r="E47" i="10"/>
  <c r="F47" i="10"/>
  <c r="G47" i="10"/>
  <c r="A48" i="10"/>
  <c r="B48" i="10"/>
  <c r="C48" i="10"/>
  <c r="D48" i="10"/>
  <c r="E48" i="10"/>
  <c r="F48" i="10"/>
  <c r="G48" i="10"/>
  <c r="A60" i="10"/>
  <c r="B60" i="10"/>
  <c r="C60" i="10"/>
  <c r="D60" i="10"/>
  <c r="E60" i="10"/>
  <c r="F60" i="10"/>
  <c r="G60" i="10"/>
  <c r="A61" i="10"/>
  <c r="B61" i="10"/>
  <c r="C61" i="10"/>
  <c r="D61" i="10"/>
  <c r="E61" i="10"/>
  <c r="F61" i="10"/>
  <c r="G61" i="10"/>
  <c r="A62" i="10"/>
  <c r="B62" i="10"/>
  <c r="C62" i="10"/>
  <c r="D62" i="10"/>
  <c r="E62" i="10"/>
  <c r="F62" i="10"/>
  <c r="G62" i="10"/>
  <c r="A63" i="10"/>
  <c r="B63" i="10"/>
  <c r="C63" i="10"/>
  <c r="D63" i="10"/>
  <c r="E63" i="10"/>
  <c r="F63" i="10"/>
  <c r="G63" i="10"/>
  <c r="A64" i="10"/>
  <c r="B64" i="10"/>
  <c r="C64" i="10"/>
  <c r="D64" i="10"/>
  <c r="E64" i="10"/>
  <c r="F64" i="10"/>
  <c r="G64" i="10"/>
  <c r="A66" i="10"/>
  <c r="B66" i="10"/>
  <c r="C66" i="10"/>
  <c r="D66" i="10"/>
  <c r="E66" i="10"/>
  <c r="F66" i="10"/>
  <c r="G66" i="10"/>
  <c r="A67" i="10"/>
  <c r="B67" i="10"/>
  <c r="C67" i="10"/>
  <c r="D67" i="10"/>
  <c r="E67" i="10"/>
  <c r="F67" i="10"/>
  <c r="G67" i="10"/>
  <c r="A68" i="10"/>
  <c r="B68" i="10"/>
  <c r="C68" i="10"/>
  <c r="D68" i="10"/>
  <c r="E68" i="10"/>
  <c r="F68" i="10"/>
  <c r="G68" i="10"/>
  <c r="A70" i="10"/>
  <c r="B70" i="10"/>
  <c r="C70" i="10"/>
  <c r="D70" i="10"/>
  <c r="E70" i="10"/>
  <c r="F70" i="10"/>
  <c r="G70" i="10"/>
  <c r="A71" i="10"/>
  <c r="B71" i="10"/>
  <c r="C71" i="10"/>
  <c r="D71" i="10"/>
  <c r="E71" i="10"/>
  <c r="F71" i="10"/>
  <c r="G71" i="10"/>
  <c r="A72" i="10"/>
  <c r="B72" i="10"/>
  <c r="C72" i="10"/>
  <c r="D72" i="10"/>
  <c r="E72" i="10"/>
  <c r="F72" i="10"/>
  <c r="G72" i="10"/>
  <c r="A73" i="10"/>
  <c r="B73" i="10"/>
  <c r="C73" i="10"/>
  <c r="D73" i="10"/>
  <c r="E73" i="10"/>
  <c r="F73" i="10"/>
  <c r="G73" i="10"/>
  <c r="A74" i="10"/>
  <c r="B74" i="10"/>
  <c r="C74" i="10"/>
  <c r="D74" i="10"/>
  <c r="E74" i="10"/>
  <c r="F74" i="10"/>
  <c r="G74" i="10"/>
  <c r="A75" i="10"/>
  <c r="B75" i="10"/>
  <c r="C75" i="10"/>
  <c r="D75" i="10"/>
  <c r="E75" i="10"/>
  <c r="F75" i="10"/>
  <c r="G75" i="10"/>
  <c r="A76" i="10"/>
  <c r="B76" i="10"/>
  <c r="C76" i="10"/>
  <c r="D76" i="10"/>
  <c r="E76" i="10"/>
  <c r="F76" i="10"/>
  <c r="G76" i="10"/>
  <c r="A77" i="10"/>
  <c r="B77" i="10"/>
  <c r="C77" i="10"/>
  <c r="D77" i="10"/>
  <c r="E77" i="10"/>
  <c r="F77" i="10"/>
  <c r="G77" i="10"/>
  <c r="A78" i="10"/>
  <c r="B78" i="10"/>
  <c r="C78" i="10"/>
  <c r="D78" i="10"/>
  <c r="E78" i="10"/>
  <c r="F78" i="10"/>
  <c r="G78" i="10"/>
  <c r="A80" i="10"/>
  <c r="B80" i="10"/>
  <c r="C80" i="10"/>
  <c r="D80" i="10"/>
  <c r="E80" i="10"/>
  <c r="F80" i="10"/>
  <c r="G80" i="10"/>
  <c r="A81" i="10"/>
  <c r="B81" i="10"/>
  <c r="C81" i="10"/>
  <c r="D81" i="10"/>
  <c r="E81" i="10"/>
  <c r="F81" i="10"/>
  <c r="G81" i="10"/>
  <c r="A82" i="10"/>
  <c r="B82" i="10"/>
  <c r="C82" i="10"/>
  <c r="D82" i="10"/>
  <c r="E82" i="10"/>
  <c r="F82" i="10"/>
  <c r="G82" i="10"/>
  <c r="A83" i="10"/>
  <c r="B83" i="10"/>
  <c r="C83" i="10"/>
  <c r="D83" i="10"/>
  <c r="E83" i="10"/>
  <c r="F83" i="10"/>
  <c r="G83" i="10"/>
  <c r="A84" i="10"/>
  <c r="B84" i="10"/>
  <c r="C84" i="10"/>
  <c r="D84" i="10"/>
  <c r="E84" i="10"/>
  <c r="F84" i="10"/>
  <c r="G84" i="10"/>
  <c r="A85" i="10"/>
  <c r="B85" i="10"/>
  <c r="C85" i="10"/>
  <c r="D85" i="10"/>
  <c r="E85" i="10"/>
  <c r="F85" i="10"/>
  <c r="G85" i="10"/>
  <c r="A86" i="10"/>
  <c r="B86" i="10"/>
  <c r="C86" i="10"/>
  <c r="D86" i="10"/>
  <c r="E86" i="10"/>
  <c r="F86" i="10"/>
  <c r="G86" i="10"/>
  <c r="A87" i="10"/>
  <c r="B87" i="10"/>
  <c r="C87" i="10"/>
  <c r="D87" i="10"/>
  <c r="E87" i="10"/>
  <c r="F87" i="10"/>
  <c r="G87" i="10"/>
  <c r="A88" i="10"/>
  <c r="B88" i="10"/>
  <c r="C88" i="10"/>
  <c r="D88" i="10"/>
  <c r="E88" i="10"/>
  <c r="F88" i="10"/>
  <c r="G88" i="10"/>
  <c r="A90" i="10"/>
  <c r="B90" i="10"/>
  <c r="C90" i="10"/>
  <c r="D90" i="10"/>
  <c r="E90" i="10"/>
  <c r="F90" i="10"/>
  <c r="G90" i="10"/>
  <c r="A91" i="10"/>
  <c r="B91" i="10"/>
  <c r="C91" i="10"/>
  <c r="D91" i="10"/>
  <c r="E91" i="10"/>
  <c r="F91" i="10"/>
  <c r="G91" i="10"/>
  <c r="A92" i="10"/>
  <c r="B92" i="10"/>
  <c r="C92" i="10"/>
  <c r="D92" i="10"/>
  <c r="E92" i="10"/>
  <c r="F92" i="10"/>
  <c r="G92" i="10"/>
  <c r="A93" i="10"/>
  <c r="B93" i="10"/>
  <c r="C93" i="10"/>
  <c r="D93" i="10"/>
  <c r="E93" i="10"/>
  <c r="F93" i="10"/>
  <c r="G93" i="10"/>
  <c r="A94" i="10"/>
  <c r="B94" i="10"/>
  <c r="C94" i="10"/>
  <c r="D94" i="10"/>
  <c r="E94" i="10"/>
  <c r="F94" i="10"/>
  <c r="G94" i="10"/>
  <c r="A95" i="10"/>
  <c r="B95" i="10"/>
  <c r="C95" i="10"/>
  <c r="D95" i="10"/>
  <c r="E95" i="10"/>
  <c r="F95" i="10"/>
  <c r="G95" i="10"/>
  <c r="A96" i="10"/>
  <c r="B96" i="10"/>
  <c r="C96" i="10"/>
  <c r="D96" i="10"/>
  <c r="E96" i="10"/>
  <c r="F96" i="10"/>
  <c r="G96" i="10"/>
  <c r="A97" i="10"/>
  <c r="B97" i="10"/>
  <c r="C97" i="10"/>
  <c r="D97" i="10"/>
  <c r="E97" i="10"/>
  <c r="F97" i="10"/>
  <c r="G97" i="10"/>
  <c r="A98" i="10"/>
  <c r="B98" i="10"/>
  <c r="C98" i="10"/>
  <c r="D98" i="10"/>
  <c r="E98" i="10"/>
  <c r="F98" i="10"/>
  <c r="G98" i="10"/>
  <c r="A100" i="10"/>
  <c r="B100" i="10"/>
  <c r="C100" i="10"/>
  <c r="D100" i="10"/>
  <c r="E100" i="10"/>
  <c r="F100" i="10"/>
  <c r="G100" i="10"/>
  <c r="A101" i="10"/>
  <c r="B101" i="10"/>
  <c r="C101" i="10"/>
  <c r="D101" i="10"/>
  <c r="E101" i="10"/>
  <c r="F101" i="10"/>
  <c r="G101" i="10"/>
  <c r="A102" i="10"/>
  <c r="B102" i="10"/>
  <c r="C102" i="10"/>
  <c r="D102" i="10"/>
  <c r="E102" i="10"/>
  <c r="F102" i="10"/>
  <c r="G102" i="10"/>
  <c r="A103" i="10"/>
  <c r="B103" i="10"/>
  <c r="C103" i="10"/>
  <c r="D103" i="10"/>
  <c r="E103" i="10"/>
  <c r="F103" i="10"/>
  <c r="G103" i="10"/>
  <c r="A104" i="10"/>
  <c r="B104" i="10"/>
  <c r="C104" i="10"/>
  <c r="D104" i="10"/>
  <c r="E104" i="10"/>
  <c r="F104" i="10"/>
  <c r="G104" i="10"/>
  <c r="A105" i="10"/>
  <c r="B105" i="10"/>
  <c r="C105" i="10"/>
  <c r="D105" i="10"/>
  <c r="E105" i="10"/>
  <c r="F105" i="10"/>
  <c r="G105" i="10"/>
  <c r="A106" i="10"/>
  <c r="B106" i="10"/>
  <c r="C106" i="10"/>
  <c r="D106" i="10"/>
  <c r="E106" i="10"/>
  <c r="F106" i="10"/>
  <c r="G106" i="10"/>
  <c r="A107" i="10"/>
  <c r="B107" i="10"/>
  <c r="C107" i="10"/>
  <c r="D107" i="10"/>
  <c r="E107" i="10"/>
  <c r="F107" i="10"/>
  <c r="G107" i="10"/>
  <c r="A108" i="10"/>
  <c r="B108" i="10"/>
  <c r="C108" i="10"/>
  <c r="D108" i="10"/>
  <c r="E108" i="10"/>
  <c r="F108" i="10"/>
  <c r="G108" i="10"/>
  <c r="A110" i="10"/>
  <c r="B110" i="10"/>
  <c r="C110" i="10"/>
  <c r="D110" i="10"/>
  <c r="E110" i="10"/>
  <c r="F110" i="10"/>
  <c r="G110" i="10"/>
  <c r="A111" i="10"/>
  <c r="B111" i="10"/>
  <c r="C111" i="10"/>
  <c r="D111" i="10"/>
  <c r="E111" i="10"/>
  <c r="F111" i="10"/>
  <c r="G111" i="10"/>
  <c r="A112" i="10"/>
  <c r="B112" i="10"/>
  <c r="C112" i="10"/>
  <c r="D112" i="10"/>
  <c r="E112" i="10"/>
  <c r="F112" i="10"/>
  <c r="G112" i="10"/>
  <c r="A113" i="10"/>
  <c r="B113" i="10"/>
  <c r="C113" i="10"/>
  <c r="D113" i="10"/>
  <c r="E113" i="10"/>
  <c r="F113" i="10"/>
  <c r="G113" i="10"/>
  <c r="A114" i="10"/>
  <c r="B114" i="10"/>
  <c r="C114" i="10"/>
  <c r="D114" i="10"/>
  <c r="E114" i="10"/>
  <c r="F114" i="10"/>
  <c r="G114" i="10"/>
  <c r="A115" i="10"/>
  <c r="B115" i="10"/>
  <c r="C115" i="10"/>
  <c r="D115" i="10"/>
  <c r="E115" i="10"/>
  <c r="F115" i="10"/>
  <c r="G115" i="10"/>
  <c r="A116" i="10"/>
  <c r="B116" i="10"/>
  <c r="C116" i="10"/>
  <c r="D116" i="10"/>
  <c r="E116" i="10"/>
  <c r="F116" i="10"/>
  <c r="G116" i="10"/>
  <c r="A117" i="10"/>
  <c r="B117" i="10"/>
  <c r="C117" i="10"/>
  <c r="D117" i="10"/>
  <c r="E117" i="10"/>
  <c r="F117" i="10"/>
  <c r="G117" i="10"/>
  <c r="A118" i="10"/>
  <c r="B118" i="10"/>
  <c r="C118" i="10"/>
  <c r="D118" i="10"/>
  <c r="E118" i="10"/>
  <c r="F118" i="10"/>
  <c r="G118" i="10"/>
  <c r="A120" i="10"/>
  <c r="B120" i="10"/>
  <c r="C120" i="10"/>
  <c r="D120" i="10"/>
  <c r="E120" i="10"/>
  <c r="F120" i="10"/>
  <c r="G120" i="10"/>
  <c r="A121" i="10"/>
  <c r="B121" i="10"/>
  <c r="C121" i="10"/>
  <c r="D121" i="10"/>
  <c r="E121" i="10"/>
  <c r="F121" i="10"/>
  <c r="G121" i="10"/>
  <c r="A122" i="10"/>
  <c r="B122" i="10"/>
  <c r="C122" i="10"/>
  <c r="D122" i="10"/>
  <c r="E122" i="10"/>
  <c r="F122" i="10"/>
  <c r="G122" i="10"/>
  <c r="A123" i="10"/>
  <c r="B123" i="10"/>
  <c r="C123" i="10"/>
  <c r="D123" i="10"/>
  <c r="E123" i="10"/>
  <c r="F123" i="10"/>
  <c r="G123" i="10"/>
  <c r="A124" i="10"/>
  <c r="B124" i="10"/>
  <c r="C124" i="10"/>
  <c r="D124" i="10"/>
  <c r="E124" i="10"/>
  <c r="F124" i="10"/>
  <c r="G124" i="10"/>
  <c r="A125" i="10"/>
  <c r="B125" i="10"/>
  <c r="C125" i="10"/>
  <c r="D125" i="10"/>
  <c r="E125" i="10"/>
  <c r="F125" i="10"/>
  <c r="G125" i="10"/>
  <c r="A126" i="10"/>
  <c r="B126" i="10"/>
  <c r="C126" i="10"/>
  <c r="D126" i="10"/>
  <c r="E126" i="10"/>
  <c r="F126" i="10"/>
  <c r="G126" i="10"/>
  <c r="A127" i="10"/>
  <c r="B127" i="10"/>
  <c r="C127" i="10"/>
  <c r="D127" i="10"/>
  <c r="E127" i="10"/>
  <c r="F127" i="10"/>
  <c r="G127" i="10"/>
  <c r="A128" i="10"/>
  <c r="B128" i="10"/>
  <c r="C128" i="10"/>
  <c r="D128" i="10"/>
  <c r="E128" i="10"/>
  <c r="F128" i="10"/>
  <c r="G128" i="10"/>
  <c r="A130" i="10"/>
  <c r="B130" i="10"/>
  <c r="C130" i="10"/>
  <c r="D130" i="10"/>
  <c r="E130" i="10"/>
  <c r="F130" i="10"/>
  <c r="G130" i="10"/>
  <c r="A131" i="10"/>
  <c r="B131" i="10"/>
  <c r="C131" i="10"/>
  <c r="D131" i="10"/>
  <c r="E131" i="10"/>
  <c r="F131" i="10"/>
  <c r="G131" i="10"/>
  <c r="A132" i="10"/>
  <c r="B132" i="10"/>
  <c r="C132" i="10"/>
  <c r="D132" i="10"/>
  <c r="E132" i="10"/>
  <c r="F132" i="10"/>
  <c r="G132" i="10"/>
  <c r="A133" i="10"/>
  <c r="B133" i="10"/>
  <c r="C133" i="10"/>
  <c r="D133" i="10"/>
  <c r="E133" i="10"/>
  <c r="F133" i="10"/>
  <c r="G133" i="10"/>
  <c r="A134" i="10"/>
  <c r="B134" i="10"/>
  <c r="C134" i="10"/>
  <c r="D134" i="10"/>
  <c r="E134" i="10"/>
  <c r="F134" i="10"/>
  <c r="G134" i="10"/>
  <c r="A135" i="10"/>
  <c r="B135" i="10"/>
  <c r="C135" i="10"/>
  <c r="D135" i="10"/>
  <c r="E135" i="10"/>
  <c r="F135" i="10"/>
  <c r="G135" i="10"/>
  <c r="A136" i="10"/>
  <c r="B136" i="10"/>
  <c r="C136" i="10"/>
  <c r="D136" i="10"/>
  <c r="E136" i="10"/>
  <c r="F136" i="10"/>
  <c r="G136" i="10"/>
  <c r="A137" i="10"/>
  <c r="B137" i="10"/>
  <c r="C137" i="10"/>
  <c r="D137" i="10"/>
  <c r="E137" i="10"/>
  <c r="F137" i="10"/>
  <c r="G137" i="10"/>
  <c r="A138" i="10"/>
  <c r="B138" i="10"/>
  <c r="C138" i="10"/>
  <c r="D138" i="10"/>
  <c r="E138" i="10"/>
  <c r="F138" i="10"/>
  <c r="G138" i="10"/>
  <c r="A140" i="10"/>
  <c r="B140" i="10"/>
  <c r="C140" i="10"/>
  <c r="D140" i="10"/>
  <c r="E140" i="10"/>
  <c r="F140" i="10"/>
  <c r="G140" i="10"/>
  <c r="A141" i="10"/>
  <c r="B141" i="10"/>
  <c r="C141" i="10"/>
  <c r="D141" i="10"/>
  <c r="E141" i="10"/>
  <c r="F141" i="10"/>
  <c r="G141" i="10"/>
  <c r="A142" i="10"/>
  <c r="B142" i="10"/>
  <c r="C142" i="10"/>
  <c r="D142" i="10"/>
  <c r="E142" i="10"/>
  <c r="F142" i="10"/>
  <c r="G142" i="10"/>
  <c r="A143" i="10"/>
  <c r="B143" i="10"/>
  <c r="C143" i="10"/>
  <c r="D143" i="10"/>
  <c r="E143" i="10"/>
  <c r="F143" i="10"/>
  <c r="G143" i="10"/>
  <c r="A144" i="10"/>
  <c r="B144" i="10"/>
  <c r="C144" i="10"/>
  <c r="D144" i="10"/>
  <c r="E144" i="10"/>
  <c r="F144" i="10"/>
  <c r="G144" i="10"/>
  <c r="A145" i="10"/>
  <c r="B145" i="10"/>
  <c r="C145" i="10"/>
  <c r="D145" i="10"/>
  <c r="E145" i="10"/>
  <c r="F145" i="10"/>
  <c r="G145" i="10"/>
  <c r="A146" i="10"/>
  <c r="B146" i="10"/>
  <c r="C146" i="10"/>
  <c r="D146" i="10"/>
  <c r="E146" i="10"/>
  <c r="F146" i="10"/>
  <c r="G146" i="10"/>
  <c r="A147" i="10"/>
  <c r="B147" i="10"/>
  <c r="C147" i="10"/>
  <c r="D147" i="10"/>
  <c r="E147" i="10"/>
  <c r="F147" i="10"/>
  <c r="G147" i="10"/>
  <c r="A148" i="10"/>
  <c r="B148" i="10"/>
  <c r="C148" i="10"/>
  <c r="D148" i="10"/>
  <c r="E148" i="10"/>
  <c r="F148" i="10"/>
  <c r="G148" i="10"/>
  <c r="A160" i="10"/>
  <c r="B160" i="10"/>
  <c r="C160" i="10"/>
  <c r="D160" i="10"/>
  <c r="E160" i="10"/>
  <c r="F160" i="10"/>
  <c r="G160" i="10"/>
  <c r="A161" i="10"/>
  <c r="B161" i="10"/>
  <c r="C161" i="10"/>
  <c r="D161" i="10"/>
  <c r="E161" i="10"/>
  <c r="F161" i="10"/>
  <c r="G161" i="10"/>
  <c r="A162" i="10"/>
  <c r="B162" i="10"/>
  <c r="C162" i="10"/>
  <c r="D162" i="10"/>
  <c r="E162" i="10"/>
  <c r="F162" i="10"/>
  <c r="G162" i="10"/>
  <c r="A163" i="10"/>
  <c r="B163" i="10"/>
  <c r="C163" i="10"/>
  <c r="D163" i="10"/>
  <c r="E163" i="10"/>
  <c r="F163" i="10"/>
  <c r="G163" i="10"/>
  <c r="A164" i="10"/>
  <c r="B164" i="10"/>
  <c r="C164" i="10"/>
  <c r="D164" i="10"/>
  <c r="E164" i="10"/>
  <c r="F164" i="10"/>
  <c r="G164" i="10"/>
  <c r="A165" i="10"/>
  <c r="B165" i="10"/>
  <c r="C165" i="10"/>
  <c r="D165" i="10"/>
  <c r="E165" i="10"/>
  <c r="F165" i="10"/>
  <c r="G165" i="10"/>
  <c r="A166" i="10"/>
  <c r="B166" i="10"/>
  <c r="C166" i="10"/>
  <c r="D166" i="10"/>
  <c r="E166" i="10"/>
  <c r="F166" i="10"/>
  <c r="G166" i="10"/>
  <c r="A167" i="10"/>
  <c r="B167" i="10"/>
  <c r="C167" i="10"/>
  <c r="D167" i="10"/>
  <c r="E167" i="10"/>
  <c r="F167" i="10"/>
  <c r="G167" i="10"/>
  <c r="A168" i="10"/>
  <c r="B168" i="10"/>
  <c r="C168" i="10"/>
  <c r="D168" i="10"/>
  <c r="E168" i="10"/>
  <c r="F168" i="10"/>
  <c r="G168" i="10"/>
  <c r="A170" i="10"/>
  <c r="B170" i="10"/>
  <c r="C170" i="10"/>
  <c r="D170" i="10"/>
  <c r="E170" i="10"/>
  <c r="F170" i="10"/>
  <c r="G170" i="10"/>
  <c r="A171" i="10"/>
  <c r="B171" i="10"/>
  <c r="C171" i="10"/>
  <c r="D171" i="10"/>
  <c r="E171" i="10"/>
  <c r="F171" i="10"/>
  <c r="G171" i="10"/>
  <c r="A172" i="10"/>
  <c r="B172" i="10"/>
  <c r="C172" i="10"/>
  <c r="D172" i="10"/>
  <c r="E172" i="10"/>
  <c r="F172" i="10"/>
  <c r="G172" i="10"/>
  <c r="A173" i="10"/>
  <c r="B173" i="10"/>
  <c r="C173" i="10"/>
  <c r="D173" i="10"/>
  <c r="E173" i="10"/>
  <c r="F173" i="10"/>
  <c r="G173" i="10"/>
  <c r="A174" i="10"/>
  <c r="B174" i="10"/>
  <c r="C174" i="10"/>
  <c r="D174" i="10"/>
  <c r="E174" i="10"/>
  <c r="F174" i="10"/>
  <c r="G174" i="10"/>
  <c r="A175" i="10"/>
  <c r="B175" i="10"/>
  <c r="C175" i="10"/>
  <c r="D175" i="10"/>
  <c r="E175" i="10"/>
  <c r="F175" i="10"/>
  <c r="G175" i="10"/>
  <c r="A176" i="10"/>
  <c r="B176" i="10"/>
  <c r="C176" i="10"/>
  <c r="D176" i="10"/>
  <c r="E176" i="10"/>
  <c r="F176" i="10"/>
  <c r="G176" i="10"/>
  <c r="A177" i="10"/>
  <c r="B177" i="10"/>
  <c r="C177" i="10"/>
  <c r="D177" i="10"/>
  <c r="E177" i="10"/>
  <c r="F177" i="10"/>
  <c r="G177" i="10"/>
  <c r="A178" i="10"/>
  <c r="B178" i="10"/>
  <c r="C178" i="10"/>
  <c r="D178" i="10"/>
  <c r="E178" i="10"/>
  <c r="F178" i="10"/>
  <c r="G178" i="10"/>
  <c r="A180" i="10"/>
  <c r="B180" i="10"/>
  <c r="C180" i="10"/>
  <c r="D180" i="10"/>
  <c r="E180" i="10"/>
  <c r="F180" i="10"/>
  <c r="G180" i="10"/>
  <c r="A181" i="10"/>
  <c r="B181" i="10"/>
  <c r="C181" i="10"/>
  <c r="D181" i="10"/>
  <c r="E181" i="10"/>
  <c r="F181" i="10"/>
  <c r="G181" i="10"/>
  <c r="A182" i="10"/>
  <c r="B182" i="10"/>
  <c r="C182" i="10"/>
  <c r="D182" i="10"/>
  <c r="E182" i="10"/>
  <c r="F182" i="10"/>
  <c r="G182" i="10"/>
  <c r="A183" i="10"/>
  <c r="B183" i="10"/>
  <c r="C183" i="10"/>
  <c r="D183" i="10"/>
  <c r="E183" i="10"/>
  <c r="F183" i="10"/>
  <c r="G183" i="10"/>
  <c r="A184" i="10"/>
  <c r="B184" i="10"/>
  <c r="C184" i="10"/>
  <c r="D184" i="10"/>
  <c r="E184" i="10"/>
  <c r="F184" i="10"/>
  <c r="G184" i="10"/>
  <c r="A185" i="10"/>
  <c r="B185" i="10"/>
  <c r="C185" i="10"/>
  <c r="D185" i="10"/>
  <c r="E185" i="10"/>
  <c r="F185" i="10"/>
  <c r="G185" i="10"/>
  <c r="A186" i="10"/>
  <c r="B186" i="10"/>
  <c r="C186" i="10"/>
  <c r="D186" i="10"/>
  <c r="E186" i="10"/>
  <c r="F186" i="10"/>
  <c r="G186" i="10"/>
  <c r="A187" i="10"/>
  <c r="B187" i="10"/>
  <c r="C187" i="10"/>
  <c r="D187" i="10"/>
  <c r="E187" i="10"/>
  <c r="F187" i="10"/>
  <c r="G187" i="10"/>
  <c r="A188" i="10"/>
  <c r="B188" i="10"/>
  <c r="C188" i="10"/>
  <c r="D188" i="10"/>
  <c r="E188" i="10"/>
  <c r="F188" i="10"/>
  <c r="G188" i="10"/>
  <c r="A190" i="10"/>
  <c r="B190" i="10"/>
  <c r="C190" i="10"/>
  <c r="D190" i="10"/>
  <c r="E190" i="10"/>
  <c r="F190" i="10"/>
  <c r="G190" i="10"/>
  <c r="A191" i="10"/>
  <c r="B191" i="10"/>
  <c r="C191" i="10"/>
  <c r="D191" i="10"/>
  <c r="E191" i="10"/>
  <c r="F191" i="10"/>
  <c r="G191" i="10"/>
  <c r="A192" i="10"/>
  <c r="B192" i="10"/>
  <c r="C192" i="10"/>
  <c r="D192" i="10"/>
  <c r="E192" i="10"/>
  <c r="F192" i="10"/>
  <c r="G192" i="10"/>
  <c r="A193" i="10"/>
  <c r="B193" i="10"/>
  <c r="C193" i="10"/>
  <c r="D193" i="10"/>
  <c r="E193" i="10"/>
  <c r="F193" i="10"/>
  <c r="G193" i="10"/>
  <c r="A194" i="10"/>
  <c r="B194" i="10"/>
  <c r="C194" i="10"/>
  <c r="D194" i="10"/>
  <c r="E194" i="10"/>
  <c r="F194" i="10"/>
  <c r="G194" i="10"/>
  <c r="A195" i="10"/>
  <c r="B195" i="10"/>
  <c r="C195" i="10"/>
  <c r="D195" i="10"/>
  <c r="E195" i="10"/>
  <c r="F195" i="10"/>
  <c r="G195" i="10"/>
  <c r="A196" i="10"/>
  <c r="B196" i="10"/>
  <c r="C196" i="10"/>
  <c r="D196" i="10"/>
  <c r="E196" i="10"/>
  <c r="F196" i="10"/>
  <c r="G196" i="10"/>
  <c r="A197" i="10"/>
  <c r="B197" i="10"/>
  <c r="C197" i="10"/>
  <c r="D197" i="10"/>
  <c r="E197" i="10"/>
  <c r="F197" i="10"/>
  <c r="G197" i="10"/>
  <c r="A198" i="10"/>
  <c r="B198" i="10"/>
  <c r="C198" i="10"/>
  <c r="D198" i="10"/>
  <c r="E198" i="10"/>
  <c r="F198" i="10"/>
  <c r="G198" i="10"/>
  <c r="A200" i="10"/>
  <c r="B200" i="10"/>
  <c r="C200" i="10"/>
  <c r="D200" i="10"/>
  <c r="E200" i="10"/>
  <c r="F200" i="10"/>
  <c r="G200" i="10"/>
  <c r="A201" i="10"/>
  <c r="B201" i="10"/>
  <c r="C201" i="10"/>
  <c r="D201" i="10"/>
  <c r="E201" i="10"/>
  <c r="F201" i="10"/>
  <c r="G201" i="10"/>
  <c r="A202" i="10"/>
  <c r="B202" i="10"/>
  <c r="C202" i="10"/>
  <c r="D202" i="10"/>
  <c r="E202" i="10"/>
  <c r="F202" i="10"/>
  <c r="G202" i="10"/>
  <c r="A203" i="10"/>
  <c r="B203" i="10"/>
  <c r="C203" i="10"/>
  <c r="D203" i="10"/>
  <c r="E203" i="10"/>
  <c r="F203" i="10"/>
  <c r="G203" i="10"/>
  <c r="A204" i="10"/>
  <c r="B204" i="10"/>
  <c r="C204" i="10"/>
  <c r="D204" i="10"/>
  <c r="E204" i="10"/>
  <c r="F204" i="10"/>
  <c r="G204" i="10"/>
  <c r="A205" i="10"/>
  <c r="B205" i="10"/>
  <c r="C205" i="10"/>
  <c r="D205" i="10"/>
  <c r="E205" i="10"/>
  <c r="F205" i="10"/>
  <c r="G205" i="10"/>
  <c r="A206" i="10"/>
  <c r="B206" i="10"/>
  <c r="C206" i="10"/>
  <c r="D206" i="10"/>
  <c r="E206" i="10"/>
  <c r="F206" i="10"/>
  <c r="G206" i="10"/>
  <c r="A207" i="10"/>
  <c r="B207" i="10"/>
  <c r="C207" i="10"/>
  <c r="D207" i="10"/>
  <c r="E207" i="10"/>
  <c r="F207" i="10"/>
  <c r="G207" i="10"/>
  <c r="A208" i="10"/>
  <c r="B208" i="10"/>
  <c r="C208" i="10"/>
  <c r="D208" i="10"/>
  <c r="E208" i="10"/>
  <c r="F208" i="10"/>
  <c r="G208" i="10"/>
  <c r="A210" i="10"/>
  <c r="B210" i="10"/>
  <c r="C210" i="10"/>
  <c r="D210" i="10"/>
  <c r="E210" i="10"/>
  <c r="F210" i="10"/>
  <c r="G210" i="10"/>
  <c r="A211" i="10"/>
  <c r="B211" i="10"/>
  <c r="C211" i="10"/>
  <c r="D211" i="10"/>
  <c r="E211" i="10"/>
  <c r="F211" i="10"/>
  <c r="G211" i="10"/>
  <c r="A212" i="10"/>
  <c r="B212" i="10"/>
  <c r="C212" i="10"/>
  <c r="D212" i="10"/>
  <c r="E212" i="10"/>
  <c r="F212" i="10"/>
  <c r="G212" i="10"/>
  <c r="A213" i="10"/>
  <c r="B213" i="10"/>
  <c r="C213" i="10"/>
  <c r="D213" i="10"/>
  <c r="E213" i="10"/>
  <c r="F213" i="10"/>
  <c r="G213" i="10"/>
  <c r="A214" i="10"/>
  <c r="B214" i="10"/>
  <c r="C214" i="10"/>
  <c r="D214" i="10"/>
  <c r="E214" i="10"/>
  <c r="F214" i="10"/>
  <c r="G214" i="10"/>
  <c r="A215" i="10"/>
  <c r="B215" i="10"/>
  <c r="C215" i="10"/>
  <c r="D215" i="10"/>
  <c r="E215" i="10"/>
  <c r="F215" i="10"/>
  <c r="G215" i="10"/>
  <c r="A216" i="10"/>
  <c r="B216" i="10"/>
  <c r="C216" i="10"/>
  <c r="D216" i="10"/>
  <c r="E216" i="10"/>
  <c r="F216" i="10"/>
  <c r="G216" i="10"/>
  <c r="A217" i="10"/>
  <c r="B217" i="10"/>
  <c r="C217" i="10"/>
  <c r="D217" i="10"/>
  <c r="E217" i="10"/>
  <c r="F217" i="10"/>
  <c r="G217" i="10"/>
  <c r="A218" i="10"/>
  <c r="B218" i="10"/>
  <c r="C218" i="10"/>
  <c r="D218" i="10"/>
  <c r="E218" i="10"/>
  <c r="F218" i="10"/>
  <c r="G218" i="10"/>
  <c r="A220" i="10"/>
  <c r="B220" i="10"/>
  <c r="C220" i="10"/>
  <c r="D220" i="10"/>
  <c r="E220" i="10"/>
  <c r="F220" i="10"/>
  <c r="G220" i="10"/>
  <c r="A221" i="10"/>
  <c r="B221" i="10"/>
  <c r="C221" i="10"/>
  <c r="D221" i="10"/>
  <c r="E221" i="10"/>
  <c r="F221" i="10"/>
  <c r="G221" i="10"/>
  <c r="A222" i="10"/>
  <c r="B222" i="10"/>
  <c r="C222" i="10"/>
  <c r="D222" i="10"/>
  <c r="E222" i="10"/>
  <c r="F222" i="10"/>
  <c r="G222" i="10"/>
  <c r="A223" i="10"/>
  <c r="B223" i="10"/>
  <c r="C223" i="10"/>
  <c r="D223" i="10"/>
  <c r="E223" i="10"/>
  <c r="F223" i="10"/>
  <c r="G223" i="10"/>
  <c r="A224" i="10"/>
  <c r="B224" i="10"/>
  <c r="C224" i="10"/>
  <c r="D224" i="10"/>
  <c r="E224" i="10"/>
  <c r="F224" i="10"/>
  <c r="G224" i="10"/>
  <c r="A225" i="10"/>
  <c r="B225" i="10"/>
  <c r="C225" i="10"/>
  <c r="D225" i="10"/>
  <c r="E225" i="10"/>
  <c r="F225" i="10"/>
  <c r="G225" i="10"/>
  <c r="A226" i="10"/>
  <c r="B226" i="10"/>
  <c r="C226" i="10"/>
  <c r="D226" i="10"/>
  <c r="E226" i="10"/>
  <c r="F226" i="10"/>
  <c r="G226" i="10"/>
  <c r="A227" i="10"/>
  <c r="B227" i="10"/>
  <c r="C227" i="10"/>
  <c r="D227" i="10"/>
  <c r="E227" i="10"/>
  <c r="F227" i="10"/>
  <c r="G227" i="10"/>
  <c r="A228" i="10"/>
  <c r="B228" i="10"/>
  <c r="C228" i="10"/>
  <c r="D228" i="10"/>
  <c r="E228" i="10"/>
  <c r="F228" i="10"/>
  <c r="G228" i="10"/>
  <c r="A230" i="10"/>
  <c r="B230" i="10"/>
  <c r="C230" i="10"/>
  <c r="D230" i="10"/>
  <c r="E230" i="10"/>
  <c r="F230" i="10"/>
  <c r="G230" i="10"/>
  <c r="A231" i="10"/>
  <c r="B231" i="10"/>
  <c r="C231" i="10"/>
  <c r="D231" i="10"/>
  <c r="E231" i="10"/>
  <c r="F231" i="10"/>
  <c r="G231" i="10"/>
  <c r="A232" i="10"/>
  <c r="B232" i="10"/>
  <c r="C232" i="10"/>
  <c r="D232" i="10"/>
  <c r="E232" i="10"/>
  <c r="F232" i="10"/>
  <c r="G232" i="10"/>
  <c r="A233" i="10"/>
  <c r="B233" i="10"/>
  <c r="C233" i="10"/>
  <c r="D233" i="10"/>
  <c r="E233" i="10"/>
  <c r="F233" i="10"/>
  <c r="G233" i="10"/>
  <c r="A234" i="10"/>
  <c r="B234" i="10"/>
  <c r="C234" i="10"/>
  <c r="D234" i="10"/>
  <c r="E234" i="10"/>
  <c r="F234" i="10"/>
  <c r="G234" i="10"/>
  <c r="A235" i="10"/>
  <c r="B235" i="10"/>
  <c r="C235" i="10"/>
  <c r="D235" i="10"/>
  <c r="E235" i="10"/>
  <c r="F235" i="10"/>
  <c r="G235" i="10"/>
  <c r="A236" i="10"/>
  <c r="B236" i="10"/>
  <c r="C236" i="10"/>
  <c r="D236" i="10"/>
  <c r="E236" i="10"/>
  <c r="F236" i="10"/>
  <c r="G236" i="10"/>
  <c r="A237" i="10"/>
  <c r="B237" i="10"/>
  <c r="C237" i="10"/>
  <c r="D237" i="10"/>
  <c r="E237" i="10"/>
  <c r="F237" i="10"/>
  <c r="G237" i="10"/>
  <c r="B16" i="10"/>
  <c r="C16" i="10"/>
  <c r="D16" i="10"/>
  <c r="E16" i="10"/>
  <c r="F16" i="10"/>
  <c r="G16" i="10"/>
  <c r="A16" i="10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21" i="11"/>
  <c r="I324" i="11"/>
  <c r="Y324" i="11" s="1"/>
  <c r="I326" i="11"/>
  <c r="Y326" i="11" s="1"/>
  <c r="I328" i="11"/>
  <c r="Y328" i="11" s="1"/>
  <c r="I330" i="11"/>
  <c r="Y330" i="11" s="1"/>
  <c r="I333" i="11"/>
  <c r="Y333" i="11" s="1"/>
  <c r="I335" i="11"/>
  <c r="Y335" i="11" s="1"/>
  <c r="I337" i="11"/>
  <c r="Y337" i="11" s="1"/>
  <c r="I338" i="11"/>
  <c r="A322" i="11"/>
  <c r="B322" i="11"/>
  <c r="C322" i="11"/>
  <c r="D322" i="11"/>
  <c r="E322" i="11"/>
  <c r="F322" i="11"/>
  <c r="G322" i="11"/>
  <c r="A323" i="11"/>
  <c r="B323" i="11"/>
  <c r="C323" i="11"/>
  <c r="D323" i="11"/>
  <c r="E323" i="11"/>
  <c r="F323" i="11"/>
  <c r="G323" i="11"/>
  <c r="A324" i="11"/>
  <c r="B324" i="11"/>
  <c r="C324" i="11"/>
  <c r="D324" i="11"/>
  <c r="E324" i="11"/>
  <c r="F324" i="11"/>
  <c r="G324" i="11"/>
  <c r="A325" i="11"/>
  <c r="B325" i="11"/>
  <c r="C325" i="11"/>
  <c r="D325" i="11"/>
  <c r="E325" i="11"/>
  <c r="F325" i="11"/>
  <c r="G325" i="11"/>
  <c r="A326" i="11"/>
  <c r="B326" i="11"/>
  <c r="C326" i="11"/>
  <c r="D326" i="11"/>
  <c r="E326" i="11"/>
  <c r="F326" i="11"/>
  <c r="G326" i="11"/>
  <c r="A327" i="11"/>
  <c r="B327" i="11"/>
  <c r="C327" i="11"/>
  <c r="D327" i="11"/>
  <c r="E327" i="11"/>
  <c r="F327" i="11"/>
  <c r="G327" i="11"/>
  <c r="A328" i="11"/>
  <c r="B328" i="11"/>
  <c r="C328" i="11"/>
  <c r="D328" i="11"/>
  <c r="E328" i="11"/>
  <c r="F328" i="11"/>
  <c r="G328" i="11"/>
  <c r="A329" i="11"/>
  <c r="B329" i="11"/>
  <c r="C329" i="11"/>
  <c r="D329" i="11"/>
  <c r="E329" i="11"/>
  <c r="F329" i="11"/>
  <c r="G329" i="11"/>
  <c r="A330" i="11"/>
  <c r="B330" i="11"/>
  <c r="C330" i="11"/>
  <c r="D330" i="11"/>
  <c r="E330" i="11"/>
  <c r="F330" i="11"/>
  <c r="G330" i="11"/>
  <c r="A331" i="11"/>
  <c r="B331" i="11"/>
  <c r="C331" i="11"/>
  <c r="D331" i="11"/>
  <c r="E331" i="11"/>
  <c r="F331" i="11"/>
  <c r="G331" i="11"/>
  <c r="A332" i="11"/>
  <c r="B332" i="11"/>
  <c r="C332" i="11"/>
  <c r="D332" i="11"/>
  <c r="E332" i="11"/>
  <c r="F332" i="11"/>
  <c r="G332" i="11"/>
  <c r="A333" i="11"/>
  <c r="B333" i="11"/>
  <c r="C333" i="11"/>
  <c r="D333" i="11"/>
  <c r="E333" i="11"/>
  <c r="F333" i="11"/>
  <c r="G333" i="11"/>
  <c r="A334" i="11"/>
  <c r="B334" i="11"/>
  <c r="C334" i="11"/>
  <c r="D334" i="11"/>
  <c r="E334" i="11"/>
  <c r="F334" i="11"/>
  <c r="G334" i="11"/>
  <c r="A335" i="11"/>
  <c r="B335" i="11"/>
  <c r="C335" i="11"/>
  <c r="D335" i="11"/>
  <c r="E335" i="11"/>
  <c r="F335" i="11"/>
  <c r="G335" i="11"/>
  <c r="A336" i="11"/>
  <c r="B336" i="11"/>
  <c r="C336" i="11"/>
  <c r="D336" i="11"/>
  <c r="E336" i="11"/>
  <c r="F336" i="11"/>
  <c r="G336" i="11"/>
  <c r="A337" i="11"/>
  <c r="B337" i="11"/>
  <c r="C337" i="11"/>
  <c r="D337" i="11"/>
  <c r="E337" i="11"/>
  <c r="F337" i="11"/>
  <c r="G337" i="11"/>
  <c r="A338" i="11"/>
  <c r="B338" i="11"/>
  <c r="C338" i="11"/>
  <c r="D338" i="11"/>
  <c r="E338" i="11"/>
  <c r="F338" i="11"/>
  <c r="G338" i="11"/>
  <c r="B321" i="11"/>
  <c r="C321" i="11"/>
  <c r="D321" i="11"/>
  <c r="E321" i="11"/>
  <c r="F321" i="11"/>
  <c r="G321" i="11"/>
  <c r="A321" i="11"/>
  <c r="B317" i="11"/>
  <c r="C317" i="11"/>
  <c r="D317" i="11"/>
  <c r="E317" i="11"/>
  <c r="F317" i="11"/>
  <c r="G317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172" i="11"/>
  <c r="J173" i="11"/>
  <c r="J174" i="11"/>
  <c r="J170" i="11"/>
  <c r="J171" i="11"/>
  <c r="J165" i="11"/>
  <c r="J166" i="11"/>
  <c r="J167" i="11"/>
  <c r="J168" i="11"/>
  <c r="J169" i="11"/>
  <c r="I172" i="11"/>
  <c r="I178" i="11"/>
  <c r="I186" i="11"/>
  <c r="I205" i="11"/>
  <c r="Y205" i="11" s="1"/>
  <c r="I217" i="11"/>
  <c r="I227" i="11"/>
  <c r="I259" i="11"/>
  <c r="I266" i="11"/>
  <c r="I278" i="11"/>
  <c r="I289" i="11"/>
  <c r="I307" i="11"/>
  <c r="I315" i="11"/>
  <c r="I316" i="11"/>
  <c r="I31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167" i="11"/>
  <c r="A314" i="11"/>
  <c r="B314" i="11"/>
  <c r="C314" i="11"/>
  <c r="D314" i="11"/>
  <c r="E314" i="11"/>
  <c r="F314" i="11"/>
  <c r="G314" i="11"/>
  <c r="A315" i="11"/>
  <c r="B315" i="11"/>
  <c r="C315" i="11"/>
  <c r="D315" i="11"/>
  <c r="E315" i="11"/>
  <c r="F315" i="11"/>
  <c r="G315" i="11"/>
  <c r="A316" i="11"/>
  <c r="B316" i="11"/>
  <c r="C316" i="11"/>
  <c r="D316" i="11"/>
  <c r="E316" i="11"/>
  <c r="F316" i="11"/>
  <c r="G316" i="11"/>
  <c r="A317" i="11"/>
  <c r="A312" i="11"/>
  <c r="B312" i="11"/>
  <c r="C312" i="11"/>
  <c r="D312" i="11"/>
  <c r="E312" i="11"/>
  <c r="F312" i="11"/>
  <c r="G312" i="11"/>
  <c r="A313" i="11"/>
  <c r="B313" i="11"/>
  <c r="C313" i="11"/>
  <c r="D313" i="11"/>
  <c r="E313" i="11"/>
  <c r="F313" i="11"/>
  <c r="G313" i="11"/>
  <c r="A299" i="11"/>
  <c r="B299" i="11"/>
  <c r="C299" i="11"/>
  <c r="D299" i="11"/>
  <c r="E299" i="11"/>
  <c r="F299" i="11"/>
  <c r="G299" i="11"/>
  <c r="A300" i="11"/>
  <c r="B300" i="11"/>
  <c r="C300" i="11"/>
  <c r="D300" i="11"/>
  <c r="E300" i="11"/>
  <c r="F300" i="11"/>
  <c r="G300" i="11"/>
  <c r="A301" i="11"/>
  <c r="B301" i="11"/>
  <c r="C301" i="11"/>
  <c r="D301" i="11"/>
  <c r="E301" i="11"/>
  <c r="F301" i="11"/>
  <c r="G301" i="11"/>
  <c r="A302" i="11"/>
  <c r="B302" i="11"/>
  <c r="C302" i="11"/>
  <c r="D302" i="11"/>
  <c r="E302" i="11"/>
  <c r="F302" i="11"/>
  <c r="G302" i="11"/>
  <c r="A303" i="11"/>
  <c r="B303" i="11"/>
  <c r="C303" i="11"/>
  <c r="D303" i="11"/>
  <c r="E303" i="11"/>
  <c r="F303" i="11"/>
  <c r="G303" i="11"/>
  <c r="A304" i="11"/>
  <c r="B304" i="11"/>
  <c r="C304" i="11"/>
  <c r="D304" i="11"/>
  <c r="E304" i="11"/>
  <c r="F304" i="11"/>
  <c r="G304" i="11"/>
  <c r="A305" i="11"/>
  <c r="B305" i="11"/>
  <c r="C305" i="11"/>
  <c r="D305" i="11"/>
  <c r="E305" i="11"/>
  <c r="F305" i="11"/>
  <c r="G305" i="11"/>
  <c r="A306" i="11"/>
  <c r="B306" i="11"/>
  <c r="C306" i="11"/>
  <c r="D306" i="11"/>
  <c r="E306" i="11"/>
  <c r="F306" i="11"/>
  <c r="G306" i="11"/>
  <c r="A307" i="11"/>
  <c r="B307" i="11"/>
  <c r="C307" i="11"/>
  <c r="D307" i="11"/>
  <c r="E307" i="11"/>
  <c r="F307" i="11"/>
  <c r="G307" i="11"/>
  <c r="A308" i="11"/>
  <c r="B308" i="11"/>
  <c r="C308" i="11"/>
  <c r="D308" i="11"/>
  <c r="E308" i="11"/>
  <c r="F308" i="11"/>
  <c r="G308" i="11"/>
  <c r="A309" i="11"/>
  <c r="B309" i="11"/>
  <c r="C309" i="11"/>
  <c r="D309" i="11"/>
  <c r="E309" i="11"/>
  <c r="F309" i="11"/>
  <c r="G309" i="11"/>
  <c r="A310" i="11"/>
  <c r="B310" i="11"/>
  <c r="C310" i="11"/>
  <c r="D310" i="11"/>
  <c r="E310" i="11"/>
  <c r="F310" i="11"/>
  <c r="G310" i="11"/>
  <c r="A311" i="11"/>
  <c r="B311" i="11"/>
  <c r="C311" i="11"/>
  <c r="D311" i="11"/>
  <c r="E311" i="11"/>
  <c r="F311" i="11"/>
  <c r="G311" i="11"/>
  <c r="A288" i="11"/>
  <c r="B288" i="11"/>
  <c r="C288" i="11"/>
  <c r="D288" i="11"/>
  <c r="E288" i="11"/>
  <c r="F288" i="11"/>
  <c r="G288" i="11"/>
  <c r="A289" i="11"/>
  <c r="B289" i="11"/>
  <c r="C289" i="11"/>
  <c r="D289" i="11"/>
  <c r="E289" i="11"/>
  <c r="F289" i="11"/>
  <c r="G289" i="11"/>
  <c r="A290" i="11"/>
  <c r="B290" i="11"/>
  <c r="C290" i="11"/>
  <c r="D290" i="11"/>
  <c r="E290" i="11"/>
  <c r="F290" i="11"/>
  <c r="G290" i="11"/>
  <c r="A291" i="11"/>
  <c r="B291" i="11"/>
  <c r="C291" i="11"/>
  <c r="D291" i="11"/>
  <c r="E291" i="11"/>
  <c r="F291" i="11"/>
  <c r="G291" i="11"/>
  <c r="A292" i="11"/>
  <c r="B292" i="11"/>
  <c r="C292" i="11"/>
  <c r="D292" i="11"/>
  <c r="E292" i="11"/>
  <c r="F292" i="11"/>
  <c r="G292" i="11"/>
  <c r="A293" i="11"/>
  <c r="B293" i="11"/>
  <c r="C293" i="11"/>
  <c r="D293" i="11"/>
  <c r="E293" i="11"/>
  <c r="F293" i="11"/>
  <c r="G293" i="11"/>
  <c r="A294" i="11"/>
  <c r="B294" i="11"/>
  <c r="C294" i="11"/>
  <c r="D294" i="11"/>
  <c r="E294" i="11"/>
  <c r="F294" i="11"/>
  <c r="G294" i="11"/>
  <c r="A295" i="11"/>
  <c r="B295" i="11"/>
  <c r="C295" i="11"/>
  <c r="D295" i="11"/>
  <c r="E295" i="11"/>
  <c r="F295" i="11"/>
  <c r="G295" i="11"/>
  <c r="A296" i="11"/>
  <c r="B296" i="11"/>
  <c r="C296" i="11"/>
  <c r="D296" i="11"/>
  <c r="E296" i="11"/>
  <c r="F296" i="11"/>
  <c r="G296" i="11"/>
  <c r="A297" i="11"/>
  <c r="B297" i="11"/>
  <c r="C297" i="11"/>
  <c r="D297" i="11"/>
  <c r="E297" i="11"/>
  <c r="F297" i="11"/>
  <c r="G297" i="11"/>
  <c r="A298" i="11"/>
  <c r="B298" i="11"/>
  <c r="C298" i="11"/>
  <c r="D298" i="11"/>
  <c r="E298" i="11"/>
  <c r="F298" i="11"/>
  <c r="G298" i="11"/>
  <c r="A275" i="11"/>
  <c r="B275" i="11"/>
  <c r="C275" i="11"/>
  <c r="D275" i="11"/>
  <c r="E275" i="11"/>
  <c r="F275" i="11"/>
  <c r="G275" i="11"/>
  <c r="A276" i="11"/>
  <c r="B276" i="11"/>
  <c r="C276" i="11"/>
  <c r="D276" i="11"/>
  <c r="E276" i="11"/>
  <c r="F276" i="11"/>
  <c r="G276" i="11"/>
  <c r="A277" i="11"/>
  <c r="B277" i="11"/>
  <c r="C277" i="11"/>
  <c r="D277" i="11"/>
  <c r="E277" i="11"/>
  <c r="F277" i="11"/>
  <c r="G277" i="11"/>
  <c r="A278" i="11"/>
  <c r="B278" i="11"/>
  <c r="C278" i="11"/>
  <c r="D278" i="11"/>
  <c r="E278" i="11"/>
  <c r="F278" i="11"/>
  <c r="G278" i="11"/>
  <c r="A279" i="11"/>
  <c r="B279" i="11"/>
  <c r="C279" i="11"/>
  <c r="D279" i="11"/>
  <c r="E279" i="11"/>
  <c r="F279" i="11"/>
  <c r="G279" i="11"/>
  <c r="A280" i="11"/>
  <c r="B280" i="11"/>
  <c r="C280" i="11"/>
  <c r="D280" i="11"/>
  <c r="E280" i="11"/>
  <c r="F280" i="11"/>
  <c r="G280" i="11"/>
  <c r="A281" i="11"/>
  <c r="B281" i="11"/>
  <c r="C281" i="11"/>
  <c r="D281" i="11"/>
  <c r="E281" i="11"/>
  <c r="F281" i="11"/>
  <c r="G281" i="11"/>
  <c r="A282" i="11"/>
  <c r="B282" i="11"/>
  <c r="C282" i="11"/>
  <c r="D282" i="11"/>
  <c r="E282" i="11"/>
  <c r="F282" i="11"/>
  <c r="G282" i="11"/>
  <c r="A283" i="11"/>
  <c r="B283" i="11"/>
  <c r="C283" i="11"/>
  <c r="D283" i="11"/>
  <c r="E283" i="11"/>
  <c r="F283" i="11"/>
  <c r="G283" i="11"/>
  <c r="A284" i="11"/>
  <c r="B284" i="11"/>
  <c r="C284" i="11"/>
  <c r="D284" i="11"/>
  <c r="E284" i="11"/>
  <c r="F284" i="11"/>
  <c r="G284" i="11"/>
  <c r="A285" i="11"/>
  <c r="B285" i="11"/>
  <c r="C285" i="11"/>
  <c r="D285" i="11"/>
  <c r="E285" i="11"/>
  <c r="F285" i="11"/>
  <c r="G285" i="11"/>
  <c r="A286" i="11"/>
  <c r="B286" i="11"/>
  <c r="C286" i="11"/>
  <c r="D286" i="11"/>
  <c r="E286" i="11"/>
  <c r="F286" i="11"/>
  <c r="G286" i="11"/>
  <c r="A287" i="11"/>
  <c r="B287" i="11"/>
  <c r="C287" i="11"/>
  <c r="D287" i="11"/>
  <c r="E287" i="11"/>
  <c r="F287" i="11"/>
  <c r="G287" i="11"/>
  <c r="A265" i="11"/>
  <c r="B265" i="11"/>
  <c r="C265" i="11"/>
  <c r="D265" i="11"/>
  <c r="E265" i="11"/>
  <c r="F265" i="11"/>
  <c r="G265" i="11"/>
  <c r="A266" i="11"/>
  <c r="B266" i="11"/>
  <c r="C266" i="11"/>
  <c r="D266" i="11"/>
  <c r="E266" i="11"/>
  <c r="F266" i="11"/>
  <c r="G266" i="11"/>
  <c r="A267" i="11"/>
  <c r="B267" i="11"/>
  <c r="C267" i="11"/>
  <c r="D267" i="11"/>
  <c r="E267" i="11"/>
  <c r="F267" i="11"/>
  <c r="G267" i="11"/>
  <c r="A268" i="11"/>
  <c r="B268" i="11"/>
  <c r="C268" i="11"/>
  <c r="D268" i="11"/>
  <c r="E268" i="11"/>
  <c r="F268" i="11"/>
  <c r="G268" i="11"/>
  <c r="A269" i="11"/>
  <c r="B269" i="11"/>
  <c r="C269" i="11"/>
  <c r="D269" i="11"/>
  <c r="E269" i="11"/>
  <c r="F269" i="11"/>
  <c r="G269" i="11"/>
  <c r="A270" i="11"/>
  <c r="B270" i="11"/>
  <c r="C270" i="11"/>
  <c r="D270" i="11"/>
  <c r="E270" i="11"/>
  <c r="F270" i="11"/>
  <c r="G270" i="11"/>
  <c r="A271" i="11"/>
  <c r="B271" i="11"/>
  <c r="C271" i="11"/>
  <c r="D271" i="11"/>
  <c r="E271" i="11"/>
  <c r="F271" i="11"/>
  <c r="G271" i="11"/>
  <c r="A272" i="11"/>
  <c r="B272" i="11"/>
  <c r="C272" i="11"/>
  <c r="D272" i="11"/>
  <c r="E272" i="11"/>
  <c r="F272" i="11"/>
  <c r="G272" i="11"/>
  <c r="A273" i="11"/>
  <c r="B273" i="11"/>
  <c r="C273" i="11"/>
  <c r="D273" i="11"/>
  <c r="E273" i="11"/>
  <c r="F273" i="11"/>
  <c r="G273" i="11"/>
  <c r="A274" i="11"/>
  <c r="B274" i="11"/>
  <c r="C274" i="11"/>
  <c r="D274" i="11"/>
  <c r="E274" i="11"/>
  <c r="F274" i="11"/>
  <c r="G274" i="11"/>
  <c r="A257" i="11"/>
  <c r="B257" i="11"/>
  <c r="C257" i="11"/>
  <c r="D257" i="11"/>
  <c r="E257" i="11"/>
  <c r="F257" i="11"/>
  <c r="G257" i="11"/>
  <c r="A258" i="11"/>
  <c r="B258" i="11"/>
  <c r="C258" i="11"/>
  <c r="D258" i="11"/>
  <c r="E258" i="11"/>
  <c r="F258" i="11"/>
  <c r="G258" i="11"/>
  <c r="A259" i="11"/>
  <c r="B259" i="11"/>
  <c r="C259" i="11"/>
  <c r="D259" i="11"/>
  <c r="E259" i="11"/>
  <c r="F259" i="11"/>
  <c r="G259" i="11"/>
  <c r="A260" i="11"/>
  <c r="B260" i="11"/>
  <c r="C260" i="11"/>
  <c r="D260" i="11"/>
  <c r="E260" i="11"/>
  <c r="F260" i="11"/>
  <c r="G260" i="11"/>
  <c r="A261" i="11"/>
  <c r="B261" i="11"/>
  <c r="C261" i="11"/>
  <c r="D261" i="11"/>
  <c r="E261" i="11"/>
  <c r="F261" i="11"/>
  <c r="G261" i="11"/>
  <c r="A262" i="11"/>
  <c r="B262" i="11"/>
  <c r="C262" i="11"/>
  <c r="D262" i="11"/>
  <c r="E262" i="11"/>
  <c r="F262" i="11"/>
  <c r="G262" i="11"/>
  <c r="A263" i="11"/>
  <c r="B263" i="11"/>
  <c r="C263" i="11"/>
  <c r="D263" i="11"/>
  <c r="E263" i="11"/>
  <c r="F263" i="11"/>
  <c r="G263" i="11"/>
  <c r="A264" i="11"/>
  <c r="B264" i="11"/>
  <c r="C264" i="11"/>
  <c r="D264" i="11"/>
  <c r="E264" i="11"/>
  <c r="F264" i="11"/>
  <c r="G264" i="11"/>
  <c r="A248" i="11"/>
  <c r="B248" i="11"/>
  <c r="C248" i="11"/>
  <c r="D248" i="11"/>
  <c r="E248" i="11"/>
  <c r="F248" i="11"/>
  <c r="G248" i="11"/>
  <c r="A249" i="11"/>
  <c r="B249" i="11"/>
  <c r="C249" i="11"/>
  <c r="D249" i="11"/>
  <c r="E249" i="11"/>
  <c r="F249" i="11"/>
  <c r="G249" i="11"/>
  <c r="A250" i="11"/>
  <c r="B250" i="11"/>
  <c r="C250" i="11"/>
  <c r="D250" i="11"/>
  <c r="E250" i="11"/>
  <c r="F250" i="11"/>
  <c r="G250" i="11"/>
  <c r="A251" i="11"/>
  <c r="B251" i="11"/>
  <c r="C251" i="11"/>
  <c r="D251" i="11"/>
  <c r="E251" i="11"/>
  <c r="F251" i="11"/>
  <c r="G251" i="11"/>
  <c r="A252" i="11"/>
  <c r="B252" i="11"/>
  <c r="C252" i="11"/>
  <c r="D252" i="11"/>
  <c r="E252" i="11"/>
  <c r="F252" i="11"/>
  <c r="G252" i="11"/>
  <c r="A253" i="11"/>
  <c r="B253" i="11"/>
  <c r="C253" i="11"/>
  <c r="D253" i="11"/>
  <c r="E253" i="11"/>
  <c r="F253" i="11"/>
  <c r="G253" i="11"/>
  <c r="A254" i="11"/>
  <c r="B254" i="11"/>
  <c r="C254" i="11"/>
  <c r="D254" i="11"/>
  <c r="E254" i="11"/>
  <c r="F254" i="11"/>
  <c r="G254" i="11"/>
  <c r="A255" i="11"/>
  <c r="B255" i="11"/>
  <c r="C255" i="11"/>
  <c r="D255" i="11"/>
  <c r="E255" i="11"/>
  <c r="F255" i="11"/>
  <c r="G255" i="11"/>
  <c r="A256" i="11"/>
  <c r="B256" i="11"/>
  <c r="C256" i="11"/>
  <c r="D256" i="11"/>
  <c r="E256" i="11"/>
  <c r="F256" i="11"/>
  <c r="G256" i="11"/>
  <c r="A168" i="11"/>
  <c r="B168" i="11"/>
  <c r="C168" i="11"/>
  <c r="D168" i="11"/>
  <c r="E168" i="11"/>
  <c r="F168" i="11"/>
  <c r="G168" i="11"/>
  <c r="A169" i="11"/>
  <c r="B169" i="11"/>
  <c r="C169" i="11"/>
  <c r="D169" i="11"/>
  <c r="E169" i="11"/>
  <c r="F169" i="11"/>
  <c r="G169" i="11"/>
  <c r="A170" i="11"/>
  <c r="B170" i="11"/>
  <c r="C170" i="11"/>
  <c r="D170" i="11"/>
  <c r="E170" i="11"/>
  <c r="F170" i="11"/>
  <c r="G170" i="11"/>
  <c r="A171" i="11"/>
  <c r="B171" i="11"/>
  <c r="C171" i="11"/>
  <c r="D171" i="11"/>
  <c r="E171" i="11"/>
  <c r="F171" i="11"/>
  <c r="G171" i="11"/>
  <c r="A172" i="11"/>
  <c r="B172" i="11"/>
  <c r="C172" i="11"/>
  <c r="D172" i="11"/>
  <c r="E172" i="11"/>
  <c r="F172" i="11"/>
  <c r="G172" i="11"/>
  <c r="A173" i="11"/>
  <c r="B173" i="11"/>
  <c r="C173" i="11"/>
  <c r="D173" i="11"/>
  <c r="E173" i="11"/>
  <c r="F173" i="11"/>
  <c r="G173" i="11"/>
  <c r="A174" i="11"/>
  <c r="B174" i="11"/>
  <c r="C174" i="11"/>
  <c r="D174" i="11"/>
  <c r="E174" i="11"/>
  <c r="F174" i="11"/>
  <c r="G174" i="11"/>
  <c r="A175" i="11"/>
  <c r="B175" i="11"/>
  <c r="C175" i="11"/>
  <c r="D175" i="11"/>
  <c r="E175" i="11"/>
  <c r="F175" i="11"/>
  <c r="G175" i="11"/>
  <c r="A176" i="11"/>
  <c r="B176" i="11"/>
  <c r="C176" i="11"/>
  <c r="D176" i="11"/>
  <c r="E176" i="11"/>
  <c r="F176" i="11"/>
  <c r="G176" i="11"/>
  <c r="A177" i="11"/>
  <c r="B177" i="11"/>
  <c r="C177" i="11"/>
  <c r="D177" i="11"/>
  <c r="E177" i="11"/>
  <c r="F177" i="11"/>
  <c r="G177" i="11"/>
  <c r="A178" i="11"/>
  <c r="B178" i="11"/>
  <c r="C178" i="11"/>
  <c r="D178" i="11"/>
  <c r="E178" i="11"/>
  <c r="F178" i="11"/>
  <c r="G178" i="11"/>
  <c r="A179" i="11"/>
  <c r="B179" i="11"/>
  <c r="C179" i="11"/>
  <c r="D179" i="11"/>
  <c r="E179" i="11"/>
  <c r="F179" i="11"/>
  <c r="G179" i="11"/>
  <c r="A180" i="11"/>
  <c r="B180" i="11"/>
  <c r="C180" i="11"/>
  <c r="D180" i="11"/>
  <c r="E180" i="11"/>
  <c r="F180" i="11"/>
  <c r="G180" i="11"/>
  <c r="A181" i="11"/>
  <c r="B181" i="11"/>
  <c r="C181" i="11"/>
  <c r="D181" i="11"/>
  <c r="E181" i="11"/>
  <c r="F181" i="11"/>
  <c r="G181" i="11"/>
  <c r="A182" i="11"/>
  <c r="B182" i="11"/>
  <c r="C182" i="11"/>
  <c r="D182" i="11"/>
  <c r="E182" i="11"/>
  <c r="F182" i="11"/>
  <c r="G182" i="11"/>
  <c r="A183" i="11"/>
  <c r="B183" i="11"/>
  <c r="C183" i="11"/>
  <c r="D183" i="11"/>
  <c r="E183" i="11"/>
  <c r="F183" i="11"/>
  <c r="G183" i="11"/>
  <c r="A184" i="11"/>
  <c r="B184" i="11"/>
  <c r="C184" i="11"/>
  <c r="D184" i="11"/>
  <c r="E184" i="11"/>
  <c r="F184" i="11"/>
  <c r="G184" i="11"/>
  <c r="A185" i="11"/>
  <c r="B185" i="11"/>
  <c r="C185" i="11"/>
  <c r="D185" i="11"/>
  <c r="E185" i="11"/>
  <c r="F185" i="11"/>
  <c r="G185" i="11"/>
  <c r="A186" i="11"/>
  <c r="B186" i="11"/>
  <c r="C186" i="11"/>
  <c r="D186" i="11"/>
  <c r="E186" i="11"/>
  <c r="F186" i="11"/>
  <c r="G186" i="11"/>
  <c r="A187" i="11"/>
  <c r="B187" i="11"/>
  <c r="C187" i="11"/>
  <c r="D187" i="11"/>
  <c r="E187" i="11"/>
  <c r="F187" i="11"/>
  <c r="G187" i="11"/>
  <c r="A188" i="11"/>
  <c r="B188" i="11"/>
  <c r="C188" i="11"/>
  <c r="D188" i="11"/>
  <c r="E188" i="11"/>
  <c r="F188" i="11"/>
  <c r="G188" i="11"/>
  <c r="A189" i="11"/>
  <c r="B189" i="11"/>
  <c r="C189" i="11"/>
  <c r="D189" i="11"/>
  <c r="E189" i="11"/>
  <c r="F189" i="11"/>
  <c r="G189" i="11"/>
  <c r="A190" i="11"/>
  <c r="B190" i="11"/>
  <c r="C190" i="11"/>
  <c r="D190" i="11"/>
  <c r="E190" i="11"/>
  <c r="F190" i="11"/>
  <c r="G190" i="11"/>
  <c r="A191" i="11"/>
  <c r="B191" i="11"/>
  <c r="C191" i="11"/>
  <c r="D191" i="11"/>
  <c r="E191" i="11"/>
  <c r="F191" i="11"/>
  <c r="G191" i="11"/>
  <c r="A192" i="11"/>
  <c r="B192" i="11"/>
  <c r="C192" i="11"/>
  <c r="D192" i="11"/>
  <c r="E192" i="11"/>
  <c r="F192" i="11"/>
  <c r="G192" i="11"/>
  <c r="A193" i="11"/>
  <c r="B193" i="11"/>
  <c r="C193" i="11"/>
  <c r="D193" i="11"/>
  <c r="E193" i="11"/>
  <c r="F193" i="11"/>
  <c r="G193" i="11"/>
  <c r="A194" i="11"/>
  <c r="B194" i="11"/>
  <c r="C194" i="11"/>
  <c r="D194" i="11"/>
  <c r="E194" i="11"/>
  <c r="F194" i="11"/>
  <c r="G194" i="11"/>
  <c r="A195" i="11"/>
  <c r="B195" i="11"/>
  <c r="C195" i="11"/>
  <c r="D195" i="11"/>
  <c r="E195" i="11"/>
  <c r="F195" i="11"/>
  <c r="G195" i="11"/>
  <c r="A196" i="11"/>
  <c r="B196" i="11"/>
  <c r="C196" i="11"/>
  <c r="D196" i="11"/>
  <c r="E196" i="11"/>
  <c r="F196" i="11"/>
  <c r="G196" i="11"/>
  <c r="A197" i="11"/>
  <c r="B197" i="11"/>
  <c r="C197" i="11"/>
  <c r="D197" i="11"/>
  <c r="E197" i="11"/>
  <c r="F197" i="11"/>
  <c r="G197" i="11"/>
  <c r="A198" i="11"/>
  <c r="B198" i="11"/>
  <c r="C198" i="11"/>
  <c r="D198" i="11"/>
  <c r="E198" i="11"/>
  <c r="F198" i="11"/>
  <c r="G198" i="11"/>
  <c r="A199" i="11"/>
  <c r="B199" i="11"/>
  <c r="C199" i="11"/>
  <c r="D199" i="11"/>
  <c r="E199" i="11"/>
  <c r="F199" i="11"/>
  <c r="G199" i="11"/>
  <c r="A200" i="11"/>
  <c r="B200" i="11"/>
  <c r="C200" i="11"/>
  <c r="D200" i="11"/>
  <c r="E200" i="11"/>
  <c r="F200" i="11"/>
  <c r="G200" i="11"/>
  <c r="A201" i="11"/>
  <c r="B201" i="11"/>
  <c r="C201" i="11"/>
  <c r="D201" i="11"/>
  <c r="E201" i="11"/>
  <c r="F201" i="11"/>
  <c r="G201" i="11"/>
  <c r="A202" i="11"/>
  <c r="B202" i="11"/>
  <c r="C202" i="11"/>
  <c r="D202" i="11"/>
  <c r="E202" i="11"/>
  <c r="F202" i="11"/>
  <c r="G202" i="11"/>
  <c r="A203" i="11"/>
  <c r="B203" i="11"/>
  <c r="C203" i="11"/>
  <c r="D203" i="11"/>
  <c r="E203" i="11"/>
  <c r="F203" i="11"/>
  <c r="G203" i="11"/>
  <c r="A204" i="11"/>
  <c r="B204" i="11"/>
  <c r="C204" i="11"/>
  <c r="D204" i="11"/>
  <c r="E204" i="11"/>
  <c r="F204" i="11"/>
  <c r="G204" i="11"/>
  <c r="A205" i="11"/>
  <c r="B205" i="11"/>
  <c r="C205" i="11"/>
  <c r="D205" i="11"/>
  <c r="E205" i="11"/>
  <c r="F205" i="11"/>
  <c r="G205" i="11"/>
  <c r="A206" i="11"/>
  <c r="B206" i="11"/>
  <c r="C206" i="11"/>
  <c r="D206" i="11"/>
  <c r="E206" i="11"/>
  <c r="F206" i="11"/>
  <c r="G206" i="11"/>
  <c r="A207" i="11"/>
  <c r="B207" i="11"/>
  <c r="C207" i="11"/>
  <c r="D207" i="11"/>
  <c r="E207" i="11"/>
  <c r="F207" i="11"/>
  <c r="G207" i="11"/>
  <c r="A208" i="11"/>
  <c r="B208" i="11"/>
  <c r="C208" i="11"/>
  <c r="D208" i="11"/>
  <c r="E208" i="11"/>
  <c r="F208" i="11"/>
  <c r="G208" i="11"/>
  <c r="A209" i="11"/>
  <c r="B209" i="11"/>
  <c r="C209" i="11"/>
  <c r="D209" i="11"/>
  <c r="E209" i="11"/>
  <c r="F209" i="11"/>
  <c r="G209" i="11"/>
  <c r="A210" i="11"/>
  <c r="B210" i="11"/>
  <c r="C210" i="11"/>
  <c r="D210" i="11"/>
  <c r="E210" i="11"/>
  <c r="F210" i="11"/>
  <c r="G210" i="11"/>
  <c r="A211" i="11"/>
  <c r="B211" i="11"/>
  <c r="C211" i="11"/>
  <c r="D211" i="11"/>
  <c r="E211" i="11"/>
  <c r="F211" i="11"/>
  <c r="G211" i="11"/>
  <c r="A212" i="11"/>
  <c r="B212" i="11"/>
  <c r="C212" i="11"/>
  <c r="D212" i="11"/>
  <c r="E212" i="11"/>
  <c r="F212" i="11"/>
  <c r="G212" i="11"/>
  <c r="A213" i="11"/>
  <c r="B213" i="11"/>
  <c r="C213" i="11"/>
  <c r="D213" i="11"/>
  <c r="E213" i="11"/>
  <c r="F213" i="11"/>
  <c r="G213" i="11"/>
  <c r="A214" i="11"/>
  <c r="B214" i="11"/>
  <c r="C214" i="11"/>
  <c r="D214" i="11"/>
  <c r="E214" i="11"/>
  <c r="F214" i="11"/>
  <c r="G214" i="11"/>
  <c r="A215" i="11"/>
  <c r="B215" i="11"/>
  <c r="C215" i="11"/>
  <c r="D215" i="11"/>
  <c r="E215" i="11"/>
  <c r="F215" i="11"/>
  <c r="G215" i="11"/>
  <c r="A216" i="11"/>
  <c r="B216" i="11"/>
  <c r="C216" i="11"/>
  <c r="D216" i="11"/>
  <c r="E216" i="11"/>
  <c r="F216" i="11"/>
  <c r="G216" i="11"/>
  <c r="A217" i="11"/>
  <c r="B217" i="11"/>
  <c r="C217" i="11"/>
  <c r="D217" i="11"/>
  <c r="E217" i="11"/>
  <c r="F217" i="11"/>
  <c r="G217" i="11"/>
  <c r="A218" i="11"/>
  <c r="B218" i="11"/>
  <c r="C218" i="11"/>
  <c r="D218" i="11"/>
  <c r="E218" i="11"/>
  <c r="F218" i="11"/>
  <c r="G218" i="11"/>
  <c r="A219" i="11"/>
  <c r="B219" i="11"/>
  <c r="C219" i="11"/>
  <c r="D219" i="11"/>
  <c r="E219" i="11"/>
  <c r="F219" i="11"/>
  <c r="G219" i="11"/>
  <c r="A220" i="11"/>
  <c r="B220" i="11"/>
  <c r="C220" i="11"/>
  <c r="D220" i="11"/>
  <c r="E220" i="11"/>
  <c r="F220" i="11"/>
  <c r="G220" i="11"/>
  <c r="A221" i="11"/>
  <c r="B221" i="11"/>
  <c r="C221" i="11"/>
  <c r="D221" i="11"/>
  <c r="E221" i="11"/>
  <c r="F221" i="11"/>
  <c r="G221" i="11"/>
  <c r="A222" i="11"/>
  <c r="B222" i="11"/>
  <c r="C222" i="11"/>
  <c r="D222" i="11"/>
  <c r="E222" i="11"/>
  <c r="F222" i="11"/>
  <c r="G222" i="11"/>
  <c r="A223" i="11"/>
  <c r="B223" i="11"/>
  <c r="C223" i="11"/>
  <c r="D223" i="11"/>
  <c r="E223" i="11"/>
  <c r="F223" i="11"/>
  <c r="G223" i="11"/>
  <c r="A224" i="11"/>
  <c r="B224" i="11"/>
  <c r="C224" i="11"/>
  <c r="D224" i="11"/>
  <c r="E224" i="11"/>
  <c r="F224" i="11"/>
  <c r="G224" i="11"/>
  <c r="A225" i="11"/>
  <c r="B225" i="11"/>
  <c r="C225" i="11"/>
  <c r="D225" i="11"/>
  <c r="E225" i="11"/>
  <c r="F225" i="11"/>
  <c r="G225" i="11"/>
  <c r="A226" i="11"/>
  <c r="B226" i="11"/>
  <c r="C226" i="11"/>
  <c r="D226" i="11"/>
  <c r="E226" i="11"/>
  <c r="F226" i="11"/>
  <c r="G226" i="11"/>
  <c r="A227" i="11"/>
  <c r="B227" i="11"/>
  <c r="C227" i="11"/>
  <c r="D227" i="11"/>
  <c r="E227" i="11"/>
  <c r="F227" i="11"/>
  <c r="G227" i="11"/>
  <c r="A228" i="11"/>
  <c r="B228" i="11"/>
  <c r="C228" i="11"/>
  <c r="D228" i="11"/>
  <c r="E228" i="11"/>
  <c r="F228" i="11"/>
  <c r="G228" i="11"/>
  <c r="A229" i="11"/>
  <c r="B229" i="11"/>
  <c r="C229" i="11"/>
  <c r="D229" i="11"/>
  <c r="E229" i="11"/>
  <c r="F229" i="11"/>
  <c r="G229" i="11"/>
  <c r="A230" i="11"/>
  <c r="B230" i="11"/>
  <c r="C230" i="11"/>
  <c r="D230" i="11"/>
  <c r="E230" i="11"/>
  <c r="F230" i="11"/>
  <c r="G230" i="11"/>
  <c r="A231" i="11"/>
  <c r="B231" i="11"/>
  <c r="C231" i="11"/>
  <c r="D231" i="11"/>
  <c r="E231" i="11"/>
  <c r="F231" i="11"/>
  <c r="G231" i="11"/>
  <c r="A232" i="11"/>
  <c r="B232" i="11"/>
  <c r="C232" i="11"/>
  <c r="D232" i="11"/>
  <c r="E232" i="11"/>
  <c r="F232" i="11"/>
  <c r="G232" i="11"/>
  <c r="A233" i="11"/>
  <c r="B233" i="11"/>
  <c r="C233" i="11"/>
  <c r="D233" i="11"/>
  <c r="E233" i="11"/>
  <c r="F233" i="11"/>
  <c r="G233" i="11"/>
  <c r="A234" i="11"/>
  <c r="B234" i="11"/>
  <c r="C234" i="11"/>
  <c r="D234" i="11"/>
  <c r="E234" i="11"/>
  <c r="F234" i="11"/>
  <c r="G234" i="11"/>
  <c r="A235" i="11"/>
  <c r="B235" i="11"/>
  <c r="C235" i="11"/>
  <c r="D235" i="11"/>
  <c r="E235" i="11"/>
  <c r="F235" i="11"/>
  <c r="G235" i="11"/>
  <c r="A236" i="11"/>
  <c r="B236" i="11"/>
  <c r="C236" i="11"/>
  <c r="D236" i="11"/>
  <c r="E236" i="11"/>
  <c r="F236" i="11"/>
  <c r="G236" i="11"/>
  <c r="A237" i="11"/>
  <c r="B237" i="11"/>
  <c r="C237" i="11"/>
  <c r="D237" i="11"/>
  <c r="E237" i="11"/>
  <c r="F237" i="11"/>
  <c r="G237" i="11"/>
  <c r="A238" i="11"/>
  <c r="B238" i="11"/>
  <c r="C238" i="11"/>
  <c r="D238" i="11"/>
  <c r="E238" i="11"/>
  <c r="F238" i="11"/>
  <c r="G238" i="11"/>
  <c r="A239" i="11"/>
  <c r="B239" i="11"/>
  <c r="C239" i="11"/>
  <c r="D239" i="11"/>
  <c r="E239" i="11"/>
  <c r="F239" i="11"/>
  <c r="G239" i="11"/>
  <c r="A240" i="11"/>
  <c r="B240" i="11"/>
  <c r="C240" i="11"/>
  <c r="D240" i="11"/>
  <c r="E240" i="11"/>
  <c r="F240" i="11"/>
  <c r="G240" i="11"/>
  <c r="A241" i="11"/>
  <c r="B241" i="11"/>
  <c r="C241" i="11"/>
  <c r="D241" i="11"/>
  <c r="E241" i="11"/>
  <c r="F241" i="11"/>
  <c r="G241" i="11"/>
  <c r="A242" i="11"/>
  <c r="B242" i="11"/>
  <c r="C242" i="11"/>
  <c r="D242" i="11"/>
  <c r="E242" i="11"/>
  <c r="F242" i="11"/>
  <c r="G242" i="11"/>
  <c r="A243" i="11"/>
  <c r="B243" i="11"/>
  <c r="C243" i="11"/>
  <c r="D243" i="11"/>
  <c r="E243" i="11"/>
  <c r="F243" i="11"/>
  <c r="G243" i="11"/>
  <c r="A244" i="11"/>
  <c r="B244" i="11"/>
  <c r="C244" i="11"/>
  <c r="D244" i="11"/>
  <c r="E244" i="11"/>
  <c r="F244" i="11"/>
  <c r="G244" i="11"/>
  <c r="A245" i="11"/>
  <c r="B245" i="11"/>
  <c r="C245" i="11"/>
  <c r="D245" i="11"/>
  <c r="E245" i="11"/>
  <c r="F245" i="11"/>
  <c r="G245" i="11"/>
  <c r="A246" i="11"/>
  <c r="B246" i="11"/>
  <c r="C246" i="11"/>
  <c r="D246" i="11"/>
  <c r="E246" i="11"/>
  <c r="F246" i="11"/>
  <c r="G246" i="11"/>
  <c r="A247" i="11"/>
  <c r="B247" i="11"/>
  <c r="C247" i="11"/>
  <c r="D247" i="11"/>
  <c r="E247" i="11"/>
  <c r="F247" i="11"/>
  <c r="G247" i="11"/>
  <c r="B167" i="11"/>
  <c r="C167" i="11"/>
  <c r="D167" i="11"/>
  <c r="E167" i="11"/>
  <c r="F167" i="11"/>
  <c r="G167" i="11"/>
  <c r="A167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66" i="11"/>
  <c r="J65" i="11"/>
  <c r="J64" i="11"/>
  <c r="I92" i="11"/>
  <c r="I113" i="11"/>
  <c r="I126" i="11"/>
  <c r="Y126" i="11" s="1"/>
  <c r="I139" i="11"/>
  <c r="Y139" i="11" s="1"/>
  <c r="A65" i="11"/>
  <c r="B65" i="11"/>
  <c r="C65" i="11"/>
  <c r="D65" i="11"/>
  <c r="E65" i="11"/>
  <c r="F65" i="11"/>
  <c r="G65" i="11"/>
  <c r="A66" i="11"/>
  <c r="B66" i="11"/>
  <c r="C66" i="11"/>
  <c r="D66" i="11"/>
  <c r="E66" i="11"/>
  <c r="F66" i="11"/>
  <c r="G66" i="11"/>
  <c r="A67" i="11"/>
  <c r="B67" i="11"/>
  <c r="C67" i="11"/>
  <c r="D67" i="11"/>
  <c r="E67" i="11"/>
  <c r="F67" i="11"/>
  <c r="G67" i="11"/>
  <c r="A68" i="11"/>
  <c r="B68" i="11"/>
  <c r="C68" i="11"/>
  <c r="D68" i="11"/>
  <c r="E68" i="11"/>
  <c r="F68" i="11"/>
  <c r="G68" i="11"/>
  <c r="A69" i="11"/>
  <c r="B69" i="11"/>
  <c r="C69" i="11"/>
  <c r="D69" i="11"/>
  <c r="E69" i="11"/>
  <c r="F69" i="11"/>
  <c r="G69" i="11"/>
  <c r="A70" i="11"/>
  <c r="B70" i="11"/>
  <c r="C70" i="11"/>
  <c r="D70" i="11"/>
  <c r="E70" i="11"/>
  <c r="F70" i="11"/>
  <c r="G70" i="11"/>
  <c r="A71" i="11"/>
  <c r="B71" i="11"/>
  <c r="C71" i="11"/>
  <c r="D71" i="11"/>
  <c r="E71" i="11"/>
  <c r="F71" i="11"/>
  <c r="G71" i="11"/>
  <c r="A72" i="11"/>
  <c r="B72" i="11"/>
  <c r="C72" i="11"/>
  <c r="D72" i="11"/>
  <c r="E72" i="11"/>
  <c r="F72" i="11"/>
  <c r="G72" i="11"/>
  <c r="A73" i="11"/>
  <c r="B73" i="11"/>
  <c r="C73" i="11"/>
  <c r="D73" i="11"/>
  <c r="E73" i="11"/>
  <c r="F73" i="11"/>
  <c r="G73" i="11"/>
  <c r="A74" i="11"/>
  <c r="B74" i="11"/>
  <c r="C74" i="11"/>
  <c r="D74" i="11"/>
  <c r="E74" i="11"/>
  <c r="F74" i="11"/>
  <c r="G74" i="11"/>
  <c r="A75" i="11"/>
  <c r="B75" i="11"/>
  <c r="C75" i="11"/>
  <c r="D75" i="11"/>
  <c r="E75" i="11"/>
  <c r="F75" i="11"/>
  <c r="G75" i="11"/>
  <c r="A76" i="11"/>
  <c r="B76" i="11"/>
  <c r="C76" i="11"/>
  <c r="D76" i="11"/>
  <c r="E76" i="11"/>
  <c r="F76" i="11"/>
  <c r="G76" i="11"/>
  <c r="A77" i="11"/>
  <c r="B77" i="11"/>
  <c r="C77" i="11"/>
  <c r="D77" i="11"/>
  <c r="E77" i="11"/>
  <c r="F77" i="11"/>
  <c r="G77" i="11"/>
  <c r="A78" i="11"/>
  <c r="B78" i="11"/>
  <c r="C78" i="11"/>
  <c r="D78" i="11"/>
  <c r="E78" i="11"/>
  <c r="F78" i="11"/>
  <c r="G78" i="11"/>
  <c r="A79" i="11"/>
  <c r="B79" i="11"/>
  <c r="C79" i="11"/>
  <c r="D79" i="11"/>
  <c r="E79" i="11"/>
  <c r="F79" i="11"/>
  <c r="G79" i="11"/>
  <c r="A80" i="11"/>
  <c r="B80" i="11"/>
  <c r="C80" i="11"/>
  <c r="D80" i="11"/>
  <c r="E80" i="11"/>
  <c r="F80" i="11"/>
  <c r="G80" i="11"/>
  <c r="A81" i="11"/>
  <c r="B81" i="11"/>
  <c r="C81" i="11"/>
  <c r="D81" i="11"/>
  <c r="E81" i="11"/>
  <c r="F81" i="11"/>
  <c r="G81" i="11"/>
  <c r="A82" i="11"/>
  <c r="B82" i="11"/>
  <c r="C82" i="11"/>
  <c r="D82" i="11"/>
  <c r="E82" i="11"/>
  <c r="F82" i="11"/>
  <c r="G82" i="11"/>
  <c r="A83" i="11"/>
  <c r="B83" i="11"/>
  <c r="C83" i="11"/>
  <c r="D83" i="11"/>
  <c r="E83" i="11"/>
  <c r="F83" i="11"/>
  <c r="G83" i="11"/>
  <c r="A84" i="11"/>
  <c r="B84" i="11"/>
  <c r="C84" i="11"/>
  <c r="D84" i="11"/>
  <c r="E84" i="11"/>
  <c r="F84" i="11"/>
  <c r="G84" i="11"/>
  <c r="A85" i="11"/>
  <c r="B85" i="11"/>
  <c r="C85" i="11"/>
  <c r="D85" i="11"/>
  <c r="E85" i="11"/>
  <c r="F85" i="11"/>
  <c r="G85" i="11"/>
  <c r="A86" i="11"/>
  <c r="B86" i="11"/>
  <c r="C86" i="11"/>
  <c r="D86" i="11"/>
  <c r="E86" i="11"/>
  <c r="F86" i="11"/>
  <c r="G86" i="11"/>
  <c r="A87" i="11"/>
  <c r="B87" i="11"/>
  <c r="C87" i="11"/>
  <c r="D87" i="11"/>
  <c r="E87" i="11"/>
  <c r="F87" i="11"/>
  <c r="G87" i="11"/>
  <c r="A88" i="11"/>
  <c r="B88" i="11"/>
  <c r="C88" i="11"/>
  <c r="D88" i="11"/>
  <c r="E88" i="11"/>
  <c r="F88" i="11"/>
  <c r="G88" i="11"/>
  <c r="A89" i="11"/>
  <c r="B89" i="11"/>
  <c r="C89" i="11"/>
  <c r="D89" i="11"/>
  <c r="E89" i="11"/>
  <c r="F89" i="11"/>
  <c r="G89" i="11"/>
  <c r="A90" i="11"/>
  <c r="B90" i="11"/>
  <c r="C90" i="11"/>
  <c r="D90" i="11"/>
  <c r="E90" i="11"/>
  <c r="F90" i="11"/>
  <c r="G90" i="11"/>
  <c r="A91" i="11"/>
  <c r="B91" i="11"/>
  <c r="C91" i="11"/>
  <c r="D91" i="11"/>
  <c r="E91" i="11"/>
  <c r="F91" i="11"/>
  <c r="G91" i="11"/>
  <c r="A92" i="11"/>
  <c r="B92" i="11"/>
  <c r="C92" i="11"/>
  <c r="D92" i="11"/>
  <c r="E92" i="11"/>
  <c r="F92" i="11"/>
  <c r="G92" i="11"/>
  <c r="A93" i="11"/>
  <c r="B93" i="11"/>
  <c r="C93" i="11"/>
  <c r="D93" i="11"/>
  <c r="E93" i="11"/>
  <c r="F93" i="11"/>
  <c r="G93" i="11"/>
  <c r="A94" i="11"/>
  <c r="B94" i="11"/>
  <c r="C94" i="11"/>
  <c r="D94" i="11"/>
  <c r="E94" i="11"/>
  <c r="F94" i="11"/>
  <c r="G94" i="11"/>
  <c r="A95" i="11"/>
  <c r="B95" i="11"/>
  <c r="C95" i="11"/>
  <c r="D95" i="11"/>
  <c r="E95" i="11"/>
  <c r="F95" i="11"/>
  <c r="G95" i="11"/>
  <c r="A96" i="11"/>
  <c r="B96" i="11"/>
  <c r="C96" i="11"/>
  <c r="D96" i="11"/>
  <c r="E96" i="11"/>
  <c r="F96" i="11"/>
  <c r="G96" i="11"/>
  <c r="A97" i="11"/>
  <c r="B97" i="11"/>
  <c r="C97" i="11"/>
  <c r="D97" i="11"/>
  <c r="E97" i="11"/>
  <c r="F97" i="11"/>
  <c r="G97" i="11"/>
  <c r="A98" i="11"/>
  <c r="B98" i="11"/>
  <c r="C98" i="11"/>
  <c r="D98" i="11"/>
  <c r="E98" i="11"/>
  <c r="F98" i="11"/>
  <c r="G98" i="11"/>
  <c r="A99" i="11"/>
  <c r="B99" i="11"/>
  <c r="C99" i="11"/>
  <c r="D99" i="11"/>
  <c r="E99" i="11"/>
  <c r="F99" i="11"/>
  <c r="G99" i="11"/>
  <c r="A100" i="11"/>
  <c r="B100" i="11"/>
  <c r="C100" i="11"/>
  <c r="D100" i="11"/>
  <c r="E100" i="11"/>
  <c r="F100" i="11"/>
  <c r="G100" i="11"/>
  <c r="A101" i="11"/>
  <c r="B101" i="11"/>
  <c r="C101" i="11"/>
  <c r="D101" i="11"/>
  <c r="E101" i="11"/>
  <c r="F101" i="11"/>
  <c r="G101" i="11"/>
  <c r="A102" i="11"/>
  <c r="B102" i="11"/>
  <c r="C102" i="11"/>
  <c r="D102" i="11"/>
  <c r="E102" i="11"/>
  <c r="F102" i="11"/>
  <c r="G102" i="11"/>
  <c r="A103" i="11"/>
  <c r="B103" i="11"/>
  <c r="C103" i="11"/>
  <c r="D103" i="11"/>
  <c r="E103" i="11"/>
  <c r="F103" i="11"/>
  <c r="G103" i="11"/>
  <c r="A104" i="11"/>
  <c r="B104" i="11"/>
  <c r="C104" i="11"/>
  <c r="D104" i="11"/>
  <c r="E104" i="11"/>
  <c r="F104" i="11"/>
  <c r="G104" i="11"/>
  <c r="A105" i="11"/>
  <c r="B105" i="11"/>
  <c r="C105" i="11"/>
  <c r="D105" i="11"/>
  <c r="E105" i="11"/>
  <c r="F105" i="11"/>
  <c r="G105" i="11"/>
  <c r="A106" i="11"/>
  <c r="B106" i="11"/>
  <c r="C106" i="11"/>
  <c r="D106" i="11"/>
  <c r="E106" i="11"/>
  <c r="F106" i="11"/>
  <c r="G106" i="11"/>
  <c r="A107" i="11"/>
  <c r="B107" i="11"/>
  <c r="C107" i="11"/>
  <c r="D107" i="11"/>
  <c r="E107" i="11"/>
  <c r="F107" i="11"/>
  <c r="G107" i="11"/>
  <c r="A108" i="11"/>
  <c r="B108" i="11"/>
  <c r="C108" i="11"/>
  <c r="D108" i="11"/>
  <c r="E108" i="11"/>
  <c r="F108" i="11"/>
  <c r="G108" i="11"/>
  <c r="A109" i="11"/>
  <c r="B109" i="11"/>
  <c r="C109" i="11"/>
  <c r="D109" i="11"/>
  <c r="E109" i="11"/>
  <c r="F109" i="11"/>
  <c r="G109" i="11"/>
  <c r="A110" i="11"/>
  <c r="B110" i="11"/>
  <c r="C110" i="11"/>
  <c r="D110" i="11"/>
  <c r="E110" i="11"/>
  <c r="F110" i="11"/>
  <c r="G110" i="11"/>
  <c r="A111" i="11"/>
  <c r="B111" i="11"/>
  <c r="C111" i="11"/>
  <c r="D111" i="11"/>
  <c r="E111" i="11"/>
  <c r="F111" i="11"/>
  <c r="G111" i="11"/>
  <c r="A112" i="11"/>
  <c r="B112" i="11"/>
  <c r="C112" i="11"/>
  <c r="D112" i="11"/>
  <c r="E112" i="11"/>
  <c r="F112" i="11"/>
  <c r="G112" i="11"/>
  <c r="A113" i="11"/>
  <c r="B113" i="11"/>
  <c r="C113" i="11"/>
  <c r="D113" i="11"/>
  <c r="E113" i="11"/>
  <c r="F113" i="11"/>
  <c r="G113" i="11"/>
  <c r="A114" i="11"/>
  <c r="B114" i="11"/>
  <c r="C114" i="11"/>
  <c r="D114" i="11"/>
  <c r="E114" i="11"/>
  <c r="F114" i="11"/>
  <c r="G114" i="11"/>
  <c r="A115" i="11"/>
  <c r="B115" i="11"/>
  <c r="C115" i="11"/>
  <c r="D115" i="11"/>
  <c r="E115" i="11"/>
  <c r="F115" i="11"/>
  <c r="G115" i="11"/>
  <c r="A116" i="11"/>
  <c r="B116" i="11"/>
  <c r="C116" i="11"/>
  <c r="D116" i="11"/>
  <c r="E116" i="11"/>
  <c r="F116" i="11"/>
  <c r="G116" i="11"/>
  <c r="A117" i="11"/>
  <c r="B117" i="11"/>
  <c r="C117" i="11"/>
  <c r="D117" i="11"/>
  <c r="E117" i="11"/>
  <c r="F117" i="11"/>
  <c r="G117" i="11"/>
  <c r="A118" i="11"/>
  <c r="B118" i="11"/>
  <c r="C118" i="11"/>
  <c r="D118" i="11"/>
  <c r="E118" i="11"/>
  <c r="F118" i="11"/>
  <c r="G118" i="11"/>
  <c r="A119" i="11"/>
  <c r="B119" i="11"/>
  <c r="C119" i="11"/>
  <c r="D119" i="11"/>
  <c r="E119" i="11"/>
  <c r="F119" i="11"/>
  <c r="G119" i="11"/>
  <c r="A120" i="11"/>
  <c r="B120" i="11"/>
  <c r="C120" i="11"/>
  <c r="D120" i="11"/>
  <c r="E120" i="11"/>
  <c r="F120" i="11"/>
  <c r="G120" i="11"/>
  <c r="A121" i="11"/>
  <c r="B121" i="11"/>
  <c r="C121" i="11"/>
  <c r="D121" i="11"/>
  <c r="E121" i="11"/>
  <c r="F121" i="11"/>
  <c r="G121" i="11"/>
  <c r="A122" i="11"/>
  <c r="B122" i="11"/>
  <c r="C122" i="11"/>
  <c r="D122" i="11"/>
  <c r="E122" i="11"/>
  <c r="F122" i="11"/>
  <c r="G122" i="11"/>
  <c r="A123" i="11"/>
  <c r="B123" i="11"/>
  <c r="C123" i="11"/>
  <c r="D123" i="11"/>
  <c r="E123" i="11"/>
  <c r="F123" i="11"/>
  <c r="G123" i="11"/>
  <c r="A124" i="11"/>
  <c r="B124" i="11"/>
  <c r="C124" i="11"/>
  <c r="D124" i="11"/>
  <c r="E124" i="11"/>
  <c r="F124" i="11"/>
  <c r="G124" i="11"/>
  <c r="A125" i="11"/>
  <c r="B125" i="11"/>
  <c r="C125" i="11"/>
  <c r="D125" i="11"/>
  <c r="E125" i="11"/>
  <c r="F125" i="11"/>
  <c r="G125" i="11"/>
  <c r="A126" i="11"/>
  <c r="B126" i="11"/>
  <c r="C126" i="11"/>
  <c r="D126" i="11"/>
  <c r="E126" i="11"/>
  <c r="F126" i="11"/>
  <c r="G126" i="11"/>
  <c r="A127" i="11"/>
  <c r="B127" i="11"/>
  <c r="C127" i="11"/>
  <c r="D127" i="11"/>
  <c r="E127" i="11"/>
  <c r="F127" i="11"/>
  <c r="G127" i="11"/>
  <c r="A128" i="11"/>
  <c r="B128" i="11"/>
  <c r="C128" i="11"/>
  <c r="D128" i="11"/>
  <c r="E128" i="11"/>
  <c r="F128" i="11"/>
  <c r="G128" i="11"/>
  <c r="A129" i="11"/>
  <c r="B129" i="11"/>
  <c r="C129" i="11"/>
  <c r="D129" i="11"/>
  <c r="E129" i="11"/>
  <c r="F129" i="11"/>
  <c r="G129" i="11"/>
  <c r="A130" i="11"/>
  <c r="B130" i="11"/>
  <c r="C130" i="11"/>
  <c r="D130" i="11"/>
  <c r="E130" i="11"/>
  <c r="F130" i="11"/>
  <c r="G130" i="11"/>
  <c r="A131" i="11"/>
  <c r="B131" i="11"/>
  <c r="C131" i="11"/>
  <c r="D131" i="11"/>
  <c r="E131" i="11"/>
  <c r="F131" i="11"/>
  <c r="G131" i="11"/>
  <c r="A132" i="11"/>
  <c r="B132" i="11"/>
  <c r="C132" i="11"/>
  <c r="D132" i="11"/>
  <c r="E132" i="11"/>
  <c r="F132" i="11"/>
  <c r="G132" i="11"/>
  <c r="A133" i="11"/>
  <c r="B133" i="11"/>
  <c r="C133" i="11"/>
  <c r="D133" i="11"/>
  <c r="E133" i="11"/>
  <c r="F133" i="11"/>
  <c r="G133" i="11"/>
  <c r="A134" i="11"/>
  <c r="B134" i="11"/>
  <c r="C134" i="11"/>
  <c r="D134" i="11"/>
  <c r="E134" i="11"/>
  <c r="F134" i="11"/>
  <c r="G134" i="11"/>
  <c r="A135" i="11"/>
  <c r="B135" i="11"/>
  <c r="C135" i="11"/>
  <c r="D135" i="11"/>
  <c r="E135" i="11"/>
  <c r="F135" i="11"/>
  <c r="G135" i="11"/>
  <c r="A136" i="11"/>
  <c r="B136" i="11"/>
  <c r="C136" i="11"/>
  <c r="D136" i="11"/>
  <c r="E136" i="11"/>
  <c r="F136" i="11"/>
  <c r="G136" i="11"/>
  <c r="A137" i="11"/>
  <c r="B137" i="11"/>
  <c r="C137" i="11"/>
  <c r="D137" i="11"/>
  <c r="E137" i="11"/>
  <c r="F137" i="11"/>
  <c r="G137" i="11"/>
  <c r="A138" i="11"/>
  <c r="B138" i="11"/>
  <c r="C138" i="11"/>
  <c r="D138" i="11"/>
  <c r="E138" i="11"/>
  <c r="F138" i="11"/>
  <c r="G138" i="11"/>
  <c r="A139" i="11"/>
  <c r="B139" i="11"/>
  <c r="C139" i="11"/>
  <c r="D139" i="11"/>
  <c r="E139" i="11"/>
  <c r="F139" i="11"/>
  <c r="G139" i="11"/>
  <c r="A140" i="11"/>
  <c r="B140" i="11"/>
  <c r="C140" i="11"/>
  <c r="D140" i="11"/>
  <c r="E140" i="11"/>
  <c r="F140" i="11"/>
  <c r="G140" i="11"/>
  <c r="A141" i="11"/>
  <c r="B141" i="11"/>
  <c r="C141" i="11"/>
  <c r="D141" i="11"/>
  <c r="E141" i="11"/>
  <c r="F141" i="11"/>
  <c r="G141" i="11"/>
  <c r="A142" i="11"/>
  <c r="B142" i="11"/>
  <c r="C142" i="11"/>
  <c r="D142" i="11"/>
  <c r="E142" i="11"/>
  <c r="F142" i="11"/>
  <c r="G142" i="11"/>
  <c r="A143" i="11"/>
  <c r="B143" i="11"/>
  <c r="C143" i="11"/>
  <c r="D143" i="11"/>
  <c r="E143" i="11"/>
  <c r="F143" i="11"/>
  <c r="G143" i="11"/>
  <c r="A144" i="11"/>
  <c r="B144" i="11"/>
  <c r="C144" i="11"/>
  <c r="D144" i="11"/>
  <c r="E144" i="11"/>
  <c r="F144" i="11"/>
  <c r="G144" i="11"/>
  <c r="A145" i="11"/>
  <c r="B145" i="11"/>
  <c r="C145" i="11"/>
  <c r="D145" i="11"/>
  <c r="E145" i="11"/>
  <c r="F145" i="11"/>
  <c r="G145" i="11"/>
  <c r="A146" i="11"/>
  <c r="B146" i="11"/>
  <c r="C146" i="11"/>
  <c r="D146" i="11"/>
  <c r="E146" i="11"/>
  <c r="F146" i="11"/>
  <c r="G146" i="11"/>
  <c r="A147" i="11"/>
  <c r="B147" i="11"/>
  <c r="C147" i="11"/>
  <c r="D147" i="11"/>
  <c r="E147" i="11"/>
  <c r="F147" i="11"/>
  <c r="G147" i="11"/>
  <c r="A148" i="11"/>
  <c r="B148" i="11"/>
  <c r="C148" i="11"/>
  <c r="D148" i="11"/>
  <c r="E148" i="11"/>
  <c r="F148" i="11"/>
  <c r="G148" i="11"/>
  <c r="A149" i="11"/>
  <c r="B149" i="11"/>
  <c r="C149" i="11"/>
  <c r="D149" i="11"/>
  <c r="E149" i="11"/>
  <c r="F149" i="11"/>
  <c r="G149" i="11"/>
  <c r="A150" i="11"/>
  <c r="B150" i="11"/>
  <c r="C150" i="11"/>
  <c r="D150" i="11"/>
  <c r="E150" i="11"/>
  <c r="F150" i="11"/>
  <c r="G150" i="11"/>
  <c r="A151" i="11"/>
  <c r="B151" i="11"/>
  <c r="C151" i="11"/>
  <c r="D151" i="11"/>
  <c r="E151" i="11"/>
  <c r="F151" i="11"/>
  <c r="G151" i="11"/>
  <c r="A152" i="11"/>
  <c r="B152" i="11"/>
  <c r="C152" i="11"/>
  <c r="D152" i="11"/>
  <c r="E152" i="11"/>
  <c r="F152" i="11"/>
  <c r="G152" i="11"/>
  <c r="A153" i="11"/>
  <c r="B153" i="11"/>
  <c r="C153" i="11"/>
  <c r="D153" i="11"/>
  <c r="E153" i="11"/>
  <c r="F153" i="11"/>
  <c r="G153" i="11"/>
  <c r="A154" i="11"/>
  <c r="B154" i="11"/>
  <c r="C154" i="11"/>
  <c r="D154" i="11"/>
  <c r="E154" i="11"/>
  <c r="F154" i="11"/>
  <c r="G154" i="11"/>
  <c r="A155" i="11"/>
  <c r="B155" i="11"/>
  <c r="C155" i="11"/>
  <c r="D155" i="11"/>
  <c r="E155" i="11"/>
  <c r="F155" i="11"/>
  <c r="G155" i="11"/>
  <c r="A156" i="11"/>
  <c r="B156" i="11"/>
  <c r="C156" i="11"/>
  <c r="D156" i="11"/>
  <c r="E156" i="11"/>
  <c r="F156" i="11"/>
  <c r="G156" i="11"/>
  <c r="A157" i="11"/>
  <c r="B157" i="11"/>
  <c r="C157" i="11"/>
  <c r="D157" i="11"/>
  <c r="E157" i="11"/>
  <c r="F157" i="11"/>
  <c r="G157" i="11"/>
  <c r="A158" i="11"/>
  <c r="B158" i="11"/>
  <c r="C158" i="11"/>
  <c r="D158" i="11"/>
  <c r="E158" i="11"/>
  <c r="F158" i="11"/>
  <c r="G158" i="11"/>
  <c r="A159" i="11"/>
  <c r="B159" i="11"/>
  <c r="C159" i="11"/>
  <c r="D159" i="11"/>
  <c r="E159" i="11"/>
  <c r="F159" i="11"/>
  <c r="G159" i="11"/>
  <c r="A160" i="11"/>
  <c r="B160" i="11"/>
  <c r="C160" i="11"/>
  <c r="D160" i="11"/>
  <c r="E160" i="11"/>
  <c r="F160" i="11"/>
  <c r="G160" i="11"/>
  <c r="A161" i="11"/>
  <c r="B161" i="11"/>
  <c r="C161" i="11"/>
  <c r="D161" i="11"/>
  <c r="E161" i="11"/>
  <c r="F161" i="11"/>
  <c r="G161" i="11"/>
  <c r="A162" i="11"/>
  <c r="B162" i="11"/>
  <c r="C162" i="11"/>
  <c r="D162" i="11"/>
  <c r="E162" i="11"/>
  <c r="F162" i="11"/>
  <c r="G162" i="11"/>
  <c r="A163" i="11"/>
  <c r="B163" i="11"/>
  <c r="C163" i="11"/>
  <c r="D163" i="11"/>
  <c r="E163" i="11"/>
  <c r="F163" i="11"/>
  <c r="G163" i="11"/>
  <c r="A164" i="11"/>
  <c r="B164" i="11"/>
  <c r="C164" i="11"/>
  <c r="D164" i="11"/>
  <c r="E164" i="11"/>
  <c r="F164" i="11"/>
  <c r="G164" i="11"/>
  <c r="B64" i="11"/>
  <c r="C64" i="11"/>
  <c r="D64" i="11"/>
  <c r="E64" i="11"/>
  <c r="F64" i="11"/>
  <c r="G64" i="11"/>
  <c r="A64" i="11"/>
  <c r="X287" i="10"/>
  <c r="X278" i="10"/>
  <c r="Y278" i="10"/>
  <c r="X130" i="10"/>
  <c r="Y130" i="10"/>
  <c r="X276" i="10"/>
  <c r="E17" i="11"/>
  <c r="F17" i="11"/>
  <c r="G17" i="11"/>
  <c r="E18" i="11"/>
  <c r="F18" i="11"/>
  <c r="G18" i="11"/>
  <c r="E19" i="11"/>
  <c r="F19" i="11"/>
  <c r="G19" i="11"/>
  <c r="E20" i="11"/>
  <c r="F20" i="11"/>
  <c r="G20" i="11"/>
  <c r="E21" i="11"/>
  <c r="F21" i="11"/>
  <c r="G21" i="11"/>
  <c r="E22" i="11"/>
  <c r="F22" i="11"/>
  <c r="G22" i="11"/>
  <c r="E23" i="11"/>
  <c r="F23" i="11"/>
  <c r="G23" i="11"/>
  <c r="E24" i="11"/>
  <c r="F24" i="11"/>
  <c r="G24" i="11"/>
  <c r="E25" i="11"/>
  <c r="F25" i="11"/>
  <c r="G25" i="11"/>
  <c r="E26" i="11"/>
  <c r="F26" i="11"/>
  <c r="G26" i="11"/>
  <c r="E27" i="11"/>
  <c r="F27" i="11"/>
  <c r="G27" i="11"/>
  <c r="E28" i="11"/>
  <c r="F28" i="11"/>
  <c r="G28" i="11"/>
  <c r="E29" i="11"/>
  <c r="F29" i="11"/>
  <c r="G29" i="11"/>
  <c r="E30" i="11"/>
  <c r="F30" i="11"/>
  <c r="G30" i="11"/>
  <c r="E31" i="11"/>
  <c r="F31" i="11"/>
  <c r="G31" i="11"/>
  <c r="E32" i="11"/>
  <c r="F32" i="11"/>
  <c r="G32" i="11"/>
  <c r="E33" i="11"/>
  <c r="F33" i="11"/>
  <c r="G33" i="11"/>
  <c r="E34" i="11"/>
  <c r="F34" i="11"/>
  <c r="G34" i="11"/>
  <c r="E35" i="11"/>
  <c r="F35" i="11"/>
  <c r="G35" i="11"/>
  <c r="E36" i="11"/>
  <c r="F36" i="11"/>
  <c r="G36" i="11"/>
  <c r="E37" i="11"/>
  <c r="F37" i="11"/>
  <c r="G37" i="11"/>
  <c r="E38" i="11"/>
  <c r="F38" i="11"/>
  <c r="G38" i="11"/>
  <c r="E39" i="11"/>
  <c r="F39" i="11"/>
  <c r="G39" i="11"/>
  <c r="E40" i="11"/>
  <c r="F40" i="11"/>
  <c r="G40" i="11"/>
  <c r="E41" i="11"/>
  <c r="F41" i="11"/>
  <c r="G41" i="11"/>
  <c r="E42" i="11"/>
  <c r="F42" i="11"/>
  <c r="G42" i="11"/>
  <c r="E43" i="11"/>
  <c r="F43" i="11"/>
  <c r="G43" i="11"/>
  <c r="E44" i="11"/>
  <c r="F44" i="11"/>
  <c r="G44" i="11"/>
  <c r="E45" i="11"/>
  <c r="F45" i="11"/>
  <c r="G45" i="11"/>
  <c r="E46" i="11"/>
  <c r="F46" i="11"/>
  <c r="G46" i="11"/>
  <c r="E47" i="11"/>
  <c r="F47" i="11"/>
  <c r="G47" i="11"/>
  <c r="E48" i="11"/>
  <c r="F48" i="11"/>
  <c r="G48" i="11"/>
  <c r="E49" i="11"/>
  <c r="F49" i="11"/>
  <c r="G49" i="11"/>
  <c r="E50" i="11"/>
  <c r="F50" i="11"/>
  <c r="G50" i="11"/>
  <c r="E51" i="11"/>
  <c r="F51" i="11"/>
  <c r="G51" i="11"/>
  <c r="E52" i="11"/>
  <c r="F52" i="11"/>
  <c r="G52" i="11"/>
  <c r="E53" i="11"/>
  <c r="F53" i="11"/>
  <c r="G53" i="11"/>
  <c r="E54" i="11"/>
  <c r="F54" i="11"/>
  <c r="G54" i="11"/>
  <c r="E55" i="11"/>
  <c r="F55" i="11"/>
  <c r="G55" i="11"/>
  <c r="E56" i="11"/>
  <c r="F56" i="11"/>
  <c r="G56" i="11"/>
  <c r="E57" i="11"/>
  <c r="F57" i="11"/>
  <c r="G57" i="11"/>
  <c r="E58" i="11"/>
  <c r="F58" i="11"/>
  <c r="G58" i="11"/>
  <c r="E59" i="11"/>
  <c r="F59" i="11"/>
  <c r="G59" i="11"/>
  <c r="E60" i="11"/>
  <c r="F60" i="11"/>
  <c r="G60" i="11"/>
  <c r="E61" i="11"/>
  <c r="F61" i="11"/>
  <c r="G61" i="11"/>
  <c r="D62" i="11"/>
  <c r="E62" i="11"/>
  <c r="F62" i="11"/>
  <c r="G62" i="11"/>
  <c r="E16" i="11"/>
  <c r="F16" i="11"/>
  <c r="G16" i="11"/>
  <c r="D16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17" i="11"/>
  <c r="J18" i="11"/>
  <c r="J19" i="11"/>
  <c r="J20" i="11"/>
  <c r="J21" i="11"/>
  <c r="J22" i="11"/>
  <c r="J23" i="11"/>
  <c r="J24" i="11"/>
  <c r="J16" i="11"/>
  <c r="I20" i="11"/>
  <c r="I22" i="11"/>
  <c r="I23" i="11"/>
  <c r="I24" i="11"/>
  <c r="I25" i="11"/>
  <c r="I26" i="11"/>
  <c r="I27" i="11"/>
  <c r="I29" i="11"/>
  <c r="I30" i="11"/>
  <c r="I32" i="11"/>
  <c r="I33" i="11"/>
  <c r="I36" i="11"/>
  <c r="L36" i="11" s="1"/>
  <c r="L35" i="11" s="1"/>
  <c r="I38" i="11"/>
  <c r="U38" i="11" s="1"/>
  <c r="I40" i="11"/>
  <c r="P40" i="11" s="1"/>
  <c r="I42" i="11"/>
  <c r="V42" i="11" s="1"/>
  <c r="V35" i="11"/>
  <c r="V37" i="11"/>
  <c r="V39" i="11"/>
  <c r="V44" i="11"/>
  <c r="I43" i="11"/>
  <c r="I45" i="11"/>
  <c r="I46" i="11"/>
  <c r="I49" i="11"/>
  <c r="I51" i="11"/>
  <c r="I53" i="11"/>
  <c r="I55" i="11"/>
  <c r="I57" i="11"/>
  <c r="I59" i="11"/>
  <c r="I61" i="11"/>
  <c r="I19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16" i="11"/>
  <c r="Y320" i="11"/>
  <c r="Y63" i="11"/>
  <c r="W61" i="11"/>
  <c r="V60" i="11"/>
  <c r="U60" i="11"/>
  <c r="T60" i="11"/>
  <c r="S60" i="11"/>
  <c r="R60" i="11"/>
  <c r="Q60" i="11"/>
  <c r="P60" i="11"/>
  <c r="O60" i="11"/>
  <c r="N60" i="11"/>
  <c r="M60" i="11"/>
  <c r="L60" i="11"/>
  <c r="W57" i="11"/>
  <c r="V56" i="11"/>
  <c r="U56" i="11"/>
  <c r="T56" i="11"/>
  <c r="S56" i="11"/>
  <c r="R56" i="11"/>
  <c r="Q56" i="11"/>
  <c r="P56" i="11"/>
  <c r="O56" i="11"/>
  <c r="N56" i="11"/>
  <c r="M56" i="11"/>
  <c r="L56" i="11"/>
  <c r="W55" i="11"/>
  <c r="V54" i="11"/>
  <c r="U54" i="11"/>
  <c r="T54" i="11"/>
  <c r="S54" i="11"/>
  <c r="R54" i="11"/>
  <c r="Q54" i="11"/>
  <c r="P54" i="11"/>
  <c r="O54" i="11"/>
  <c r="N54" i="11"/>
  <c r="M54" i="11"/>
  <c r="L54" i="11"/>
  <c r="W53" i="11"/>
  <c r="V52" i="11"/>
  <c r="U52" i="11"/>
  <c r="T52" i="11"/>
  <c r="S52" i="11"/>
  <c r="R52" i="11"/>
  <c r="Q52" i="11"/>
  <c r="P52" i="11"/>
  <c r="O52" i="11"/>
  <c r="N52" i="11"/>
  <c r="M52" i="11"/>
  <c r="L52" i="11"/>
  <c r="W51" i="11"/>
  <c r="V50" i="11"/>
  <c r="U50" i="11"/>
  <c r="T50" i="11"/>
  <c r="S50" i="11"/>
  <c r="R50" i="11"/>
  <c r="Q50" i="11"/>
  <c r="P50" i="11"/>
  <c r="O50" i="11"/>
  <c r="N50" i="11"/>
  <c r="M50" i="11"/>
  <c r="L50" i="11"/>
  <c r="W50" i="11" s="1"/>
  <c r="W49" i="11"/>
  <c r="V48" i="11"/>
  <c r="U48" i="11"/>
  <c r="T48" i="11"/>
  <c r="S48" i="11"/>
  <c r="R48" i="11"/>
  <c r="Q48" i="11"/>
  <c r="P48" i="11"/>
  <c r="O48" i="11"/>
  <c r="N48" i="11"/>
  <c r="M48" i="11"/>
  <c r="L48" i="11"/>
  <c r="W46" i="11"/>
  <c r="W45" i="11"/>
  <c r="U44" i="11"/>
  <c r="T44" i="11"/>
  <c r="S44" i="11"/>
  <c r="R44" i="11"/>
  <c r="Q44" i="11"/>
  <c r="P44" i="11"/>
  <c r="O44" i="11"/>
  <c r="N44" i="11"/>
  <c r="M44" i="11"/>
  <c r="L44" i="11"/>
  <c r="W44" i="11" s="1"/>
  <c r="W43" i="11"/>
  <c r="U41" i="11"/>
  <c r="T41" i="11"/>
  <c r="S41" i="11"/>
  <c r="R41" i="11"/>
  <c r="Q41" i="11"/>
  <c r="P41" i="11"/>
  <c r="O41" i="11"/>
  <c r="N41" i="11"/>
  <c r="M41" i="11"/>
  <c r="L41" i="11"/>
  <c r="U39" i="11"/>
  <c r="S39" i="11"/>
  <c r="R39" i="11"/>
  <c r="Q39" i="11"/>
  <c r="O39" i="11"/>
  <c r="N39" i="11"/>
  <c r="M39" i="11"/>
  <c r="T37" i="11"/>
  <c r="S37" i="11"/>
  <c r="R37" i="11"/>
  <c r="Q37" i="11"/>
  <c r="P37" i="11"/>
  <c r="O37" i="11"/>
  <c r="N37" i="11"/>
  <c r="M37" i="11"/>
  <c r="L37" i="11"/>
  <c r="U35" i="11"/>
  <c r="S35" i="11"/>
  <c r="R35" i="11"/>
  <c r="Q35" i="11"/>
  <c r="O35" i="11"/>
  <c r="N35" i="11"/>
  <c r="M35" i="11"/>
  <c r="W33" i="11"/>
  <c r="W32" i="11"/>
  <c r="V31" i="11"/>
  <c r="U31" i="11"/>
  <c r="T31" i="11"/>
  <c r="S31" i="11"/>
  <c r="R31" i="11"/>
  <c r="Q31" i="11"/>
  <c r="P31" i="11"/>
  <c r="O31" i="11"/>
  <c r="N31" i="11"/>
  <c r="M31" i="11"/>
  <c r="L31" i="11"/>
  <c r="W30" i="11"/>
  <c r="W29" i="11"/>
  <c r="V28" i="11"/>
  <c r="U28" i="11"/>
  <c r="T28" i="11"/>
  <c r="S28" i="11"/>
  <c r="R28" i="11"/>
  <c r="Q28" i="11"/>
  <c r="P28" i="11"/>
  <c r="O28" i="11"/>
  <c r="N28" i="11"/>
  <c r="M28" i="11"/>
  <c r="L28" i="11"/>
  <c r="W27" i="11"/>
  <c r="W26" i="11"/>
  <c r="W25" i="11"/>
  <c r="W24" i="11"/>
  <c r="W23" i="11"/>
  <c r="W22" i="11"/>
  <c r="V21" i="11"/>
  <c r="V18" i="11" s="1"/>
  <c r="U21" i="11"/>
  <c r="U18" i="11" s="1"/>
  <c r="U17" i="11" s="1"/>
  <c r="T21" i="11"/>
  <c r="T18" i="11" s="1"/>
  <c r="S21" i="11"/>
  <c r="S18" i="11" s="1"/>
  <c r="R21" i="11"/>
  <c r="R18" i="11" s="1"/>
  <c r="Q21" i="11"/>
  <c r="P21" i="11"/>
  <c r="P18" i="11" s="1"/>
  <c r="O21" i="11"/>
  <c r="O18" i="11" s="1"/>
  <c r="N21" i="11"/>
  <c r="N18" i="11" s="1"/>
  <c r="M21" i="11"/>
  <c r="M18" i="11" s="1"/>
  <c r="L21" i="11"/>
  <c r="L18" i="11" s="1"/>
  <c r="W20" i="11"/>
  <c r="W19" i="11"/>
  <c r="X169" i="10"/>
  <c r="X124" i="10"/>
  <c r="X157" i="10"/>
  <c r="K249" i="7"/>
  <c r="J23" i="31"/>
  <c r="I143" i="7"/>
  <c r="I144" i="7"/>
  <c r="I142" i="7"/>
  <c r="I90" i="10"/>
  <c r="I138" i="11"/>
  <c r="I137" i="11"/>
  <c r="L59" i="11"/>
  <c r="M59" i="11" s="1"/>
  <c r="I155" i="10"/>
  <c r="Y155" i="10" s="1"/>
  <c r="I203" i="11"/>
  <c r="Y203" i="11" s="1"/>
  <c r="I202" i="11"/>
  <c r="Y202" i="11" s="1"/>
  <c r="J42" i="12"/>
  <c r="J41" i="12"/>
  <c r="G43" i="33"/>
  <c r="G39" i="33"/>
  <c r="G38" i="33"/>
  <c r="I143" i="10"/>
  <c r="X143" i="10" s="1"/>
  <c r="I248" i="10"/>
  <c r="J25" i="31"/>
  <c r="G20" i="25"/>
  <c r="H24" i="31"/>
  <c r="E15" i="39"/>
  <c r="F7" i="39"/>
  <c r="I178" i="10"/>
  <c r="X178" i="10" s="1"/>
  <c r="I223" i="11"/>
  <c r="G82" i="6"/>
  <c r="G81" i="6" s="1"/>
  <c r="G31" i="33"/>
  <c r="G32" i="33"/>
  <c r="G30" i="33"/>
  <c r="G35" i="33"/>
  <c r="H34" i="33" s="1"/>
  <c r="G50" i="33"/>
  <c r="G52" i="33"/>
  <c r="G19" i="33"/>
  <c r="H18" i="33" s="1"/>
  <c r="G22" i="33"/>
  <c r="G24" i="33"/>
  <c r="G23" i="33"/>
  <c r="G27" i="35"/>
  <c r="G26" i="35"/>
  <c r="G55" i="33"/>
  <c r="G42" i="33"/>
  <c r="G49" i="33"/>
  <c r="G41" i="33"/>
  <c r="G40" i="33"/>
  <c r="K44" i="3"/>
  <c r="G25" i="35"/>
  <c r="Q21" i="7"/>
  <c r="Q22" i="7"/>
  <c r="Q24" i="7"/>
  <c r="Q25" i="7"/>
  <c r="Q26" i="7"/>
  <c r="Q27" i="7"/>
  <c r="Q28" i="7"/>
  <c r="Q29" i="7"/>
  <c r="Q31" i="7"/>
  <c r="Q32" i="7"/>
  <c r="Q34" i="7"/>
  <c r="Q35" i="7"/>
  <c r="Q38" i="7"/>
  <c r="Q40" i="7"/>
  <c r="Q42" i="7"/>
  <c r="Q44" i="7"/>
  <c r="Q45" i="7"/>
  <c r="Q47" i="7"/>
  <c r="Q48" i="7"/>
  <c r="Q51" i="7"/>
  <c r="Q53" i="7"/>
  <c r="Q55" i="7"/>
  <c r="Q57" i="7"/>
  <c r="Q59" i="7"/>
  <c r="Q61" i="7"/>
  <c r="Q63" i="7"/>
  <c r="Q65" i="7"/>
  <c r="Q122" i="7"/>
  <c r="Q209" i="7"/>
  <c r="Q294" i="7"/>
  <c r="Q307" i="7"/>
  <c r="Q309" i="7"/>
  <c r="Q310" i="7"/>
  <c r="Q313" i="7"/>
  <c r="Q317" i="7"/>
  <c r="Q319" i="7"/>
  <c r="Q321" i="7"/>
  <c r="Q323" i="7"/>
  <c r="Q326" i="7"/>
  <c r="Q328" i="7"/>
  <c r="Q330" i="7"/>
  <c r="Q331" i="7"/>
  <c r="U26" i="7"/>
  <c r="T27" i="7"/>
  <c r="K27" i="21"/>
  <c r="G63" i="17"/>
  <c r="N63" i="17" s="1"/>
  <c r="P19" i="44"/>
  <c r="G84" i="17"/>
  <c r="D74" i="17"/>
  <c r="G74" i="17" s="1"/>
  <c r="N74" i="17" s="1"/>
  <c r="G73" i="17"/>
  <c r="N73" i="17" s="1"/>
  <c r="D72" i="17"/>
  <c r="G72" i="17" s="1"/>
  <c r="N72" i="17" s="1"/>
  <c r="D71" i="17"/>
  <c r="G71" i="17" s="1"/>
  <c r="N71" i="17" s="1"/>
  <c r="AB388" i="7"/>
  <c r="Y386" i="7"/>
  <c r="Z386" i="7"/>
  <c r="AA386" i="7"/>
  <c r="X386" i="7"/>
  <c r="AB385" i="7"/>
  <c r="G19" i="28"/>
  <c r="G18" i="28"/>
  <c r="G17" i="28"/>
  <c r="G16" i="28"/>
  <c r="G16" i="21"/>
  <c r="G17" i="21"/>
  <c r="G45" i="17"/>
  <c r="N45" i="17" s="1"/>
  <c r="D19" i="35"/>
  <c r="G19" i="35" s="1"/>
  <c r="D17" i="34"/>
  <c r="G17" i="34" s="1"/>
  <c r="G18" i="34" s="1"/>
  <c r="G60" i="17"/>
  <c r="N60" i="17" s="1"/>
  <c r="Q99" i="7"/>
  <c r="G61" i="8"/>
  <c r="G30" i="8"/>
  <c r="G29" i="8"/>
  <c r="G28" i="8"/>
  <c r="G27" i="8"/>
  <c r="H14" i="47"/>
  <c r="J19" i="47"/>
  <c r="H19" i="47"/>
  <c r="H21" i="47" s="1"/>
  <c r="I21" i="47" s="1"/>
  <c r="H15" i="47"/>
  <c r="W15" i="13"/>
  <c r="W16" i="13"/>
  <c r="W17" i="13"/>
  <c r="X17" i="13" s="1"/>
  <c r="W18" i="13"/>
  <c r="X18" i="13" s="1"/>
  <c r="W19" i="13"/>
  <c r="W20" i="13"/>
  <c r="X20" i="13" s="1"/>
  <c r="W21" i="13"/>
  <c r="X21" i="13" s="1"/>
  <c r="W22" i="13"/>
  <c r="X22" i="13" s="1"/>
  <c r="W23" i="13"/>
  <c r="X23" i="13" s="1"/>
  <c r="W24" i="13"/>
  <c r="X24" i="13" s="1"/>
  <c r="W25" i="13"/>
  <c r="X25" i="13" s="1"/>
  <c r="W26" i="13"/>
  <c r="W27" i="13"/>
  <c r="X27" i="13" s="1"/>
  <c r="W28" i="13"/>
  <c r="X28" i="13" s="1"/>
  <c r="W29" i="13"/>
  <c r="W30" i="13"/>
  <c r="X30" i="13" s="1"/>
  <c r="W31" i="13"/>
  <c r="X31" i="13" s="1"/>
  <c r="W32" i="13"/>
  <c r="W33" i="13"/>
  <c r="W34" i="13"/>
  <c r="X34" i="13" s="1"/>
  <c r="W35" i="13"/>
  <c r="W36" i="13"/>
  <c r="X36" i="13" s="1"/>
  <c r="W37" i="13"/>
  <c r="W38" i="13"/>
  <c r="X38" i="13" s="1"/>
  <c r="W39" i="13"/>
  <c r="W40" i="13"/>
  <c r="X40" i="13" s="1"/>
  <c r="W41" i="13"/>
  <c r="X41" i="13" s="1"/>
  <c r="W42" i="13"/>
  <c r="W43" i="13"/>
  <c r="X43" i="13" s="1"/>
  <c r="W44" i="13"/>
  <c r="X44" i="13" s="1"/>
  <c r="W45" i="13"/>
  <c r="W46" i="13"/>
  <c r="W47" i="13"/>
  <c r="X47" i="13" s="1"/>
  <c r="W48" i="13"/>
  <c r="W49" i="13"/>
  <c r="X49" i="13" s="1"/>
  <c r="W50" i="13"/>
  <c r="W51" i="13"/>
  <c r="X51" i="13" s="1"/>
  <c r="W52" i="13"/>
  <c r="W53" i="13"/>
  <c r="X53" i="13" s="1"/>
  <c r="W54" i="13"/>
  <c r="W55" i="13"/>
  <c r="X55" i="13" s="1"/>
  <c r="W56" i="13"/>
  <c r="W57" i="13"/>
  <c r="X57" i="13" s="1"/>
  <c r="W58" i="13"/>
  <c r="W59" i="13"/>
  <c r="X59" i="13" s="1"/>
  <c r="W60" i="13"/>
  <c r="W61" i="13"/>
  <c r="X61" i="13" s="1"/>
  <c r="W85" i="13"/>
  <c r="W86" i="13"/>
  <c r="W87" i="13"/>
  <c r="W88" i="13"/>
  <c r="W89" i="13"/>
  <c r="W90" i="13"/>
  <c r="W92" i="13"/>
  <c r="W93" i="13"/>
  <c r="W94" i="13"/>
  <c r="W95" i="13"/>
  <c r="W96" i="13"/>
  <c r="W100" i="13"/>
  <c r="W104" i="13"/>
  <c r="W105" i="13"/>
  <c r="X105" i="13" s="1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X119" i="13" s="1"/>
  <c r="W120" i="13"/>
  <c r="X120" i="13" s="1"/>
  <c r="W121" i="13"/>
  <c r="X121" i="13" s="1"/>
  <c r="W122" i="13"/>
  <c r="X122" i="13" s="1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X153" i="13" s="1"/>
  <c r="W154" i="13"/>
  <c r="W155" i="13"/>
  <c r="W156" i="13"/>
  <c r="W157" i="13"/>
  <c r="W158" i="13"/>
  <c r="W159" i="13"/>
  <c r="W160" i="13"/>
  <c r="W161" i="13"/>
  <c r="W162" i="13"/>
  <c r="X162" i="13" s="1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X178" i="13" s="1"/>
  <c r="W179" i="13"/>
  <c r="X179" i="13" s="1"/>
  <c r="W180" i="13"/>
  <c r="X180" i="13" s="1"/>
  <c r="W181" i="13"/>
  <c r="W182" i="13"/>
  <c r="W183" i="13"/>
  <c r="W184" i="13"/>
  <c r="W185" i="13"/>
  <c r="W186" i="13"/>
  <c r="W187" i="13"/>
  <c r="X187" i="13" s="1"/>
  <c r="W188" i="13"/>
  <c r="X188" i="13" s="1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X222" i="13" s="1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X241" i="13" s="1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X267" i="13" s="1"/>
  <c r="W268" i="13"/>
  <c r="W269" i="13"/>
  <c r="W270" i="13"/>
  <c r="W271" i="13"/>
  <c r="W272" i="13"/>
  <c r="W273" i="13"/>
  <c r="W274" i="13"/>
  <c r="W275" i="13"/>
  <c r="X275" i="13" s="1"/>
  <c r="W276" i="13"/>
  <c r="W277" i="13"/>
  <c r="X277" i="13" s="1"/>
  <c r="W278" i="13"/>
  <c r="X278" i="13" s="1"/>
  <c r="W279" i="13"/>
  <c r="X279" i="13" s="1"/>
  <c r="W280" i="13"/>
  <c r="X280" i="13" s="1"/>
  <c r="W281" i="13"/>
  <c r="W282" i="13"/>
  <c r="W283" i="13"/>
  <c r="X283" i="13" s="1"/>
  <c r="W284" i="13"/>
  <c r="W285" i="13"/>
  <c r="W286" i="13"/>
  <c r="W287" i="13"/>
  <c r="X287" i="13" s="1"/>
  <c r="W288" i="13"/>
  <c r="W289" i="13"/>
  <c r="X289" i="13" s="1"/>
  <c r="W290" i="13"/>
  <c r="W291" i="13"/>
  <c r="X291" i="13" s="1"/>
  <c r="W292" i="13"/>
  <c r="W293" i="13"/>
  <c r="X293" i="13" s="1"/>
  <c r="W294" i="13"/>
  <c r="W295" i="13"/>
  <c r="W296" i="13"/>
  <c r="X296" i="13" s="1"/>
  <c r="W297" i="13"/>
  <c r="W298" i="13"/>
  <c r="X298" i="13" s="1"/>
  <c r="W299" i="13"/>
  <c r="W300" i="13"/>
  <c r="X300" i="13" s="1"/>
  <c r="W301" i="13"/>
  <c r="X301" i="13" s="1"/>
  <c r="W302" i="13"/>
  <c r="W14" i="13"/>
  <c r="W13" i="13"/>
  <c r="J103" i="13"/>
  <c r="J102" i="13" s="1"/>
  <c r="K103" i="13"/>
  <c r="K102" i="13" s="1"/>
  <c r="K101" i="13" s="1"/>
  <c r="L103" i="13"/>
  <c r="L102" i="13" s="1"/>
  <c r="L101" i="13" s="1"/>
  <c r="M103" i="13"/>
  <c r="M102" i="13" s="1"/>
  <c r="M101" i="13" s="1"/>
  <c r="N103" i="13"/>
  <c r="N102" i="13" s="1"/>
  <c r="N101" i="13" s="1"/>
  <c r="O103" i="13"/>
  <c r="O102" i="13" s="1"/>
  <c r="O101" i="13" s="1"/>
  <c r="P103" i="13"/>
  <c r="P102" i="13"/>
  <c r="P101" i="13" s="1"/>
  <c r="Q103" i="13"/>
  <c r="Q102" i="13" s="1"/>
  <c r="Q101" i="13" s="1"/>
  <c r="R103" i="13"/>
  <c r="R102" i="13" s="1"/>
  <c r="R101" i="13" s="1"/>
  <c r="S103" i="13"/>
  <c r="S102" i="13" s="1"/>
  <c r="S101" i="13" s="1"/>
  <c r="T103" i="13"/>
  <c r="T102" i="13" s="1"/>
  <c r="T101" i="13" s="1"/>
  <c r="U103" i="13"/>
  <c r="U102" i="13" s="1"/>
  <c r="U101" i="13" s="1"/>
  <c r="V103" i="13"/>
  <c r="V102" i="13" s="1"/>
  <c r="V101" i="13" s="1"/>
  <c r="J99" i="13"/>
  <c r="K99" i="13"/>
  <c r="K98" i="13" s="1"/>
  <c r="L99" i="13"/>
  <c r="L98" i="13" s="1"/>
  <c r="L97" i="13" s="1"/>
  <c r="M99" i="13"/>
  <c r="M98" i="13" s="1"/>
  <c r="M97" i="13" s="1"/>
  <c r="N99" i="13"/>
  <c r="N98" i="13" s="1"/>
  <c r="N97" i="13" s="1"/>
  <c r="O99" i="13"/>
  <c r="O98" i="13" s="1"/>
  <c r="O97" i="13" s="1"/>
  <c r="P99" i="13"/>
  <c r="P98" i="13" s="1"/>
  <c r="P97" i="13" s="1"/>
  <c r="Q99" i="13"/>
  <c r="Q98" i="13" s="1"/>
  <c r="R99" i="13"/>
  <c r="R98" i="13" s="1"/>
  <c r="R97" i="13" s="1"/>
  <c r="S99" i="13"/>
  <c r="S98" i="13" s="1"/>
  <c r="S97" i="13" s="1"/>
  <c r="T99" i="13"/>
  <c r="T98" i="13" s="1"/>
  <c r="T97" i="13" s="1"/>
  <c r="U99" i="13"/>
  <c r="U98" i="13" s="1"/>
  <c r="U97" i="13" s="1"/>
  <c r="V99" i="13"/>
  <c r="V98" i="13" s="1"/>
  <c r="V97" i="13" s="1"/>
  <c r="J91" i="13"/>
  <c r="K91" i="13"/>
  <c r="L91" i="13"/>
  <c r="M91" i="13"/>
  <c r="N91" i="13"/>
  <c r="O91" i="13"/>
  <c r="O84" i="13"/>
  <c r="P91" i="13"/>
  <c r="Q91" i="13"/>
  <c r="R91" i="13"/>
  <c r="S91" i="13"/>
  <c r="T91" i="13"/>
  <c r="U91" i="13"/>
  <c r="V91" i="13"/>
  <c r="J84" i="13"/>
  <c r="J83" i="13" s="1"/>
  <c r="K84" i="13"/>
  <c r="L84" i="13"/>
  <c r="M84" i="13"/>
  <c r="N84" i="13"/>
  <c r="P84" i="13"/>
  <c r="Q84" i="13"/>
  <c r="Q83" i="13" s="1"/>
  <c r="Q82" i="13" s="1"/>
  <c r="R84" i="13"/>
  <c r="R83" i="13" s="1"/>
  <c r="R82" i="13" s="1"/>
  <c r="S84" i="13"/>
  <c r="T84" i="13"/>
  <c r="T83" i="13" s="1"/>
  <c r="U84" i="13"/>
  <c r="U83" i="13" s="1"/>
  <c r="U82" i="13" s="1"/>
  <c r="V84" i="13"/>
  <c r="V83" i="13" s="1"/>
  <c r="V82" i="13" s="1"/>
  <c r="S83" i="13"/>
  <c r="T82" i="13"/>
  <c r="K77" i="13"/>
  <c r="L77" i="13"/>
  <c r="L76" i="13" s="1"/>
  <c r="M77" i="13"/>
  <c r="M76" i="13" s="1"/>
  <c r="M75" i="13" s="1"/>
  <c r="N77" i="13"/>
  <c r="N76" i="13" s="1"/>
  <c r="N75" i="13" s="1"/>
  <c r="O77" i="13"/>
  <c r="O76" i="13" s="1"/>
  <c r="O75" i="13" s="1"/>
  <c r="P77" i="13"/>
  <c r="P76" i="13" s="1"/>
  <c r="P75" i="13" s="1"/>
  <c r="Q77" i="13"/>
  <c r="Q76" i="13" s="1"/>
  <c r="Q75" i="13" s="1"/>
  <c r="R77" i="13"/>
  <c r="R76" i="13" s="1"/>
  <c r="R75" i="13" s="1"/>
  <c r="S77" i="13"/>
  <c r="S76" i="13" s="1"/>
  <c r="S75" i="13" s="1"/>
  <c r="T77" i="13"/>
  <c r="T76" i="13" s="1"/>
  <c r="T75" i="13" s="1"/>
  <c r="U77" i="13"/>
  <c r="U76" i="13" s="1"/>
  <c r="U75" i="13" s="1"/>
  <c r="V77" i="13"/>
  <c r="V76" i="13" s="1"/>
  <c r="V75" i="13" s="1"/>
  <c r="K76" i="13"/>
  <c r="K75" i="13" s="1"/>
  <c r="K72" i="13"/>
  <c r="K71" i="13" s="1"/>
  <c r="K70" i="13" s="1"/>
  <c r="L72" i="13"/>
  <c r="L71" i="13" s="1"/>
  <c r="M72" i="13"/>
  <c r="M71" i="13"/>
  <c r="M70" i="13" s="1"/>
  <c r="N72" i="13"/>
  <c r="N71" i="13" s="1"/>
  <c r="N70" i="13" s="1"/>
  <c r="O72" i="13"/>
  <c r="O71" i="13" s="1"/>
  <c r="O70" i="13" s="1"/>
  <c r="P72" i="13"/>
  <c r="P71" i="13" s="1"/>
  <c r="P70" i="13"/>
  <c r="Q72" i="13"/>
  <c r="Q71" i="13" s="1"/>
  <c r="Q70" i="13" s="1"/>
  <c r="R72" i="13"/>
  <c r="R71" i="13" s="1"/>
  <c r="R70" i="13" s="1"/>
  <c r="S72" i="13"/>
  <c r="S71" i="13"/>
  <c r="S70" i="13" s="1"/>
  <c r="T72" i="13"/>
  <c r="T71" i="13" s="1"/>
  <c r="T70" i="13" s="1"/>
  <c r="U72" i="13"/>
  <c r="U71" i="13" s="1"/>
  <c r="U70" i="13" s="1"/>
  <c r="V72" i="13"/>
  <c r="V71" i="13" s="1"/>
  <c r="V70" i="13" s="1"/>
  <c r="S82" i="13"/>
  <c r="K97" i="13"/>
  <c r="Q97" i="13"/>
  <c r="I299" i="13"/>
  <c r="I297" i="13"/>
  <c r="I295" i="13"/>
  <c r="I292" i="13"/>
  <c r="X292" i="13" s="1"/>
  <c r="I290" i="13"/>
  <c r="I288" i="13"/>
  <c r="I286" i="13"/>
  <c r="I285" i="13" s="1"/>
  <c r="I276" i="13"/>
  <c r="I274" i="13"/>
  <c r="AE204" i="13"/>
  <c r="AD204" i="13"/>
  <c r="AC204" i="13"/>
  <c r="AB204" i="13"/>
  <c r="AF203" i="13"/>
  <c r="AF202" i="13"/>
  <c r="AF201" i="13"/>
  <c r="AF200" i="13"/>
  <c r="AF199" i="13"/>
  <c r="AF198" i="13"/>
  <c r="AF197" i="13"/>
  <c r="AF196" i="13"/>
  <c r="AF195" i="13"/>
  <c r="AF194" i="13"/>
  <c r="X194" i="13"/>
  <c r="AF193" i="13"/>
  <c r="X193" i="13"/>
  <c r="AF192" i="13"/>
  <c r="AF188" i="13"/>
  <c r="AF186" i="13"/>
  <c r="X186" i="13"/>
  <c r="X185" i="13"/>
  <c r="AF183" i="13"/>
  <c r="AE189" i="13"/>
  <c r="AC189" i="13"/>
  <c r="Y180" i="13"/>
  <c r="Y179" i="13"/>
  <c r="Y178" i="13"/>
  <c r="AA177" i="13"/>
  <c r="Z177" i="13"/>
  <c r="I177" i="13"/>
  <c r="I176" i="13" s="1"/>
  <c r="I161" i="13"/>
  <c r="X161" i="13" s="1"/>
  <c r="I140" i="13"/>
  <c r="X140" i="13" s="1"/>
  <c r="I118" i="13"/>
  <c r="AC113" i="13"/>
  <c r="I58" i="13"/>
  <c r="I56" i="13"/>
  <c r="X56" i="13" s="1"/>
  <c r="I54" i="13"/>
  <c r="I52" i="13"/>
  <c r="I50" i="13"/>
  <c r="I48" i="13"/>
  <c r="X48" i="13" s="1"/>
  <c r="I46" i="13"/>
  <c r="X46" i="13" s="1"/>
  <c r="I42" i="13"/>
  <c r="I39" i="13"/>
  <c r="Z38" i="13"/>
  <c r="Z37" i="13"/>
  <c r="I37" i="13"/>
  <c r="Z36" i="13"/>
  <c r="Z35" i="13"/>
  <c r="I35" i="13"/>
  <c r="X35" i="13" s="1"/>
  <c r="Z34" i="13"/>
  <c r="I33" i="13"/>
  <c r="I29" i="13"/>
  <c r="X29" i="13" s="1"/>
  <c r="I26" i="13"/>
  <c r="AA20" i="13"/>
  <c r="I19" i="13"/>
  <c r="X19" i="13" s="1"/>
  <c r="I16" i="13"/>
  <c r="X16" i="13" s="1"/>
  <c r="D15" i="13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I294" i="13"/>
  <c r="L75" i="13"/>
  <c r="AF27" i="13"/>
  <c r="AD27" i="13"/>
  <c r="AB27" i="13"/>
  <c r="AD26" i="13"/>
  <c r="AA26" i="13"/>
  <c r="AF25" i="13"/>
  <c r="AD25" i="13"/>
  <c r="AB25" i="13"/>
  <c r="AF24" i="13"/>
  <c r="AC24" i="13"/>
  <c r="AF23" i="13"/>
  <c r="AE27" i="13"/>
  <c r="AC27" i="13"/>
  <c r="AA27" i="13"/>
  <c r="AF26" i="13"/>
  <c r="AC26" i="13"/>
  <c r="AE25" i="13"/>
  <c r="AC25" i="13"/>
  <c r="AE24" i="13"/>
  <c r="AA24" i="13"/>
  <c r="AE23" i="13"/>
  <c r="AB23" i="13"/>
  <c r="AD23" i="13"/>
  <c r="AD24" i="13"/>
  <c r="AA23" i="13"/>
  <c r="AC23" i="13"/>
  <c r="AB24" i="13"/>
  <c r="AA25" i="13"/>
  <c r="AB26" i="13"/>
  <c r="K45" i="12"/>
  <c r="K46" i="12"/>
  <c r="K47" i="12"/>
  <c r="K48" i="12"/>
  <c r="K49" i="12"/>
  <c r="K50" i="12"/>
  <c r="K51" i="12"/>
  <c r="K52" i="12"/>
  <c r="K44" i="12"/>
  <c r="K34" i="12"/>
  <c r="L70" i="13"/>
  <c r="AE26" i="13"/>
  <c r="K22" i="12"/>
  <c r="AB366" i="7"/>
  <c r="AB384" i="7"/>
  <c r="AB383" i="7"/>
  <c r="AB381" i="7"/>
  <c r="AB380" i="7"/>
  <c r="AB379" i="7"/>
  <c r="AB378" i="7"/>
  <c r="T357" i="7"/>
  <c r="T356" i="7"/>
  <c r="U355" i="7"/>
  <c r="K20" i="7"/>
  <c r="J51" i="12"/>
  <c r="J50" i="12"/>
  <c r="J49" i="12"/>
  <c r="J48" i="12"/>
  <c r="J47" i="12"/>
  <c r="J46" i="12"/>
  <c r="J45" i="12"/>
  <c r="J44" i="12"/>
  <c r="J43" i="12"/>
  <c r="J35" i="12"/>
  <c r="J34" i="12"/>
  <c r="J26" i="12"/>
  <c r="K26" i="12"/>
  <c r="K23" i="12"/>
  <c r="K15" i="12"/>
  <c r="K16" i="12"/>
  <c r="K20" i="12"/>
  <c r="K21" i="12"/>
  <c r="K24" i="12"/>
  <c r="K25" i="12"/>
  <c r="K27" i="12"/>
  <c r="K29" i="12"/>
  <c r="K14" i="12"/>
  <c r="G66" i="6"/>
  <c r="G65" i="6" s="1"/>
  <c r="F33" i="12"/>
  <c r="F32" i="12"/>
  <c r="J40" i="12"/>
  <c r="J39" i="12"/>
  <c r="J38" i="12"/>
  <c r="J37" i="12"/>
  <c r="J36" i="12"/>
  <c r="I240" i="13"/>
  <c r="I239" i="13" s="1"/>
  <c r="G16" i="6"/>
  <c r="G22" i="35"/>
  <c r="G23" i="35" s="1"/>
  <c r="H23" i="35" s="1"/>
  <c r="K208" i="7" s="1"/>
  <c r="G18" i="35"/>
  <c r="G17" i="35"/>
  <c r="G21" i="44"/>
  <c r="Y30" i="7"/>
  <c r="Y29" i="7"/>
  <c r="Y28" i="7"/>
  <c r="Y27" i="7"/>
  <c r="Y26" i="7"/>
  <c r="X26" i="7"/>
  <c r="W30" i="7"/>
  <c r="W29" i="7"/>
  <c r="V30" i="7"/>
  <c r="V29" i="7"/>
  <c r="V27" i="7"/>
  <c r="U30" i="7"/>
  <c r="D11" i="44"/>
  <c r="W27" i="7"/>
  <c r="H27" i="30"/>
  <c r="H17" i="30"/>
  <c r="H30" i="30"/>
  <c r="H31" i="30" s="1"/>
  <c r="I31" i="30" s="1"/>
  <c r="I152" i="13" s="1"/>
  <c r="I151" i="13" s="1"/>
  <c r="H26" i="30"/>
  <c r="H25" i="30"/>
  <c r="H21" i="30"/>
  <c r="H20" i="30"/>
  <c r="D18" i="32"/>
  <c r="G18" i="32" s="1"/>
  <c r="G17" i="32"/>
  <c r="T30" i="7"/>
  <c r="T29" i="7"/>
  <c r="I129" i="7"/>
  <c r="G59" i="17"/>
  <c r="N59" i="17" s="1"/>
  <c r="G43" i="17"/>
  <c r="N43" i="17" s="1"/>
  <c r="G53" i="17"/>
  <c r="N53" i="17" s="1"/>
  <c r="G54" i="17"/>
  <c r="N54" i="17" s="1"/>
  <c r="G55" i="17"/>
  <c r="N55" i="17" s="1"/>
  <c r="G56" i="17"/>
  <c r="N56" i="17" s="1"/>
  <c r="G52" i="17"/>
  <c r="N52" i="17" s="1"/>
  <c r="I87" i="7"/>
  <c r="I96" i="13"/>
  <c r="X96" i="13" s="1"/>
  <c r="I95" i="13"/>
  <c r="W41" i="10"/>
  <c r="N42" i="17"/>
  <c r="G41" i="17"/>
  <c r="N41" i="17" s="1"/>
  <c r="G44" i="17"/>
  <c r="N44" i="17" s="1"/>
  <c r="W40" i="10"/>
  <c r="P76" i="12"/>
  <c r="K71" i="12"/>
  <c r="K70" i="12"/>
  <c r="K69" i="12"/>
  <c r="K65" i="12"/>
  <c r="K66" i="12"/>
  <c r="K64" i="12"/>
  <c r="K63" i="12"/>
  <c r="K56" i="12"/>
  <c r="K57" i="12"/>
  <c r="K58" i="12"/>
  <c r="K59" i="12"/>
  <c r="K60" i="12"/>
  <c r="K55" i="12"/>
  <c r="K54" i="12"/>
  <c r="K35" i="12"/>
  <c r="K36" i="12"/>
  <c r="K32" i="12"/>
  <c r="J73" i="7"/>
  <c r="J72" i="7"/>
  <c r="I73" i="7"/>
  <c r="I72" i="7"/>
  <c r="H39" i="2"/>
  <c r="H38" i="2"/>
  <c r="H37" i="2"/>
  <c r="H36" i="2"/>
  <c r="I438" i="2"/>
  <c r="I431" i="2"/>
  <c r="I430" i="2" s="1"/>
  <c r="I428" i="2"/>
  <c r="I427" i="2" s="1"/>
  <c r="I425" i="2"/>
  <c r="I424" i="2" s="1"/>
  <c r="I421" i="2"/>
  <c r="I419" i="2"/>
  <c r="I416" i="2"/>
  <c r="I414" i="2"/>
  <c r="I412" i="2"/>
  <c r="I409" i="2"/>
  <c r="I407" i="2"/>
  <c r="I405" i="2"/>
  <c r="I402" i="2"/>
  <c r="I400" i="2"/>
  <c r="I398" i="2"/>
  <c r="I396" i="2"/>
  <c r="I393" i="2"/>
  <c r="I391" i="2"/>
  <c r="I389" i="2"/>
  <c r="I384" i="2"/>
  <c r="I375" i="2"/>
  <c r="I373" i="2"/>
  <c r="I371" i="2"/>
  <c r="I369" i="2"/>
  <c r="I366" i="2"/>
  <c r="I363" i="2"/>
  <c r="I360" i="2"/>
  <c r="I358" i="2"/>
  <c r="I356" i="2"/>
  <c r="I354" i="2"/>
  <c r="I352" i="2"/>
  <c r="I350" i="2"/>
  <c r="I347" i="2"/>
  <c r="I332" i="2"/>
  <c r="I328" i="2"/>
  <c r="I326" i="2"/>
  <c r="I324" i="2"/>
  <c r="I322" i="2"/>
  <c r="I320" i="2"/>
  <c r="I317" i="2"/>
  <c r="I314" i="2"/>
  <c r="I312" i="2"/>
  <c r="I308" i="2"/>
  <c r="I303" i="2"/>
  <c r="I301" i="2"/>
  <c r="I299" i="2"/>
  <c r="I297" i="2"/>
  <c r="I295" i="2"/>
  <c r="I293" i="2"/>
  <c r="I288" i="2"/>
  <c r="I284" i="2"/>
  <c r="I282" i="2"/>
  <c r="I280" i="2"/>
  <c r="I278" i="2"/>
  <c r="I275" i="2"/>
  <c r="I273" i="2"/>
  <c r="I271" i="2"/>
  <c r="I267" i="2"/>
  <c r="I264" i="2"/>
  <c r="I262" i="2"/>
  <c r="I260" i="2"/>
  <c r="I257" i="2"/>
  <c r="I255" i="2"/>
  <c r="I253" i="2"/>
  <c r="I251" i="2"/>
  <c r="I248" i="2"/>
  <c r="I246" i="2"/>
  <c r="I242" i="2"/>
  <c r="I240" i="2"/>
  <c r="I238" i="2"/>
  <c r="I234" i="2"/>
  <c r="I232" i="2"/>
  <c r="I230" i="2"/>
  <c r="I228" i="2"/>
  <c r="I226" i="2"/>
  <c r="I224" i="2"/>
  <c r="I222" i="2"/>
  <c r="I220" i="2"/>
  <c r="I218" i="2"/>
  <c r="I216" i="2"/>
  <c r="I214" i="2"/>
  <c r="I211" i="2"/>
  <c r="I207" i="2"/>
  <c r="I205" i="2"/>
  <c r="I203" i="2"/>
  <c r="I201" i="2"/>
  <c r="I199" i="2"/>
  <c r="I195" i="2"/>
  <c r="I193" i="2"/>
  <c r="I191" i="2"/>
  <c r="I187" i="2"/>
  <c r="I185" i="2"/>
  <c r="I183" i="2"/>
  <c r="I181" i="2"/>
  <c r="I177" i="2"/>
  <c r="I175" i="2"/>
  <c r="I173" i="2"/>
  <c r="AC170" i="2"/>
  <c r="I169" i="2"/>
  <c r="I167" i="2"/>
  <c r="I165" i="2"/>
  <c r="I163" i="2"/>
  <c r="AA161" i="2"/>
  <c r="I161" i="2"/>
  <c r="AA159" i="2"/>
  <c r="I159" i="2"/>
  <c r="I157" i="2"/>
  <c r="I155" i="2"/>
  <c r="AA153" i="2"/>
  <c r="I153" i="2"/>
  <c r="AA151" i="2"/>
  <c r="I151" i="2"/>
  <c r="I147" i="2"/>
  <c r="AA145" i="2"/>
  <c r="I145" i="2"/>
  <c r="AA143" i="2"/>
  <c r="I142" i="2"/>
  <c r="I139" i="2"/>
  <c r="AA138" i="2"/>
  <c r="I137" i="2"/>
  <c r="AA136" i="2"/>
  <c r="AE133" i="2"/>
  <c r="I133" i="2"/>
  <c r="AE132" i="2"/>
  <c r="AE131" i="2"/>
  <c r="I131" i="2"/>
  <c r="AE130" i="2"/>
  <c r="AE129" i="2"/>
  <c r="AA129" i="2"/>
  <c r="I129" i="2"/>
  <c r="AE128" i="2"/>
  <c r="AA127" i="2"/>
  <c r="I127" i="2"/>
  <c r="AF126" i="2"/>
  <c r="AE126" i="2"/>
  <c r="AD126" i="2"/>
  <c r="AC126" i="2"/>
  <c r="AH126" i="2" s="1"/>
  <c r="AF125" i="2"/>
  <c r="AE125" i="2"/>
  <c r="AD125" i="2"/>
  <c r="AC125" i="2"/>
  <c r="AF124" i="2"/>
  <c r="AE124" i="2"/>
  <c r="AD124" i="2"/>
  <c r="AC124" i="2"/>
  <c r="I124" i="2"/>
  <c r="AF123" i="2"/>
  <c r="AE123" i="2"/>
  <c r="AD123" i="2"/>
  <c r="AC123" i="2"/>
  <c r="AF122" i="2"/>
  <c r="AE122" i="2"/>
  <c r="AD122" i="2"/>
  <c r="AC122" i="2"/>
  <c r="AA122" i="2"/>
  <c r="AF121" i="2"/>
  <c r="AE121" i="2"/>
  <c r="AD121" i="2"/>
  <c r="AC121" i="2"/>
  <c r="AA120" i="2"/>
  <c r="I119" i="2"/>
  <c r="AE118" i="2"/>
  <c r="AC118" i="2"/>
  <c r="I116" i="2"/>
  <c r="I112" i="2"/>
  <c r="I110" i="2"/>
  <c r="I108" i="2"/>
  <c r="I106" i="2"/>
  <c r="I101" i="2"/>
  <c r="I99" i="2"/>
  <c r="I97" i="2"/>
  <c r="I95" i="2"/>
  <c r="I92" i="2"/>
  <c r="I90" i="2"/>
  <c r="I88" i="2"/>
  <c r="I80" i="2"/>
  <c r="AE79" i="2"/>
  <c r="AE78" i="2"/>
  <c r="AE77" i="2"/>
  <c r="I75" i="2"/>
  <c r="I73" i="2"/>
  <c r="I69" i="2"/>
  <c r="M69" i="2" s="1"/>
  <c r="I65" i="2"/>
  <c r="AJ63" i="2"/>
  <c r="AE63" i="2" s="1"/>
  <c r="AJ62" i="2"/>
  <c r="AI62" i="2"/>
  <c r="AH62" i="2"/>
  <c r="AG62" i="2"/>
  <c r="AF62" i="2"/>
  <c r="I62" i="2"/>
  <c r="AJ61" i="2"/>
  <c r="AJ65" i="2" s="1"/>
  <c r="AI61" i="2"/>
  <c r="AH61" i="2"/>
  <c r="AG61" i="2"/>
  <c r="AF61" i="2"/>
  <c r="I60" i="2"/>
  <c r="AJ60" i="2"/>
  <c r="AI60" i="2"/>
  <c r="AH60" i="2"/>
  <c r="AG60" i="2"/>
  <c r="AF60" i="2"/>
  <c r="AB60" i="2"/>
  <c r="AB61" i="2" s="1"/>
  <c r="AB59" i="2"/>
  <c r="I58" i="2"/>
  <c r="AE53" i="2"/>
  <c r="AE43" i="2"/>
  <c r="I35" i="2"/>
  <c r="AF28" i="2"/>
  <c r="AH25" i="2"/>
  <c r="AE23" i="2"/>
  <c r="AE22" i="2"/>
  <c r="AE18" i="2"/>
  <c r="AE17" i="2"/>
  <c r="AE170" i="2" s="1"/>
  <c r="J72" i="12"/>
  <c r="G46" i="17"/>
  <c r="N46" i="17" s="1"/>
  <c r="I68" i="13"/>
  <c r="J68" i="13" s="1"/>
  <c r="K68" i="13" s="1"/>
  <c r="AH124" i="2"/>
  <c r="AG128" i="2"/>
  <c r="K316" i="7"/>
  <c r="K329" i="7"/>
  <c r="K327" i="7"/>
  <c r="K325" i="7"/>
  <c r="M325" i="7" s="1"/>
  <c r="K322" i="7"/>
  <c r="K320" i="7"/>
  <c r="M320" i="7" s="1"/>
  <c r="K318" i="7"/>
  <c r="K62" i="7"/>
  <c r="K60" i="7"/>
  <c r="K58" i="7"/>
  <c r="K56" i="7"/>
  <c r="K54" i="7"/>
  <c r="K52" i="7"/>
  <c r="M52" i="7" s="1"/>
  <c r="K50" i="7"/>
  <c r="K46" i="7"/>
  <c r="K43" i="7"/>
  <c r="K41" i="7"/>
  <c r="K39" i="7"/>
  <c r="K37" i="7"/>
  <c r="M37" i="7" s="1"/>
  <c r="K33" i="7"/>
  <c r="K30" i="7"/>
  <c r="M30" i="7" s="1"/>
  <c r="K23" i="7"/>
  <c r="D19" i="7"/>
  <c r="G121" i="6"/>
  <c r="G116" i="6"/>
  <c r="G115" i="6" s="1"/>
  <c r="G113" i="6"/>
  <c r="G112" i="6" s="1"/>
  <c r="G110" i="6"/>
  <c r="G109" i="6" s="1"/>
  <c r="V130" i="7"/>
  <c r="J38" i="21"/>
  <c r="J40" i="21" s="1"/>
  <c r="G19" i="21"/>
  <c r="I49" i="2"/>
  <c r="G16" i="17"/>
  <c r="N16" i="17" s="1"/>
  <c r="G17" i="17"/>
  <c r="N17" i="17" s="1"/>
  <c r="G18" i="17"/>
  <c r="N18" i="17" s="1"/>
  <c r="N19" i="17"/>
  <c r="G20" i="17"/>
  <c r="N20" i="17" s="1"/>
  <c r="G21" i="17"/>
  <c r="N21" i="17" s="1"/>
  <c r="G22" i="17"/>
  <c r="N22" i="17" s="1"/>
  <c r="G23" i="17"/>
  <c r="N23" i="17" s="1"/>
  <c r="G24" i="17"/>
  <c r="N24" i="17" s="1"/>
  <c r="G25" i="17"/>
  <c r="N25" i="17" s="1"/>
  <c r="G26" i="17"/>
  <c r="N26" i="17" s="1"/>
  <c r="G27" i="17"/>
  <c r="N27" i="17" s="1"/>
  <c r="G28" i="17"/>
  <c r="N28" i="17" s="1"/>
  <c r="G29" i="17"/>
  <c r="N29" i="17" s="1"/>
  <c r="G30" i="17"/>
  <c r="N30" i="17" s="1"/>
  <c r="G31" i="17"/>
  <c r="N31" i="17" s="1"/>
  <c r="G32" i="17"/>
  <c r="N32" i="17" s="1"/>
  <c r="G33" i="17"/>
  <c r="N33" i="17" s="1"/>
  <c r="G34" i="17"/>
  <c r="N34" i="17" s="1"/>
  <c r="G35" i="17"/>
  <c r="N35" i="17" s="1"/>
  <c r="G36" i="17"/>
  <c r="N36" i="17" s="1"/>
  <c r="G37" i="17"/>
  <c r="N37" i="17" s="1"/>
  <c r="N38" i="17"/>
  <c r="G39" i="17"/>
  <c r="N39" i="17" s="1"/>
  <c r="G40" i="17"/>
  <c r="N40" i="17" s="1"/>
  <c r="G66" i="17"/>
  <c r="N66" i="17" s="1"/>
  <c r="G67" i="17"/>
  <c r="N67" i="17" s="1"/>
  <c r="G68" i="17"/>
  <c r="N68" i="17" s="1"/>
  <c r="G50" i="43"/>
  <c r="I19" i="2"/>
  <c r="G40" i="9"/>
  <c r="G39" i="9"/>
  <c r="G36" i="9"/>
  <c r="G35" i="9"/>
  <c r="J32" i="9"/>
  <c r="K32" i="9" s="1"/>
  <c r="L32" i="9" s="1"/>
  <c r="G31" i="9"/>
  <c r="G33" i="9" s="1"/>
  <c r="H33" i="9" s="1"/>
  <c r="G27" i="9"/>
  <c r="G26" i="9"/>
  <c r="G25" i="9"/>
  <c r="R23" i="9"/>
  <c r="R22" i="9"/>
  <c r="G21" i="9"/>
  <c r="G23" i="9" s="1"/>
  <c r="H23" i="9" s="1"/>
  <c r="I250" i="10" s="1"/>
  <c r="G17" i="9"/>
  <c r="G19" i="9" s="1"/>
  <c r="H19" i="9" s="1"/>
  <c r="G62" i="8"/>
  <c r="G60" i="8"/>
  <c r="G57" i="8"/>
  <c r="G56" i="8"/>
  <c r="G53" i="8"/>
  <c r="G54" i="8" s="1"/>
  <c r="H54" i="8" s="1"/>
  <c r="G50" i="8"/>
  <c r="G49" i="8"/>
  <c r="G48" i="8"/>
  <c r="G51" i="8" s="1"/>
  <c r="G44" i="8"/>
  <c r="G26" i="8"/>
  <c r="G25" i="8"/>
  <c r="G24" i="8"/>
  <c r="G23" i="8"/>
  <c r="G22" i="8"/>
  <c r="G18" i="8"/>
  <c r="G20" i="8" s="1"/>
  <c r="H20" i="8" s="1"/>
  <c r="G28" i="46"/>
  <c r="I27" i="46"/>
  <c r="G27" i="46"/>
  <c r="G26" i="46"/>
  <c r="G49" i="46"/>
  <c r="M48" i="46"/>
  <c r="G48" i="46"/>
  <c r="G45" i="46"/>
  <c r="G44" i="46"/>
  <c r="G43" i="46"/>
  <c r="G42" i="46"/>
  <c r="G39" i="46"/>
  <c r="G38" i="46"/>
  <c r="J38" i="46" s="1"/>
  <c r="K38" i="46" s="1"/>
  <c r="L38" i="46" s="1"/>
  <c r="G37" i="46"/>
  <c r="G33" i="46"/>
  <c r="I32" i="46"/>
  <c r="G32" i="46"/>
  <c r="G31" i="46"/>
  <c r="R24" i="46"/>
  <c r="R23" i="46"/>
  <c r="G22" i="46"/>
  <c r="G24" i="46" s="1"/>
  <c r="H24" i="46" s="1"/>
  <c r="I239" i="10" s="1"/>
  <c r="L18" i="46"/>
  <c r="K18" i="46"/>
  <c r="G18" i="46"/>
  <c r="G17" i="46"/>
  <c r="G29" i="45"/>
  <c r="G28" i="45"/>
  <c r="G27" i="45"/>
  <c r="G26" i="45"/>
  <c r="G46" i="45"/>
  <c r="G48" i="45" s="1"/>
  <c r="H48" i="45" s="1"/>
  <c r="I228" i="10" s="1"/>
  <c r="M42" i="45"/>
  <c r="I27" i="45"/>
  <c r="R24" i="45"/>
  <c r="R23" i="45"/>
  <c r="G22" i="45"/>
  <c r="G24" i="45" s="1"/>
  <c r="H24" i="45" s="1"/>
  <c r="I226" i="10" s="1"/>
  <c r="L18" i="45"/>
  <c r="K18" i="45"/>
  <c r="G18" i="45"/>
  <c r="G17" i="45"/>
  <c r="J63" i="8"/>
  <c r="J62" i="8"/>
  <c r="J53" i="8"/>
  <c r="J26" i="8"/>
  <c r="J25" i="8"/>
  <c r="J18" i="8"/>
  <c r="H16" i="30"/>
  <c r="H15" i="30"/>
  <c r="I43" i="16"/>
  <c r="I42" i="16"/>
  <c r="F25" i="15"/>
  <c r="F24" i="15"/>
  <c r="F23" i="15"/>
  <c r="F22" i="15"/>
  <c r="J26" i="4"/>
  <c r="J33" i="4"/>
  <c r="J30" i="4"/>
  <c r="J14" i="4"/>
  <c r="C42" i="4"/>
  <c r="S37" i="38"/>
  <c r="S35" i="38" s="1"/>
  <c r="S73" i="38"/>
  <c r="S66" i="38" s="1"/>
  <c r="AB26" i="38"/>
  <c r="AB27" i="38" s="1"/>
  <c r="AC27" i="38" s="1"/>
  <c r="AB24" i="38"/>
  <c r="AB23" i="38"/>
  <c r="AB21" i="38"/>
  <c r="AB18" i="38"/>
  <c r="AB17" i="38"/>
  <c r="G20" i="22"/>
  <c r="I47" i="2"/>
  <c r="I50" i="2"/>
  <c r="I51" i="2"/>
  <c r="I37" i="2"/>
  <c r="I46" i="2"/>
  <c r="I45" i="2"/>
  <c r="I270" i="11"/>
  <c r="I222" i="10"/>
  <c r="Y222" i="10" s="1"/>
  <c r="G20" i="36"/>
  <c r="G21" i="42"/>
  <c r="I209" i="13"/>
  <c r="X209" i="13" s="1"/>
  <c r="I231" i="13"/>
  <c r="I81" i="13"/>
  <c r="J81" i="13" s="1"/>
  <c r="W81" i="13" s="1"/>
  <c r="X81" i="13" s="1"/>
  <c r="I80" i="13"/>
  <c r="J80" i="13" s="1"/>
  <c r="W80" i="13" s="1"/>
  <c r="X80" i="13" s="1"/>
  <c r="I79" i="13"/>
  <c r="J79" i="13" s="1"/>
  <c r="W79" i="13" s="1"/>
  <c r="X79" i="13" s="1"/>
  <c r="I78" i="13"/>
  <c r="J78" i="13" s="1"/>
  <c r="W78" i="13" s="1"/>
  <c r="X78" i="13" s="1"/>
  <c r="I44" i="2"/>
  <c r="I48" i="2"/>
  <c r="J32" i="45"/>
  <c r="K32" i="45" s="1"/>
  <c r="L32" i="45" s="1"/>
  <c r="I48" i="16"/>
  <c r="J48" i="16" s="1"/>
  <c r="I30" i="2"/>
  <c r="I29" i="2" s="1"/>
  <c r="M29" i="2" s="1"/>
  <c r="I222" i="13"/>
  <c r="G20" i="41"/>
  <c r="I200" i="13"/>
  <c r="I199" i="13" s="1"/>
  <c r="X199" i="13" s="1"/>
  <c r="I26" i="2"/>
  <c r="I25" i="2" s="1"/>
  <c r="Q86" i="7"/>
  <c r="I80" i="11"/>
  <c r="I34" i="10"/>
  <c r="M34" i="10" s="1"/>
  <c r="M82" i="11" s="1"/>
  <c r="Q273" i="7"/>
  <c r="I249" i="11"/>
  <c r="I212" i="13"/>
  <c r="I211" i="13" s="1"/>
  <c r="I221" i="13"/>
  <c r="D11" i="36"/>
  <c r="I32" i="3"/>
  <c r="J54" i="12" s="1"/>
  <c r="D11" i="41"/>
  <c r="I35" i="3"/>
  <c r="I57" i="2"/>
  <c r="I56" i="2" s="1"/>
  <c r="I18" i="2"/>
  <c r="I16" i="2" s="1"/>
  <c r="I20" i="2" s="1"/>
  <c r="I226" i="13"/>
  <c r="I225" i="13" s="1"/>
  <c r="D11" i="42"/>
  <c r="I344" i="2"/>
  <c r="I343" i="2" s="1"/>
  <c r="I342" i="2"/>
  <c r="I341" i="2" s="1"/>
  <c r="I331" i="2"/>
  <c r="I330" i="2" s="1"/>
  <c r="I87" i="2"/>
  <c r="I86" i="2"/>
  <c r="I85" i="2"/>
  <c r="I84" i="2" s="1"/>
  <c r="I83" i="2"/>
  <c r="I82" i="2" s="1"/>
  <c r="I79" i="2"/>
  <c r="I78" i="2" s="1"/>
  <c r="I68" i="2"/>
  <c r="I67" i="2" s="1"/>
  <c r="I54" i="2"/>
  <c r="I53" i="2" s="1"/>
  <c r="M53" i="2" s="1"/>
  <c r="I34" i="2"/>
  <c r="I33" i="2" s="1"/>
  <c r="M33" i="2" s="1"/>
  <c r="I245" i="2"/>
  <c r="I244" i="2" s="1"/>
  <c r="I210" i="2"/>
  <c r="I209" i="2" s="1"/>
  <c r="I240" i="11"/>
  <c r="Q264" i="7"/>
  <c r="I36" i="3"/>
  <c r="J17" i="12"/>
  <c r="I28" i="2"/>
  <c r="I27" i="2" s="1"/>
  <c r="M27" i="2" s="1"/>
  <c r="I115" i="2"/>
  <c r="I114" i="2" s="1"/>
  <c r="I292" i="2"/>
  <c r="I291" i="2" s="1"/>
  <c r="I383" i="2"/>
  <c r="I382" i="2"/>
  <c r="I381" i="2"/>
  <c r="I380" i="2" s="1"/>
  <c r="I338" i="2"/>
  <c r="I337" i="2"/>
  <c r="I336" i="2"/>
  <c r="I335" i="2" s="1"/>
  <c r="I311" i="2"/>
  <c r="I310" i="2"/>
  <c r="I307" i="2"/>
  <c r="I306" i="2" s="1"/>
  <c r="I305" i="2" s="1"/>
  <c r="I32" i="2"/>
  <c r="I136" i="2"/>
  <c r="I135" i="2" s="1"/>
  <c r="I198" i="2"/>
  <c r="I197" i="2" s="1"/>
  <c r="I190" i="2"/>
  <c r="I189" i="2" s="1"/>
  <c r="W38" i="10"/>
  <c r="W42" i="10"/>
  <c r="I340" i="2"/>
  <c r="I339" i="2" s="1"/>
  <c r="I379" i="2"/>
  <c r="I378" i="2" s="1"/>
  <c r="I388" i="2"/>
  <c r="I387" i="2" s="1"/>
  <c r="I237" i="2"/>
  <c r="I236" i="2" s="1"/>
  <c r="I31" i="2"/>
  <c r="M31" i="2" s="1"/>
  <c r="M32" i="2"/>
  <c r="L32" i="2" s="1"/>
  <c r="W32" i="2" s="1"/>
  <c r="X91" i="10"/>
  <c r="X78" i="10"/>
  <c r="T358" i="7"/>
  <c r="Q218" i="7"/>
  <c r="Q217" i="7"/>
  <c r="I194" i="11"/>
  <c r="Y194" i="11" s="1"/>
  <c r="Q216" i="7"/>
  <c r="Q215" i="7"/>
  <c r="G45" i="33"/>
  <c r="K86" i="10"/>
  <c r="K85" i="10" s="1"/>
  <c r="K133" i="11" s="1"/>
  <c r="K148" i="10"/>
  <c r="K196" i="11" s="1"/>
  <c r="K217" i="10"/>
  <c r="K240" i="10"/>
  <c r="I54" i="11" l="1"/>
  <c r="M56" i="7"/>
  <c r="Q327" i="7"/>
  <c r="M327" i="7"/>
  <c r="I21" i="11"/>
  <c r="M23" i="7"/>
  <c r="I37" i="11"/>
  <c r="M39" i="7"/>
  <c r="I48" i="11"/>
  <c r="M50" i="7"/>
  <c r="I56" i="11"/>
  <c r="M58" i="7"/>
  <c r="Q329" i="7"/>
  <c r="M329" i="7"/>
  <c r="I18" i="11"/>
  <c r="M20" i="7"/>
  <c r="X282" i="10"/>
  <c r="I44" i="11"/>
  <c r="M46" i="7"/>
  <c r="I325" i="11"/>
  <c r="Y325" i="11" s="1"/>
  <c r="M318" i="7"/>
  <c r="Q268" i="7"/>
  <c r="Q41" i="7"/>
  <c r="M41" i="7"/>
  <c r="Q60" i="7"/>
  <c r="M60" i="7"/>
  <c r="Q322" i="7"/>
  <c r="M322" i="7"/>
  <c r="I323" i="11"/>
  <c r="Y323" i="11" s="1"/>
  <c r="M316" i="7"/>
  <c r="I31" i="11"/>
  <c r="M33" i="7"/>
  <c r="Q43" i="7"/>
  <c r="M43" i="7"/>
  <c r="Q54" i="7"/>
  <c r="M54" i="7"/>
  <c r="Q62" i="7"/>
  <c r="M62" i="7"/>
  <c r="X211" i="10"/>
  <c r="X117" i="10"/>
  <c r="M239" i="7"/>
  <c r="Q231" i="7"/>
  <c r="X44" i="10"/>
  <c r="I211" i="11"/>
  <c r="I172" i="10"/>
  <c r="X172" i="10" s="1"/>
  <c r="W28" i="7"/>
  <c r="Q239" i="7"/>
  <c r="M208" i="7"/>
  <c r="G96" i="17"/>
  <c r="H96" i="17" s="1"/>
  <c r="Q73" i="7"/>
  <c r="M73" i="7"/>
  <c r="I175" i="10"/>
  <c r="Y175" i="10" s="1"/>
  <c r="M242" i="7"/>
  <c r="I201" i="10"/>
  <c r="Y201" i="10" s="1"/>
  <c r="M273" i="7"/>
  <c r="Q306" i="7"/>
  <c r="M306" i="7"/>
  <c r="I182" i="10"/>
  <c r="X182" i="10" s="1"/>
  <c r="M249" i="7"/>
  <c r="I89" i="10"/>
  <c r="X89" i="10" s="1"/>
  <c r="M143" i="7"/>
  <c r="L263" i="7"/>
  <c r="M264" i="7"/>
  <c r="I88" i="10"/>
  <c r="X88" i="10" s="1"/>
  <c r="M142" i="7"/>
  <c r="K267" i="7"/>
  <c r="I243" i="11" s="1"/>
  <c r="L268" i="7"/>
  <c r="K247" i="7"/>
  <c r="I228" i="11" s="1"/>
  <c r="M248" i="7"/>
  <c r="K230" i="7"/>
  <c r="I162" i="10" s="1"/>
  <c r="L231" i="7"/>
  <c r="S28" i="7" s="1"/>
  <c r="N87" i="17"/>
  <c r="K104" i="7"/>
  <c r="I49" i="10" s="1"/>
  <c r="N98" i="17"/>
  <c r="K109" i="7"/>
  <c r="I52" i="10" s="1"/>
  <c r="N93" i="17"/>
  <c r="K110" i="7"/>
  <c r="N95" i="17"/>
  <c r="G85" i="17"/>
  <c r="N84" i="17"/>
  <c r="Q20" i="7"/>
  <c r="K263" i="7"/>
  <c r="I239" i="11" s="1"/>
  <c r="X28" i="7"/>
  <c r="Y30" i="11"/>
  <c r="P83" i="13"/>
  <c r="P82" i="13" s="1"/>
  <c r="I377" i="2"/>
  <c r="M30" i="2"/>
  <c r="G35" i="46"/>
  <c r="H35" i="46" s="1"/>
  <c r="I234" i="10" s="1"/>
  <c r="Y234" i="10" s="1"/>
  <c r="X288" i="13"/>
  <c r="G28" i="35"/>
  <c r="G29" i="35" s="1"/>
  <c r="R170" i="10"/>
  <c r="R218" i="11" s="1"/>
  <c r="R217" i="10"/>
  <c r="Q253" i="10"/>
  <c r="L229" i="10"/>
  <c r="L277" i="11" s="1"/>
  <c r="P253" i="10"/>
  <c r="R240" i="10"/>
  <c r="R288" i="11" s="1"/>
  <c r="M253" i="10"/>
  <c r="X179" i="10"/>
  <c r="W37" i="10"/>
  <c r="X200" i="13"/>
  <c r="G20" i="45"/>
  <c r="H20" i="45" s="1"/>
  <c r="I225" i="10" s="1"/>
  <c r="Y225" i="10" s="1"/>
  <c r="I160" i="13"/>
  <c r="X52" i="13"/>
  <c r="X176" i="13"/>
  <c r="X290" i="13"/>
  <c r="H17" i="47"/>
  <c r="I136" i="11"/>
  <c r="Y276" i="10"/>
  <c r="V170" i="10"/>
  <c r="V218" i="11" s="1"/>
  <c r="S217" i="10"/>
  <c r="S265" i="11" s="1"/>
  <c r="N62" i="10"/>
  <c r="P229" i="10"/>
  <c r="P277" i="11" s="1"/>
  <c r="S62" i="10"/>
  <c r="V240" i="10"/>
  <c r="V288" i="11" s="1"/>
  <c r="T229" i="10"/>
  <c r="T277" i="11" s="1"/>
  <c r="Y157" i="10"/>
  <c r="W267" i="11"/>
  <c r="P17" i="11"/>
  <c r="T17" i="11"/>
  <c r="X268" i="10"/>
  <c r="U170" i="10"/>
  <c r="U218" i="11" s="1"/>
  <c r="V217" i="10"/>
  <c r="V265" i="11" s="1"/>
  <c r="O229" i="10"/>
  <c r="O277" i="11" s="1"/>
  <c r="M240" i="10"/>
  <c r="M288" i="11" s="1"/>
  <c r="G40" i="45"/>
  <c r="H40" i="45" s="1"/>
  <c r="U196" i="10"/>
  <c r="U244" i="11" s="1"/>
  <c r="K324" i="7"/>
  <c r="M324" i="7" s="1"/>
  <c r="N32" i="2"/>
  <c r="O32" i="2" s="1"/>
  <c r="P32" i="2" s="1"/>
  <c r="Q32" i="2" s="1"/>
  <c r="R32" i="2" s="1"/>
  <c r="S32" i="2" s="1"/>
  <c r="T32" i="2" s="1"/>
  <c r="U32" i="2" s="1"/>
  <c r="V32" i="2" s="1"/>
  <c r="I259" i="2"/>
  <c r="AF17" i="2"/>
  <c r="V93" i="10"/>
  <c r="W149" i="10"/>
  <c r="I55" i="2"/>
  <c r="AA62" i="2"/>
  <c r="AE60" i="2"/>
  <c r="AH121" i="2"/>
  <c r="AG130" i="2"/>
  <c r="L31" i="2"/>
  <c r="W31" i="2" s="1"/>
  <c r="N31" i="2"/>
  <c r="O31" i="2" s="1"/>
  <c r="P31" i="2" s="1"/>
  <c r="Q31" i="2" s="1"/>
  <c r="R31" i="2" s="1"/>
  <c r="S31" i="2" s="1"/>
  <c r="T31" i="2" s="1"/>
  <c r="U31" i="2" s="1"/>
  <c r="V31" i="2" s="1"/>
  <c r="I268" i="11"/>
  <c r="I220" i="10"/>
  <c r="Y220" i="10" s="1"/>
  <c r="H22" i="47"/>
  <c r="I17" i="47"/>
  <c r="I22" i="47" s="1"/>
  <c r="D9" i="47" s="1"/>
  <c r="AG131" i="2"/>
  <c r="N34" i="11"/>
  <c r="K72" i="7"/>
  <c r="L72" i="7" s="1"/>
  <c r="H23" i="14"/>
  <c r="G21" i="28"/>
  <c r="X269" i="10"/>
  <c r="G35" i="19"/>
  <c r="N35" i="19" s="1"/>
  <c r="W142" i="10"/>
  <c r="K229" i="10"/>
  <c r="M217" i="10"/>
  <c r="N217" i="10"/>
  <c r="N265" i="11" s="1"/>
  <c r="L217" i="10"/>
  <c r="L265" i="11" s="1"/>
  <c r="T62" i="10"/>
  <c r="T110" i="11" s="1"/>
  <c r="M229" i="10"/>
  <c r="M277" i="11" s="1"/>
  <c r="V229" i="10"/>
  <c r="V277" i="11" s="1"/>
  <c r="O170" i="10"/>
  <c r="O218" i="11" s="1"/>
  <c r="W207" i="10"/>
  <c r="V62" i="10"/>
  <c r="W209" i="10"/>
  <c r="L240" i="10"/>
  <c r="L288" i="11" s="1"/>
  <c r="O240" i="10"/>
  <c r="O288" i="11" s="1"/>
  <c r="W247" i="11"/>
  <c r="W257" i="11"/>
  <c r="I334" i="2"/>
  <c r="AG133" i="2"/>
  <c r="X151" i="13"/>
  <c r="I123" i="2"/>
  <c r="I103" i="2"/>
  <c r="X211" i="13"/>
  <c r="X231" i="13"/>
  <c r="G46" i="46"/>
  <c r="H46" i="46" s="1"/>
  <c r="G50" i="46"/>
  <c r="H50" i="46" s="1"/>
  <c r="G29" i="46"/>
  <c r="H29" i="46" s="1"/>
  <c r="AG121" i="2"/>
  <c r="AH125" i="2"/>
  <c r="G61" i="17"/>
  <c r="R17" i="11"/>
  <c r="V17" i="11"/>
  <c r="W28" i="11"/>
  <c r="W54" i="11"/>
  <c r="Y107" i="10"/>
  <c r="Y280" i="10"/>
  <c r="G30" i="19"/>
  <c r="S216" i="10"/>
  <c r="R253" i="10"/>
  <c r="P217" i="10"/>
  <c r="S170" i="10"/>
  <c r="S218" i="11" s="1"/>
  <c r="Q62" i="10"/>
  <c r="Q110" i="11" s="1"/>
  <c r="Q229" i="10"/>
  <c r="Q277" i="11" s="1"/>
  <c r="W199" i="10"/>
  <c r="W48" i="10"/>
  <c r="W87" i="10"/>
  <c r="Q217" i="10"/>
  <c r="Q265" i="11" s="1"/>
  <c r="W247" i="10"/>
  <c r="P240" i="10"/>
  <c r="P288" i="11" s="1"/>
  <c r="S240" i="10"/>
  <c r="S288" i="11" s="1"/>
  <c r="Y89" i="10"/>
  <c r="G21" i="37"/>
  <c r="W255" i="11"/>
  <c r="X241" i="10"/>
  <c r="AE62" i="2"/>
  <c r="I213" i="2"/>
  <c r="I287" i="2"/>
  <c r="I77" i="2"/>
  <c r="X294" i="13"/>
  <c r="AE54" i="2"/>
  <c r="AG54" i="2" s="1"/>
  <c r="H28" i="30"/>
  <c r="I28" i="30" s="1"/>
  <c r="I150" i="13" s="1"/>
  <c r="X150" i="13" s="1"/>
  <c r="X37" i="13"/>
  <c r="X42" i="13"/>
  <c r="X295" i="13"/>
  <c r="G82" i="17"/>
  <c r="S17" i="11"/>
  <c r="M34" i="11"/>
  <c r="W82" i="10"/>
  <c r="W302" i="11"/>
  <c r="M170" i="10"/>
  <c r="M218" i="11" s="1"/>
  <c r="O253" i="10"/>
  <c r="O217" i="10"/>
  <c r="O265" i="11" s="1"/>
  <c r="T217" i="10"/>
  <c r="U62" i="10"/>
  <c r="U110" i="11" s="1"/>
  <c r="U229" i="10"/>
  <c r="U277" i="11" s="1"/>
  <c r="U217" i="10"/>
  <c r="U265" i="11" s="1"/>
  <c r="U240" i="10"/>
  <c r="U288" i="11" s="1"/>
  <c r="G18" i="40"/>
  <c r="I16" i="39"/>
  <c r="K241" i="7" s="1"/>
  <c r="M241" i="7" s="1"/>
  <c r="Q141" i="10"/>
  <c r="W273" i="10"/>
  <c r="G37" i="9"/>
  <c r="H37" i="9" s="1"/>
  <c r="I243" i="10" s="1"/>
  <c r="Y243" i="10" s="1"/>
  <c r="G29" i="9"/>
  <c r="H29" i="9" s="1"/>
  <c r="I245" i="10" s="1"/>
  <c r="X245" i="10" s="1"/>
  <c r="G41" i="9"/>
  <c r="H41" i="9" s="1"/>
  <c r="G34" i="45"/>
  <c r="H34" i="45" s="1"/>
  <c r="G30" i="45"/>
  <c r="I21" i="39"/>
  <c r="I288" i="10"/>
  <c r="Y288" i="10" s="1"/>
  <c r="I39" i="11"/>
  <c r="Y259" i="10"/>
  <c r="Y179" i="10"/>
  <c r="F26" i="15"/>
  <c r="AC28" i="13"/>
  <c r="AA36" i="13" s="1"/>
  <c r="Q50" i="7"/>
  <c r="G39" i="43"/>
  <c r="G30" i="43"/>
  <c r="G31" i="8"/>
  <c r="H42" i="8"/>
  <c r="G58" i="8"/>
  <c r="H58" i="8" s="1"/>
  <c r="G45" i="8"/>
  <c r="H45" i="8" s="1"/>
  <c r="H51" i="8"/>
  <c r="G63" i="8"/>
  <c r="H63" i="8" s="1"/>
  <c r="X92" i="13"/>
  <c r="G39" i="19"/>
  <c r="L58" i="11"/>
  <c r="L47" i="11" s="1"/>
  <c r="G43" i="43"/>
  <c r="H43" i="43" s="1"/>
  <c r="J59" i="12"/>
  <c r="F44" i="5"/>
  <c r="J58" i="12"/>
  <c r="F43" i="5"/>
  <c r="J61" i="12"/>
  <c r="F46" i="5"/>
  <c r="K175" i="7"/>
  <c r="H20" i="25"/>
  <c r="G44" i="25"/>
  <c r="H44" i="25" s="1"/>
  <c r="K174" i="7"/>
  <c r="Y241" i="10"/>
  <c r="I230" i="11"/>
  <c r="AB360" i="7"/>
  <c r="Q33" i="7"/>
  <c r="I286" i="10"/>
  <c r="X286" i="10" s="1"/>
  <c r="I329" i="11"/>
  <c r="Y329" i="11" s="1"/>
  <c r="Q46" i="7"/>
  <c r="AB362" i="7"/>
  <c r="Y49" i="11"/>
  <c r="G64" i="17"/>
  <c r="G57" i="17"/>
  <c r="N57" i="17" s="1"/>
  <c r="G50" i="17"/>
  <c r="I50" i="10"/>
  <c r="I53" i="10"/>
  <c r="Y53" i="11"/>
  <c r="Y57" i="11"/>
  <c r="I52" i="11"/>
  <c r="Q318" i="7"/>
  <c r="Q23" i="7"/>
  <c r="K315" i="7"/>
  <c r="I60" i="11"/>
  <c r="I41" i="11"/>
  <c r="I277" i="10"/>
  <c r="X277" i="10" s="1"/>
  <c r="Q58" i="7"/>
  <c r="Q39" i="7"/>
  <c r="Y19" i="11"/>
  <c r="L40" i="11"/>
  <c r="L39" i="11" s="1"/>
  <c r="L34" i="11" s="1"/>
  <c r="X95" i="13"/>
  <c r="I275" i="10"/>
  <c r="Y275" i="10" s="1"/>
  <c r="O196" i="10"/>
  <c r="O244" i="11" s="1"/>
  <c r="N163" i="10"/>
  <c r="N211" i="11" s="1"/>
  <c r="V355" i="7"/>
  <c r="AD189" i="13"/>
  <c r="AF187" i="13"/>
  <c r="I191" i="11"/>
  <c r="Y191" i="11" s="1"/>
  <c r="G53" i="33"/>
  <c r="G51" i="33"/>
  <c r="G47" i="33"/>
  <c r="G32" i="20"/>
  <c r="I22" i="10"/>
  <c r="M22" i="10" s="1"/>
  <c r="M70" i="11" s="1"/>
  <c r="J14" i="12"/>
  <c r="I69" i="13"/>
  <c r="J69" i="13" s="1"/>
  <c r="J67" i="13" s="1"/>
  <c r="J66" i="13" s="1"/>
  <c r="J65" i="13" s="1"/>
  <c r="I81" i="11"/>
  <c r="I82" i="11"/>
  <c r="L32" i="10"/>
  <c r="L80" i="11" s="1"/>
  <c r="R32" i="10"/>
  <c r="R80" i="11" s="1"/>
  <c r="S32" i="10"/>
  <c r="S80" i="11" s="1"/>
  <c r="H23" i="16"/>
  <c r="H24" i="16" s="1"/>
  <c r="M32" i="10"/>
  <c r="M80" i="11" s="1"/>
  <c r="Q87" i="7"/>
  <c r="P33" i="10"/>
  <c r="P81" i="11" s="1"/>
  <c r="L33" i="10"/>
  <c r="L81" i="11" s="1"/>
  <c r="M33" i="10"/>
  <c r="M81" i="11" s="1"/>
  <c r="R33" i="10"/>
  <c r="R81" i="11" s="1"/>
  <c r="K33" i="10"/>
  <c r="K81" i="11" s="1"/>
  <c r="T33" i="10"/>
  <c r="T81" i="11" s="1"/>
  <c r="U33" i="10"/>
  <c r="U81" i="11" s="1"/>
  <c r="O33" i="10"/>
  <c r="O81" i="11" s="1"/>
  <c r="R31" i="10"/>
  <c r="R79" i="11" s="1"/>
  <c r="L31" i="10"/>
  <c r="L79" i="11" s="1"/>
  <c r="K31" i="10"/>
  <c r="K79" i="11" s="1"/>
  <c r="M31" i="10"/>
  <c r="M79" i="11" s="1"/>
  <c r="K34" i="10"/>
  <c r="K82" i="11" s="1"/>
  <c r="I77" i="13"/>
  <c r="I76" i="13" s="1"/>
  <c r="I75" i="13" s="1"/>
  <c r="I93" i="13"/>
  <c r="X93" i="13" s="1"/>
  <c r="G88" i="17"/>
  <c r="N29" i="2"/>
  <c r="O29" i="2" s="1"/>
  <c r="P29" i="2" s="1"/>
  <c r="Q29" i="2" s="1"/>
  <c r="R29" i="2" s="1"/>
  <c r="S29" i="2" s="1"/>
  <c r="T29" i="2" s="1"/>
  <c r="U29" i="2" s="1"/>
  <c r="V29" i="2" s="1"/>
  <c r="L29" i="2"/>
  <c r="W29" i="2" s="1"/>
  <c r="I154" i="10"/>
  <c r="Y154" i="10" s="1"/>
  <c r="I156" i="10"/>
  <c r="Y156" i="10" s="1"/>
  <c r="I204" i="11"/>
  <c r="Q18" i="11"/>
  <c r="Q17" i="11" s="1"/>
  <c r="W21" i="11"/>
  <c r="I145" i="10"/>
  <c r="Y145" i="10" s="1"/>
  <c r="I386" i="2"/>
  <c r="S163" i="10"/>
  <c r="S211" i="11" s="1"/>
  <c r="J77" i="13"/>
  <c r="J76" i="13" s="1"/>
  <c r="J75" i="13" s="1"/>
  <c r="W75" i="13" s="1"/>
  <c r="X75" i="13" s="1"/>
  <c r="X212" i="13"/>
  <c r="X226" i="13"/>
  <c r="AB19" i="38"/>
  <c r="AC19" i="38" s="1"/>
  <c r="AB25" i="38"/>
  <c r="AC25" i="38" s="1"/>
  <c r="G20" i="15"/>
  <c r="H18" i="30"/>
  <c r="I18" i="30" s="1"/>
  <c r="G20" i="32"/>
  <c r="G20" i="46"/>
  <c r="H20" i="46" s="1"/>
  <c r="I314" i="11"/>
  <c r="Q316" i="7"/>
  <c r="I281" i="10"/>
  <c r="X281" i="10" s="1"/>
  <c r="I334" i="11"/>
  <c r="Y334" i="11" s="1"/>
  <c r="G108" i="6"/>
  <c r="AE80" i="2"/>
  <c r="AG118" i="2"/>
  <c r="AD127" i="2"/>
  <c r="AF127" i="2"/>
  <c r="AG123" i="2"/>
  <c r="AG124" i="2"/>
  <c r="AG125" i="2"/>
  <c r="I423" i="2"/>
  <c r="I175" i="13"/>
  <c r="X175" i="13" s="1"/>
  <c r="I184" i="13"/>
  <c r="I139" i="13"/>
  <c r="X39" i="13"/>
  <c r="X276" i="13"/>
  <c r="AG126" i="2"/>
  <c r="AE134" i="2"/>
  <c r="AG132" i="2"/>
  <c r="I150" i="2"/>
  <c r="I250" i="2"/>
  <c r="I270" i="2"/>
  <c r="I277" i="2"/>
  <c r="I346" i="2"/>
  <c r="I362" i="2"/>
  <c r="I395" i="2"/>
  <c r="I404" i="2"/>
  <c r="I411" i="2"/>
  <c r="I94" i="13"/>
  <c r="X94" i="13" s="1"/>
  <c r="H23" i="30"/>
  <c r="I23" i="30" s="1"/>
  <c r="I149" i="13" s="1"/>
  <c r="X149" i="13" s="1"/>
  <c r="X239" i="13"/>
  <c r="AB364" i="7"/>
  <c r="AB386" i="7"/>
  <c r="I45" i="13"/>
  <c r="X45" i="13" s="1"/>
  <c r="X54" i="13"/>
  <c r="X118" i="13"/>
  <c r="AF184" i="13"/>
  <c r="AF185" i="13"/>
  <c r="X274" i="13"/>
  <c r="X286" i="13"/>
  <c r="X299" i="13"/>
  <c r="O83" i="13"/>
  <c r="O82" i="13" s="1"/>
  <c r="L83" i="13"/>
  <c r="L82" i="13" s="1"/>
  <c r="I128" i="10"/>
  <c r="N128" i="10" s="1"/>
  <c r="W128" i="10" s="1"/>
  <c r="X128" i="10" s="1"/>
  <c r="Y51" i="11"/>
  <c r="Y43" i="11"/>
  <c r="P36" i="11"/>
  <c r="P35" i="11" s="1"/>
  <c r="T36" i="11"/>
  <c r="T35" i="11" s="1"/>
  <c r="Y32" i="11"/>
  <c r="Y29" i="11"/>
  <c r="M17" i="11"/>
  <c r="O17" i="11"/>
  <c r="Y22" i="11"/>
  <c r="Y24" i="11"/>
  <c r="Y26" i="11"/>
  <c r="W31" i="11"/>
  <c r="Y31" i="11" s="1"/>
  <c r="Q34" i="11"/>
  <c r="S34" i="11"/>
  <c r="O34" i="11"/>
  <c r="R34" i="11"/>
  <c r="W48" i="11"/>
  <c r="W52" i="11"/>
  <c r="W56" i="11"/>
  <c r="W60" i="11"/>
  <c r="X280" i="10"/>
  <c r="K141" i="7"/>
  <c r="G45" i="6" s="1"/>
  <c r="G44" i="6" s="1"/>
  <c r="W171" i="10"/>
  <c r="Q216" i="10"/>
  <c r="Q264" i="11" s="1"/>
  <c r="W314" i="11"/>
  <c r="N253" i="10"/>
  <c r="N301" i="11" s="1"/>
  <c r="V253" i="10"/>
  <c r="S252" i="10"/>
  <c r="S251" i="10" s="1"/>
  <c r="S299" i="11" s="1"/>
  <c r="L61" i="10"/>
  <c r="L109" i="11" s="1"/>
  <c r="P61" i="10"/>
  <c r="P109" i="11" s="1"/>
  <c r="T61" i="10"/>
  <c r="T109" i="11" s="1"/>
  <c r="Q61" i="10"/>
  <c r="Q109" i="11" s="1"/>
  <c r="V216" i="10"/>
  <c r="V264" i="11" s="1"/>
  <c r="U216" i="10"/>
  <c r="U264" i="11" s="1"/>
  <c r="L253" i="10"/>
  <c r="L252" i="10" s="1"/>
  <c r="T253" i="10"/>
  <c r="K100" i="10"/>
  <c r="K148" i="11" s="1"/>
  <c r="W219" i="10"/>
  <c r="T240" i="10"/>
  <c r="T288" i="11" s="1"/>
  <c r="U253" i="10"/>
  <c r="G34" i="43"/>
  <c r="H34" i="43" s="1"/>
  <c r="G20" i="38"/>
  <c r="H30" i="43"/>
  <c r="W295" i="11"/>
  <c r="V148" i="10"/>
  <c r="V147" i="10" s="1"/>
  <c r="V195" i="11" s="1"/>
  <c r="P110" i="10"/>
  <c r="P86" i="10"/>
  <c r="P85" i="10" s="1"/>
  <c r="P133" i="11" s="1"/>
  <c r="W85" i="11"/>
  <c r="Y32" i="7"/>
  <c r="I220" i="13"/>
  <c r="X221" i="13"/>
  <c r="T34" i="10"/>
  <c r="T82" i="11" s="1"/>
  <c r="U34" i="10"/>
  <c r="U82" i="11" s="1"/>
  <c r="O34" i="10"/>
  <c r="O82" i="11" s="1"/>
  <c r="P34" i="10"/>
  <c r="P82" i="11" s="1"/>
  <c r="I24" i="2"/>
  <c r="J34" i="4"/>
  <c r="D17" i="11"/>
  <c r="D20" i="7"/>
  <c r="Q30" i="7"/>
  <c r="I28" i="11"/>
  <c r="I35" i="11"/>
  <c r="Q37" i="7"/>
  <c r="Q52" i="7"/>
  <c r="I50" i="11"/>
  <c r="Y50" i="11" s="1"/>
  <c r="K49" i="7"/>
  <c r="Q320" i="7"/>
  <c r="I279" i="10"/>
  <c r="Y279" i="10" s="1"/>
  <c r="I284" i="10"/>
  <c r="Y284" i="10" s="1"/>
  <c r="Q325" i="7"/>
  <c r="AG122" i="2"/>
  <c r="AC127" i="2"/>
  <c r="AH122" i="2"/>
  <c r="AH123" i="2"/>
  <c r="AG134" i="2"/>
  <c r="I193" i="11"/>
  <c r="Y193" i="11" s="1"/>
  <c r="K196" i="10"/>
  <c r="K244" i="11" s="1"/>
  <c r="R196" i="10"/>
  <c r="R244" i="11" s="1"/>
  <c r="M196" i="10"/>
  <c r="M195" i="10" s="1"/>
  <c r="R34" i="10"/>
  <c r="R82" i="11" s="1"/>
  <c r="I319" i="2"/>
  <c r="I286" i="2" s="1"/>
  <c r="I58" i="11"/>
  <c r="I332" i="11"/>
  <c r="Y332" i="11" s="1"/>
  <c r="Q56" i="7"/>
  <c r="AG129" i="2"/>
  <c r="AE25" i="2"/>
  <c r="AG18" i="2"/>
  <c r="AE19" i="2"/>
  <c r="I64" i="2"/>
  <c r="G49" i="45"/>
  <c r="G40" i="46"/>
  <c r="H31" i="8"/>
  <c r="K290" i="7" s="1"/>
  <c r="L290" i="7" s="1"/>
  <c r="AE61" i="2"/>
  <c r="J101" i="13"/>
  <c r="W101" i="13" s="1"/>
  <c r="W102" i="13"/>
  <c r="N59" i="11"/>
  <c r="M58" i="11"/>
  <c r="M47" i="11" s="1"/>
  <c r="M16" i="11" s="1"/>
  <c r="M62" i="11" s="1"/>
  <c r="G20" i="35"/>
  <c r="H20" i="35" s="1"/>
  <c r="K207" i="7" s="1"/>
  <c r="L207" i="7" s="1"/>
  <c r="AB361" i="7"/>
  <c r="AB363" i="7"/>
  <c r="AB365" i="7"/>
  <c r="AF204" i="13"/>
  <c r="W103" i="13"/>
  <c r="W91" i="13"/>
  <c r="X91" i="13" s="1"/>
  <c r="X192" i="13"/>
  <c r="G44" i="33"/>
  <c r="Y61" i="11"/>
  <c r="Y25" i="11"/>
  <c r="Y23" i="11"/>
  <c r="G25" i="23"/>
  <c r="H25" i="23" s="1"/>
  <c r="G21" i="23"/>
  <c r="K170" i="10"/>
  <c r="K218" i="11" s="1"/>
  <c r="N216" i="10"/>
  <c r="W266" i="10"/>
  <c r="G18" i="24"/>
  <c r="G22" i="27"/>
  <c r="I34" i="39"/>
  <c r="K243" i="7" s="1"/>
  <c r="M243" i="7" s="1"/>
  <c r="H39" i="43"/>
  <c r="N148" i="10"/>
  <c r="O114" i="10"/>
  <c r="O113" i="10" s="1"/>
  <c r="O161" i="11" s="1"/>
  <c r="T97" i="10"/>
  <c r="M93" i="10"/>
  <c r="M92" i="10" s="1"/>
  <c r="M140" i="11" s="1"/>
  <c r="W322" i="11"/>
  <c r="N83" i="13"/>
  <c r="N82" i="13" s="1"/>
  <c r="M83" i="13"/>
  <c r="M82" i="13" s="1"/>
  <c r="K83" i="13"/>
  <c r="K82" i="13" s="1"/>
  <c r="X297" i="13"/>
  <c r="X58" i="13"/>
  <c r="X50" i="13"/>
  <c r="T18" i="7"/>
  <c r="V18" i="7" s="1"/>
  <c r="G27" i="33"/>
  <c r="H27" i="33" s="1"/>
  <c r="H29" i="33"/>
  <c r="I175" i="11" s="1"/>
  <c r="H35" i="19"/>
  <c r="G19" i="26"/>
  <c r="H18" i="31"/>
  <c r="H30" i="31" s="1"/>
  <c r="D11" i="31" s="1"/>
  <c r="G22" i="43"/>
  <c r="W321" i="11"/>
  <c r="L27" i="2"/>
  <c r="W27" i="2" s="1"/>
  <c r="N27" i="2"/>
  <c r="O27" i="2" s="1"/>
  <c r="P27" i="2" s="1"/>
  <c r="Q27" i="2" s="1"/>
  <c r="R27" i="2" s="1"/>
  <c r="S27" i="2" s="1"/>
  <c r="T27" i="2" s="1"/>
  <c r="U27" i="2" s="1"/>
  <c r="V27" i="2" s="1"/>
  <c r="N33" i="2"/>
  <c r="O33" i="2" s="1"/>
  <c r="P33" i="2" s="1"/>
  <c r="Q33" i="2" s="1"/>
  <c r="R33" i="2" s="1"/>
  <c r="S33" i="2" s="1"/>
  <c r="T33" i="2" s="1"/>
  <c r="U33" i="2" s="1"/>
  <c r="V33" i="2" s="1"/>
  <c r="L33" i="2"/>
  <c r="W33" i="2" s="1"/>
  <c r="I219" i="13"/>
  <c r="X219" i="13" s="1"/>
  <c r="X220" i="13"/>
  <c r="I23" i="2"/>
  <c r="I236" i="10"/>
  <c r="G21" i="22"/>
  <c r="H20" i="22"/>
  <c r="H20" i="32"/>
  <c r="H21" i="32" s="1"/>
  <c r="G21" i="32"/>
  <c r="I232" i="10"/>
  <c r="Y232" i="10" s="1"/>
  <c r="I280" i="11"/>
  <c r="I235" i="10"/>
  <c r="Y235" i="10" s="1"/>
  <c r="I283" i="11"/>
  <c r="I237" i="10"/>
  <c r="Y237" i="10" s="1"/>
  <c r="I285" i="11"/>
  <c r="I271" i="13"/>
  <c r="X271" i="13" s="1"/>
  <c r="K298" i="7"/>
  <c r="I264" i="13"/>
  <c r="X264" i="13" s="1"/>
  <c r="K291" i="7"/>
  <c r="L291" i="7" s="1"/>
  <c r="M291" i="7" s="1"/>
  <c r="I265" i="13"/>
  <c r="X265" i="13" s="1"/>
  <c r="K292" i="7"/>
  <c r="L292" i="7" s="1"/>
  <c r="M292" i="7" s="1"/>
  <c r="I249" i="10"/>
  <c r="Y249" i="10" s="1"/>
  <c r="I247" i="10"/>
  <c r="X247" i="10" s="1"/>
  <c r="AE74" i="2"/>
  <c r="N69" i="2"/>
  <c r="O69" i="2" s="1"/>
  <c r="P69" i="2" s="1"/>
  <c r="Q69" i="2" s="1"/>
  <c r="R69" i="2" s="1"/>
  <c r="S69" i="2" s="1"/>
  <c r="T69" i="2" s="1"/>
  <c r="U69" i="2" s="1"/>
  <c r="V69" i="2" s="1"/>
  <c r="AE73" i="2"/>
  <c r="AE72" i="2"/>
  <c r="AF72" i="2" s="1"/>
  <c r="AH59" i="2"/>
  <c r="AH64" i="2" s="1"/>
  <c r="AH65" i="2" s="1"/>
  <c r="L69" i="2"/>
  <c r="W69" i="2" s="1"/>
  <c r="AE71" i="2"/>
  <c r="AF71" i="2" s="1"/>
  <c r="AG59" i="2"/>
  <c r="AG64" i="2" s="1"/>
  <c r="AJ59" i="2"/>
  <c r="AJ64" i="2" s="1"/>
  <c r="AF59" i="2"/>
  <c r="AE70" i="2"/>
  <c r="AF70" i="2" s="1"/>
  <c r="AI59" i="2"/>
  <c r="AI64" i="2" s="1"/>
  <c r="AI65" i="2" s="1"/>
  <c r="AF170" i="2"/>
  <c r="G19" i="34"/>
  <c r="H18" i="34"/>
  <c r="H19" i="34" s="1"/>
  <c r="I172" i="2"/>
  <c r="I122" i="2" s="1"/>
  <c r="N53" i="2"/>
  <c r="O53" i="2" s="1"/>
  <c r="P53" i="2" s="1"/>
  <c r="Q53" i="2" s="1"/>
  <c r="R53" i="2" s="1"/>
  <c r="S53" i="2" s="1"/>
  <c r="T53" i="2" s="1"/>
  <c r="U53" i="2" s="1"/>
  <c r="V53" i="2" s="1"/>
  <c r="L53" i="2"/>
  <c r="W53" i="2" s="1"/>
  <c r="H30" i="45"/>
  <c r="H40" i="46"/>
  <c r="I233" i="10" s="1"/>
  <c r="X233" i="10" s="1"/>
  <c r="I270" i="13"/>
  <c r="X270" i="13" s="1"/>
  <c r="K297" i="7"/>
  <c r="H19" i="21"/>
  <c r="H20" i="21" s="1"/>
  <c r="I117" i="13"/>
  <c r="K134" i="7"/>
  <c r="I173" i="13"/>
  <c r="I184" i="11"/>
  <c r="Q208" i="7"/>
  <c r="I284" i="13"/>
  <c r="X284" i="13" s="1"/>
  <c r="X285" i="13"/>
  <c r="I159" i="13"/>
  <c r="X159" i="13" s="1"/>
  <c r="X160" i="13"/>
  <c r="AB189" i="13"/>
  <c r="AF182" i="13"/>
  <c r="AF189" i="13" s="1"/>
  <c r="J98" i="13"/>
  <c r="W99" i="13"/>
  <c r="I152" i="10"/>
  <c r="I200" i="11"/>
  <c r="Q84" i="7"/>
  <c r="K83" i="7"/>
  <c r="G19" i="18"/>
  <c r="I151" i="10"/>
  <c r="Y151" i="10" s="1"/>
  <c r="I199" i="11"/>
  <c r="Y199" i="11" s="1"/>
  <c r="K244" i="7"/>
  <c r="I226" i="11"/>
  <c r="K281" i="7"/>
  <c r="Q282" i="7"/>
  <c r="I244" i="13"/>
  <c r="K288" i="11"/>
  <c r="W288" i="11" s="1"/>
  <c r="I144" i="10"/>
  <c r="K147" i="10"/>
  <c r="K195" i="11" s="1"/>
  <c r="K216" i="10"/>
  <c r="K264" i="11" s="1"/>
  <c r="K265" i="11"/>
  <c r="K134" i="11"/>
  <c r="K214" i="7"/>
  <c r="M214" i="7" s="1"/>
  <c r="I192" i="11"/>
  <c r="I146" i="10"/>
  <c r="L163" i="10"/>
  <c r="L211" i="11" s="1"/>
  <c r="O163" i="10"/>
  <c r="O211" i="11" s="1"/>
  <c r="I198" i="13"/>
  <c r="U32" i="10"/>
  <c r="U80" i="11" s="1"/>
  <c r="T31" i="10"/>
  <c r="T79" i="11" s="1"/>
  <c r="O31" i="10"/>
  <c r="O79" i="11" s="1"/>
  <c r="N31" i="10"/>
  <c r="N79" i="11" s="1"/>
  <c r="G42" i="9"/>
  <c r="X222" i="10"/>
  <c r="K36" i="7"/>
  <c r="M36" i="7" s="1"/>
  <c r="K19" i="7"/>
  <c r="M19" i="7" s="1"/>
  <c r="I336" i="11"/>
  <c r="Y336" i="11" s="1"/>
  <c r="I327" i="11"/>
  <c r="Y327" i="11" s="1"/>
  <c r="AE127" i="2"/>
  <c r="AE57" i="2"/>
  <c r="AE24" i="2"/>
  <c r="AF18" i="2"/>
  <c r="AG17" i="2"/>
  <c r="H28" i="35"/>
  <c r="X240" i="13"/>
  <c r="I258" i="11"/>
  <c r="I191" i="13"/>
  <c r="X177" i="13"/>
  <c r="X26" i="13"/>
  <c r="I15" i="13"/>
  <c r="X33" i="13"/>
  <c r="I32" i="13"/>
  <c r="X32" i="13" s="1"/>
  <c r="J82" i="13"/>
  <c r="W84" i="13"/>
  <c r="J22" i="47"/>
  <c r="K22" i="47" s="1"/>
  <c r="H21" i="33"/>
  <c r="Y178" i="10"/>
  <c r="J67" i="12"/>
  <c r="G73" i="6"/>
  <c r="G72" i="6" s="1"/>
  <c r="G56" i="33"/>
  <c r="G54" i="33"/>
  <c r="G48" i="33"/>
  <c r="G46" i="33"/>
  <c r="Y90" i="10"/>
  <c r="X90" i="10"/>
  <c r="Y45" i="11"/>
  <c r="Y33" i="11"/>
  <c r="I235" i="13"/>
  <c r="K277" i="7"/>
  <c r="K274" i="7"/>
  <c r="M274" i="7" s="1"/>
  <c r="K96" i="10"/>
  <c r="K145" i="11"/>
  <c r="W231" i="10"/>
  <c r="K110" i="10"/>
  <c r="L216" i="10"/>
  <c r="K93" i="10"/>
  <c r="W55" i="10"/>
  <c r="K103" i="11"/>
  <c r="W103" i="11" s="1"/>
  <c r="K81" i="10"/>
  <c r="K129" i="11" s="1"/>
  <c r="K130" i="11"/>
  <c r="W130" i="11" s="1"/>
  <c r="K114" i="10"/>
  <c r="K163" i="11"/>
  <c r="K141" i="10"/>
  <c r="K190" i="11"/>
  <c r="W180" i="10"/>
  <c r="K228" i="11"/>
  <c r="W228" i="11" s="1"/>
  <c r="W227" i="10"/>
  <c r="K275" i="11"/>
  <c r="W275" i="11" s="1"/>
  <c r="W236" i="10"/>
  <c r="K284" i="11"/>
  <c r="W284" i="11" s="1"/>
  <c r="W264" i="10"/>
  <c r="K312" i="11"/>
  <c r="W312" i="11" s="1"/>
  <c r="R252" i="10"/>
  <c r="R301" i="11"/>
  <c r="O252" i="10"/>
  <c r="O301" i="11"/>
  <c r="R216" i="10"/>
  <c r="R264" i="11" s="1"/>
  <c r="R265" i="11"/>
  <c r="P216" i="10"/>
  <c r="P264" i="11" s="1"/>
  <c r="P265" i="11"/>
  <c r="Q252" i="10"/>
  <c r="Q301" i="11"/>
  <c r="P252" i="10"/>
  <c r="P301" i="11"/>
  <c r="R61" i="10"/>
  <c r="R109" i="11" s="1"/>
  <c r="R110" i="11"/>
  <c r="M252" i="10"/>
  <c r="M301" i="11"/>
  <c r="Q170" i="10"/>
  <c r="Q218" i="11" s="1"/>
  <c r="Q225" i="11"/>
  <c r="V152" i="10"/>
  <c r="V200" i="11" s="1"/>
  <c r="V201" i="11"/>
  <c r="T152" i="10"/>
  <c r="T200" i="11" s="1"/>
  <c r="T201" i="11"/>
  <c r="R152" i="10"/>
  <c r="R200" i="11" s="1"/>
  <c r="R201" i="11"/>
  <c r="P152" i="10"/>
  <c r="P200" i="11" s="1"/>
  <c r="P201" i="11"/>
  <c r="N152" i="10"/>
  <c r="N200" i="11" s="1"/>
  <c r="N201" i="11"/>
  <c r="L152" i="10"/>
  <c r="L200" i="11" s="1"/>
  <c r="L201" i="11"/>
  <c r="T148" i="10"/>
  <c r="T197" i="11"/>
  <c r="R148" i="10"/>
  <c r="Q148" i="10"/>
  <c r="Q197" i="11"/>
  <c r="O148" i="10"/>
  <c r="O196" i="11" s="1"/>
  <c r="O197" i="11"/>
  <c r="L148" i="10"/>
  <c r="L197" i="11"/>
  <c r="U141" i="10"/>
  <c r="T141" i="10"/>
  <c r="T190" i="11"/>
  <c r="R141" i="10"/>
  <c r="R190" i="11"/>
  <c r="O141" i="10"/>
  <c r="O189" i="11" s="1"/>
  <c r="O190" i="11"/>
  <c r="M141" i="10"/>
  <c r="M190" i="11"/>
  <c r="V125" i="10"/>
  <c r="V173" i="11" s="1"/>
  <c r="V174" i="11"/>
  <c r="T125" i="10"/>
  <c r="T173" i="11" s="1"/>
  <c r="T174" i="11"/>
  <c r="R125" i="10"/>
  <c r="R173" i="11" s="1"/>
  <c r="R174" i="11"/>
  <c r="P125" i="10"/>
  <c r="P173" i="11" s="1"/>
  <c r="P174" i="11"/>
  <c r="M125" i="10"/>
  <c r="M173" i="11" s="1"/>
  <c r="M174" i="11"/>
  <c r="V114" i="10"/>
  <c r="V163" i="11"/>
  <c r="S114" i="10"/>
  <c r="R114" i="10"/>
  <c r="R163" i="11"/>
  <c r="P114" i="10"/>
  <c r="P163" i="11"/>
  <c r="M114" i="10"/>
  <c r="M163" i="11"/>
  <c r="V110" i="10"/>
  <c r="U110" i="10"/>
  <c r="U159" i="11"/>
  <c r="S110" i="10"/>
  <c r="S159" i="11"/>
  <c r="N110" i="10"/>
  <c r="N158" i="11" s="1"/>
  <c r="N159" i="11"/>
  <c r="L110" i="10"/>
  <c r="Q110" i="10"/>
  <c r="Q159" i="11"/>
  <c r="U100" i="10"/>
  <c r="U148" i="11" s="1"/>
  <c r="U150" i="11"/>
  <c r="S100" i="10"/>
  <c r="S148" i="11" s="1"/>
  <c r="S150" i="11"/>
  <c r="Q100" i="10"/>
  <c r="Q148" i="11" s="1"/>
  <c r="Q150" i="11"/>
  <c r="O100" i="10"/>
  <c r="O148" i="11" s="1"/>
  <c r="O150" i="11"/>
  <c r="L100" i="10"/>
  <c r="L148" i="11" s="1"/>
  <c r="L150" i="11"/>
  <c r="U97" i="10"/>
  <c r="U146" i="11"/>
  <c r="R97" i="10"/>
  <c r="R146" i="11"/>
  <c r="O97" i="10"/>
  <c r="M97" i="10"/>
  <c r="M146" i="11"/>
  <c r="P97" i="10"/>
  <c r="P146" i="11"/>
  <c r="T93" i="10"/>
  <c r="T142" i="11"/>
  <c r="R93" i="10"/>
  <c r="Q93" i="10"/>
  <c r="Q142" i="11"/>
  <c r="O93" i="10"/>
  <c r="O142" i="11"/>
  <c r="V86" i="10"/>
  <c r="V135" i="11"/>
  <c r="T86" i="10"/>
  <c r="S86" i="10"/>
  <c r="S135" i="11"/>
  <c r="Q86" i="10"/>
  <c r="Q135" i="11"/>
  <c r="N86" i="10"/>
  <c r="N135" i="11"/>
  <c r="L86" i="10"/>
  <c r="V81" i="10"/>
  <c r="U81" i="10"/>
  <c r="T81" i="10"/>
  <c r="S81" i="10"/>
  <c r="R81" i="10"/>
  <c r="Q81" i="10"/>
  <c r="P81" i="10"/>
  <c r="O81" i="10"/>
  <c r="N81" i="10"/>
  <c r="M81" i="10"/>
  <c r="L81" i="10"/>
  <c r="V75" i="10"/>
  <c r="U75" i="10"/>
  <c r="T75" i="10"/>
  <c r="S75" i="10"/>
  <c r="R75" i="10"/>
  <c r="Q75" i="10"/>
  <c r="P75" i="10"/>
  <c r="O75" i="10"/>
  <c r="N75" i="10"/>
  <c r="M75" i="10"/>
  <c r="L75" i="10"/>
  <c r="O62" i="10"/>
  <c r="O111" i="11"/>
  <c r="AA28" i="13"/>
  <c r="AA35" i="13" s="1"/>
  <c r="AD28" i="13"/>
  <c r="AD29" i="13" s="1"/>
  <c r="N17" i="11"/>
  <c r="Y55" i="11"/>
  <c r="W229" i="10"/>
  <c r="K277" i="11"/>
  <c r="W277" i="11" s="1"/>
  <c r="K123" i="11"/>
  <c r="S264" i="11"/>
  <c r="N264" i="11"/>
  <c r="W63" i="10"/>
  <c r="K111" i="11"/>
  <c r="W76" i="10"/>
  <c r="K124" i="11"/>
  <c r="W124" i="11" s="1"/>
  <c r="K125" i="10"/>
  <c r="K173" i="11" s="1"/>
  <c r="K174" i="11"/>
  <c r="K152" i="10"/>
  <c r="K201" i="11"/>
  <c r="W177" i="10"/>
  <c r="K225" i="11"/>
  <c r="W225" i="11" s="1"/>
  <c r="W223" i="10"/>
  <c r="K271" i="11"/>
  <c r="W271" i="11" s="1"/>
  <c r="W242" i="10"/>
  <c r="K290" i="11"/>
  <c r="W290" i="11" s="1"/>
  <c r="W260" i="10"/>
  <c r="K308" i="11"/>
  <c r="W308" i="11" s="1"/>
  <c r="M216" i="10"/>
  <c r="M265" i="11"/>
  <c r="V252" i="10"/>
  <c r="V301" i="11"/>
  <c r="S300" i="11"/>
  <c r="T216" i="10"/>
  <c r="T265" i="11"/>
  <c r="N61" i="10"/>
  <c r="N109" i="11" s="1"/>
  <c r="N110" i="11"/>
  <c r="L301" i="11"/>
  <c r="T252" i="10"/>
  <c r="T301" i="11"/>
  <c r="S61" i="10"/>
  <c r="S109" i="11" s="1"/>
  <c r="S110" i="11"/>
  <c r="V61" i="10"/>
  <c r="V109" i="11" s="1"/>
  <c r="V110" i="11"/>
  <c r="U252" i="10"/>
  <c r="U301" i="11"/>
  <c r="L170" i="10"/>
  <c r="L218" i="11" s="1"/>
  <c r="L219" i="11"/>
  <c r="W219" i="11" s="1"/>
  <c r="U152" i="10"/>
  <c r="U200" i="11" s="1"/>
  <c r="U201" i="11"/>
  <c r="S152" i="10"/>
  <c r="S200" i="11" s="1"/>
  <c r="S201" i="11"/>
  <c r="Q152" i="10"/>
  <c r="Q200" i="11" s="1"/>
  <c r="Q201" i="11"/>
  <c r="O152" i="10"/>
  <c r="O200" i="11" s="1"/>
  <c r="O201" i="11"/>
  <c r="M152" i="10"/>
  <c r="M200" i="11" s="1"/>
  <c r="M201" i="11"/>
  <c r="V196" i="11"/>
  <c r="U148" i="10"/>
  <c r="U197" i="11"/>
  <c r="S148" i="10"/>
  <c r="S197" i="11"/>
  <c r="P148" i="10"/>
  <c r="P197" i="11"/>
  <c r="N147" i="10"/>
  <c r="N195" i="11" s="1"/>
  <c r="N196" i="11"/>
  <c r="M148" i="10"/>
  <c r="M197" i="11"/>
  <c r="V141" i="10"/>
  <c r="V190" i="11"/>
  <c r="S141" i="10"/>
  <c r="S190" i="11"/>
  <c r="Q140" i="10"/>
  <c r="Q188" i="11" s="1"/>
  <c r="Q189" i="11"/>
  <c r="P141" i="10"/>
  <c r="P190" i="11"/>
  <c r="N141" i="10"/>
  <c r="N190" i="11"/>
  <c r="L141" i="10"/>
  <c r="L190" i="11"/>
  <c r="U125" i="10"/>
  <c r="U173" i="11" s="1"/>
  <c r="U174" i="11"/>
  <c r="S125" i="10"/>
  <c r="S173" i="11" s="1"/>
  <c r="S174" i="11"/>
  <c r="Q125" i="10"/>
  <c r="Q173" i="11" s="1"/>
  <c r="Q174" i="11"/>
  <c r="O125" i="10"/>
  <c r="O173" i="11" s="1"/>
  <c r="O174" i="11"/>
  <c r="L125" i="10"/>
  <c r="L173" i="11" s="1"/>
  <c r="L174" i="11"/>
  <c r="U114" i="10"/>
  <c r="U163" i="11"/>
  <c r="Q114" i="10"/>
  <c r="Q163" i="11"/>
  <c r="O162" i="11"/>
  <c r="N114" i="10"/>
  <c r="N163" i="11"/>
  <c r="L114" i="10"/>
  <c r="L163" i="11"/>
  <c r="T110" i="10"/>
  <c r="T159" i="11"/>
  <c r="P109" i="10"/>
  <c r="P158" i="11"/>
  <c r="O110" i="10"/>
  <c r="O159" i="11"/>
  <c r="M110" i="10"/>
  <c r="M159" i="11"/>
  <c r="V100" i="10"/>
  <c r="V148" i="11" s="1"/>
  <c r="V150" i="11"/>
  <c r="T100" i="10"/>
  <c r="T148" i="11" s="1"/>
  <c r="T150" i="11"/>
  <c r="R100" i="10"/>
  <c r="R148" i="11" s="1"/>
  <c r="R150" i="11"/>
  <c r="P100" i="10"/>
  <c r="P148" i="11" s="1"/>
  <c r="P150" i="11"/>
  <c r="M100" i="10"/>
  <c r="M148" i="11" s="1"/>
  <c r="M150" i="11"/>
  <c r="V97" i="10"/>
  <c r="V146" i="11"/>
  <c r="T96" i="10"/>
  <c r="T144" i="11" s="1"/>
  <c r="T145" i="11"/>
  <c r="S97" i="10"/>
  <c r="S146" i="11"/>
  <c r="Q97" i="10"/>
  <c r="Q146" i="11"/>
  <c r="L97" i="10"/>
  <c r="L146" i="11"/>
  <c r="V92" i="10"/>
  <c r="V140" i="11" s="1"/>
  <c r="V141" i="11"/>
  <c r="U93" i="10"/>
  <c r="U142" i="11"/>
  <c r="S93" i="10"/>
  <c r="S142" i="11"/>
  <c r="P93" i="10"/>
  <c r="P142" i="11"/>
  <c r="M141" i="11"/>
  <c r="L93" i="10"/>
  <c r="L142" i="11"/>
  <c r="U86" i="10"/>
  <c r="U135" i="11"/>
  <c r="R86" i="10"/>
  <c r="R135" i="11"/>
  <c r="P134" i="11"/>
  <c r="O86" i="10"/>
  <c r="O135" i="11"/>
  <c r="M86" i="10"/>
  <c r="M135" i="11"/>
  <c r="W96" i="11"/>
  <c r="X259" i="10"/>
  <c r="X230" i="10"/>
  <c r="Q195" i="10"/>
  <c r="Q244" i="11"/>
  <c r="I224" i="13"/>
  <c r="X225" i="13"/>
  <c r="P39" i="11"/>
  <c r="W38" i="11"/>
  <c r="Y38" i="11" s="1"/>
  <c r="U37" i="11"/>
  <c r="U162" i="10"/>
  <c r="U211" i="11"/>
  <c r="W106" i="10"/>
  <c r="X106" i="10" s="1"/>
  <c r="N154" i="11"/>
  <c r="W154" i="11" s="1"/>
  <c r="W103" i="10"/>
  <c r="X103" i="10" s="1"/>
  <c r="N151" i="11"/>
  <c r="W151" i="11" s="1"/>
  <c r="T196" i="10"/>
  <c r="P196" i="10"/>
  <c r="L196" i="10"/>
  <c r="S196" i="10"/>
  <c r="V196" i="10"/>
  <c r="N196" i="10"/>
  <c r="Q230" i="7"/>
  <c r="I244" i="11"/>
  <c r="Y181" i="10"/>
  <c r="Q248" i="7"/>
  <c r="I229" i="11"/>
  <c r="I192" i="10"/>
  <c r="M192" i="10" s="1"/>
  <c r="L34" i="10"/>
  <c r="L82" i="11" s="1"/>
  <c r="S34" i="10"/>
  <c r="S82" i="11" s="1"/>
  <c r="V34" i="10"/>
  <c r="V82" i="11" s="1"/>
  <c r="N34" i="10"/>
  <c r="N82" i="11" s="1"/>
  <c r="Q34" i="10"/>
  <c r="Q82" i="11" s="1"/>
  <c r="S33" i="10"/>
  <c r="S81" i="11" s="1"/>
  <c r="V33" i="10"/>
  <c r="V81" i="11" s="1"/>
  <c r="N33" i="10"/>
  <c r="N81" i="11" s="1"/>
  <c r="Q33" i="10"/>
  <c r="Q81" i="11" s="1"/>
  <c r="Q31" i="10"/>
  <c r="Q79" i="11" s="1"/>
  <c r="U31" i="10"/>
  <c r="U79" i="11" s="1"/>
  <c r="P31" i="10"/>
  <c r="P79" i="11" s="1"/>
  <c r="S31" i="10"/>
  <c r="V31" i="10"/>
  <c r="V79" i="11" s="1"/>
  <c r="I79" i="11"/>
  <c r="I298" i="11"/>
  <c r="I282" i="11"/>
  <c r="I273" i="11"/>
  <c r="I287" i="11"/>
  <c r="I70" i="11"/>
  <c r="Y44" i="11"/>
  <c r="X152" i="13"/>
  <c r="I136" i="10"/>
  <c r="I210" i="10"/>
  <c r="AE28" i="13"/>
  <c r="AE29" i="13" s="1"/>
  <c r="I176" i="11"/>
  <c r="Y143" i="10"/>
  <c r="X138" i="10"/>
  <c r="X218" i="10"/>
  <c r="Y20" i="11"/>
  <c r="Y27" i="11"/>
  <c r="T40" i="11"/>
  <c r="T39" i="11" s="1"/>
  <c r="Y46" i="11"/>
  <c r="Y289" i="10"/>
  <c r="Y287" i="10"/>
  <c r="Y285" i="10"/>
  <c r="Y230" i="10"/>
  <c r="Y186" i="11"/>
  <c r="L17" i="11"/>
  <c r="W17" i="11" s="1"/>
  <c r="W18" i="11"/>
  <c r="Y18" i="11" s="1"/>
  <c r="I296" i="11"/>
  <c r="I244" i="10"/>
  <c r="X244" i="10" s="1"/>
  <c r="I292" i="11"/>
  <c r="AB28" i="13"/>
  <c r="AB29" i="13" s="1"/>
  <c r="AF28" i="13"/>
  <c r="AA39" i="13" s="1"/>
  <c r="K62" i="10"/>
  <c r="N109" i="10"/>
  <c r="N157" i="11" s="1"/>
  <c r="K80" i="10"/>
  <c r="X155" i="10"/>
  <c r="K74" i="10"/>
  <c r="W153" i="10"/>
  <c r="K253" i="10"/>
  <c r="K301" i="11" s="1"/>
  <c r="O216" i="10"/>
  <c r="M163" i="10"/>
  <c r="Q163" i="10"/>
  <c r="R163" i="10"/>
  <c r="V163" i="10"/>
  <c r="K163" i="10"/>
  <c r="K211" i="11" s="1"/>
  <c r="P163" i="10"/>
  <c r="T163" i="10"/>
  <c r="T32" i="10"/>
  <c r="O32" i="10"/>
  <c r="O80" i="11" s="1"/>
  <c r="K32" i="10"/>
  <c r="K80" i="11" s="1"/>
  <c r="P32" i="10"/>
  <c r="Q32" i="10"/>
  <c r="N32" i="10"/>
  <c r="N80" i="11" s="1"/>
  <c r="V32" i="10"/>
  <c r="X272" i="10"/>
  <c r="W254" i="10"/>
  <c r="L68" i="13"/>
  <c r="Y226" i="10"/>
  <c r="X226" i="10"/>
  <c r="Y228" i="10"/>
  <c r="X228" i="10"/>
  <c r="Y250" i="10"/>
  <c r="X250" i="10"/>
  <c r="Y239" i="10"/>
  <c r="X239" i="10"/>
  <c r="Y248" i="10"/>
  <c r="X248" i="10"/>
  <c r="V41" i="11"/>
  <c r="W42" i="11"/>
  <c r="Y42" i="11" s="1"/>
  <c r="I291" i="11"/>
  <c r="I276" i="11"/>
  <c r="I274" i="11"/>
  <c r="I297" i="11"/>
  <c r="O147" i="10"/>
  <c r="O140" i="10"/>
  <c r="Y172" i="10" l="1"/>
  <c r="Y21" i="11"/>
  <c r="Y54" i="11"/>
  <c r="Y48" i="11"/>
  <c r="O195" i="10"/>
  <c r="Y88" i="10"/>
  <c r="X234" i="10"/>
  <c r="Q315" i="7"/>
  <c r="M315" i="7"/>
  <c r="I283" i="10"/>
  <c r="Y283" i="10" s="1"/>
  <c r="G18" i="6"/>
  <c r="M49" i="7"/>
  <c r="X175" i="10"/>
  <c r="Y56" i="11"/>
  <c r="Y182" i="10"/>
  <c r="X220" i="10"/>
  <c r="Q267" i="7"/>
  <c r="X201" i="10"/>
  <c r="Y286" i="10"/>
  <c r="X154" i="10"/>
  <c r="N96" i="17"/>
  <c r="Q277" i="7"/>
  <c r="M277" i="7"/>
  <c r="I310" i="11"/>
  <c r="L297" i="7"/>
  <c r="M297" i="7" s="1"/>
  <c r="I311" i="11"/>
  <c r="L298" i="7"/>
  <c r="M298" i="7" s="1"/>
  <c r="I105" i="10"/>
  <c r="N105" i="10" s="1"/>
  <c r="W105" i="10" s="1"/>
  <c r="Y105" i="10" s="1"/>
  <c r="M175" i="7"/>
  <c r="I177" i="10"/>
  <c r="X177" i="10" s="1"/>
  <c r="M244" i="7"/>
  <c r="I125" i="11"/>
  <c r="Y125" i="11" s="1"/>
  <c r="M134" i="7"/>
  <c r="M207" i="7"/>
  <c r="L206" i="7"/>
  <c r="K140" i="7"/>
  <c r="K139" i="7" s="1"/>
  <c r="I85" i="10" s="1"/>
  <c r="M141" i="7"/>
  <c r="I104" i="10"/>
  <c r="N104" i="10" s="1"/>
  <c r="N152" i="11" s="1"/>
  <c r="W152" i="11" s="1"/>
  <c r="M174" i="7"/>
  <c r="I21" i="10"/>
  <c r="V21" i="10" s="1"/>
  <c r="V69" i="11" s="1"/>
  <c r="M72" i="7"/>
  <c r="Q247" i="7"/>
  <c r="M247" i="7"/>
  <c r="I180" i="10"/>
  <c r="X180" i="10" s="1"/>
  <c r="L230" i="7"/>
  <c r="M231" i="7"/>
  <c r="L267" i="7"/>
  <c r="M268" i="7"/>
  <c r="T28" i="7"/>
  <c r="I78" i="11"/>
  <c r="M83" i="7"/>
  <c r="I209" i="10"/>
  <c r="Y209" i="10" s="1"/>
  <c r="M281" i="7"/>
  <c r="M290" i="7"/>
  <c r="K229" i="7"/>
  <c r="I210" i="11"/>
  <c r="K266" i="7"/>
  <c r="I195" i="10"/>
  <c r="L262" i="7"/>
  <c r="M263" i="7"/>
  <c r="K103" i="7"/>
  <c r="M103" i="7" s="1"/>
  <c r="M104" i="7"/>
  <c r="H57" i="17"/>
  <c r="K95" i="7" s="1"/>
  <c r="I88" i="11" s="1"/>
  <c r="I100" i="11"/>
  <c r="Y100" i="11" s="1"/>
  <c r="M109" i="7"/>
  <c r="I54" i="10"/>
  <c r="M54" i="10" s="1"/>
  <c r="M102" i="11" s="1"/>
  <c r="W102" i="11" s="1"/>
  <c r="M110" i="7"/>
  <c r="H30" i="19"/>
  <c r="N30" i="19"/>
  <c r="H39" i="19"/>
  <c r="K125" i="7" s="1"/>
  <c r="M125" i="7" s="1"/>
  <c r="N39" i="19"/>
  <c r="I102" i="11"/>
  <c r="Q110" i="7"/>
  <c r="Q109" i="7"/>
  <c r="H47" i="17"/>
  <c r="H69" i="17"/>
  <c r="K98" i="7" s="1"/>
  <c r="N69" i="17"/>
  <c r="K108" i="7"/>
  <c r="H64" i="17"/>
  <c r="N64" i="17"/>
  <c r="H88" i="17"/>
  <c r="N88" i="17"/>
  <c r="H50" i="17"/>
  <c r="I86" i="13" s="1"/>
  <c r="X86" i="13" s="1"/>
  <c r="N50" i="17"/>
  <c r="H82" i="17"/>
  <c r="K101" i="7" s="1"/>
  <c r="Q101" i="7" s="1"/>
  <c r="H61" i="17"/>
  <c r="K96" i="7" s="1"/>
  <c r="Q96" i="7" s="1"/>
  <c r="N61" i="17"/>
  <c r="H85" i="17"/>
  <c r="K102" i="7" s="1"/>
  <c r="M102" i="7" s="1"/>
  <c r="N85" i="17"/>
  <c r="H102" i="17"/>
  <c r="M112" i="7" s="1"/>
  <c r="N102" i="17"/>
  <c r="I87" i="13"/>
  <c r="X87" i="13" s="1"/>
  <c r="Q105" i="7"/>
  <c r="G33" i="15"/>
  <c r="M20" i="15"/>
  <c r="K78" i="7"/>
  <c r="G26" i="15"/>
  <c r="K79" i="7" s="1"/>
  <c r="L79" i="7" s="1"/>
  <c r="K69" i="13"/>
  <c r="W69" i="13" s="1"/>
  <c r="X69" i="13" s="1"/>
  <c r="I225" i="11"/>
  <c r="X232" i="10"/>
  <c r="Y277" i="10"/>
  <c r="L22" i="10"/>
  <c r="L70" i="11" s="1"/>
  <c r="I87" i="10"/>
  <c r="Y87" i="10" s="1"/>
  <c r="Q141" i="7"/>
  <c r="U195" i="10"/>
  <c r="U194" i="10" s="1"/>
  <c r="N22" i="10"/>
  <c r="N70" i="11" s="1"/>
  <c r="I135" i="11"/>
  <c r="Y135" i="11" s="1"/>
  <c r="V22" i="10"/>
  <c r="V70" i="11" s="1"/>
  <c r="K195" i="10"/>
  <c r="K194" i="10" s="1"/>
  <c r="X243" i="10"/>
  <c r="X225" i="10"/>
  <c r="X284" i="10"/>
  <c r="Y233" i="10"/>
  <c r="T34" i="11"/>
  <c r="N162" i="10"/>
  <c r="N210" i="11" s="1"/>
  <c r="N176" i="11"/>
  <c r="W176" i="11" s="1"/>
  <c r="Y176" i="11" s="1"/>
  <c r="M244" i="11"/>
  <c r="X288" i="10"/>
  <c r="S162" i="10"/>
  <c r="S210" i="11" s="1"/>
  <c r="Y28" i="11"/>
  <c r="K71" i="7"/>
  <c r="L71" i="7" s="1"/>
  <c r="L70" i="7" s="1"/>
  <c r="L69" i="7" s="1"/>
  <c r="I12" i="3" s="1"/>
  <c r="Q207" i="7"/>
  <c r="K206" i="7"/>
  <c r="K262" i="7"/>
  <c r="Q263" i="7"/>
  <c r="I191" i="10"/>
  <c r="L30" i="2"/>
  <c r="W30" i="2" s="1"/>
  <c r="N30" i="2"/>
  <c r="O30" i="2" s="1"/>
  <c r="P30" i="2" s="1"/>
  <c r="Q30" i="2" s="1"/>
  <c r="R30" i="2" s="1"/>
  <c r="S30" i="2" s="1"/>
  <c r="T30" i="2" s="1"/>
  <c r="U30" i="2" s="1"/>
  <c r="V30" i="2" s="1"/>
  <c r="W75" i="10"/>
  <c r="W81" i="10"/>
  <c r="U61" i="10"/>
  <c r="U109" i="11" s="1"/>
  <c r="G51" i="6"/>
  <c r="G50" i="6" s="1"/>
  <c r="AF74" i="2"/>
  <c r="AG127" i="2"/>
  <c r="W217" i="10"/>
  <c r="I345" i="2"/>
  <c r="I274" i="10"/>
  <c r="X274" i="10" s="1"/>
  <c r="K314" i="7"/>
  <c r="W253" i="10"/>
  <c r="X236" i="10"/>
  <c r="H32" i="30"/>
  <c r="H18" i="40"/>
  <c r="H19" i="40" s="1"/>
  <c r="G19" i="40"/>
  <c r="W141" i="10"/>
  <c r="W135" i="11"/>
  <c r="I73" i="13"/>
  <c r="J73" i="13" s="1"/>
  <c r="I43" i="39"/>
  <c r="F47" i="5" s="1"/>
  <c r="H21" i="37"/>
  <c r="G22" i="37"/>
  <c r="I69" i="11"/>
  <c r="Q72" i="7"/>
  <c r="W148" i="10"/>
  <c r="I174" i="10"/>
  <c r="I222" i="11"/>
  <c r="I293" i="11"/>
  <c r="Y245" i="10"/>
  <c r="H42" i="9"/>
  <c r="I246" i="10"/>
  <c r="Y247" i="10"/>
  <c r="I295" i="11"/>
  <c r="I269" i="11"/>
  <c r="I221" i="10"/>
  <c r="I272" i="11"/>
  <c r="H49" i="45"/>
  <c r="I250" i="13" s="1"/>
  <c r="AC29" i="13"/>
  <c r="X156" i="10"/>
  <c r="K67" i="13"/>
  <c r="K66" i="13" s="1"/>
  <c r="Q22" i="10"/>
  <c r="Q70" i="11" s="1"/>
  <c r="I67" i="13"/>
  <c r="I66" i="13" s="1"/>
  <c r="I65" i="13" s="1"/>
  <c r="X151" i="10"/>
  <c r="X235" i="10"/>
  <c r="X237" i="10"/>
  <c r="X249" i="10"/>
  <c r="Y281" i="10"/>
  <c r="X279" i="10"/>
  <c r="K172" i="7"/>
  <c r="L162" i="10"/>
  <c r="L210" i="11" s="1"/>
  <c r="I331" i="11"/>
  <c r="Y331" i="11" s="1"/>
  <c r="J42" i="8"/>
  <c r="J64" i="8" s="1"/>
  <c r="K64" i="8" s="1"/>
  <c r="I273" i="13"/>
  <c r="I272" i="13" s="1"/>
  <c r="X272" i="13" s="1"/>
  <c r="K300" i="7"/>
  <c r="I266" i="13"/>
  <c r="X266" i="13" s="1"/>
  <c r="K293" i="7"/>
  <c r="I258" i="10" s="1"/>
  <c r="I269" i="13"/>
  <c r="I268" i="13" s="1"/>
  <c r="X268" i="13" s="1"/>
  <c r="K296" i="7"/>
  <c r="I263" i="13"/>
  <c r="X263" i="13" s="1"/>
  <c r="H64" i="8"/>
  <c r="K68" i="8" s="1"/>
  <c r="K69" i="8" s="1"/>
  <c r="I108" i="13"/>
  <c r="W35" i="11"/>
  <c r="Y35" i="11" s="1"/>
  <c r="T22" i="10"/>
  <c r="T70" i="11" s="1"/>
  <c r="R22" i="10"/>
  <c r="R70" i="11" s="1"/>
  <c r="X275" i="10"/>
  <c r="K22" i="10"/>
  <c r="K70" i="11" s="1"/>
  <c r="I98" i="11"/>
  <c r="Y98" i="11" s="1"/>
  <c r="O162" i="10"/>
  <c r="O210" i="11" s="1"/>
  <c r="Q324" i="7"/>
  <c r="Y128" i="10"/>
  <c r="I253" i="11"/>
  <c r="K275" i="7"/>
  <c r="M275" i="7" s="1"/>
  <c r="I233" i="13"/>
  <c r="X233" i="13" s="1"/>
  <c r="K133" i="7"/>
  <c r="R195" i="10"/>
  <c r="R194" i="10" s="1"/>
  <c r="Y60" i="11"/>
  <c r="Y52" i="11"/>
  <c r="Y103" i="10"/>
  <c r="Y106" i="10"/>
  <c r="K97" i="7"/>
  <c r="I89" i="13"/>
  <c r="X89" i="13" s="1"/>
  <c r="Y49" i="10"/>
  <c r="X49" i="10"/>
  <c r="Y50" i="10"/>
  <c r="X50" i="10"/>
  <c r="I101" i="11"/>
  <c r="Y101" i="11" s="1"/>
  <c r="Y53" i="10"/>
  <c r="X53" i="10"/>
  <c r="Q104" i="7"/>
  <c r="I97" i="11"/>
  <c r="Y97" i="11" s="1"/>
  <c r="P34" i="11"/>
  <c r="R192" i="10"/>
  <c r="R240" i="11" s="1"/>
  <c r="W36" i="11"/>
  <c r="Y36" i="11" s="1"/>
  <c r="X145" i="10"/>
  <c r="I257" i="11"/>
  <c r="I127" i="10"/>
  <c r="N127" i="10" s="1"/>
  <c r="I322" i="11"/>
  <c r="Y322" i="11" s="1"/>
  <c r="H32" i="20"/>
  <c r="H33" i="20" s="1"/>
  <c r="G33" i="20"/>
  <c r="S22" i="10"/>
  <c r="S70" i="11" s="1"/>
  <c r="P22" i="10"/>
  <c r="P70" i="11" s="1"/>
  <c r="O22" i="10"/>
  <c r="O70" i="11" s="1"/>
  <c r="U22" i="10"/>
  <c r="U70" i="11" s="1"/>
  <c r="W76" i="13"/>
  <c r="X76" i="13" s="1"/>
  <c r="W77" i="13"/>
  <c r="X77" i="13" s="1"/>
  <c r="G24" i="16"/>
  <c r="R30" i="10"/>
  <c r="R78" i="11" s="1"/>
  <c r="AA38" i="13"/>
  <c r="O30" i="10"/>
  <c r="O29" i="10" s="1"/>
  <c r="J16" i="12"/>
  <c r="D11" i="16"/>
  <c r="I14" i="3" s="1"/>
  <c r="F21" i="5" s="1"/>
  <c r="M17" i="5" s="1"/>
  <c r="AA29" i="13"/>
  <c r="M30" i="10"/>
  <c r="M29" i="10" s="1"/>
  <c r="K272" i="7"/>
  <c r="I230" i="13"/>
  <c r="X230" i="13" s="1"/>
  <c r="K280" i="7"/>
  <c r="M280" i="7" s="1"/>
  <c r="I238" i="13"/>
  <c r="X184" i="13"/>
  <c r="I183" i="13"/>
  <c r="Y236" i="10"/>
  <c r="N30" i="10"/>
  <c r="N78" i="11" s="1"/>
  <c r="L30" i="10"/>
  <c r="L29" i="10" s="1"/>
  <c r="U30" i="10"/>
  <c r="U78" i="11" s="1"/>
  <c r="K192" i="10"/>
  <c r="K240" i="11" s="1"/>
  <c r="W301" i="11"/>
  <c r="W170" i="10"/>
  <c r="I281" i="11"/>
  <c r="Q281" i="7"/>
  <c r="W218" i="11"/>
  <c r="N252" i="10"/>
  <c r="I232" i="13"/>
  <c r="W82" i="13"/>
  <c r="AH127" i="2"/>
  <c r="W240" i="10"/>
  <c r="G51" i="46"/>
  <c r="AG65" i="2"/>
  <c r="H20" i="38"/>
  <c r="G28" i="38"/>
  <c r="I138" i="13"/>
  <c r="X139" i="13"/>
  <c r="I153" i="10"/>
  <c r="X153" i="10" s="1"/>
  <c r="I201" i="11"/>
  <c r="Y33" i="7"/>
  <c r="AB41" i="13"/>
  <c r="AA37" i="13"/>
  <c r="K30" i="10"/>
  <c r="K78" i="11" s="1"/>
  <c r="K252" i="10"/>
  <c r="K300" i="11" s="1"/>
  <c r="H37" i="33"/>
  <c r="H28" i="33" s="1"/>
  <c r="H22" i="43"/>
  <c r="H56" i="43" s="1"/>
  <c r="N56" i="43" s="1"/>
  <c r="E16" i="50" s="1"/>
  <c r="G56" i="43"/>
  <c r="H19" i="26"/>
  <c r="G20" i="26"/>
  <c r="J28" i="31"/>
  <c r="J29" i="31"/>
  <c r="J30" i="31" s="1"/>
  <c r="G22" i="28"/>
  <c r="H21" i="28"/>
  <c r="H22" i="28" s="1"/>
  <c r="I21" i="3" s="1"/>
  <c r="I224" i="11"/>
  <c r="I176" i="10"/>
  <c r="H18" i="24"/>
  <c r="H23" i="24" s="1"/>
  <c r="G23" i="24"/>
  <c r="H21" i="23"/>
  <c r="H26" i="23" s="1"/>
  <c r="J25" i="12" s="1"/>
  <c r="N58" i="11"/>
  <c r="N47" i="11" s="1"/>
  <c r="N16" i="11" s="1"/>
  <c r="N62" i="11" s="1"/>
  <c r="O59" i="11"/>
  <c r="D18" i="11"/>
  <c r="D21" i="7"/>
  <c r="W86" i="10"/>
  <c r="W197" i="11"/>
  <c r="H17" i="31"/>
  <c r="K123" i="7"/>
  <c r="M123" i="7" s="1"/>
  <c r="I38" i="2"/>
  <c r="I106" i="13"/>
  <c r="X106" i="13" s="1"/>
  <c r="J75" i="12"/>
  <c r="H22" i="27"/>
  <c r="H23" i="27" s="1"/>
  <c r="G23" i="27"/>
  <c r="Y266" i="10"/>
  <c r="X266" i="10"/>
  <c r="W83" i="13"/>
  <c r="I47" i="11"/>
  <c r="Q49" i="7"/>
  <c r="AG77" i="2"/>
  <c r="AG81" i="2"/>
  <c r="L16" i="11"/>
  <c r="L62" i="11" s="1"/>
  <c r="Y244" i="10"/>
  <c r="AA34" i="13"/>
  <c r="AA41" i="13" s="1"/>
  <c r="W216" i="10"/>
  <c r="O264" i="11"/>
  <c r="K79" i="10"/>
  <c r="K128" i="11"/>
  <c r="K61" i="10"/>
  <c r="K109" i="11" s="1"/>
  <c r="K110" i="11"/>
  <c r="W82" i="11"/>
  <c r="Y82" i="11" s="1"/>
  <c r="M85" i="10"/>
  <c r="M134" i="11"/>
  <c r="O85" i="10"/>
  <c r="O134" i="11"/>
  <c r="R85" i="10"/>
  <c r="R134" i="11"/>
  <c r="U85" i="10"/>
  <c r="U134" i="11"/>
  <c r="L92" i="10"/>
  <c r="L140" i="11" s="1"/>
  <c r="L141" i="11"/>
  <c r="P92" i="10"/>
  <c r="P141" i="11"/>
  <c r="S92" i="10"/>
  <c r="S140" i="11" s="1"/>
  <c r="S141" i="11"/>
  <c r="U92" i="10"/>
  <c r="U140" i="11" s="1"/>
  <c r="U141" i="11"/>
  <c r="L96" i="10"/>
  <c r="L144" i="11" s="1"/>
  <c r="L145" i="11"/>
  <c r="Q96" i="10"/>
  <c r="Q144" i="11" s="1"/>
  <c r="Q145" i="11"/>
  <c r="S96" i="10"/>
  <c r="S144" i="11" s="1"/>
  <c r="S145" i="11"/>
  <c r="V96" i="10"/>
  <c r="V144" i="11" s="1"/>
  <c r="V145" i="11"/>
  <c r="M109" i="10"/>
  <c r="M158" i="11"/>
  <c r="O109" i="10"/>
  <c r="O158" i="11"/>
  <c r="P157" i="11"/>
  <c r="T109" i="10"/>
  <c r="T157" i="11" s="1"/>
  <c r="T158" i="11"/>
  <c r="L113" i="10"/>
  <c r="L161" i="11" s="1"/>
  <c r="L162" i="11"/>
  <c r="N113" i="10"/>
  <c r="N161" i="11" s="1"/>
  <c r="N162" i="11"/>
  <c r="Q113" i="10"/>
  <c r="Q161" i="11" s="1"/>
  <c r="Q162" i="11"/>
  <c r="U113" i="10"/>
  <c r="U161" i="11" s="1"/>
  <c r="U162" i="11"/>
  <c r="L140" i="10"/>
  <c r="L189" i="11"/>
  <c r="N140" i="10"/>
  <c r="N189" i="11"/>
  <c r="P140" i="10"/>
  <c r="P189" i="11"/>
  <c r="S140" i="10"/>
  <c r="S189" i="11"/>
  <c r="V140" i="10"/>
  <c r="V189" i="11"/>
  <c r="M147" i="10"/>
  <c r="M195" i="11" s="1"/>
  <c r="M196" i="11"/>
  <c r="P147" i="10"/>
  <c r="P195" i="11" s="1"/>
  <c r="P196" i="11"/>
  <c r="S147" i="10"/>
  <c r="S195" i="11" s="1"/>
  <c r="S196" i="11"/>
  <c r="U147" i="10"/>
  <c r="U195" i="11" s="1"/>
  <c r="U196" i="11"/>
  <c r="W201" i="11"/>
  <c r="W111" i="11"/>
  <c r="O61" i="10"/>
  <c r="O109" i="11" s="1"/>
  <c r="O110" i="11"/>
  <c r="M74" i="10"/>
  <c r="M123" i="11"/>
  <c r="O74" i="10"/>
  <c r="O123" i="11"/>
  <c r="Q74" i="10"/>
  <c r="Q123" i="11"/>
  <c r="S74" i="10"/>
  <c r="S123" i="11"/>
  <c r="U74" i="10"/>
  <c r="U123" i="11"/>
  <c r="L80" i="10"/>
  <c r="L129" i="11"/>
  <c r="N80" i="10"/>
  <c r="N129" i="11"/>
  <c r="P80" i="10"/>
  <c r="P129" i="11"/>
  <c r="R80" i="10"/>
  <c r="R129" i="11"/>
  <c r="T80" i="10"/>
  <c r="T129" i="11"/>
  <c r="V80" i="10"/>
  <c r="V129" i="11"/>
  <c r="T85" i="10"/>
  <c r="T134" i="11"/>
  <c r="V85" i="10"/>
  <c r="V134" i="11"/>
  <c r="O92" i="10"/>
  <c r="O140" i="11" s="1"/>
  <c r="O141" i="11"/>
  <c r="Q92" i="10"/>
  <c r="Q140" i="11" s="1"/>
  <c r="Q141" i="11"/>
  <c r="O96" i="10"/>
  <c r="O144" i="11" s="1"/>
  <c r="O145" i="11"/>
  <c r="R96" i="10"/>
  <c r="R144" i="11" s="1"/>
  <c r="R145" i="11"/>
  <c r="U96" i="10"/>
  <c r="U144" i="11" s="1"/>
  <c r="U145" i="11"/>
  <c r="Q109" i="10"/>
  <c r="Q158" i="11"/>
  <c r="V109" i="10"/>
  <c r="V158" i="11"/>
  <c r="M113" i="10"/>
  <c r="M161" i="11" s="1"/>
  <c r="M162" i="11"/>
  <c r="P113" i="10"/>
  <c r="P161" i="11" s="1"/>
  <c r="P162" i="11"/>
  <c r="R113" i="10"/>
  <c r="R161" i="11" s="1"/>
  <c r="R162" i="11"/>
  <c r="U140" i="10"/>
  <c r="U189" i="11"/>
  <c r="L147" i="10"/>
  <c r="L195" i="11" s="1"/>
  <c r="L196" i="11"/>
  <c r="Q147" i="10"/>
  <c r="Q196" i="11"/>
  <c r="M251" i="10"/>
  <c r="M299" i="11" s="1"/>
  <c r="M300" i="11"/>
  <c r="P251" i="10"/>
  <c r="P300" i="11"/>
  <c r="Q251" i="10"/>
  <c r="Q300" i="11"/>
  <c r="O251" i="10"/>
  <c r="O300" i="11"/>
  <c r="R251" i="10"/>
  <c r="R300" i="11"/>
  <c r="K140" i="10"/>
  <c r="K189" i="11"/>
  <c r="K113" i="10"/>
  <c r="K162" i="11"/>
  <c r="L264" i="11"/>
  <c r="K144" i="11"/>
  <c r="X232" i="13"/>
  <c r="X235" i="13"/>
  <c r="I14" i="13"/>
  <c r="X15" i="13"/>
  <c r="AF24" i="2"/>
  <c r="AF73" i="2"/>
  <c r="G17" i="6"/>
  <c r="Q36" i="7"/>
  <c r="I34" i="11"/>
  <c r="Y146" i="10"/>
  <c r="X146" i="10"/>
  <c r="I142" i="10"/>
  <c r="Q214" i="7"/>
  <c r="I190" i="11"/>
  <c r="K213" i="7"/>
  <c r="X244" i="13"/>
  <c r="I243" i="13"/>
  <c r="H19" i="18"/>
  <c r="G20" i="18"/>
  <c r="Y52" i="10"/>
  <c r="X52" i="10"/>
  <c r="H17" i="33"/>
  <c r="J97" i="13"/>
  <c r="W97" i="13" s="1"/>
  <c r="W98" i="13"/>
  <c r="I172" i="13"/>
  <c r="X173" i="13"/>
  <c r="X117" i="13"/>
  <c r="I116" i="13"/>
  <c r="I255" i="10"/>
  <c r="I303" i="11"/>
  <c r="Q290" i="7"/>
  <c r="I262" i="10"/>
  <c r="Q297" i="7"/>
  <c r="G58" i="33"/>
  <c r="H58" i="33" s="1"/>
  <c r="H59" i="33" s="1"/>
  <c r="AE59" i="2"/>
  <c r="AE64" i="2" s="1"/>
  <c r="AE81" i="2" s="1"/>
  <c r="AF64" i="2"/>
  <c r="AF65" i="2" s="1"/>
  <c r="AE26" i="2"/>
  <c r="I148" i="13"/>
  <c r="I32" i="30"/>
  <c r="J28" i="12" s="1"/>
  <c r="I132" i="13"/>
  <c r="H21" i="22"/>
  <c r="I238" i="10"/>
  <c r="I286" i="11"/>
  <c r="I22" i="2"/>
  <c r="I435" i="2" s="1"/>
  <c r="I436" i="2" s="1"/>
  <c r="I442" i="2" s="1"/>
  <c r="O139" i="10"/>
  <c r="O187" i="11" s="1"/>
  <c r="O188" i="11"/>
  <c r="O195" i="11"/>
  <c r="K73" i="10"/>
  <c r="K121" i="11" s="1"/>
  <c r="K122" i="11"/>
  <c r="U251" i="10"/>
  <c r="U300" i="11"/>
  <c r="T251" i="10"/>
  <c r="T299" i="11" s="1"/>
  <c r="T300" i="11"/>
  <c r="L251" i="10"/>
  <c r="L299" i="11" s="1"/>
  <c r="L300" i="11"/>
  <c r="T215" i="10"/>
  <c r="T263" i="11" s="1"/>
  <c r="T264" i="11"/>
  <c r="V251" i="10"/>
  <c r="V300" i="11"/>
  <c r="M215" i="10"/>
  <c r="M263" i="11" s="1"/>
  <c r="M264" i="11"/>
  <c r="W152" i="10"/>
  <c r="K200" i="11"/>
  <c r="W200" i="11" s="1"/>
  <c r="Y200" i="11" s="1"/>
  <c r="S215" i="10"/>
  <c r="S263" i="11" s="1"/>
  <c r="L74" i="10"/>
  <c r="L123" i="11"/>
  <c r="N74" i="10"/>
  <c r="N123" i="11"/>
  <c r="P74" i="10"/>
  <c r="P123" i="11"/>
  <c r="R74" i="10"/>
  <c r="R123" i="11"/>
  <c r="T74" i="10"/>
  <c r="T123" i="11"/>
  <c r="V74" i="10"/>
  <c r="V123" i="11"/>
  <c r="M80" i="10"/>
  <c r="M129" i="11"/>
  <c r="O80" i="10"/>
  <c r="O129" i="11"/>
  <c r="Q80" i="10"/>
  <c r="Q129" i="11"/>
  <c r="S80" i="10"/>
  <c r="S129" i="11"/>
  <c r="U80" i="10"/>
  <c r="U129" i="11"/>
  <c r="L85" i="10"/>
  <c r="L134" i="11"/>
  <c r="N85" i="10"/>
  <c r="N133" i="11" s="1"/>
  <c r="N134" i="11"/>
  <c r="Q85" i="10"/>
  <c r="Q134" i="11"/>
  <c r="S85" i="10"/>
  <c r="S134" i="11"/>
  <c r="R92" i="10"/>
  <c r="R140" i="11" s="1"/>
  <c r="R141" i="11"/>
  <c r="T92" i="10"/>
  <c r="T140" i="11" s="1"/>
  <c r="T141" i="11"/>
  <c r="P96" i="10"/>
  <c r="P144" i="11" s="1"/>
  <c r="P145" i="11"/>
  <c r="M96" i="10"/>
  <c r="M144" i="11" s="1"/>
  <c r="M145" i="11"/>
  <c r="L109" i="10"/>
  <c r="L158" i="11"/>
  <c r="S109" i="10"/>
  <c r="S158" i="11"/>
  <c r="U109" i="10"/>
  <c r="U158" i="11"/>
  <c r="S113" i="10"/>
  <c r="S161" i="11" s="1"/>
  <c r="S162" i="11"/>
  <c r="V113" i="10"/>
  <c r="V161" i="11" s="1"/>
  <c r="V162" i="11"/>
  <c r="M140" i="10"/>
  <c r="M189" i="11"/>
  <c r="R140" i="10"/>
  <c r="R189" i="11"/>
  <c r="T140" i="10"/>
  <c r="T189" i="11"/>
  <c r="R147" i="10"/>
  <c r="R195" i="11" s="1"/>
  <c r="R196" i="11"/>
  <c r="T147" i="10"/>
  <c r="T195" i="11" s="1"/>
  <c r="T196" i="11"/>
  <c r="N251" i="10"/>
  <c r="N300" i="11"/>
  <c r="W190" i="11"/>
  <c r="K92" i="10"/>
  <c r="K140" i="11" s="1"/>
  <c r="K141" i="11"/>
  <c r="K158" i="11"/>
  <c r="K109" i="10"/>
  <c r="K157" i="11" s="1"/>
  <c r="I250" i="11"/>
  <c r="Q274" i="7"/>
  <c r="I202" i="10"/>
  <c r="I205" i="10"/>
  <c r="K149" i="7"/>
  <c r="M149" i="7" s="1"/>
  <c r="F28" i="5"/>
  <c r="I190" i="13"/>
  <c r="X191" i="13"/>
  <c r="I174" i="13"/>
  <c r="X174" i="13" s="1"/>
  <c r="K209" i="7"/>
  <c r="M209" i="7" s="1"/>
  <c r="I17" i="11"/>
  <c r="Y17" i="11" s="1"/>
  <c r="K18" i="7"/>
  <c r="M18" i="7" s="1"/>
  <c r="Q19" i="7"/>
  <c r="M46" i="45"/>
  <c r="X198" i="13"/>
  <c r="I197" i="13"/>
  <c r="W265" i="11"/>
  <c r="Y144" i="10"/>
  <c r="X144" i="10"/>
  <c r="I214" i="10"/>
  <c r="I262" i="11"/>
  <c r="G96" i="6"/>
  <c r="G95" i="6" s="1"/>
  <c r="I219" i="10"/>
  <c r="I267" i="11"/>
  <c r="K82" i="7"/>
  <c r="M82" i="7" s="1"/>
  <c r="I30" i="10"/>
  <c r="Q83" i="7"/>
  <c r="H29" i="35"/>
  <c r="I183" i="11"/>
  <c r="I135" i="10"/>
  <c r="Q134" i="7"/>
  <c r="I77" i="10"/>
  <c r="J21" i="12"/>
  <c r="D11" i="21"/>
  <c r="F26" i="5" s="1"/>
  <c r="G20" i="21"/>
  <c r="I39" i="3"/>
  <c r="J66" i="12" s="1"/>
  <c r="D11" i="8"/>
  <c r="D11" i="34"/>
  <c r="I257" i="10"/>
  <c r="Q292" i="7"/>
  <c r="I305" i="11"/>
  <c r="I256" i="10"/>
  <c r="Q291" i="7"/>
  <c r="I304" i="11"/>
  <c r="I263" i="10"/>
  <c r="Q298" i="7"/>
  <c r="K196" i="7"/>
  <c r="D11" i="32"/>
  <c r="I168" i="13"/>
  <c r="H51" i="46"/>
  <c r="V30" i="10"/>
  <c r="V80" i="11"/>
  <c r="Q30" i="10"/>
  <c r="Q80" i="11"/>
  <c r="T30" i="10"/>
  <c r="T80" i="11"/>
  <c r="P162" i="10"/>
  <c r="P211" i="11"/>
  <c r="V162" i="10"/>
  <c r="V211" i="11"/>
  <c r="Q162" i="10"/>
  <c r="Q211" i="11"/>
  <c r="M191" i="10"/>
  <c r="M240" i="11"/>
  <c r="X210" i="10"/>
  <c r="Y210" i="10"/>
  <c r="S79" i="11"/>
  <c r="W79" i="11" s="1"/>
  <c r="Y79" i="11" s="1"/>
  <c r="S30" i="10"/>
  <c r="Q192" i="10"/>
  <c r="V192" i="10"/>
  <c r="L192" i="10"/>
  <c r="T192" i="10"/>
  <c r="N192" i="10"/>
  <c r="S192" i="10"/>
  <c r="P192" i="10"/>
  <c r="N195" i="10"/>
  <c r="N244" i="11"/>
  <c r="S195" i="10"/>
  <c r="S244" i="11"/>
  <c r="P244" i="11"/>
  <c r="P195" i="10"/>
  <c r="U34" i="11"/>
  <c r="W37" i="11"/>
  <c r="Y37" i="11" s="1"/>
  <c r="I223" i="13"/>
  <c r="X224" i="13"/>
  <c r="Q194" i="10"/>
  <c r="Q243" i="11"/>
  <c r="P30" i="10"/>
  <c r="P80" i="11"/>
  <c r="T162" i="10"/>
  <c r="T211" i="11"/>
  <c r="R162" i="10"/>
  <c r="R211" i="11"/>
  <c r="M162" i="10"/>
  <c r="M211" i="11"/>
  <c r="Y136" i="10"/>
  <c r="X136" i="10"/>
  <c r="V195" i="10"/>
  <c r="V244" i="11"/>
  <c r="L244" i="11"/>
  <c r="L195" i="10"/>
  <c r="W196" i="10"/>
  <c r="T244" i="11"/>
  <c r="T195" i="10"/>
  <c r="U161" i="10"/>
  <c r="U210" i="11"/>
  <c r="M194" i="10"/>
  <c r="M243" i="11"/>
  <c r="O194" i="10"/>
  <c r="O243" i="11"/>
  <c r="W81" i="11"/>
  <c r="Y81" i="11" s="1"/>
  <c r="W40" i="11"/>
  <c r="Y40" i="11" s="1"/>
  <c r="I284" i="11"/>
  <c r="W34" i="10"/>
  <c r="Y34" i="10" s="1"/>
  <c r="O192" i="10"/>
  <c r="U192" i="10"/>
  <c r="W39" i="11"/>
  <c r="Y39" i="11" s="1"/>
  <c r="W31" i="10"/>
  <c r="X31" i="10" s="1"/>
  <c r="W33" i="10"/>
  <c r="X33" i="10" s="1"/>
  <c r="Y113" i="11"/>
  <c r="Y192" i="11"/>
  <c r="Y204" i="11"/>
  <c r="AF29" i="13"/>
  <c r="D11" i="9"/>
  <c r="W32" i="10"/>
  <c r="X32" i="10" s="1"/>
  <c r="K251" i="10"/>
  <c r="K299" i="11" s="1"/>
  <c r="K162" i="10"/>
  <c r="K210" i="11" s="1"/>
  <c r="W163" i="10"/>
  <c r="I227" i="10"/>
  <c r="I275" i="11"/>
  <c r="V34" i="11"/>
  <c r="W41" i="11"/>
  <c r="Y41" i="11" s="1"/>
  <c r="M68" i="13"/>
  <c r="L67" i="13"/>
  <c r="L66" i="13" s="1"/>
  <c r="L65" i="13" s="1"/>
  <c r="L64" i="13" s="1"/>
  <c r="L63" i="13" s="1"/>
  <c r="L62" i="13" s="1"/>
  <c r="S21" i="10" l="1"/>
  <c r="O21" i="10"/>
  <c r="U21" i="10"/>
  <c r="U69" i="11" s="1"/>
  <c r="X209" i="10"/>
  <c r="M21" i="10"/>
  <c r="M69" i="11" s="1"/>
  <c r="Y177" i="10"/>
  <c r="X283" i="10"/>
  <c r="P21" i="10"/>
  <c r="P20" i="10" s="1"/>
  <c r="I89" i="11"/>
  <c r="Y89" i="11" s="1"/>
  <c r="Q314" i="7"/>
  <c r="M314" i="7"/>
  <c r="N102" i="10"/>
  <c r="N150" i="11" s="1"/>
  <c r="W150" i="11" s="1"/>
  <c r="S161" i="10"/>
  <c r="S160" i="10" s="1"/>
  <c r="Q95" i="7"/>
  <c r="M213" i="7"/>
  <c r="K212" i="7"/>
  <c r="G15" i="6"/>
  <c r="G19" i="6" s="1"/>
  <c r="U243" i="11"/>
  <c r="N153" i="11"/>
  <c r="W153" i="11" s="1"/>
  <c r="S36" i="7"/>
  <c r="N21" i="10"/>
  <c r="N69" i="11" s="1"/>
  <c r="Q71" i="7"/>
  <c r="Q79" i="7"/>
  <c r="Y274" i="10"/>
  <c r="L78" i="7"/>
  <c r="M78" i="7" s="1"/>
  <c r="L21" i="10"/>
  <c r="L69" i="11" s="1"/>
  <c r="W104" i="10"/>
  <c r="Y104" i="10" s="1"/>
  <c r="I74" i="11"/>
  <c r="M272" i="7"/>
  <c r="K289" i="7"/>
  <c r="Q289" i="7" s="1"/>
  <c r="L293" i="7"/>
  <c r="Q139" i="7"/>
  <c r="M139" i="7"/>
  <c r="L261" i="7"/>
  <c r="M262" i="7"/>
  <c r="I161" i="10"/>
  <c r="K228" i="7"/>
  <c r="I209" i="11"/>
  <c r="G77" i="6"/>
  <c r="G76" i="6" s="1"/>
  <c r="G75" i="6" s="1"/>
  <c r="Q229" i="7"/>
  <c r="Q140" i="7"/>
  <c r="M140" i="7"/>
  <c r="I134" i="11"/>
  <c r="Y134" i="11" s="1"/>
  <c r="R21" i="10"/>
  <c r="R69" i="11" s="1"/>
  <c r="Q21" i="10"/>
  <c r="Q69" i="11" s="1"/>
  <c r="I40" i="10"/>
  <c r="X40" i="10" s="1"/>
  <c r="I68" i="11"/>
  <c r="M71" i="7"/>
  <c r="L266" i="7"/>
  <c r="M267" i="7"/>
  <c r="L205" i="7"/>
  <c r="M206" i="7"/>
  <c r="K265" i="7"/>
  <c r="I194" i="10"/>
  <c r="Q266" i="7"/>
  <c r="I242" i="11"/>
  <c r="G92" i="6"/>
  <c r="G91" i="6" s="1"/>
  <c r="I309" i="11"/>
  <c r="L296" i="7"/>
  <c r="I313" i="11"/>
  <c r="L300" i="7"/>
  <c r="K21" i="10"/>
  <c r="L196" i="7"/>
  <c r="U27" i="7" s="1"/>
  <c r="W54" i="10"/>
  <c r="Y54" i="10" s="1"/>
  <c r="T21" i="10"/>
  <c r="T69" i="11" s="1"/>
  <c r="I76" i="10"/>
  <c r="X76" i="10" s="1"/>
  <c r="M133" i="7"/>
  <c r="K155" i="7"/>
  <c r="M155" i="7" s="1"/>
  <c r="M172" i="7"/>
  <c r="I86" i="10"/>
  <c r="X86" i="10" s="1"/>
  <c r="I75" i="11"/>
  <c r="M79" i="7"/>
  <c r="M95" i="7"/>
  <c r="L229" i="7"/>
  <c r="M230" i="7"/>
  <c r="Y180" i="10"/>
  <c r="I90" i="13"/>
  <c r="X90" i="13" s="1"/>
  <c r="K93" i="7"/>
  <c r="Q93" i="7" s="1"/>
  <c r="H103" i="17"/>
  <c r="F22" i="5" s="1"/>
  <c r="M22" i="5" s="1"/>
  <c r="M51" i="10"/>
  <c r="M99" i="11" s="1"/>
  <c r="W99" i="11" s="1"/>
  <c r="I91" i="11"/>
  <c r="Y91" i="11" s="1"/>
  <c r="M98" i="7"/>
  <c r="I90" i="11"/>
  <c r="Y90" i="11" s="1"/>
  <c r="M97" i="7"/>
  <c r="I41" i="10"/>
  <c r="X41" i="10" s="1"/>
  <c r="M96" i="7"/>
  <c r="Y102" i="11"/>
  <c r="I99" i="11"/>
  <c r="M108" i="7"/>
  <c r="I94" i="11"/>
  <c r="M101" i="7"/>
  <c r="I133" i="11"/>
  <c r="I39" i="2"/>
  <c r="H40" i="19"/>
  <c r="H20" i="18"/>
  <c r="N19" i="18"/>
  <c r="N20" i="18" s="1"/>
  <c r="Q97" i="7"/>
  <c r="K94" i="7"/>
  <c r="M94" i="7" s="1"/>
  <c r="I85" i="13"/>
  <c r="X85" i="13" s="1"/>
  <c r="I46" i="10"/>
  <c r="M46" i="10" s="1"/>
  <c r="M94" i="11" s="1"/>
  <c r="I88" i="13"/>
  <c r="X88" i="13" s="1"/>
  <c r="I95" i="11"/>
  <c r="Q102" i="7"/>
  <c r="I47" i="10"/>
  <c r="K100" i="7"/>
  <c r="M100" i="7" s="1"/>
  <c r="K111" i="7"/>
  <c r="M111" i="7" s="1"/>
  <c r="Q112" i="7"/>
  <c r="I56" i="10"/>
  <c r="I104" i="11"/>
  <c r="Y104" i="11" s="1"/>
  <c r="K77" i="7"/>
  <c r="Q77" i="7" s="1"/>
  <c r="I26" i="10"/>
  <c r="S26" i="10" s="1"/>
  <c r="Q78" i="7"/>
  <c r="I74" i="13"/>
  <c r="J74" i="13" s="1"/>
  <c r="W74" i="13" s="1"/>
  <c r="X74" i="13" s="1"/>
  <c r="I27" i="10"/>
  <c r="N27" i="10" s="1"/>
  <c r="N75" i="11" s="1"/>
  <c r="K70" i="7"/>
  <c r="I19" i="10" s="1"/>
  <c r="K243" i="11"/>
  <c r="I20" i="10"/>
  <c r="Q293" i="7"/>
  <c r="L161" i="10"/>
  <c r="L160" i="10" s="1"/>
  <c r="X87" i="10"/>
  <c r="I306" i="11"/>
  <c r="V20" i="10"/>
  <c r="V68" i="11" s="1"/>
  <c r="R191" i="10"/>
  <c r="R190" i="10" s="1"/>
  <c r="N161" i="10"/>
  <c r="N160" i="10" s="1"/>
  <c r="Q133" i="7"/>
  <c r="I23" i="3"/>
  <c r="K132" i="7"/>
  <c r="K261" i="7"/>
  <c r="I190" i="10"/>
  <c r="G90" i="6"/>
  <c r="G89" i="6" s="1"/>
  <c r="Q262" i="7"/>
  <c r="I238" i="11"/>
  <c r="W252" i="10"/>
  <c r="I136" i="13"/>
  <c r="X269" i="13"/>
  <c r="D11" i="45"/>
  <c r="W264" i="11"/>
  <c r="X273" i="13"/>
  <c r="W134" i="11"/>
  <c r="I273" i="10"/>
  <c r="Y273" i="10" s="1"/>
  <c r="I321" i="11"/>
  <c r="Y321" i="11" s="1"/>
  <c r="K254" i="7"/>
  <c r="M254" i="7" s="1"/>
  <c r="I217" i="13"/>
  <c r="K236" i="7"/>
  <c r="M236" i="7" s="1"/>
  <c r="H22" i="37"/>
  <c r="I205" i="13"/>
  <c r="Y174" i="10"/>
  <c r="X174" i="10"/>
  <c r="J42" i="9"/>
  <c r="J38" i="9" s="1"/>
  <c r="I258" i="13"/>
  <c r="I257" i="13" s="1"/>
  <c r="I290" i="11"/>
  <c r="I294" i="11"/>
  <c r="Y221" i="10"/>
  <c r="X221" i="10"/>
  <c r="J63" i="12"/>
  <c r="I224" i="10"/>
  <c r="X224" i="10" s="1"/>
  <c r="J45" i="45"/>
  <c r="J41" i="45" s="1"/>
  <c r="K295" i="7"/>
  <c r="I260" i="10" s="1"/>
  <c r="F19" i="5"/>
  <c r="M15" i="5" s="1"/>
  <c r="I102" i="10"/>
  <c r="I261" i="10"/>
  <c r="Y261" i="10" s="1"/>
  <c r="I265" i="10"/>
  <c r="X265" i="10" s="1"/>
  <c r="Q296" i="7"/>
  <c r="I43" i="10"/>
  <c r="Y43" i="10" s="1"/>
  <c r="K271" i="7"/>
  <c r="M271" i="7" s="1"/>
  <c r="Y201" i="11"/>
  <c r="Q300" i="7"/>
  <c r="K299" i="7"/>
  <c r="I264" i="10" s="1"/>
  <c r="I262" i="13"/>
  <c r="I107" i="13"/>
  <c r="X107" i="13" s="1"/>
  <c r="X108" i="13"/>
  <c r="K124" i="7"/>
  <c r="M124" i="7" s="1"/>
  <c r="I116" i="11"/>
  <c r="Q125" i="7"/>
  <c r="I68" i="10"/>
  <c r="M68" i="10" s="1"/>
  <c r="X105" i="10"/>
  <c r="K191" i="10"/>
  <c r="K239" i="11" s="1"/>
  <c r="R243" i="11"/>
  <c r="O161" i="10"/>
  <c r="O209" i="11" s="1"/>
  <c r="Q98" i="7"/>
  <c r="I124" i="11"/>
  <c r="Y124" i="11" s="1"/>
  <c r="I42" i="10"/>
  <c r="Y42" i="10" s="1"/>
  <c r="Q108" i="7"/>
  <c r="W211" i="11"/>
  <c r="Y211" i="11" s="1"/>
  <c r="I229" i="13"/>
  <c r="X229" i="13" s="1"/>
  <c r="I251" i="11"/>
  <c r="I203" i="10"/>
  <c r="Q275" i="7"/>
  <c r="O78" i="11"/>
  <c r="U20" i="10"/>
  <c r="U68" i="11" s="1"/>
  <c r="R29" i="10"/>
  <c r="R77" i="11" s="1"/>
  <c r="I51" i="10"/>
  <c r="Y153" i="10"/>
  <c r="Q103" i="7"/>
  <c r="I48" i="10"/>
  <c r="I96" i="11"/>
  <c r="Y96" i="11" s="1"/>
  <c r="W127" i="10"/>
  <c r="N175" i="11"/>
  <c r="W175" i="11" s="1"/>
  <c r="Y175" i="11" s="1"/>
  <c r="W192" i="10"/>
  <c r="X192" i="10" s="1"/>
  <c r="M24" i="5"/>
  <c r="J20" i="12"/>
  <c r="W22" i="10"/>
  <c r="X22" i="10" s="1"/>
  <c r="W70" i="11"/>
  <c r="Y70" i="11" s="1"/>
  <c r="U29" i="10"/>
  <c r="U28" i="10" s="1"/>
  <c r="U76" i="11" s="1"/>
  <c r="X34" i="10"/>
  <c r="K29" i="10"/>
  <c r="K77" i="11" s="1"/>
  <c r="N29" i="10"/>
  <c r="N77" i="11" s="1"/>
  <c r="W80" i="11"/>
  <c r="Y80" i="11" s="1"/>
  <c r="M78" i="11"/>
  <c r="L78" i="11"/>
  <c r="I182" i="13"/>
  <c r="X182" i="13" s="1"/>
  <c r="X183" i="13"/>
  <c r="X238" i="13"/>
  <c r="I237" i="13"/>
  <c r="X237" i="13" s="1"/>
  <c r="X138" i="13"/>
  <c r="I137" i="13"/>
  <c r="X137" i="13" s="1"/>
  <c r="H28" i="38"/>
  <c r="I210" i="13"/>
  <c r="K240" i="7"/>
  <c r="K279" i="7"/>
  <c r="M279" i="7" s="1"/>
  <c r="Q280" i="7"/>
  <c r="I208" i="10"/>
  <c r="I256" i="11"/>
  <c r="I200" i="10"/>
  <c r="Q272" i="7"/>
  <c r="I248" i="11"/>
  <c r="W129" i="11"/>
  <c r="W123" i="11"/>
  <c r="K185" i="7"/>
  <c r="J29" i="12"/>
  <c r="D11" i="27"/>
  <c r="I158" i="13"/>
  <c r="D22" i="7"/>
  <c r="D19" i="11"/>
  <c r="O58" i="11"/>
  <c r="O47" i="11" s="1"/>
  <c r="O16" i="11" s="1"/>
  <c r="O62" i="11" s="1"/>
  <c r="P59" i="11"/>
  <c r="X176" i="10"/>
  <c r="Y176" i="10"/>
  <c r="D11" i="28"/>
  <c r="K189" i="7"/>
  <c r="L189" i="7" s="1"/>
  <c r="W74" i="10"/>
  <c r="W300" i="11"/>
  <c r="Q123" i="7"/>
  <c r="I114" i="11"/>
  <c r="Y114" i="11" s="1"/>
  <c r="I66" i="10"/>
  <c r="I198" i="11"/>
  <c r="Y198" i="11" s="1"/>
  <c r="I150" i="10"/>
  <c r="X27" i="7"/>
  <c r="K121" i="7"/>
  <c r="I36" i="2"/>
  <c r="I104" i="13"/>
  <c r="D11" i="24"/>
  <c r="J27" i="12"/>
  <c r="I127" i="13"/>
  <c r="H20" i="26"/>
  <c r="K278" i="7"/>
  <c r="M278" i="7" s="1"/>
  <c r="I236" i="13"/>
  <c r="W244" i="11"/>
  <c r="X168" i="13"/>
  <c r="I167" i="13"/>
  <c r="X258" i="10"/>
  <c r="Y258" i="10"/>
  <c r="Y263" i="10"/>
  <c r="X263" i="10"/>
  <c r="X257" i="10"/>
  <c r="Y257" i="10"/>
  <c r="W73" i="13"/>
  <c r="X73" i="13" s="1"/>
  <c r="I271" i="11"/>
  <c r="X77" i="10"/>
  <c r="Y77" i="10"/>
  <c r="K135" i="10"/>
  <c r="O135" i="10"/>
  <c r="Q135" i="10"/>
  <c r="L135" i="10"/>
  <c r="R135" i="10"/>
  <c r="M135" i="10"/>
  <c r="N135" i="10"/>
  <c r="S135" i="10"/>
  <c r="V135" i="10"/>
  <c r="T135" i="10"/>
  <c r="U135" i="10"/>
  <c r="P135" i="10"/>
  <c r="V214" i="10"/>
  <c r="U214" i="10"/>
  <c r="T214" i="10"/>
  <c r="P214" i="10"/>
  <c r="L214" i="10"/>
  <c r="S214" i="10"/>
  <c r="O214" i="10"/>
  <c r="K214" i="10"/>
  <c r="R214" i="10"/>
  <c r="N214" i="10"/>
  <c r="Q214" i="10"/>
  <c r="M214" i="10"/>
  <c r="I196" i="13"/>
  <c r="X196" i="13" s="1"/>
  <c r="X197" i="13"/>
  <c r="I16" i="11"/>
  <c r="K64" i="7"/>
  <c r="M64" i="7" s="1"/>
  <c r="Q18" i="7"/>
  <c r="Q210" i="7"/>
  <c r="I185" i="11"/>
  <c r="I137" i="10"/>
  <c r="Q137" i="10" s="1"/>
  <c r="K148" i="7"/>
  <c r="M148" i="7" s="1"/>
  <c r="Q149" i="7"/>
  <c r="G47" i="6"/>
  <c r="G46" i="6" s="1"/>
  <c r="I95" i="10"/>
  <c r="N95" i="10" s="1"/>
  <c r="X152" i="10"/>
  <c r="Y152" i="10"/>
  <c r="V299" i="11"/>
  <c r="V215" i="10"/>
  <c r="V263" i="11" s="1"/>
  <c r="U299" i="11"/>
  <c r="U215" i="10"/>
  <c r="U263" i="11" s="1"/>
  <c r="W147" i="10"/>
  <c r="Y238" i="10"/>
  <c r="X238" i="10"/>
  <c r="I131" i="13"/>
  <c r="X132" i="13"/>
  <c r="I147" i="13"/>
  <c r="X148" i="13"/>
  <c r="AK60" i="2"/>
  <c r="AK59" i="2"/>
  <c r="AE65" i="2"/>
  <c r="AK61" i="2"/>
  <c r="AG25" i="2"/>
  <c r="AH26" i="2" s="1"/>
  <c r="AK62" i="2"/>
  <c r="AG24" i="2"/>
  <c r="AE28" i="2"/>
  <c r="AG28" i="2" s="1"/>
  <c r="Y262" i="10"/>
  <c r="X262" i="10"/>
  <c r="I302" i="11"/>
  <c r="X255" i="10"/>
  <c r="Y255" i="10"/>
  <c r="I115" i="13"/>
  <c r="X116" i="13"/>
  <c r="X243" i="13"/>
  <c r="I242" i="13"/>
  <c r="X242" i="13" s="1"/>
  <c r="Y190" i="11"/>
  <c r="Y142" i="10"/>
  <c r="X142" i="10"/>
  <c r="I60" i="13"/>
  <c r="X60" i="13" s="1"/>
  <c r="X14" i="13"/>
  <c r="K108" i="10"/>
  <c r="K156" i="11" s="1"/>
  <c r="K161" i="11"/>
  <c r="K139" i="10"/>
  <c r="K188" i="11"/>
  <c r="W140" i="10"/>
  <c r="R299" i="11"/>
  <c r="R215" i="10"/>
  <c r="R263" i="11" s="1"/>
  <c r="O299" i="11"/>
  <c r="O215" i="10"/>
  <c r="O263" i="11" s="1"/>
  <c r="Q299" i="11"/>
  <c r="Q215" i="10"/>
  <c r="Q263" i="11" s="1"/>
  <c r="P299" i="11"/>
  <c r="P215" i="10"/>
  <c r="P263" i="11" s="1"/>
  <c r="Q195" i="11"/>
  <c r="W195" i="11" s="1"/>
  <c r="Q139" i="10"/>
  <c r="Q187" i="11" s="1"/>
  <c r="U188" i="11"/>
  <c r="U139" i="10"/>
  <c r="U187" i="11" s="1"/>
  <c r="V157" i="11"/>
  <c r="V108" i="10"/>
  <c r="V156" i="11" s="1"/>
  <c r="Q157" i="11"/>
  <c r="Q108" i="10"/>
  <c r="Q156" i="11" s="1"/>
  <c r="V133" i="11"/>
  <c r="V84" i="10"/>
  <c r="V132" i="11" s="1"/>
  <c r="T133" i="11"/>
  <c r="T84" i="10"/>
  <c r="T132" i="11" s="1"/>
  <c r="V79" i="10"/>
  <c r="V127" i="11" s="1"/>
  <c r="V128" i="11"/>
  <c r="T79" i="10"/>
  <c r="T127" i="11" s="1"/>
  <c r="T128" i="11"/>
  <c r="R79" i="10"/>
  <c r="R127" i="11" s="1"/>
  <c r="R128" i="11"/>
  <c r="P79" i="10"/>
  <c r="P127" i="11" s="1"/>
  <c r="P128" i="11"/>
  <c r="N79" i="10"/>
  <c r="N127" i="11" s="1"/>
  <c r="N128" i="11"/>
  <c r="L128" i="11"/>
  <c r="W128" i="11" s="1"/>
  <c r="W80" i="10"/>
  <c r="L79" i="10"/>
  <c r="L127" i="11" s="1"/>
  <c r="U73" i="10"/>
  <c r="U121" i="11" s="1"/>
  <c r="U122" i="11"/>
  <c r="S73" i="10"/>
  <c r="S121" i="11" s="1"/>
  <c r="S122" i="11"/>
  <c r="Q73" i="10"/>
  <c r="Q121" i="11" s="1"/>
  <c r="Q122" i="11"/>
  <c r="O73" i="10"/>
  <c r="O121" i="11" s="1"/>
  <c r="O122" i="11"/>
  <c r="M73" i="10"/>
  <c r="M121" i="11" s="1"/>
  <c r="M122" i="11"/>
  <c r="K127" i="11"/>
  <c r="N108" i="10"/>
  <c r="N156" i="11" s="1"/>
  <c r="J51" i="46"/>
  <c r="J47" i="46" s="1"/>
  <c r="M52" i="46"/>
  <c r="J64" i="12"/>
  <c r="D11" i="46"/>
  <c r="I254" i="13"/>
  <c r="I123" i="10"/>
  <c r="I171" i="11"/>
  <c r="Q196" i="7"/>
  <c r="K195" i="7"/>
  <c r="K193" i="7" s="1"/>
  <c r="K192" i="7" s="1"/>
  <c r="Y256" i="10"/>
  <c r="X256" i="10"/>
  <c r="I182" i="11"/>
  <c r="I134" i="10"/>
  <c r="Q206" i="7"/>
  <c r="K205" i="7"/>
  <c r="D10" i="35"/>
  <c r="I29" i="10"/>
  <c r="I77" i="11"/>
  <c r="Q82" i="7"/>
  <c r="G28" i="6"/>
  <c r="G27" i="6" s="1"/>
  <c r="K81" i="7"/>
  <c r="M81" i="7" s="1"/>
  <c r="X219" i="10"/>
  <c r="Y219" i="10"/>
  <c r="I213" i="10"/>
  <c r="I261" i="11"/>
  <c r="I249" i="13"/>
  <c r="X250" i="13"/>
  <c r="I189" i="13"/>
  <c r="X190" i="13"/>
  <c r="I135" i="13"/>
  <c r="X136" i="13"/>
  <c r="Y205" i="10"/>
  <c r="X205" i="10"/>
  <c r="Y202" i="10"/>
  <c r="X202" i="10"/>
  <c r="N299" i="11"/>
  <c r="N215" i="10"/>
  <c r="N263" i="11" s="1"/>
  <c r="T188" i="11"/>
  <c r="T139" i="10"/>
  <c r="T187" i="11" s="1"/>
  <c r="R188" i="11"/>
  <c r="R139" i="10"/>
  <c r="R187" i="11" s="1"/>
  <c r="M188" i="11"/>
  <c r="M139" i="10"/>
  <c r="M187" i="11" s="1"/>
  <c r="U108" i="10"/>
  <c r="U156" i="11" s="1"/>
  <c r="U157" i="11"/>
  <c r="S157" i="11"/>
  <c r="S108" i="10"/>
  <c r="S156" i="11" s="1"/>
  <c r="L108" i="10"/>
  <c r="L156" i="11" s="1"/>
  <c r="L157" i="11"/>
  <c r="S133" i="11"/>
  <c r="S84" i="10"/>
  <c r="S132" i="11" s="1"/>
  <c r="Q133" i="11"/>
  <c r="Q84" i="10"/>
  <c r="Q132" i="11" s="1"/>
  <c r="L133" i="11"/>
  <c r="W85" i="10"/>
  <c r="Y85" i="10" s="1"/>
  <c r="L84" i="10"/>
  <c r="L132" i="11" s="1"/>
  <c r="U79" i="10"/>
  <c r="U127" i="11" s="1"/>
  <c r="U128" i="11"/>
  <c r="S79" i="10"/>
  <c r="S127" i="11" s="1"/>
  <c r="S128" i="11"/>
  <c r="Q79" i="10"/>
  <c r="Q127" i="11" s="1"/>
  <c r="Q128" i="11"/>
  <c r="O79" i="10"/>
  <c r="O127" i="11" s="1"/>
  <c r="O128" i="11"/>
  <c r="M79" i="10"/>
  <c r="M127" i="11" s="1"/>
  <c r="M128" i="11"/>
  <c r="V73" i="10"/>
  <c r="V121" i="11" s="1"/>
  <c r="V122" i="11"/>
  <c r="T73" i="10"/>
  <c r="T121" i="11" s="1"/>
  <c r="T122" i="11"/>
  <c r="R73" i="10"/>
  <c r="R121" i="11" s="1"/>
  <c r="R122" i="11"/>
  <c r="P73" i="10"/>
  <c r="P121" i="11" s="1"/>
  <c r="P122" i="11"/>
  <c r="N73" i="10"/>
  <c r="N121" i="11" s="1"/>
  <c r="N122" i="11"/>
  <c r="L122" i="11"/>
  <c r="L73" i="10"/>
  <c r="J24" i="12"/>
  <c r="F27" i="5"/>
  <c r="I231" i="10"/>
  <c r="I279" i="11"/>
  <c r="D11" i="33"/>
  <c r="G61" i="6"/>
  <c r="J52" i="12"/>
  <c r="I171" i="13"/>
  <c r="X172" i="13"/>
  <c r="K117" i="7"/>
  <c r="I100" i="13"/>
  <c r="D9" i="18"/>
  <c r="I189" i="11"/>
  <c r="I141" i="10"/>
  <c r="Q213" i="7"/>
  <c r="I129" i="10"/>
  <c r="N129" i="10" s="1"/>
  <c r="I177" i="11"/>
  <c r="K84" i="10"/>
  <c r="K132" i="11" s="1"/>
  <c r="L215" i="10"/>
  <c r="L263" i="11" s="1"/>
  <c r="W189" i="11"/>
  <c r="W196" i="11"/>
  <c r="V188" i="11"/>
  <c r="V139" i="10"/>
  <c r="V187" i="11" s="1"/>
  <c r="S188" i="11"/>
  <c r="S139" i="10"/>
  <c r="S187" i="11" s="1"/>
  <c r="P188" i="11"/>
  <c r="P139" i="10"/>
  <c r="P187" i="11" s="1"/>
  <c r="N188" i="11"/>
  <c r="N139" i="10"/>
  <c r="N187" i="11" s="1"/>
  <c r="L188" i="11"/>
  <c r="L139" i="10"/>
  <c r="L187" i="11" s="1"/>
  <c r="P108" i="10"/>
  <c r="P156" i="11" s="1"/>
  <c r="O157" i="11"/>
  <c r="O108" i="10"/>
  <c r="O156" i="11" s="1"/>
  <c r="M157" i="11"/>
  <c r="M108" i="10"/>
  <c r="M156" i="11" s="1"/>
  <c r="P140" i="11"/>
  <c r="P84" i="10"/>
  <c r="P132" i="11" s="1"/>
  <c r="U133" i="11"/>
  <c r="U84" i="10"/>
  <c r="U132" i="11" s="1"/>
  <c r="R133" i="11"/>
  <c r="R84" i="10"/>
  <c r="R132" i="11" s="1"/>
  <c r="O133" i="11"/>
  <c r="O84" i="10"/>
  <c r="O132" i="11" s="1"/>
  <c r="M133" i="11"/>
  <c r="M84" i="10"/>
  <c r="M132" i="11" s="1"/>
  <c r="AF79" i="2"/>
  <c r="AG78" i="2" s="1"/>
  <c r="AG79" i="2" s="1"/>
  <c r="AF78" i="2"/>
  <c r="I229" i="10"/>
  <c r="I277" i="11"/>
  <c r="G102" i="6"/>
  <c r="G101" i="6" s="1"/>
  <c r="O191" i="10"/>
  <c r="O240" i="11"/>
  <c r="L194" i="10"/>
  <c r="L243" i="11"/>
  <c r="S69" i="11"/>
  <c r="S20" i="10"/>
  <c r="O69" i="11"/>
  <c r="O20" i="10"/>
  <c r="S194" i="10"/>
  <c r="S243" i="11"/>
  <c r="N194" i="10"/>
  <c r="N243" i="11"/>
  <c r="S191" i="10"/>
  <c r="S240" i="11"/>
  <c r="T191" i="10"/>
  <c r="T240" i="11"/>
  <c r="V191" i="10"/>
  <c r="V240" i="11"/>
  <c r="S29" i="10"/>
  <c r="S78" i="11"/>
  <c r="M190" i="10"/>
  <c r="M239" i="11"/>
  <c r="Q161" i="10"/>
  <c r="Q210" i="11"/>
  <c r="V161" i="10"/>
  <c r="V210" i="11"/>
  <c r="P161" i="10"/>
  <c r="P210" i="11"/>
  <c r="T29" i="10"/>
  <c r="T78" i="11"/>
  <c r="Q29" i="10"/>
  <c r="Q78" i="11"/>
  <c r="V29" i="10"/>
  <c r="V78" i="11"/>
  <c r="L28" i="10"/>
  <c r="L76" i="11" s="1"/>
  <c r="L77" i="11"/>
  <c r="U191" i="10"/>
  <c r="U240" i="11"/>
  <c r="K193" i="10"/>
  <c r="K242" i="11"/>
  <c r="O193" i="10"/>
  <c r="O241" i="11" s="1"/>
  <c r="O242" i="11"/>
  <c r="R193" i="10"/>
  <c r="R241" i="11" s="1"/>
  <c r="R242" i="11"/>
  <c r="U193" i="10"/>
  <c r="U241" i="11" s="1"/>
  <c r="U242" i="11"/>
  <c r="M193" i="10"/>
  <c r="M241" i="11" s="1"/>
  <c r="M242" i="11"/>
  <c r="U160" i="10"/>
  <c r="U209" i="11"/>
  <c r="T194" i="10"/>
  <c r="T243" i="11"/>
  <c r="Y196" i="10"/>
  <c r="X196" i="10"/>
  <c r="V194" i="10"/>
  <c r="V243" i="11"/>
  <c r="Y76" i="10"/>
  <c r="K69" i="11"/>
  <c r="K20" i="10"/>
  <c r="M161" i="10"/>
  <c r="M210" i="11"/>
  <c r="R161" i="10"/>
  <c r="R210" i="11"/>
  <c r="T161" i="10"/>
  <c r="T210" i="11"/>
  <c r="P29" i="10"/>
  <c r="P78" i="11"/>
  <c r="M28" i="10"/>
  <c r="M76" i="11" s="1"/>
  <c r="M77" i="11"/>
  <c r="O28" i="10"/>
  <c r="O76" i="11" s="1"/>
  <c r="O77" i="11"/>
  <c r="Q193" i="10"/>
  <c r="Q241" i="11" s="1"/>
  <c r="Q242" i="11"/>
  <c r="X223" i="13"/>
  <c r="P194" i="10"/>
  <c r="P243" i="11"/>
  <c r="P191" i="10"/>
  <c r="P240" i="11"/>
  <c r="N191" i="10"/>
  <c r="N240" i="11"/>
  <c r="L191" i="10"/>
  <c r="L240" i="11"/>
  <c r="Q191" i="10"/>
  <c r="Q240" i="11"/>
  <c r="W30" i="10"/>
  <c r="X30" i="10" s="1"/>
  <c r="W195" i="10"/>
  <c r="Y184" i="11"/>
  <c r="I242" i="10"/>
  <c r="Y246" i="10"/>
  <c r="X246" i="10"/>
  <c r="J65" i="12"/>
  <c r="X163" i="10"/>
  <c r="Y163" i="10"/>
  <c r="W162" i="10"/>
  <c r="K161" i="10"/>
  <c r="K209" i="11" s="1"/>
  <c r="W251" i="10"/>
  <c r="K215" i="10"/>
  <c r="Y138" i="11"/>
  <c r="M67" i="13"/>
  <c r="M66" i="13" s="1"/>
  <c r="M65" i="13" s="1"/>
  <c r="M64" i="13" s="1"/>
  <c r="M63" i="13" s="1"/>
  <c r="M62" i="13" s="1"/>
  <c r="N68" i="13"/>
  <c r="K65" i="13"/>
  <c r="Y178" i="11"/>
  <c r="W34" i="11"/>
  <c r="Y34" i="11" s="1"/>
  <c r="G99" i="6"/>
  <c r="Y227" i="10"/>
  <c r="X227" i="10"/>
  <c r="X85" i="10"/>
  <c r="I86" i="11" l="1"/>
  <c r="Y86" i="11" s="1"/>
  <c r="Y40" i="10"/>
  <c r="G24" i="6"/>
  <c r="G23" i="6" s="1"/>
  <c r="P69" i="11"/>
  <c r="L20" i="10"/>
  <c r="M20" i="10"/>
  <c r="M68" i="11" s="1"/>
  <c r="U27" i="10"/>
  <c r="U75" i="11" s="1"/>
  <c r="P27" i="10"/>
  <c r="P75" i="11" s="1"/>
  <c r="Y265" i="10"/>
  <c r="N100" i="10"/>
  <c r="W100" i="10" s="1"/>
  <c r="W102" i="10"/>
  <c r="X102" i="10" s="1"/>
  <c r="S209" i="11"/>
  <c r="Q70" i="7"/>
  <c r="M212" i="7"/>
  <c r="K211" i="7"/>
  <c r="M211" i="7" s="1"/>
  <c r="Q20" i="10"/>
  <c r="Q19" i="10" s="1"/>
  <c r="Q18" i="10" s="1"/>
  <c r="Y99" i="11"/>
  <c r="I254" i="10"/>
  <c r="X254" i="10" s="1"/>
  <c r="J32" i="12"/>
  <c r="J53" i="12" s="1"/>
  <c r="L27" i="10"/>
  <c r="L75" i="11" s="1"/>
  <c r="X273" i="10"/>
  <c r="I38" i="10"/>
  <c r="X38" i="10" s="1"/>
  <c r="K190" i="10"/>
  <c r="K238" i="11" s="1"/>
  <c r="N209" i="11"/>
  <c r="U26" i="10"/>
  <c r="R27" i="10"/>
  <c r="R75" i="11" s="1"/>
  <c r="X54" i="10"/>
  <c r="R20" i="10"/>
  <c r="R19" i="10" s="1"/>
  <c r="N26" i="10"/>
  <c r="S27" i="10"/>
  <c r="S75" i="11" s="1"/>
  <c r="N20" i="10"/>
  <c r="N19" i="10" s="1"/>
  <c r="N67" i="11" s="1"/>
  <c r="K154" i="7"/>
  <c r="I100" i="10" s="1"/>
  <c r="Y41" i="10"/>
  <c r="T20" i="10"/>
  <c r="T19" i="10" s="1"/>
  <c r="T18" i="10" s="1"/>
  <c r="W21" i="10"/>
  <c r="X21" i="10" s="1"/>
  <c r="V19" i="10"/>
  <c r="V67" i="11" s="1"/>
  <c r="K288" i="7"/>
  <c r="S38" i="7" s="1"/>
  <c r="L117" i="7"/>
  <c r="L116" i="7" s="1"/>
  <c r="L115" i="7" s="1"/>
  <c r="L114" i="7" s="1"/>
  <c r="X104" i="10"/>
  <c r="I101" i="10"/>
  <c r="S27" i="7"/>
  <c r="L77" i="7"/>
  <c r="L76" i="7" s="1"/>
  <c r="L75" i="7" s="1"/>
  <c r="M240" i="7"/>
  <c r="K238" i="7"/>
  <c r="K237" i="7" s="1"/>
  <c r="S37" i="7"/>
  <c r="M300" i="7"/>
  <c r="L299" i="7"/>
  <c r="M299" i="7" s="1"/>
  <c r="I241" i="11"/>
  <c r="I193" i="10"/>
  <c r="Q265" i="7"/>
  <c r="L265" i="7"/>
  <c r="M265" i="7" s="1"/>
  <c r="M266" i="7"/>
  <c r="Q228" i="7"/>
  <c r="I160" i="10"/>
  <c r="K227" i="7"/>
  <c r="I208" i="11"/>
  <c r="M93" i="7"/>
  <c r="M196" i="7"/>
  <c r="L195" i="7"/>
  <c r="K120" i="7"/>
  <c r="M120" i="7" s="1"/>
  <c r="M121" i="7"/>
  <c r="M185" i="7"/>
  <c r="L184" i="7"/>
  <c r="I75" i="10"/>
  <c r="Y75" i="10" s="1"/>
  <c r="M132" i="7"/>
  <c r="K69" i="7"/>
  <c r="M69" i="7" s="1"/>
  <c r="M70" i="7"/>
  <c r="M229" i="7"/>
  <c r="L228" i="7"/>
  <c r="M296" i="7"/>
  <c r="L295" i="7"/>
  <c r="M295" i="7" s="1"/>
  <c r="L204" i="7"/>
  <c r="M205" i="7"/>
  <c r="M293" i="7"/>
  <c r="L289" i="7"/>
  <c r="M189" i="7"/>
  <c r="L188" i="7"/>
  <c r="I73" i="11"/>
  <c r="Y86" i="10"/>
  <c r="L260" i="7"/>
  <c r="M261" i="7"/>
  <c r="W51" i="10"/>
  <c r="Y51" i="10" s="1"/>
  <c r="N46" i="10"/>
  <c r="N94" i="11" s="1"/>
  <c r="I87" i="11"/>
  <c r="Y87" i="11" s="1"/>
  <c r="K92" i="7"/>
  <c r="M92" i="7" s="1"/>
  <c r="I39" i="10"/>
  <c r="X39" i="10" s="1"/>
  <c r="Q94" i="7"/>
  <c r="J44" i="25"/>
  <c r="R46" i="10"/>
  <c r="R94" i="11" s="1"/>
  <c r="I84" i="13"/>
  <c r="X84" i="13" s="1"/>
  <c r="U46" i="10"/>
  <c r="U94" i="11" s="1"/>
  <c r="P46" i="10"/>
  <c r="P94" i="11" s="1"/>
  <c r="O46" i="10"/>
  <c r="O94" i="11" s="1"/>
  <c r="Q46" i="10"/>
  <c r="Q94" i="11" s="1"/>
  <c r="K46" i="10"/>
  <c r="K94" i="11" s="1"/>
  <c r="L46" i="10"/>
  <c r="L94" i="11" s="1"/>
  <c r="T46" i="10"/>
  <c r="T94" i="11" s="1"/>
  <c r="S46" i="10"/>
  <c r="S94" i="11" s="1"/>
  <c r="V46" i="10"/>
  <c r="V94" i="11" s="1"/>
  <c r="M47" i="10"/>
  <c r="M95" i="11" s="1"/>
  <c r="V47" i="10"/>
  <c r="V95" i="11" s="1"/>
  <c r="T47" i="10"/>
  <c r="T95" i="11" s="1"/>
  <c r="N47" i="10"/>
  <c r="N95" i="11" s="1"/>
  <c r="K47" i="10"/>
  <c r="R47" i="10"/>
  <c r="R95" i="11" s="1"/>
  <c r="S47" i="10"/>
  <c r="S95" i="11" s="1"/>
  <c r="O47" i="10"/>
  <c r="O95" i="11" s="1"/>
  <c r="L47" i="10"/>
  <c r="L95" i="11" s="1"/>
  <c r="U47" i="10"/>
  <c r="U95" i="11" s="1"/>
  <c r="P47" i="10"/>
  <c r="P95" i="11" s="1"/>
  <c r="Q47" i="10"/>
  <c r="Q95" i="11" s="1"/>
  <c r="I103" i="11"/>
  <c r="Y103" i="11" s="1"/>
  <c r="Q111" i="7"/>
  <c r="I55" i="10"/>
  <c r="X56" i="10"/>
  <c r="Y56" i="10"/>
  <c r="I45" i="10"/>
  <c r="I93" i="11"/>
  <c r="Q100" i="7"/>
  <c r="I25" i="10"/>
  <c r="K76" i="7"/>
  <c r="G26" i="6" s="1"/>
  <c r="G25" i="6" s="1"/>
  <c r="M26" i="10"/>
  <c r="M74" i="11" s="1"/>
  <c r="Q26" i="10"/>
  <c r="Q74" i="11" s="1"/>
  <c r="K26" i="10"/>
  <c r="K74" i="11" s="1"/>
  <c r="Q27" i="10"/>
  <c r="Q75" i="11" s="1"/>
  <c r="L26" i="10"/>
  <c r="L74" i="11" s="1"/>
  <c r="O26" i="10"/>
  <c r="O74" i="11" s="1"/>
  <c r="R26" i="10"/>
  <c r="R74" i="11" s="1"/>
  <c r="V26" i="10"/>
  <c r="V74" i="11" s="1"/>
  <c r="M27" i="10"/>
  <c r="M75" i="11" s="1"/>
  <c r="O27" i="10"/>
  <c r="O75" i="11" s="1"/>
  <c r="T27" i="10"/>
  <c r="T75" i="11" s="1"/>
  <c r="K27" i="10"/>
  <c r="K75" i="11" s="1"/>
  <c r="V27" i="10"/>
  <c r="V75" i="11" s="1"/>
  <c r="T26" i="10"/>
  <c r="P26" i="10"/>
  <c r="P25" i="10" s="1"/>
  <c r="J72" i="13"/>
  <c r="J71" i="13" s="1"/>
  <c r="I72" i="13"/>
  <c r="I71" i="13" s="1"/>
  <c r="I70" i="13" s="1"/>
  <c r="I13" i="3"/>
  <c r="F20" i="5" s="1"/>
  <c r="M16" i="5" s="1"/>
  <c r="J15" i="12"/>
  <c r="I67" i="11"/>
  <c r="L209" i="11"/>
  <c r="R239" i="11"/>
  <c r="Q132" i="7"/>
  <c r="Q295" i="7"/>
  <c r="G39" i="6"/>
  <c r="G38" i="6" s="1"/>
  <c r="G37" i="6" s="1"/>
  <c r="I123" i="11"/>
  <c r="Y123" i="11" s="1"/>
  <c r="I308" i="11"/>
  <c r="U19" i="10"/>
  <c r="U18" i="10" s="1"/>
  <c r="K131" i="7"/>
  <c r="M131" i="7" s="1"/>
  <c r="I237" i="11"/>
  <c r="Q261" i="7"/>
  <c r="K260" i="7"/>
  <c r="I189" i="10"/>
  <c r="I265" i="11"/>
  <c r="Y224" i="10"/>
  <c r="I312" i="11"/>
  <c r="I217" i="10"/>
  <c r="X217" i="10" s="1"/>
  <c r="R28" i="10"/>
  <c r="R76" i="11" s="1"/>
  <c r="I223" i="10"/>
  <c r="X223" i="10" s="1"/>
  <c r="X217" i="13"/>
  <c r="I216" i="13"/>
  <c r="I204" i="13"/>
  <c r="X205" i="13"/>
  <c r="F42" i="5"/>
  <c r="J57" i="12"/>
  <c r="J56" i="12"/>
  <c r="D9" i="37"/>
  <c r="W299" i="11"/>
  <c r="K235" i="7"/>
  <c r="M235" i="7" s="1"/>
  <c r="Q236" i="7"/>
  <c r="I168" i="10"/>
  <c r="I216" i="11"/>
  <c r="K253" i="7"/>
  <c r="M253" i="7" s="1"/>
  <c r="I187" i="10"/>
  <c r="Q254" i="7"/>
  <c r="I235" i="11"/>
  <c r="X258" i="13"/>
  <c r="X261" i="10"/>
  <c r="X43" i="10"/>
  <c r="J68" i="12"/>
  <c r="I40" i="3"/>
  <c r="Y192" i="10"/>
  <c r="O160" i="10"/>
  <c r="O159" i="10" s="1"/>
  <c r="O207" i="11" s="1"/>
  <c r="U77" i="11"/>
  <c r="Q299" i="7"/>
  <c r="X42" i="10"/>
  <c r="I261" i="13"/>
  <c r="X262" i="13"/>
  <c r="M116" i="11"/>
  <c r="W116" i="11" s="1"/>
  <c r="Y116" i="11" s="1"/>
  <c r="W68" i="10"/>
  <c r="M67" i="10"/>
  <c r="Q124" i="7"/>
  <c r="I115" i="11"/>
  <c r="I67" i="10"/>
  <c r="Y203" i="10"/>
  <c r="X203" i="10"/>
  <c r="G98" i="6"/>
  <c r="K28" i="10"/>
  <c r="K76" i="11" s="1"/>
  <c r="Q68" i="11"/>
  <c r="U29" i="7"/>
  <c r="U32" i="7" s="1"/>
  <c r="U33" i="7" s="1"/>
  <c r="Y48" i="10"/>
  <c r="X48" i="10"/>
  <c r="X127" i="10"/>
  <c r="Y127" i="10"/>
  <c r="W210" i="11"/>
  <c r="Y210" i="11" s="1"/>
  <c r="I112" i="13"/>
  <c r="F25" i="5"/>
  <c r="N28" i="10"/>
  <c r="N76" i="11" s="1"/>
  <c r="W191" i="10"/>
  <c r="X191" i="10" s="1"/>
  <c r="I199" i="10"/>
  <c r="I247" i="11"/>
  <c r="Q271" i="7"/>
  <c r="Y200" i="10"/>
  <c r="X200" i="10"/>
  <c r="Y208" i="10"/>
  <c r="X208" i="10"/>
  <c r="Q279" i="7"/>
  <c r="I207" i="10"/>
  <c r="I255" i="11"/>
  <c r="X210" i="13"/>
  <c r="I208" i="13"/>
  <c r="W29" i="10"/>
  <c r="X29" i="10" s="1"/>
  <c r="W122" i="11"/>
  <c r="M238" i="7"/>
  <c r="I221" i="11"/>
  <c r="I173" i="10"/>
  <c r="Q240" i="7"/>
  <c r="X236" i="13"/>
  <c r="I234" i="13"/>
  <c r="J23" i="12"/>
  <c r="D11" i="26"/>
  <c r="I131" i="11"/>
  <c r="Y131" i="11" s="1"/>
  <c r="G42" i="6"/>
  <c r="G41" i="6" s="1"/>
  <c r="G40" i="6" s="1"/>
  <c r="I83" i="10"/>
  <c r="K153" i="7"/>
  <c r="L153" i="7" s="1"/>
  <c r="I144" i="13"/>
  <c r="J19" i="12"/>
  <c r="I112" i="11"/>
  <c r="Y112" i="11" s="1"/>
  <c r="Q121" i="7"/>
  <c r="I64" i="10"/>
  <c r="I197" i="11"/>
  <c r="Y197" i="11" s="1"/>
  <c r="I149" i="10"/>
  <c r="P58" i="11"/>
  <c r="P47" i="11" s="1"/>
  <c r="P16" i="11" s="1"/>
  <c r="P62" i="11" s="1"/>
  <c r="Q59" i="11"/>
  <c r="I157" i="13"/>
  <c r="X158" i="13"/>
  <c r="F45" i="5"/>
  <c r="I254" i="11"/>
  <c r="I206" i="10"/>
  <c r="Q278" i="7"/>
  <c r="K276" i="7"/>
  <c r="X127" i="13"/>
  <c r="I126" i="13"/>
  <c r="X104" i="13"/>
  <c r="I103" i="13"/>
  <c r="X150" i="10"/>
  <c r="Y150" i="10"/>
  <c r="Y66" i="10"/>
  <c r="X66" i="10"/>
  <c r="G56" i="6"/>
  <c r="G55" i="6" s="1"/>
  <c r="I116" i="10"/>
  <c r="T116" i="10" s="1"/>
  <c r="K188" i="7"/>
  <c r="Q189" i="7"/>
  <c r="D20" i="11"/>
  <c r="D23" i="7"/>
  <c r="K184" i="7"/>
  <c r="I112" i="10"/>
  <c r="R112" i="10" s="1"/>
  <c r="Q185" i="7"/>
  <c r="W215" i="10"/>
  <c r="K263" i="11"/>
  <c r="W263" i="11" s="1"/>
  <c r="N177" i="11"/>
  <c r="W177" i="11" s="1"/>
  <c r="Y177" i="11" s="1"/>
  <c r="N126" i="10"/>
  <c r="W129" i="10"/>
  <c r="X141" i="10"/>
  <c r="Y141" i="10"/>
  <c r="Y189" i="11"/>
  <c r="X100" i="13"/>
  <c r="I99" i="13"/>
  <c r="U74" i="11"/>
  <c r="U25" i="10"/>
  <c r="X189" i="13"/>
  <c r="I181" i="13"/>
  <c r="X181" i="13" s="1"/>
  <c r="X249" i="13"/>
  <c r="I248" i="13"/>
  <c r="I212" i="10"/>
  <c r="I260" i="11"/>
  <c r="K204" i="7"/>
  <c r="I133" i="10"/>
  <c r="I181" i="11"/>
  <c r="Q205" i="7"/>
  <c r="G64" i="6"/>
  <c r="G63" i="6" s="1"/>
  <c r="G62" i="6" s="1"/>
  <c r="I253" i="13"/>
  <c r="X254" i="13"/>
  <c r="W79" i="10"/>
  <c r="W188" i="11"/>
  <c r="X115" i="13"/>
  <c r="I114" i="13"/>
  <c r="AF27" i="2"/>
  <c r="X147" i="13"/>
  <c r="I146" i="13"/>
  <c r="X131" i="13"/>
  <c r="I130" i="13"/>
  <c r="N94" i="10"/>
  <c r="N143" i="11"/>
  <c r="W143" i="11" s="1"/>
  <c r="W95" i="10"/>
  <c r="Q185" i="11"/>
  <c r="W185" i="11" s="1"/>
  <c r="Y185" i="11" s="1"/>
  <c r="W137" i="10"/>
  <c r="I62" i="11"/>
  <c r="Q64" i="7"/>
  <c r="M262" i="11"/>
  <c r="M213" i="10"/>
  <c r="N262" i="11"/>
  <c r="N213" i="10"/>
  <c r="K262" i="11"/>
  <c r="W214" i="10"/>
  <c r="K213" i="10"/>
  <c r="S262" i="11"/>
  <c r="S213" i="10"/>
  <c r="P262" i="11"/>
  <c r="P213" i="10"/>
  <c r="U262" i="11"/>
  <c r="U213" i="10"/>
  <c r="U183" i="11"/>
  <c r="U134" i="10"/>
  <c r="V183" i="11"/>
  <c r="V134" i="10"/>
  <c r="N183" i="11"/>
  <c r="N134" i="10"/>
  <c r="R134" i="10"/>
  <c r="R183" i="11"/>
  <c r="Q134" i="10"/>
  <c r="Q183" i="11"/>
  <c r="K183" i="11"/>
  <c r="K134" i="10"/>
  <c r="W135" i="10"/>
  <c r="Y260" i="10"/>
  <c r="X260" i="10"/>
  <c r="I165" i="13"/>
  <c r="X167" i="13"/>
  <c r="I166" i="13"/>
  <c r="X166" i="13" s="1"/>
  <c r="W243" i="11"/>
  <c r="I174" i="11"/>
  <c r="I126" i="10"/>
  <c r="I188" i="11"/>
  <c r="Q212" i="7"/>
  <c r="I140" i="10"/>
  <c r="X140" i="10" s="1"/>
  <c r="G69" i="6"/>
  <c r="J18" i="12"/>
  <c r="J31" i="12" s="1"/>
  <c r="I16" i="3"/>
  <c r="K116" i="7"/>
  <c r="I60" i="10"/>
  <c r="Q117" i="7"/>
  <c r="I108" i="11"/>
  <c r="X171" i="13"/>
  <c r="I170" i="13"/>
  <c r="N74" i="11"/>
  <c r="N25" i="10"/>
  <c r="S74" i="11"/>
  <c r="I125" i="10"/>
  <c r="I173" i="11"/>
  <c r="Y231" i="10"/>
  <c r="X231" i="10"/>
  <c r="W73" i="10"/>
  <c r="L121" i="11"/>
  <c r="W121" i="11" s="1"/>
  <c r="W133" i="11"/>
  <c r="I134" i="13"/>
  <c r="X135" i="13"/>
  <c r="Q81" i="7"/>
  <c r="I28" i="10"/>
  <c r="I76" i="11"/>
  <c r="I122" i="10"/>
  <c r="K194" i="7"/>
  <c r="G60" i="6"/>
  <c r="G59" i="6" s="1"/>
  <c r="G58" i="6" s="1"/>
  <c r="Q195" i="7"/>
  <c r="I170" i="11"/>
  <c r="U123" i="10"/>
  <c r="O123" i="10"/>
  <c r="P123" i="10"/>
  <c r="N123" i="10"/>
  <c r="S123" i="10"/>
  <c r="T123" i="10"/>
  <c r="M123" i="10"/>
  <c r="R123" i="10"/>
  <c r="K123" i="10"/>
  <c r="Q123" i="10"/>
  <c r="V123" i="10"/>
  <c r="L123" i="10"/>
  <c r="W127" i="11"/>
  <c r="K187" i="11"/>
  <c r="W187" i="11" s="1"/>
  <c r="W139" i="10"/>
  <c r="Y264" i="10"/>
  <c r="X264" i="10"/>
  <c r="K147" i="7"/>
  <c r="M147" i="7" s="1"/>
  <c r="I94" i="10"/>
  <c r="Q148" i="7"/>
  <c r="I142" i="11"/>
  <c r="Q262" i="11"/>
  <c r="Q213" i="10"/>
  <c r="R262" i="11"/>
  <c r="R213" i="10"/>
  <c r="O262" i="11"/>
  <c r="O213" i="10"/>
  <c r="L262" i="11"/>
  <c r="L213" i="10"/>
  <c r="T262" i="11"/>
  <c r="T213" i="10"/>
  <c r="V262" i="11"/>
  <c r="V213" i="10"/>
  <c r="P183" i="11"/>
  <c r="P134" i="10"/>
  <c r="T183" i="11"/>
  <c r="T134" i="10"/>
  <c r="S183" i="11"/>
  <c r="S134" i="10"/>
  <c r="M134" i="10"/>
  <c r="M183" i="11"/>
  <c r="L134" i="10"/>
  <c r="L183" i="11"/>
  <c r="O134" i="10"/>
  <c r="O183" i="11"/>
  <c r="R68" i="11"/>
  <c r="L19" i="10"/>
  <c r="L68" i="11"/>
  <c r="Q190" i="10"/>
  <c r="Q239" i="11"/>
  <c r="L190" i="10"/>
  <c r="L239" i="11"/>
  <c r="N190" i="10"/>
  <c r="N239" i="11"/>
  <c r="P190" i="10"/>
  <c r="P239" i="11"/>
  <c r="P193" i="10"/>
  <c r="P241" i="11" s="1"/>
  <c r="P242" i="11"/>
  <c r="P77" i="11"/>
  <c r="P28" i="10"/>
  <c r="P76" i="11" s="1"/>
  <c r="T160" i="10"/>
  <c r="T209" i="11"/>
  <c r="R160" i="10"/>
  <c r="R209" i="11"/>
  <c r="M160" i="10"/>
  <c r="M209" i="11"/>
  <c r="K68" i="11"/>
  <c r="K19" i="10"/>
  <c r="V193" i="10"/>
  <c r="V241" i="11" s="1"/>
  <c r="V242" i="11"/>
  <c r="T193" i="10"/>
  <c r="T241" i="11" s="1"/>
  <c r="T242" i="11"/>
  <c r="K241" i="11"/>
  <c r="U190" i="10"/>
  <c r="U239" i="11"/>
  <c r="V28" i="10"/>
  <c r="V76" i="11" s="1"/>
  <c r="V77" i="11"/>
  <c r="Q28" i="10"/>
  <c r="Q76" i="11" s="1"/>
  <c r="Q77" i="11"/>
  <c r="T28" i="10"/>
  <c r="T76" i="11" s="1"/>
  <c r="T77" i="11"/>
  <c r="P160" i="10"/>
  <c r="P209" i="11"/>
  <c r="V160" i="10"/>
  <c r="V209" i="11"/>
  <c r="Q160" i="10"/>
  <c r="Q209" i="11"/>
  <c r="R189" i="10"/>
  <c r="R237" i="11" s="1"/>
  <c r="R238" i="11"/>
  <c r="M189" i="10"/>
  <c r="M238" i="11"/>
  <c r="L193" i="10"/>
  <c r="L241" i="11" s="1"/>
  <c r="L242" i="11"/>
  <c r="X229" i="10"/>
  <c r="Y229" i="10"/>
  <c r="Y195" i="10"/>
  <c r="X195" i="10"/>
  <c r="N159" i="10"/>
  <c r="N207" i="11" s="1"/>
  <c r="N208" i="11"/>
  <c r="S159" i="10"/>
  <c r="S207" i="11" s="1"/>
  <c r="S208" i="11"/>
  <c r="U159" i="10"/>
  <c r="U207" i="11" s="1"/>
  <c r="U208" i="11"/>
  <c r="L159" i="10"/>
  <c r="L207" i="11" s="1"/>
  <c r="L208" i="11"/>
  <c r="S28" i="10"/>
  <c r="S76" i="11" s="1"/>
  <c r="S77" i="11"/>
  <c r="V190" i="10"/>
  <c r="V239" i="11"/>
  <c r="T190" i="10"/>
  <c r="T239" i="11"/>
  <c r="S190" i="10"/>
  <c r="S239" i="11"/>
  <c r="N193" i="10"/>
  <c r="N241" i="11" s="1"/>
  <c r="N242" i="11"/>
  <c r="S193" i="10"/>
  <c r="S241" i="11" s="1"/>
  <c r="S242" i="11"/>
  <c r="P19" i="10"/>
  <c r="P68" i="11"/>
  <c r="O19" i="10"/>
  <c r="O68" i="11"/>
  <c r="S19" i="10"/>
  <c r="S68" i="11"/>
  <c r="X75" i="10"/>
  <c r="O190" i="10"/>
  <c r="O239" i="11"/>
  <c r="W194" i="10"/>
  <c r="W240" i="11"/>
  <c r="W78" i="11"/>
  <c r="Y78" i="11" s="1"/>
  <c r="W69" i="11"/>
  <c r="Y69" i="11" s="1"/>
  <c r="Y242" i="10"/>
  <c r="X242" i="10"/>
  <c r="X257" i="13"/>
  <c r="I256" i="13"/>
  <c r="I240" i="10"/>
  <c r="G104" i="6"/>
  <c r="G103" i="6" s="1"/>
  <c r="I288" i="11"/>
  <c r="W161" i="10"/>
  <c r="K160" i="10"/>
  <c r="K208" i="11" s="1"/>
  <c r="X162" i="10"/>
  <c r="Y162" i="10"/>
  <c r="Y172" i="11"/>
  <c r="G100" i="6"/>
  <c r="I216" i="10"/>
  <c r="I264" i="11"/>
  <c r="O68" i="13"/>
  <c r="N67" i="13"/>
  <c r="K64" i="13"/>
  <c r="Y136" i="11"/>
  <c r="Y137" i="11"/>
  <c r="S25" i="10" l="1"/>
  <c r="Y254" i="10"/>
  <c r="M116" i="7"/>
  <c r="Y102" i="10"/>
  <c r="M19" i="10"/>
  <c r="V18" i="10"/>
  <c r="V66" i="11" s="1"/>
  <c r="I19" i="3"/>
  <c r="F30" i="5" s="1"/>
  <c r="Q154" i="7"/>
  <c r="M154" i="7"/>
  <c r="Q67" i="11"/>
  <c r="T67" i="11"/>
  <c r="Y38" i="10"/>
  <c r="Q69" i="7"/>
  <c r="K189" i="10"/>
  <c r="K237" i="11" s="1"/>
  <c r="I18" i="10"/>
  <c r="N18" i="10"/>
  <c r="N66" i="11" s="1"/>
  <c r="N148" i="11"/>
  <c r="W148" i="11" s="1"/>
  <c r="X100" i="10"/>
  <c r="W20" i="10"/>
  <c r="X20" i="10" s="1"/>
  <c r="I122" i="11"/>
  <c r="Y122" i="11" s="1"/>
  <c r="L25" i="10"/>
  <c r="L73" i="11" s="1"/>
  <c r="S26" i="7"/>
  <c r="K75" i="7"/>
  <c r="I23" i="10" s="1"/>
  <c r="I72" i="11"/>
  <c r="P74" i="11"/>
  <c r="R25" i="10"/>
  <c r="R73" i="11" s="1"/>
  <c r="T25" i="10"/>
  <c r="T73" i="11" s="1"/>
  <c r="X51" i="10"/>
  <c r="K25" i="10"/>
  <c r="K24" i="10" s="1"/>
  <c r="N68" i="11"/>
  <c r="M77" i="7"/>
  <c r="T26" i="7"/>
  <c r="T32" i="7" s="1"/>
  <c r="T33" i="7" s="1"/>
  <c r="T34" i="7" s="1"/>
  <c r="I66" i="11"/>
  <c r="T68" i="11"/>
  <c r="Q76" i="7"/>
  <c r="Q25" i="10"/>
  <c r="Q73" i="11" s="1"/>
  <c r="Y217" i="10"/>
  <c r="Q131" i="7"/>
  <c r="W27" i="10"/>
  <c r="X27" i="10" s="1"/>
  <c r="M25" i="10"/>
  <c r="M73" i="11" s="1"/>
  <c r="T22" i="7"/>
  <c r="T23" i="7" s="1"/>
  <c r="L68" i="7"/>
  <c r="S35" i="7"/>
  <c r="S41" i="7" s="1"/>
  <c r="S42" i="7" s="1"/>
  <c r="Y101" i="10"/>
  <c r="X101" i="10"/>
  <c r="I74" i="10"/>
  <c r="X74" i="10" s="1"/>
  <c r="Y100" i="10"/>
  <c r="M117" i="7"/>
  <c r="G16" i="51"/>
  <c r="G18" i="51" s="1"/>
  <c r="E6" i="50"/>
  <c r="I301" i="11"/>
  <c r="M260" i="7"/>
  <c r="L187" i="7"/>
  <c r="M188" i="7"/>
  <c r="L227" i="7"/>
  <c r="M228" i="7"/>
  <c r="L203" i="7"/>
  <c r="I24" i="3" s="1"/>
  <c r="M204" i="7"/>
  <c r="K270" i="7"/>
  <c r="M270" i="7" s="1"/>
  <c r="M276" i="7"/>
  <c r="M75" i="7"/>
  <c r="I24" i="10"/>
  <c r="M76" i="7"/>
  <c r="M289" i="7"/>
  <c r="L288" i="7"/>
  <c r="S29" i="7" s="1"/>
  <c r="M184" i="7"/>
  <c r="L183" i="7"/>
  <c r="M195" i="7"/>
  <c r="L194" i="7"/>
  <c r="M194" i="7" s="1"/>
  <c r="L193" i="7"/>
  <c r="I159" i="10"/>
  <c r="I207" i="11"/>
  <c r="Q227" i="7"/>
  <c r="M153" i="7"/>
  <c r="L152" i="7"/>
  <c r="Q92" i="7"/>
  <c r="I85" i="11"/>
  <c r="K91" i="7"/>
  <c r="Q91" i="7" s="1"/>
  <c r="I37" i="10"/>
  <c r="X37" i="10" s="1"/>
  <c r="Y39" i="10"/>
  <c r="I83" i="13"/>
  <c r="X83" i="13" s="1"/>
  <c r="W46" i="10"/>
  <c r="Y46" i="10" s="1"/>
  <c r="W94" i="11"/>
  <c r="Y94" i="11" s="1"/>
  <c r="T45" i="10"/>
  <c r="O45" i="10"/>
  <c r="V45" i="10"/>
  <c r="S45" i="10"/>
  <c r="Q45" i="10"/>
  <c r="P45" i="10"/>
  <c r="L45" i="10"/>
  <c r="N45" i="10"/>
  <c r="K45" i="10"/>
  <c r="U45" i="10"/>
  <c r="M45" i="10"/>
  <c r="R45" i="10"/>
  <c r="X55" i="10"/>
  <c r="Y55" i="10"/>
  <c r="K95" i="11"/>
  <c r="W95" i="11" s="1"/>
  <c r="Y95" i="11" s="1"/>
  <c r="W47" i="10"/>
  <c r="W75" i="11"/>
  <c r="Y75" i="11" s="1"/>
  <c r="O25" i="10"/>
  <c r="O73" i="11" s="1"/>
  <c r="V25" i="10"/>
  <c r="V24" i="10" s="1"/>
  <c r="W26" i="10"/>
  <c r="X26" i="10" s="1"/>
  <c r="T74" i="11"/>
  <c r="W72" i="13"/>
  <c r="X72" i="13" s="1"/>
  <c r="I71" i="11"/>
  <c r="U67" i="11"/>
  <c r="I253" i="10"/>
  <c r="X253" i="10" s="1"/>
  <c r="X29" i="7"/>
  <c r="X32" i="7" s="1"/>
  <c r="X33" i="7" s="1"/>
  <c r="Y223" i="10"/>
  <c r="Y191" i="10"/>
  <c r="Y188" i="11"/>
  <c r="V32" i="7"/>
  <c r="V33" i="7" s="1"/>
  <c r="L187" i="10"/>
  <c r="P187" i="10"/>
  <c r="M187" i="10"/>
  <c r="N187" i="10"/>
  <c r="Q187" i="10"/>
  <c r="V187" i="10"/>
  <c r="S187" i="10"/>
  <c r="K187" i="10"/>
  <c r="T187" i="10"/>
  <c r="U187" i="10"/>
  <c r="R187" i="10"/>
  <c r="O187" i="10"/>
  <c r="Q168" i="10"/>
  <c r="R168" i="10"/>
  <c r="P168" i="10"/>
  <c r="L168" i="10"/>
  <c r="K168" i="10"/>
  <c r="V168" i="10"/>
  <c r="N168" i="10"/>
  <c r="T168" i="10"/>
  <c r="M168" i="10"/>
  <c r="O168" i="10"/>
  <c r="S168" i="10"/>
  <c r="U168" i="10"/>
  <c r="K252" i="7"/>
  <c r="M252" i="7" s="1"/>
  <c r="I234" i="11"/>
  <c r="Q253" i="7"/>
  <c r="I186" i="10"/>
  <c r="I203" i="13"/>
  <c r="X204" i="13"/>
  <c r="M237" i="7"/>
  <c r="K234" i="7"/>
  <c r="M234" i="7" s="1"/>
  <c r="I215" i="11"/>
  <c r="Q235" i="7"/>
  <c r="I167" i="10"/>
  <c r="X216" i="13"/>
  <c r="I215" i="13"/>
  <c r="O208" i="11"/>
  <c r="Q288" i="7"/>
  <c r="G107" i="6"/>
  <c r="G106" i="6" s="1"/>
  <c r="G105" i="6" s="1"/>
  <c r="G97" i="6" s="1"/>
  <c r="K287" i="7"/>
  <c r="I252" i="10" s="1"/>
  <c r="F23" i="5"/>
  <c r="M18" i="5" s="1"/>
  <c r="I260" i="13"/>
  <c r="X261" i="13"/>
  <c r="Y68" i="10"/>
  <c r="X68" i="10"/>
  <c r="M115" i="11"/>
  <c r="W115" i="11" s="1"/>
  <c r="Y115" i="11" s="1"/>
  <c r="W67" i="10"/>
  <c r="M62" i="10"/>
  <c r="Y140" i="10"/>
  <c r="F31" i="5"/>
  <c r="M25" i="5" s="1"/>
  <c r="J55" i="12"/>
  <c r="F41" i="5"/>
  <c r="F48" i="5" s="1"/>
  <c r="F24" i="5"/>
  <c r="M19" i="5" s="1"/>
  <c r="W209" i="11"/>
  <c r="Y209" i="11" s="1"/>
  <c r="I111" i="13"/>
  <c r="X112" i="13"/>
  <c r="M23" i="5"/>
  <c r="K128" i="7"/>
  <c r="M128" i="7" s="1"/>
  <c r="I72" i="10"/>
  <c r="G36" i="6"/>
  <c r="G35" i="6" s="1"/>
  <c r="Q129" i="7"/>
  <c r="I120" i="11"/>
  <c r="X173" i="10"/>
  <c r="Y173" i="10"/>
  <c r="I171" i="10"/>
  <c r="Q238" i="7"/>
  <c r="I219" i="11"/>
  <c r="G84" i="6"/>
  <c r="G83" i="6" s="1"/>
  <c r="X207" i="10"/>
  <c r="Y207" i="10"/>
  <c r="X199" i="10"/>
  <c r="Y199" i="10"/>
  <c r="I207" i="13"/>
  <c r="X208" i="13"/>
  <c r="W242" i="11"/>
  <c r="R160" i="11"/>
  <c r="W160" i="11" s="1"/>
  <c r="W112" i="10"/>
  <c r="R111" i="10"/>
  <c r="D21" i="11"/>
  <c r="D24" i="7"/>
  <c r="T164" i="11"/>
  <c r="W164" i="11" s="1"/>
  <c r="W116" i="10"/>
  <c r="T115" i="10"/>
  <c r="X103" i="13"/>
  <c r="I102" i="13"/>
  <c r="X126" i="13"/>
  <c r="I125" i="13"/>
  <c r="I252" i="11"/>
  <c r="I204" i="10"/>
  <c r="Q276" i="7"/>
  <c r="Q206" i="10"/>
  <c r="O206" i="10"/>
  <c r="U206" i="10"/>
  <c r="P206" i="10"/>
  <c r="R206" i="10"/>
  <c r="L206" i="10"/>
  <c r="V206" i="10"/>
  <c r="K206" i="10"/>
  <c r="M206" i="10"/>
  <c r="T206" i="10"/>
  <c r="S206" i="10"/>
  <c r="N206" i="10"/>
  <c r="J60" i="12"/>
  <c r="I38" i="3"/>
  <c r="Q58" i="11"/>
  <c r="Q47" i="11" s="1"/>
  <c r="Q16" i="11" s="1"/>
  <c r="Q62" i="11" s="1"/>
  <c r="R59" i="11"/>
  <c r="X149" i="10"/>
  <c r="Y149" i="10"/>
  <c r="X64" i="10"/>
  <c r="Y64" i="10"/>
  <c r="Y83" i="10"/>
  <c r="X83" i="10"/>
  <c r="I82" i="10"/>
  <c r="I130" i="11"/>
  <c r="Y130" i="11" s="1"/>
  <c r="K183" i="7"/>
  <c r="I111" i="10"/>
  <c r="Q184" i="7"/>
  <c r="Q188" i="7"/>
  <c r="I115" i="10"/>
  <c r="K187" i="7"/>
  <c r="I156" i="13"/>
  <c r="X157" i="13"/>
  <c r="I148" i="10"/>
  <c r="I196" i="11"/>
  <c r="Y196" i="11" s="1"/>
  <c r="K119" i="7"/>
  <c r="M119" i="7" s="1"/>
  <c r="Q120" i="7"/>
  <c r="I63" i="10"/>
  <c r="I111" i="11"/>
  <c r="Y111" i="11" s="1"/>
  <c r="X144" i="13"/>
  <c r="I143" i="13"/>
  <c r="I99" i="10"/>
  <c r="N99" i="10" s="1"/>
  <c r="G49" i="6"/>
  <c r="G48" i="6" s="1"/>
  <c r="G43" i="6" s="1"/>
  <c r="Q153" i="7"/>
  <c r="W26" i="7"/>
  <c r="W32" i="7" s="1"/>
  <c r="W33" i="7" s="1"/>
  <c r="K152" i="7"/>
  <c r="X234" i="13"/>
  <c r="I228" i="13"/>
  <c r="W71" i="13"/>
  <c r="X71" i="13" s="1"/>
  <c r="J70" i="13"/>
  <c r="O182" i="11"/>
  <c r="O133" i="10"/>
  <c r="L182" i="11"/>
  <c r="L133" i="10"/>
  <c r="M133" i="10"/>
  <c r="M182" i="11"/>
  <c r="V122" i="10"/>
  <c r="V171" i="11"/>
  <c r="K171" i="11"/>
  <c r="K122" i="10"/>
  <c r="W123" i="10"/>
  <c r="M122" i="10"/>
  <c r="M171" i="11"/>
  <c r="S171" i="11"/>
  <c r="S122" i="10"/>
  <c r="P171" i="11"/>
  <c r="P122" i="10"/>
  <c r="U171" i="11"/>
  <c r="U122" i="10"/>
  <c r="I120" i="10"/>
  <c r="Q193" i="7"/>
  <c r="I168" i="11"/>
  <c r="Q116" i="7"/>
  <c r="I107" i="11"/>
  <c r="K115" i="7"/>
  <c r="M115" i="7" s="1"/>
  <c r="I59" i="10"/>
  <c r="L69" i="6"/>
  <c r="G68" i="6"/>
  <c r="G67" i="6" s="1"/>
  <c r="I164" i="13"/>
  <c r="X165" i="13"/>
  <c r="K182" i="11"/>
  <c r="K133" i="10"/>
  <c r="W134" i="10"/>
  <c r="N133" i="10"/>
  <c r="N182" i="11"/>
  <c r="V182" i="11"/>
  <c r="V133" i="10"/>
  <c r="U133" i="10"/>
  <c r="U182" i="11"/>
  <c r="U261" i="11"/>
  <c r="U212" i="10"/>
  <c r="U260" i="11" s="1"/>
  <c r="P212" i="10"/>
  <c r="P260" i="11" s="1"/>
  <c r="P261" i="11"/>
  <c r="S212" i="10"/>
  <c r="S260" i="11" s="1"/>
  <c r="S261" i="11"/>
  <c r="K261" i="11"/>
  <c r="K212" i="10"/>
  <c r="W213" i="10"/>
  <c r="W262" i="11"/>
  <c r="X114" i="13"/>
  <c r="I113" i="13"/>
  <c r="X113" i="13" s="1"/>
  <c r="I132" i="10"/>
  <c r="Q204" i="7"/>
  <c r="K203" i="7"/>
  <c r="K191" i="7" s="1"/>
  <c r="I180" i="11"/>
  <c r="X248" i="13"/>
  <c r="I247" i="13"/>
  <c r="X247" i="13" s="1"/>
  <c r="Y129" i="10"/>
  <c r="X129" i="10"/>
  <c r="W77" i="11"/>
  <c r="Y77" i="11" s="1"/>
  <c r="S133" i="10"/>
  <c r="S182" i="11"/>
  <c r="T182" i="11"/>
  <c r="T133" i="10"/>
  <c r="P133" i="10"/>
  <c r="P182" i="11"/>
  <c r="V261" i="11"/>
  <c r="V212" i="10"/>
  <c r="V260" i="11" s="1"/>
  <c r="T212" i="10"/>
  <c r="T260" i="11" s="1"/>
  <c r="T261" i="11"/>
  <c r="L212" i="10"/>
  <c r="L260" i="11" s="1"/>
  <c r="L261" i="11"/>
  <c r="O212" i="10"/>
  <c r="O260" i="11" s="1"/>
  <c r="O261" i="11"/>
  <c r="R261" i="11"/>
  <c r="R212" i="10"/>
  <c r="R260" i="11" s="1"/>
  <c r="Q261" i="11"/>
  <c r="Q212" i="10"/>
  <c r="Q260" i="11" s="1"/>
  <c r="K146" i="7"/>
  <c r="M146" i="7" s="1"/>
  <c r="I93" i="10"/>
  <c r="I141" i="11"/>
  <c r="Q147" i="7"/>
  <c r="L171" i="11"/>
  <c r="L122" i="10"/>
  <c r="Q171" i="11"/>
  <c r="Q122" i="10"/>
  <c r="R122" i="10"/>
  <c r="R171" i="11"/>
  <c r="T171" i="11"/>
  <c r="T122" i="10"/>
  <c r="N171" i="11"/>
  <c r="N122" i="10"/>
  <c r="O171" i="11"/>
  <c r="O122" i="10"/>
  <c r="I121" i="10"/>
  <c r="Q194" i="7"/>
  <c r="I169" i="11"/>
  <c r="X134" i="13"/>
  <c r="I133" i="13"/>
  <c r="X133" i="13" s="1"/>
  <c r="S24" i="10"/>
  <c r="S73" i="11"/>
  <c r="M24" i="10"/>
  <c r="P24" i="10"/>
  <c r="P73" i="11"/>
  <c r="N73" i="11"/>
  <c r="N24" i="10"/>
  <c r="I169" i="13"/>
  <c r="X169" i="13" s="1"/>
  <c r="X170" i="13"/>
  <c r="U60" i="10"/>
  <c r="R60" i="10"/>
  <c r="S60" i="10"/>
  <c r="M60" i="10"/>
  <c r="V60" i="10"/>
  <c r="N60" i="10"/>
  <c r="T60" i="10"/>
  <c r="O60" i="10"/>
  <c r="P60" i="10"/>
  <c r="K60" i="10"/>
  <c r="Q60" i="10"/>
  <c r="L60" i="10"/>
  <c r="X135" i="10"/>
  <c r="Y135" i="10"/>
  <c r="W183" i="11"/>
  <c r="Y183" i="11" s="1"/>
  <c r="Q182" i="11"/>
  <c r="Q133" i="10"/>
  <c r="R182" i="11"/>
  <c r="R133" i="10"/>
  <c r="X214" i="10"/>
  <c r="Y214" i="10"/>
  <c r="N261" i="11"/>
  <c r="N212" i="10"/>
  <c r="N260" i="11" s="1"/>
  <c r="M261" i="11"/>
  <c r="M212" i="10"/>
  <c r="M260" i="11" s="1"/>
  <c r="X137" i="10"/>
  <c r="Y137" i="10"/>
  <c r="X95" i="10"/>
  <c r="Y95" i="10"/>
  <c r="N93" i="10"/>
  <c r="N142" i="11"/>
  <c r="W142" i="11" s="1"/>
  <c r="Y142" i="11" s="1"/>
  <c r="W94" i="10"/>
  <c r="X130" i="13"/>
  <c r="I129" i="13"/>
  <c r="I145" i="13"/>
  <c r="X145" i="13" s="1"/>
  <c r="X146" i="13"/>
  <c r="AE29" i="2"/>
  <c r="AF30" i="2" s="1"/>
  <c r="X253" i="13"/>
  <c r="I252" i="13"/>
  <c r="K73" i="11"/>
  <c r="U24" i="10"/>
  <c r="U73" i="11"/>
  <c r="I98" i="13"/>
  <c r="X99" i="13"/>
  <c r="N174" i="11"/>
  <c r="W174" i="11" s="1"/>
  <c r="Y174" i="11" s="1"/>
  <c r="N125" i="10"/>
  <c r="N173" i="11" s="1"/>
  <c r="W173" i="11" s="1"/>
  <c r="Y173" i="11" s="1"/>
  <c r="W126" i="10"/>
  <c r="I73" i="10"/>
  <c r="Q130" i="7"/>
  <c r="I121" i="11"/>
  <c r="Y121" i="11" s="1"/>
  <c r="S189" i="10"/>
  <c r="S238" i="11"/>
  <c r="T189" i="10"/>
  <c r="T238" i="11"/>
  <c r="V189" i="10"/>
  <c r="V238" i="11"/>
  <c r="M237" i="11"/>
  <c r="Q159" i="10"/>
  <c r="Q207" i="11" s="1"/>
  <c r="Q208" i="11"/>
  <c r="V159" i="10"/>
  <c r="V207" i="11" s="1"/>
  <c r="V208" i="11"/>
  <c r="P159" i="10"/>
  <c r="P207" i="11" s="1"/>
  <c r="P208" i="11"/>
  <c r="Q66" i="11"/>
  <c r="U189" i="10"/>
  <c r="U238" i="11"/>
  <c r="M159" i="10"/>
  <c r="M207" i="11" s="1"/>
  <c r="M208" i="11"/>
  <c r="R159" i="10"/>
  <c r="R207" i="11" s="1"/>
  <c r="R208" i="11"/>
  <c r="T159" i="10"/>
  <c r="T208" i="11"/>
  <c r="Y194" i="10"/>
  <c r="X194" i="10"/>
  <c r="O189" i="10"/>
  <c r="O238" i="11"/>
  <c r="S18" i="10"/>
  <c r="S67" i="11"/>
  <c r="O18" i="10"/>
  <c r="O67" i="11"/>
  <c r="P18" i="10"/>
  <c r="P67" i="11"/>
  <c r="T66" i="11"/>
  <c r="K67" i="11"/>
  <c r="K18" i="10"/>
  <c r="W19" i="10"/>
  <c r="X19" i="10" s="1"/>
  <c r="U66" i="11"/>
  <c r="P189" i="10"/>
  <c r="P238" i="11"/>
  <c r="N189" i="10"/>
  <c r="N238" i="11"/>
  <c r="L238" i="11"/>
  <c r="L189" i="10"/>
  <c r="Q189" i="10"/>
  <c r="Q238" i="11"/>
  <c r="L18" i="10"/>
  <c r="L67" i="11"/>
  <c r="R18" i="10"/>
  <c r="R67" i="11"/>
  <c r="W76" i="11"/>
  <c r="Y76" i="11" s="1"/>
  <c r="W241" i="11"/>
  <c r="W239" i="11"/>
  <c r="W190" i="10"/>
  <c r="X190" i="10" s="1"/>
  <c r="W28" i="10"/>
  <c r="X28" i="10" s="1"/>
  <c r="W193" i="10"/>
  <c r="X256" i="13"/>
  <c r="I255" i="13"/>
  <c r="Y240" i="10"/>
  <c r="X240" i="10"/>
  <c r="Y161" i="10"/>
  <c r="X161" i="10"/>
  <c r="W160" i="10"/>
  <c r="K159" i="10"/>
  <c r="N66" i="13"/>
  <c r="K63" i="13"/>
  <c r="O67" i="13"/>
  <c r="O66" i="13" s="1"/>
  <c r="O65" i="13" s="1"/>
  <c r="O64" i="13" s="1"/>
  <c r="O63" i="13" s="1"/>
  <c r="O62" i="13" s="1"/>
  <c r="P68" i="13"/>
  <c r="X216" i="10"/>
  <c r="Y216" i="10"/>
  <c r="AD31" i="57" l="1"/>
  <c r="AC31" i="57"/>
  <c r="I82" i="13"/>
  <c r="X82" i="13" s="1"/>
  <c r="T24" i="10"/>
  <c r="W74" i="11"/>
  <c r="Y74" i="11" s="1"/>
  <c r="M67" i="11"/>
  <c r="M18" i="10"/>
  <c r="M66" i="11" s="1"/>
  <c r="S32" i="7"/>
  <c r="S33" i="7" s="1"/>
  <c r="Q24" i="10"/>
  <c r="L24" i="10"/>
  <c r="O24" i="10"/>
  <c r="O72" i="11" s="1"/>
  <c r="Q75" i="7"/>
  <c r="J33" i="12"/>
  <c r="I31" i="3"/>
  <c r="W68" i="11"/>
  <c r="Y68" i="11" s="1"/>
  <c r="Y74" i="10"/>
  <c r="R24" i="10"/>
  <c r="I300" i="11"/>
  <c r="K286" i="7"/>
  <c r="K285" i="7" s="1"/>
  <c r="X46" i="10"/>
  <c r="F6" i="50"/>
  <c r="F17" i="50" s="1"/>
  <c r="F19" i="50" s="1"/>
  <c r="M203" i="7"/>
  <c r="M152" i="7"/>
  <c r="L151" i="7"/>
  <c r="L182" i="7"/>
  <c r="I20" i="3" s="1"/>
  <c r="I22" i="3" s="1"/>
  <c r="M183" i="7"/>
  <c r="Y37" i="10"/>
  <c r="L192" i="7"/>
  <c r="L191" i="7" s="1"/>
  <c r="M193" i="7"/>
  <c r="M227" i="7"/>
  <c r="L226" i="7"/>
  <c r="W25" i="10"/>
  <c r="X25" i="10" s="1"/>
  <c r="M288" i="7"/>
  <c r="L287" i="7"/>
  <c r="L186" i="7"/>
  <c r="M187" i="7"/>
  <c r="I36" i="10"/>
  <c r="M91" i="7"/>
  <c r="G30" i="6"/>
  <c r="G29" i="6" s="1"/>
  <c r="K90" i="7"/>
  <c r="I84" i="11"/>
  <c r="M36" i="10"/>
  <c r="M93" i="11"/>
  <c r="L93" i="11"/>
  <c r="L36" i="10"/>
  <c r="V36" i="10"/>
  <c r="V93" i="11"/>
  <c r="X47" i="10"/>
  <c r="Y47" i="10"/>
  <c r="R93" i="11"/>
  <c r="R36" i="10"/>
  <c r="N36" i="10"/>
  <c r="N93" i="11"/>
  <c r="S36" i="10"/>
  <c r="S93" i="11"/>
  <c r="U93" i="11"/>
  <c r="U36" i="10"/>
  <c r="P36" i="10"/>
  <c r="P93" i="11"/>
  <c r="O93" i="11"/>
  <c r="O36" i="10"/>
  <c r="K93" i="11"/>
  <c r="K36" i="10"/>
  <c r="W45" i="10"/>
  <c r="Q93" i="11"/>
  <c r="Q36" i="10"/>
  <c r="T93" i="11"/>
  <c r="T36" i="10"/>
  <c r="V73" i="11"/>
  <c r="W73" i="11" s="1"/>
  <c r="Y73" i="11" s="1"/>
  <c r="Y253" i="10"/>
  <c r="Q287" i="7"/>
  <c r="W354" i="7"/>
  <c r="U167" i="10"/>
  <c r="U216" i="11"/>
  <c r="T216" i="11"/>
  <c r="T167" i="10"/>
  <c r="L216" i="11"/>
  <c r="L167" i="10"/>
  <c r="O186" i="10"/>
  <c r="O235" i="11"/>
  <c r="K186" i="10"/>
  <c r="K235" i="11"/>
  <c r="W187" i="10"/>
  <c r="N186" i="10"/>
  <c r="N235" i="11"/>
  <c r="S167" i="10"/>
  <c r="S216" i="11"/>
  <c r="N167" i="10"/>
  <c r="N216" i="11"/>
  <c r="P167" i="10"/>
  <c r="P216" i="11"/>
  <c r="R235" i="11"/>
  <c r="R186" i="10"/>
  <c r="S235" i="11"/>
  <c r="S186" i="10"/>
  <c r="M186" i="10"/>
  <c r="M235" i="11"/>
  <c r="O15" i="5"/>
  <c r="I214" i="13"/>
  <c r="X215" i="13"/>
  <c r="O216" i="11"/>
  <c r="O167" i="10"/>
  <c r="V216" i="11"/>
  <c r="V167" i="10"/>
  <c r="R216" i="11"/>
  <c r="R167" i="10"/>
  <c r="U235" i="11"/>
  <c r="U186" i="10"/>
  <c r="V235" i="11"/>
  <c r="V186" i="10"/>
  <c r="P186" i="10"/>
  <c r="P235" i="11"/>
  <c r="K233" i="7"/>
  <c r="M233" i="7" s="1"/>
  <c r="G80" i="6"/>
  <c r="G79" i="6" s="1"/>
  <c r="G78" i="6" s="1"/>
  <c r="I214" i="11"/>
  <c r="Q234" i="7"/>
  <c r="I166" i="10"/>
  <c r="I202" i="13"/>
  <c r="X202" i="13" s="1"/>
  <c r="X203" i="13"/>
  <c r="K251" i="7"/>
  <c r="M251" i="7" s="1"/>
  <c r="I185" i="10"/>
  <c r="Q252" i="7"/>
  <c r="I233" i="11"/>
  <c r="G87" i="6"/>
  <c r="G86" i="6" s="1"/>
  <c r="G85" i="6" s="1"/>
  <c r="M216" i="11"/>
  <c r="M167" i="10"/>
  <c r="K216" i="11"/>
  <c r="K167" i="10"/>
  <c r="W168" i="10"/>
  <c r="Q216" i="11"/>
  <c r="Q167" i="10"/>
  <c r="T186" i="10"/>
  <c r="T235" i="11"/>
  <c r="Q186" i="10"/>
  <c r="Q235" i="11"/>
  <c r="L186" i="10"/>
  <c r="L235" i="11"/>
  <c r="J62" i="12"/>
  <c r="J74" i="12" s="1"/>
  <c r="J76" i="12" s="1"/>
  <c r="F35" i="5"/>
  <c r="E16" i="5" s="1"/>
  <c r="F16" i="5" s="1"/>
  <c r="Y190" i="10"/>
  <c r="X260" i="13"/>
  <c r="I259" i="13"/>
  <c r="X259" i="13" s="1"/>
  <c r="Y67" i="10"/>
  <c r="X67" i="10"/>
  <c r="W62" i="10"/>
  <c r="M110" i="11"/>
  <c r="W110" i="11" s="1"/>
  <c r="M61" i="10"/>
  <c r="M14" i="5"/>
  <c r="O14" i="5" s="1"/>
  <c r="P72" i="10"/>
  <c r="Q72" i="10"/>
  <c r="V72" i="10"/>
  <c r="L72" i="10"/>
  <c r="K72" i="10"/>
  <c r="T72" i="10"/>
  <c r="N72" i="10"/>
  <c r="O72" i="10"/>
  <c r="R72" i="10"/>
  <c r="M72" i="10"/>
  <c r="S72" i="10"/>
  <c r="U72" i="10"/>
  <c r="U19" i="5"/>
  <c r="V19" i="5" s="1"/>
  <c r="V25" i="5" s="1"/>
  <c r="M20" i="5"/>
  <c r="O23" i="5"/>
  <c r="K127" i="7"/>
  <c r="M127" i="7" s="1"/>
  <c r="I119" i="11"/>
  <c r="Q128" i="7"/>
  <c r="I71" i="10"/>
  <c r="I110" i="13"/>
  <c r="X111" i="13"/>
  <c r="I206" i="13"/>
  <c r="X207" i="13"/>
  <c r="I170" i="10"/>
  <c r="Q237" i="7"/>
  <c r="I218" i="11"/>
  <c r="Y171" i="10"/>
  <c r="X171" i="10"/>
  <c r="X143" i="13"/>
  <c r="I142" i="13"/>
  <c r="I195" i="11"/>
  <c r="Y195" i="11" s="1"/>
  <c r="I147" i="10"/>
  <c r="G71" i="6"/>
  <c r="G70" i="6" s="1"/>
  <c r="G57" i="6" s="1"/>
  <c r="I155" i="13"/>
  <c r="X156" i="13"/>
  <c r="I114" i="10"/>
  <c r="K186" i="7"/>
  <c r="Q187" i="7"/>
  <c r="I129" i="11"/>
  <c r="Y129" i="11" s="1"/>
  <c r="I81" i="10"/>
  <c r="S204" i="10"/>
  <c r="S254" i="11"/>
  <c r="M254" i="11"/>
  <c r="M204" i="10"/>
  <c r="V204" i="10"/>
  <c r="V254" i="11"/>
  <c r="R254" i="11"/>
  <c r="R204" i="10"/>
  <c r="U254" i="11"/>
  <c r="U204" i="10"/>
  <c r="Q204" i="10"/>
  <c r="Q254" i="11"/>
  <c r="X116" i="10"/>
  <c r="Y116" i="10"/>
  <c r="D22" i="11"/>
  <c r="D25" i="7"/>
  <c r="W111" i="10"/>
  <c r="R159" i="11"/>
  <c r="W159" i="11" s="1"/>
  <c r="R110" i="10"/>
  <c r="I227" i="13"/>
  <c r="X228" i="13"/>
  <c r="I98" i="10"/>
  <c r="K151" i="7"/>
  <c r="Q152" i="7"/>
  <c r="N147" i="11"/>
  <c r="W147" i="11" s="1"/>
  <c r="N98" i="10"/>
  <c r="W99" i="10"/>
  <c r="X63" i="10"/>
  <c r="Y63" i="10"/>
  <c r="I110" i="11"/>
  <c r="G34" i="6"/>
  <c r="G33" i="6" s="1"/>
  <c r="Q119" i="7"/>
  <c r="K118" i="7"/>
  <c r="M118" i="7" s="1"/>
  <c r="I62" i="10"/>
  <c r="Y148" i="10"/>
  <c r="X148" i="10"/>
  <c r="K182" i="7"/>
  <c r="I110" i="10"/>
  <c r="G54" i="6"/>
  <c r="G53" i="6" s="1"/>
  <c r="G52" i="6" s="1"/>
  <c r="Q183" i="7"/>
  <c r="Y82" i="10"/>
  <c r="X82" i="10"/>
  <c r="S59" i="11"/>
  <c r="R58" i="11"/>
  <c r="R47" i="11" s="1"/>
  <c r="R16" i="11" s="1"/>
  <c r="R62" i="11" s="1"/>
  <c r="N204" i="10"/>
  <c r="N254" i="11"/>
  <c r="T204" i="10"/>
  <c r="T254" i="11"/>
  <c r="K254" i="11"/>
  <c r="K204" i="10"/>
  <c r="W206" i="10"/>
  <c r="L254" i="11"/>
  <c r="L204" i="10"/>
  <c r="P254" i="11"/>
  <c r="P204" i="10"/>
  <c r="O254" i="11"/>
  <c r="O204" i="10"/>
  <c r="I246" i="11"/>
  <c r="G94" i="6"/>
  <c r="G93" i="6" s="1"/>
  <c r="G88" i="6" s="1"/>
  <c r="I198" i="10"/>
  <c r="K269" i="7"/>
  <c r="M269" i="7" s="1"/>
  <c r="Q270" i="7"/>
  <c r="X125" i="13"/>
  <c r="I124" i="13"/>
  <c r="I101" i="13"/>
  <c r="X101" i="13" s="1"/>
  <c r="X102" i="13"/>
  <c r="T163" i="11"/>
  <c r="W163" i="11" s="1"/>
  <c r="T114" i="10"/>
  <c r="W115" i="10"/>
  <c r="Y112" i="10"/>
  <c r="X112" i="10"/>
  <c r="X126" i="10"/>
  <c r="W125" i="10"/>
  <c r="Y126" i="10"/>
  <c r="I97" i="13"/>
  <c r="X98" i="13"/>
  <c r="U23" i="10"/>
  <c r="U72" i="11"/>
  <c r="O23" i="10"/>
  <c r="O71" i="11" s="1"/>
  <c r="V72" i="11"/>
  <c r="V23" i="10"/>
  <c r="X252" i="13"/>
  <c r="I251" i="13"/>
  <c r="X251" i="13" s="1"/>
  <c r="X129" i="13"/>
  <c r="Y94" i="10"/>
  <c r="X94" i="10"/>
  <c r="N92" i="10"/>
  <c r="N141" i="11"/>
  <c r="W141" i="11" s="1"/>
  <c r="Y141" i="11" s="1"/>
  <c r="W93" i="10"/>
  <c r="R132" i="10"/>
  <c r="R181" i="11"/>
  <c r="Q181" i="11"/>
  <c r="Q132" i="10"/>
  <c r="Q108" i="11"/>
  <c r="Q59" i="10"/>
  <c r="P108" i="11"/>
  <c r="P59" i="10"/>
  <c r="T108" i="11"/>
  <c r="T59" i="10"/>
  <c r="V59" i="10"/>
  <c r="V108" i="11"/>
  <c r="S108" i="11"/>
  <c r="S59" i="10"/>
  <c r="U108" i="11"/>
  <c r="U59" i="10"/>
  <c r="P23" i="10"/>
  <c r="P71" i="11" s="1"/>
  <c r="P72" i="11"/>
  <c r="S72" i="11"/>
  <c r="S23" i="10"/>
  <c r="S71" i="11" s="1"/>
  <c r="O170" i="11"/>
  <c r="O121" i="10"/>
  <c r="O169" i="11" s="1"/>
  <c r="O120" i="10"/>
  <c r="N170" i="11"/>
  <c r="N121" i="10"/>
  <c r="N169" i="11" s="1"/>
  <c r="N120" i="10"/>
  <c r="T121" i="10"/>
  <c r="T169" i="11" s="1"/>
  <c r="T170" i="11"/>
  <c r="T120" i="10"/>
  <c r="Q170" i="11"/>
  <c r="Q121" i="10"/>
  <c r="Q169" i="11" s="1"/>
  <c r="Q120" i="10"/>
  <c r="L120" i="10"/>
  <c r="L170" i="11"/>
  <c r="L121" i="10"/>
  <c r="L169" i="11" s="1"/>
  <c r="T132" i="10"/>
  <c r="T181" i="11"/>
  <c r="Y213" i="10"/>
  <c r="X213" i="10"/>
  <c r="W261" i="11"/>
  <c r="V132" i="10"/>
  <c r="V181" i="11"/>
  <c r="X134" i="10"/>
  <c r="Y134" i="10"/>
  <c r="W182" i="11"/>
  <c r="Y182" i="11" s="1"/>
  <c r="X164" i="13"/>
  <c r="I163" i="13"/>
  <c r="X163" i="13" s="1"/>
  <c r="I58" i="10"/>
  <c r="Q115" i="7"/>
  <c r="I106" i="11"/>
  <c r="K114" i="7"/>
  <c r="M114" i="7" s="1"/>
  <c r="G32" i="6"/>
  <c r="G31" i="6" s="1"/>
  <c r="M170" i="11"/>
  <c r="M121" i="10"/>
  <c r="M169" i="11" s="1"/>
  <c r="M120" i="10"/>
  <c r="K170" i="11"/>
  <c r="K121" i="10"/>
  <c r="K120" i="10"/>
  <c r="W122" i="10"/>
  <c r="L181" i="11"/>
  <c r="L132" i="10"/>
  <c r="O132" i="10"/>
  <c r="O181" i="11"/>
  <c r="W70" i="13"/>
  <c r="X70" i="13" s="1"/>
  <c r="J64" i="13"/>
  <c r="J63" i="13" s="1"/>
  <c r="J62" i="13" s="1"/>
  <c r="W208" i="11"/>
  <c r="Y208" i="11" s="1"/>
  <c r="R72" i="11"/>
  <c r="R23" i="10"/>
  <c r="R71" i="11" s="1"/>
  <c r="K72" i="11"/>
  <c r="K23" i="10"/>
  <c r="X252" i="10"/>
  <c r="Y252" i="10"/>
  <c r="Q286" i="7"/>
  <c r="L108" i="11"/>
  <c r="L59" i="10"/>
  <c r="K108" i="11"/>
  <c r="W60" i="10"/>
  <c r="K59" i="10"/>
  <c r="O108" i="11"/>
  <c r="O59" i="10"/>
  <c r="N59" i="10"/>
  <c r="N108" i="11"/>
  <c r="M59" i="10"/>
  <c r="M108" i="11"/>
  <c r="R108" i="11"/>
  <c r="R59" i="10"/>
  <c r="Q23" i="10"/>
  <c r="Q72" i="11"/>
  <c r="T72" i="11"/>
  <c r="T23" i="10"/>
  <c r="N23" i="10"/>
  <c r="N72" i="11"/>
  <c r="M23" i="10"/>
  <c r="M72" i="11"/>
  <c r="R121" i="10"/>
  <c r="R169" i="11" s="1"/>
  <c r="R120" i="10"/>
  <c r="R170" i="11"/>
  <c r="I92" i="10"/>
  <c r="I140" i="11"/>
  <c r="Q146" i="7"/>
  <c r="P132" i="10"/>
  <c r="P181" i="11"/>
  <c r="S132" i="10"/>
  <c r="S181" i="11"/>
  <c r="L23" i="10"/>
  <c r="L71" i="11" s="1"/>
  <c r="L72" i="11"/>
  <c r="I131" i="10"/>
  <c r="Q203" i="7"/>
  <c r="I179" i="11"/>
  <c r="K260" i="11"/>
  <c r="W260" i="11" s="1"/>
  <c r="W212" i="10"/>
  <c r="U132" i="10"/>
  <c r="U181" i="11"/>
  <c r="N132" i="10"/>
  <c r="N181" i="11"/>
  <c r="K181" i="11"/>
  <c r="K132" i="10"/>
  <c r="W133" i="10"/>
  <c r="I119" i="10"/>
  <c r="Q192" i="7"/>
  <c r="I167" i="11"/>
  <c r="U121" i="10"/>
  <c r="U169" i="11" s="1"/>
  <c r="U170" i="11"/>
  <c r="U120" i="10"/>
  <c r="P121" i="10"/>
  <c r="P169" i="11" s="1"/>
  <c r="P170" i="11"/>
  <c r="P120" i="10"/>
  <c r="S170" i="11"/>
  <c r="S120" i="10"/>
  <c r="S121" i="10"/>
  <c r="S169" i="11" s="1"/>
  <c r="X123" i="10"/>
  <c r="Y123" i="10"/>
  <c r="W171" i="11"/>
  <c r="Y171" i="11" s="1"/>
  <c r="V120" i="10"/>
  <c r="V170" i="11"/>
  <c r="V121" i="10"/>
  <c r="V169" i="11" s="1"/>
  <c r="M181" i="11"/>
  <c r="M132" i="10"/>
  <c r="W159" i="10"/>
  <c r="X159" i="10" s="1"/>
  <c r="K207" i="11"/>
  <c r="Y193" i="10"/>
  <c r="X193" i="10"/>
  <c r="L237" i="11"/>
  <c r="V237" i="11"/>
  <c r="T237" i="11"/>
  <c r="S237" i="11"/>
  <c r="X73" i="10"/>
  <c r="Y73" i="10"/>
  <c r="R66" i="11"/>
  <c r="L66" i="11"/>
  <c r="Q237" i="11"/>
  <c r="N237" i="11"/>
  <c r="P237" i="11"/>
  <c r="K66" i="11"/>
  <c r="P66" i="11"/>
  <c r="O66" i="11"/>
  <c r="S66" i="11"/>
  <c r="O237" i="11"/>
  <c r="T207" i="11"/>
  <c r="U237" i="11"/>
  <c r="W67" i="11"/>
  <c r="Y67" i="11" s="1"/>
  <c r="W189" i="10"/>
  <c r="W238" i="11"/>
  <c r="X255" i="13"/>
  <c r="I246" i="13"/>
  <c r="X160" i="10"/>
  <c r="Y160" i="10"/>
  <c r="P67" i="13"/>
  <c r="Q68" i="13"/>
  <c r="K62" i="13"/>
  <c r="N65" i="13"/>
  <c r="R226" i="7" l="1"/>
  <c r="AB38" i="57"/>
  <c r="W18" i="10"/>
  <c r="X18" i="10" s="1"/>
  <c r="W24" i="10"/>
  <c r="X24" i="10" s="1"/>
  <c r="Q38" i="3"/>
  <c r="I48" i="3"/>
  <c r="Q31" i="3"/>
  <c r="I299" i="11"/>
  <c r="I251" i="10"/>
  <c r="K68" i="7"/>
  <c r="M90" i="7"/>
  <c r="M191" i="7"/>
  <c r="M192" i="7"/>
  <c r="L150" i="7"/>
  <c r="M151" i="7"/>
  <c r="M186" i="7"/>
  <c r="M182" i="7"/>
  <c r="L181" i="7"/>
  <c r="L286" i="7"/>
  <c r="M287" i="7"/>
  <c r="Q90" i="7"/>
  <c r="I35" i="10"/>
  <c r="I83" i="11"/>
  <c r="G22" i="6"/>
  <c r="G21" i="6" s="1"/>
  <c r="U84" i="11"/>
  <c r="U35" i="10"/>
  <c r="U83" i="11" s="1"/>
  <c r="L84" i="11"/>
  <c r="L35" i="10"/>
  <c r="L83" i="11" s="1"/>
  <c r="T35" i="10"/>
  <c r="T83" i="11" s="1"/>
  <c r="T84" i="11"/>
  <c r="X45" i="10"/>
  <c r="Y45" i="10"/>
  <c r="N84" i="11"/>
  <c r="N35" i="10"/>
  <c r="N83" i="11" s="1"/>
  <c r="O35" i="10"/>
  <c r="O83" i="11" s="1"/>
  <c r="O84" i="11"/>
  <c r="K84" i="11"/>
  <c r="W36" i="10"/>
  <c r="K35" i="10"/>
  <c r="R84" i="11"/>
  <c r="R35" i="10"/>
  <c r="R83" i="11" s="1"/>
  <c r="Q35" i="10"/>
  <c r="Q83" i="11" s="1"/>
  <c r="Q84" i="11"/>
  <c r="W93" i="11"/>
  <c r="P35" i="10"/>
  <c r="P83" i="11" s="1"/>
  <c r="P84" i="11"/>
  <c r="S35" i="10"/>
  <c r="S83" i="11" s="1"/>
  <c r="S84" i="11"/>
  <c r="V84" i="11"/>
  <c r="V35" i="10"/>
  <c r="V83" i="11" s="1"/>
  <c r="M84" i="11"/>
  <c r="M35" i="10"/>
  <c r="M83" i="11" s="1"/>
  <c r="S191" i="7"/>
  <c r="R191" i="7"/>
  <c r="G74" i="6"/>
  <c r="Q215" i="11"/>
  <c r="Q166" i="10"/>
  <c r="W216" i="11"/>
  <c r="P185" i="10"/>
  <c r="P234" i="11"/>
  <c r="I213" i="13"/>
  <c r="X213" i="13" s="1"/>
  <c r="X214" i="13"/>
  <c r="M234" i="11"/>
  <c r="M185" i="10"/>
  <c r="N215" i="11"/>
  <c r="N166" i="10"/>
  <c r="N234" i="11"/>
  <c r="N185" i="10"/>
  <c r="T215" i="11"/>
  <c r="T166" i="10"/>
  <c r="Q185" i="10"/>
  <c r="Q234" i="11"/>
  <c r="M215" i="11"/>
  <c r="M166" i="10"/>
  <c r="V234" i="11"/>
  <c r="V185" i="10"/>
  <c r="R166" i="10"/>
  <c r="R215" i="11"/>
  <c r="O166" i="10"/>
  <c r="O215" i="11"/>
  <c r="S185" i="10"/>
  <c r="S234" i="11"/>
  <c r="Y187" i="10"/>
  <c r="X187" i="10"/>
  <c r="O185" i="10"/>
  <c r="O234" i="11"/>
  <c r="X168" i="10"/>
  <c r="Y168" i="10"/>
  <c r="I165" i="10"/>
  <c r="I213" i="11"/>
  <c r="Q233" i="7"/>
  <c r="K232" i="7"/>
  <c r="P166" i="10"/>
  <c r="P215" i="11"/>
  <c r="S166" i="10"/>
  <c r="S215" i="11"/>
  <c r="W235" i="11"/>
  <c r="L215" i="11"/>
  <c r="L166" i="10"/>
  <c r="L234" i="11"/>
  <c r="L185" i="10"/>
  <c r="T234" i="11"/>
  <c r="T185" i="10"/>
  <c r="K166" i="10"/>
  <c r="W167" i="10"/>
  <c r="K215" i="11"/>
  <c r="K250" i="7"/>
  <c r="M250" i="7" s="1"/>
  <c r="Q251" i="7"/>
  <c r="I184" i="10"/>
  <c r="I232" i="11"/>
  <c r="U185" i="10"/>
  <c r="U234" i="11"/>
  <c r="V166" i="10"/>
  <c r="V215" i="11"/>
  <c r="R185" i="10"/>
  <c r="R234" i="11"/>
  <c r="K234" i="11"/>
  <c r="K185" i="10"/>
  <c r="W186" i="10"/>
  <c r="U215" i="11"/>
  <c r="U166" i="10"/>
  <c r="E17" i="5"/>
  <c r="R19" i="5" s="1"/>
  <c r="R25" i="5" s="1"/>
  <c r="Y110" i="11"/>
  <c r="M109" i="11"/>
  <c r="W109" i="11" s="1"/>
  <c r="W61" i="10"/>
  <c r="X110" i="13"/>
  <c r="I109" i="13"/>
  <c r="X109" i="13" s="1"/>
  <c r="K126" i="7"/>
  <c r="M126" i="7" s="1"/>
  <c r="Q127" i="7"/>
  <c r="I70" i="10"/>
  <c r="I118" i="11"/>
  <c r="M5" i="5"/>
  <c r="O21" i="5"/>
  <c r="U71" i="10"/>
  <c r="U120" i="11"/>
  <c r="M120" i="11"/>
  <c r="M71" i="10"/>
  <c r="O71" i="10"/>
  <c r="O120" i="11"/>
  <c r="T71" i="10"/>
  <c r="T120" i="11"/>
  <c r="L120" i="11"/>
  <c r="L71" i="10"/>
  <c r="Q120" i="11"/>
  <c r="Q71" i="10"/>
  <c r="S71" i="10"/>
  <c r="S120" i="11"/>
  <c r="R71" i="10"/>
  <c r="R120" i="11"/>
  <c r="N120" i="11"/>
  <c r="N71" i="10"/>
  <c r="K120" i="11"/>
  <c r="K71" i="10"/>
  <c r="W72" i="10"/>
  <c r="V120" i="11"/>
  <c r="V71" i="10"/>
  <c r="P71" i="10"/>
  <c r="P120" i="11"/>
  <c r="X170" i="10"/>
  <c r="Y170" i="10"/>
  <c r="X206" i="13"/>
  <c r="I201" i="13"/>
  <c r="X201" i="13" s="1"/>
  <c r="T113" i="10"/>
  <c r="T162" i="11"/>
  <c r="W162" i="11" s="1"/>
  <c r="W114" i="10"/>
  <c r="I123" i="13"/>
  <c r="X123" i="13" s="1"/>
  <c r="X124" i="13"/>
  <c r="K252" i="11"/>
  <c r="K198" i="10"/>
  <c r="W204" i="10"/>
  <c r="Y62" i="10"/>
  <c r="X62" i="10"/>
  <c r="N146" i="11"/>
  <c r="W146" i="11" s="1"/>
  <c r="N97" i="10"/>
  <c r="W98" i="10"/>
  <c r="X227" i="13"/>
  <c r="I218" i="13"/>
  <c r="R158" i="11"/>
  <c r="W158" i="11" s="1"/>
  <c r="W110" i="10"/>
  <c r="R109" i="10"/>
  <c r="Y111" i="10"/>
  <c r="X111" i="10"/>
  <c r="Q252" i="11"/>
  <c r="Q198" i="10"/>
  <c r="V198" i="10"/>
  <c r="V252" i="11"/>
  <c r="S198" i="10"/>
  <c r="S252" i="11"/>
  <c r="I128" i="11"/>
  <c r="Y128" i="11" s="1"/>
  <c r="I80" i="10"/>
  <c r="Q186" i="7"/>
  <c r="I113" i="10"/>
  <c r="Y147" i="10"/>
  <c r="X147" i="10"/>
  <c r="I187" i="11"/>
  <c r="Y187" i="11" s="1"/>
  <c r="I139" i="10"/>
  <c r="Q211" i="7"/>
  <c r="Y159" i="10"/>
  <c r="W72" i="11"/>
  <c r="Y72" i="11" s="1"/>
  <c r="Y115" i="10"/>
  <c r="X115" i="10"/>
  <c r="I197" i="10"/>
  <c r="Q269" i="7"/>
  <c r="I245" i="11"/>
  <c r="O252" i="11"/>
  <c r="O198" i="10"/>
  <c r="P252" i="11"/>
  <c r="P198" i="10"/>
  <c r="L252" i="11"/>
  <c r="L198" i="10"/>
  <c r="X206" i="10"/>
  <c r="Y206" i="10"/>
  <c r="W254" i="11"/>
  <c r="T198" i="10"/>
  <c r="T252" i="11"/>
  <c r="N198" i="10"/>
  <c r="N252" i="11"/>
  <c r="T59" i="11"/>
  <c r="S58" i="11"/>
  <c r="S47" i="11" s="1"/>
  <c r="S16" i="11" s="1"/>
  <c r="S62" i="11" s="1"/>
  <c r="I109" i="10"/>
  <c r="Q182" i="7"/>
  <c r="K181" i="7"/>
  <c r="I109" i="11"/>
  <c r="I61" i="10"/>
  <c r="Q118" i="7"/>
  <c r="X99" i="10"/>
  <c r="Y99" i="10"/>
  <c r="I97" i="10"/>
  <c r="K150" i="7"/>
  <c r="K138" i="7" s="1"/>
  <c r="Q151" i="7"/>
  <c r="D26" i="7"/>
  <c r="D23" i="11"/>
  <c r="U252" i="11"/>
  <c r="U198" i="10"/>
  <c r="R252" i="11"/>
  <c r="R198" i="10"/>
  <c r="M252" i="11"/>
  <c r="M198" i="10"/>
  <c r="Y81" i="10"/>
  <c r="X81" i="10"/>
  <c r="I154" i="13"/>
  <c r="X154" i="13" s="1"/>
  <c r="X155" i="13"/>
  <c r="I141" i="13"/>
  <c r="X142" i="13"/>
  <c r="W66" i="11"/>
  <c r="Y66" i="11" s="1"/>
  <c r="W237" i="11"/>
  <c r="W181" i="11"/>
  <c r="Y181" i="11" s="1"/>
  <c r="S168" i="11"/>
  <c r="S119" i="10"/>
  <c r="P168" i="11"/>
  <c r="P119" i="10"/>
  <c r="R31" i="3"/>
  <c r="S31" i="3"/>
  <c r="Q191" i="7"/>
  <c r="I166" i="11"/>
  <c r="I118" i="10"/>
  <c r="Y133" i="10"/>
  <c r="X133" i="10"/>
  <c r="N180" i="11"/>
  <c r="N131" i="10"/>
  <c r="N179" i="11" s="1"/>
  <c r="U180" i="11"/>
  <c r="U131" i="10"/>
  <c r="U179" i="11" s="1"/>
  <c r="S180" i="11"/>
  <c r="S131" i="10"/>
  <c r="S179" i="11" s="1"/>
  <c r="P180" i="11"/>
  <c r="P131" i="10"/>
  <c r="P179" i="11" s="1"/>
  <c r="R119" i="10"/>
  <c r="R168" i="11"/>
  <c r="L57" i="6"/>
  <c r="M71" i="11"/>
  <c r="N71" i="11"/>
  <c r="Q71" i="11"/>
  <c r="M107" i="11"/>
  <c r="M58" i="10"/>
  <c r="N107" i="11"/>
  <c r="N58" i="10"/>
  <c r="X60" i="10"/>
  <c r="Y60" i="10"/>
  <c r="L58" i="10"/>
  <c r="L107" i="11"/>
  <c r="S40" i="3"/>
  <c r="R40" i="3"/>
  <c r="I215" i="10"/>
  <c r="Q285" i="7"/>
  <c r="R285" i="7"/>
  <c r="I263" i="11"/>
  <c r="L97" i="6"/>
  <c r="K71" i="11"/>
  <c r="W23" i="10"/>
  <c r="X23" i="10" s="1"/>
  <c r="O131" i="10"/>
  <c r="O179" i="11" s="1"/>
  <c r="O180" i="11"/>
  <c r="X122" i="10"/>
  <c r="Y122" i="10"/>
  <c r="W121" i="10"/>
  <c r="K169" i="11"/>
  <c r="W169" i="11" s="1"/>
  <c r="Y169" i="11" s="1"/>
  <c r="M168" i="11"/>
  <c r="M119" i="10"/>
  <c r="I57" i="10"/>
  <c r="I105" i="11"/>
  <c r="Q114" i="7"/>
  <c r="T131" i="10"/>
  <c r="T179" i="11" s="1"/>
  <c r="T180" i="11"/>
  <c r="L168" i="11"/>
  <c r="L119" i="10"/>
  <c r="T168" i="11"/>
  <c r="T119" i="10"/>
  <c r="O119" i="10"/>
  <c r="O168" i="11"/>
  <c r="V107" i="11"/>
  <c r="V58" i="10"/>
  <c r="R180" i="11"/>
  <c r="R131" i="10"/>
  <c r="R179" i="11" s="1"/>
  <c r="Y93" i="10"/>
  <c r="X93" i="10"/>
  <c r="W92" i="10"/>
  <c r="N140" i="11"/>
  <c r="W140" i="11" s="1"/>
  <c r="Y140" i="11" s="1"/>
  <c r="U71" i="11"/>
  <c r="X97" i="13"/>
  <c r="X125" i="10"/>
  <c r="Y125" i="10"/>
  <c r="M180" i="11"/>
  <c r="M131" i="10"/>
  <c r="M179" i="11" s="1"/>
  <c r="V119" i="10"/>
  <c r="V168" i="11"/>
  <c r="U119" i="10"/>
  <c r="U168" i="11"/>
  <c r="K131" i="10"/>
  <c r="K180" i="11"/>
  <c r="W132" i="10"/>
  <c r="X212" i="10"/>
  <c r="Y212" i="10"/>
  <c r="T71" i="11"/>
  <c r="R107" i="11"/>
  <c r="R58" i="10"/>
  <c r="O107" i="11"/>
  <c r="O58" i="10"/>
  <c r="K107" i="11"/>
  <c r="K58" i="10"/>
  <c r="W59" i="10"/>
  <c r="W108" i="11"/>
  <c r="Y108" i="11" s="1"/>
  <c r="X251" i="10"/>
  <c r="Y251" i="10"/>
  <c r="L180" i="11"/>
  <c r="L131" i="10"/>
  <c r="L179" i="11" s="1"/>
  <c r="K168" i="11"/>
  <c r="K119" i="10"/>
  <c r="W120" i="10"/>
  <c r="W170" i="11"/>
  <c r="Y170" i="11" s="1"/>
  <c r="V131" i="10"/>
  <c r="V179" i="11" s="1"/>
  <c r="V180" i="11"/>
  <c r="Q119" i="10"/>
  <c r="Q168" i="11"/>
  <c r="N119" i="10"/>
  <c r="N168" i="11"/>
  <c r="U107" i="11"/>
  <c r="U58" i="10"/>
  <c r="S107" i="11"/>
  <c r="S58" i="10"/>
  <c r="T107" i="11"/>
  <c r="T58" i="10"/>
  <c r="P58" i="10"/>
  <c r="P107" i="11"/>
  <c r="Q107" i="11"/>
  <c r="Q58" i="10"/>
  <c r="Q180" i="11"/>
  <c r="Q131" i="10"/>
  <c r="Q179" i="11" s="1"/>
  <c r="V71" i="11"/>
  <c r="X189" i="10"/>
  <c r="Y189" i="10"/>
  <c r="W207" i="11"/>
  <c r="Y207" i="11" s="1"/>
  <c r="X246" i="13"/>
  <c r="I245" i="13"/>
  <c r="N64" i="13"/>
  <c r="Y88" i="11"/>
  <c r="Q67" i="13"/>
  <c r="Q66" i="13" s="1"/>
  <c r="Q65" i="13" s="1"/>
  <c r="Q64" i="13" s="1"/>
  <c r="Q63" i="13" s="1"/>
  <c r="Q62" i="13" s="1"/>
  <c r="R68" i="13"/>
  <c r="P66" i="13"/>
  <c r="M181" i="7" l="1"/>
  <c r="I164" i="10"/>
  <c r="M232" i="7"/>
  <c r="M150" i="7"/>
  <c r="L138" i="7"/>
  <c r="M286" i="7"/>
  <c r="L285" i="7"/>
  <c r="M285" i="7" s="1"/>
  <c r="G20" i="6"/>
  <c r="G118" i="6" s="1"/>
  <c r="G119" i="6" s="1"/>
  <c r="G125" i="6" s="1"/>
  <c r="W35" i="10"/>
  <c r="K83" i="11"/>
  <c r="W83" i="11" s="1"/>
  <c r="Y36" i="10"/>
  <c r="X36" i="10"/>
  <c r="W84" i="11"/>
  <c r="Q232" i="7"/>
  <c r="Y109" i="11"/>
  <c r="I212" i="11"/>
  <c r="K226" i="7"/>
  <c r="U165" i="10"/>
  <c r="U214" i="11"/>
  <c r="W234" i="11"/>
  <c r="V214" i="11"/>
  <c r="V165" i="10"/>
  <c r="X167" i="10"/>
  <c r="Y167" i="10"/>
  <c r="L184" i="10"/>
  <c r="L233" i="11"/>
  <c r="P165" i="10"/>
  <c r="P214" i="11"/>
  <c r="M165" i="10"/>
  <c r="M214" i="11"/>
  <c r="T165" i="10"/>
  <c r="T214" i="11"/>
  <c r="N165" i="10"/>
  <c r="N214" i="11"/>
  <c r="K165" i="10"/>
  <c r="K214" i="11"/>
  <c r="W166" i="10"/>
  <c r="O233" i="11"/>
  <c r="O184" i="10"/>
  <c r="S233" i="11"/>
  <c r="S184" i="10"/>
  <c r="R214" i="11"/>
  <c r="R165" i="10"/>
  <c r="Q165" i="10"/>
  <c r="Q214" i="11"/>
  <c r="Y186" i="10"/>
  <c r="X186" i="10"/>
  <c r="R233" i="11"/>
  <c r="R184" i="10"/>
  <c r="U233" i="11"/>
  <c r="U184" i="10"/>
  <c r="Q250" i="7"/>
  <c r="I183" i="10"/>
  <c r="I231" i="11"/>
  <c r="T233" i="11"/>
  <c r="T184" i="10"/>
  <c r="L214" i="11"/>
  <c r="L165" i="10"/>
  <c r="S165" i="10"/>
  <c r="S214" i="11"/>
  <c r="V184" i="10"/>
  <c r="V233" i="11"/>
  <c r="N184" i="10"/>
  <c r="N233" i="11"/>
  <c r="M184" i="10"/>
  <c r="M233" i="11"/>
  <c r="K184" i="10"/>
  <c r="K233" i="11"/>
  <c r="W185" i="10"/>
  <c r="W215" i="11"/>
  <c r="O214" i="11"/>
  <c r="O165" i="10"/>
  <c r="Q184" i="10"/>
  <c r="Q233" i="11"/>
  <c r="P233" i="11"/>
  <c r="P184" i="10"/>
  <c r="K67" i="7"/>
  <c r="AB22" i="57" s="1"/>
  <c r="P119" i="11"/>
  <c r="P70" i="10"/>
  <c r="K119" i="11"/>
  <c r="K70" i="10"/>
  <c r="W71" i="10"/>
  <c r="N119" i="11"/>
  <c r="N70" i="10"/>
  <c r="Q119" i="11"/>
  <c r="Q70" i="10"/>
  <c r="L119" i="11"/>
  <c r="L70" i="10"/>
  <c r="M119" i="11"/>
  <c r="M70" i="10"/>
  <c r="I64" i="13"/>
  <c r="V119" i="11"/>
  <c r="V70" i="10"/>
  <c r="X72" i="10"/>
  <c r="Y72" i="10"/>
  <c r="W120" i="11"/>
  <c r="Y120" i="11" s="1"/>
  <c r="R119" i="11"/>
  <c r="R70" i="10"/>
  <c r="S70" i="10"/>
  <c r="S119" i="11"/>
  <c r="T119" i="11"/>
  <c r="T70" i="10"/>
  <c r="O70" i="10"/>
  <c r="O119" i="11"/>
  <c r="U70" i="10"/>
  <c r="U119" i="11"/>
  <c r="K9" i="5"/>
  <c r="K10" i="5" s="1"/>
  <c r="M6" i="5"/>
  <c r="I69" i="10"/>
  <c r="I117" i="11"/>
  <c r="Q126" i="7"/>
  <c r="X141" i="13"/>
  <c r="I128" i="13"/>
  <c r="X128" i="13" s="1"/>
  <c r="D27" i="7"/>
  <c r="D24" i="11"/>
  <c r="I96" i="10"/>
  <c r="Q150" i="7"/>
  <c r="X139" i="10"/>
  <c r="Y139" i="10"/>
  <c r="Y80" i="10"/>
  <c r="X80" i="10"/>
  <c r="Q246" i="11"/>
  <c r="Q197" i="10"/>
  <c r="W109" i="10"/>
  <c r="R108" i="10"/>
  <c r="R157" i="11"/>
  <c r="W157" i="11" s="1"/>
  <c r="N145" i="11"/>
  <c r="W145" i="11" s="1"/>
  <c r="W97" i="10"/>
  <c r="N96" i="10"/>
  <c r="X204" i="10"/>
  <c r="Y204" i="10"/>
  <c r="W252" i="11"/>
  <c r="M246" i="11"/>
  <c r="M197" i="10"/>
  <c r="R197" i="10"/>
  <c r="R246" i="11"/>
  <c r="U197" i="10"/>
  <c r="U246" i="11"/>
  <c r="Y61" i="10"/>
  <c r="X61" i="10"/>
  <c r="I108" i="10"/>
  <c r="Q181" i="7"/>
  <c r="T58" i="11"/>
  <c r="U59" i="11"/>
  <c r="N246" i="11"/>
  <c r="N197" i="10"/>
  <c r="T246" i="11"/>
  <c r="T197" i="10"/>
  <c r="L246" i="11"/>
  <c r="L197" i="10"/>
  <c r="P197" i="10"/>
  <c r="P246" i="11"/>
  <c r="O197" i="10"/>
  <c r="O246" i="11"/>
  <c r="I188" i="10"/>
  <c r="Q260" i="7"/>
  <c r="I236" i="11"/>
  <c r="I79" i="10"/>
  <c r="I127" i="11"/>
  <c r="Y127" i="11" s="1"/>
  <c r="S197" i="10"/>
  <c r="S246" i="11"/>
  <c r="V197" i="10"/>
  <c r="V246" i="11"/>
  <c r="X110" i="10"/>
  <c r="Y110" i="10"/>
  <c r="I195" i="13"/>
  <c r="X218" i="13"/>
  <c r="X98" i="10"/>
  <c r="Y98" i="10"/>
  <c r="K197" i="10"/>
  <c r="K246" i="11"/>
  <c r="W198" i="10"/>
  <c r="Y114" i="10"/>
  <c r="X114" i="10"/>
  <c r="T161" i="11"/>
  <c r="W161" i="11" s="1"/>
  <c r="W113" i="10"/>
  <c r="T108" i="10"/>
  <c r="T156" i="11" s="1"/>
  <c r="Q57" i="10"/>
  <c r="Q106" i="11"/>
  <c r="T106" i="11"/>
  <c r="T57" i="10"/>
  <c r="U57" i="10"/>
  <c r="U106" i="11"/>
  <c r="P57" i="10"/>
  <c r="P106" i="11"/>
  <c r="N167" i="11"/>
  <c r="N118" i="10"/>
  <c r="N166" i="11" s="1"/>
  <c r="Q167" i="11"/>
  <c r="Q118" i="10"/>
  <c r="Q166" i="11" s="1"/>
  <c r="X120" i="10"/>
  <c r="Y120" i="10"/>
  <c r="W168" i="11"/>
  <c r="Y168" i="11" s="1"/>
  <c r="X59" i="10"/>
  <c r="Y59" i="10"/>
  <c r="Y132" i="10"/>
  <c r="X132" i="10"/>
  <c r="K179" i="11"/>
  <c r="W179" i="11" s="1"/>
  <c r="Y179" i="11" s="1"/>
  <c r="W131" i="10"/>
  <c r="U167" i="11"/>
  <c r="U118" i="10"/>
  <c r="U166" i="11" s="1"/>
  <c r="V167" i="11"/>
  <c r="V118" i="10"/>
  <c r="V166" i="11" s="1"/>
  <c r="Y92" i="10"/>
  <c r="X92" i="10"/>
  <c r="V57" i="10"/>
  <c r="V106" i="11"/>
  <c r="T118" i="10"/>
  <c r="T166" i="11" s="1"/>
  <c r="T167" i="11"/>
  <c r="L118" i="10"/>
  <c r="L166" i="11" s="1"/>
  <c r="L167" i="11"/>
  <c r="Q68" i="7"/>
  <c r="I65" i="11"/>
  <c r="I17" i="10"/>
  <c r="M167" i="11"/>
  <c r="M118" i="10"/>
  <c r="M166" i="11" s="1"/>
  <c r="X215" i="10"/>
  <c r="Y215" i="10"/>
  <c r="L106" i="11"/>
  <c r="L57" i="10"/>
  <c r="P118" i="10"/>
  <c r="P166" i="11" s="1"/>
  <c r="P167" i="11"/>
  <c r="S167" i="11"/>
  <c r="S118" i="10"/>
  <c r="S166" i="11" s="1"/>
  <c r="S57" i="10"/>
  <c r="S106" i="11"/>
  <c r="K118" i="10"/>
  <c r="K167" i="11"/>
  <c r="W119" i="10"/>
  <c r="K106" i="11"/>
  <c r="K57" i="10"/>
  <c r="W58" i="10"/>
  <c r="O106" i="11"/>
  <c r="O57" i="10"/>
  <c r="R57" i="10"/>
  <c r="R106" i="11"/>
  <c r="O118" i="10"/>
  <c r="O166" i="11" s="1"/>
  <c r="O167" i="11"/>
  <c r="Y121" i="10"/>
  <c r="X121" i="10"/>
  <c r="W71" i="11"/>
  <c r="W107" i="11"/>
  <c r="Y107" i="11" s="1"/>
  <c r="N57" i="10"/>
  <c r="N106" i="11"/>
  <c r="M57" i="10"/>
  <c r="M106" i="11"/>
  <c r="R167" i="11"/>
  <c r="R118" i="10"/>
  <c r="R166" i="11" s="1"/>
  <c r="W180" i="11"/>
  <c r="Y180" i="11" s="1"/>
  <c r="X245" i="13"/>
  <c r="P65" i="13"/>
  <c r="S68" i="13"/>
  <c r="R67" i="13"/>
  <c r="Y85" i="11"/>
  <c r="N63" i="13"/>
  <c r="Y93" i="11"/>
  <c r="M226" i="7" l="1"/>
  <c r="AC38" i="57"/>
  <c r="L67" i="7"/>
  <c r="M138" i="7"/>
  <c r="M67" i="7" s="1"/>
  <c r="X35" i="10"/>
  <c r="Y35" i="10"/>
  <c r="K183" i="10"/>
  <c r="W184" i="10"/>
  <c r="K232" i="11"/>
  <c r="N183" i="10"/>
  <c r="N231" i="11" s="1"/>
  <c r="N232" i="11"/>
  <c r="S164" i="10"/>
  <c r="S212" i="11" s="1"/>
  <c r="S213" i="11"/>
  <c r="U232" i="11"/>
  <c r="U183" i="10"/>
  <c r="U231" i="11" s="1"/>
  <c r="Q213" i="11"/>
  <c r="Q164" i="10"/>
  <c r="Q212" i="11" s="1"/>
  <c r="W214" i="11"/>
  <c r="Y214" i="11" s="1"/>
  <c r="N213" i="11"/>
  <c r="N164" i="10"/>
  <c r="N212" i="11" s="1"/>
  <c r="M164" i="10"/>
  <c r="M212" i="11" s="1"/>
  <c r="M213" i="11"/>
  <c r="L183" i="10"/>
  <c r="L231" i="11" s="1"/>
  <c r="L232" i="11"/>
  <c r="L213" i="11"/>
  <c r="L164" i="10"/>
  <c r="L212" i="11" s="1"/>
  <c r="R213" i="11"/>
  <c r="R164" i="10"/>
  <c r="R212" i="11" s="1"/>
  <c r="O183" i="10"/>
  <c r="O231" i="11" s="1"/>
  <c r="O232" i="11"/>
  <c r="K164" i="10"/>
  <c r="K213" i="11"/>
  <c r="W165" i="10"/>
  <c r="Q232" i="11"/>
  <c r="Q183" i="10"/>
  <c r="Q231" i="11" s="1"/>
  <c r="X185" i="10"/>
  <c r="Y185" i="10"/>
  <c r="M183" i="10"/>
  <c r="M231" i="11" s="1"/>
  <c r="M232" i="11"/>
  <c r="V183" i="10"/>
  <c r="V231" i="11" s="1"/>
  <c r="V232" i="11"/>
  <c r="R183" i="10"/>
  <c r="R231" i="11" s="1"/>
  <c r="R232" i="11"/>
  <c r="T164" i="10"/>
  <c r="T212" i="11" s="1"/>
  <c r="T213" i="11"/>
  <c r="P164" i="10"/>
  <c r="P212" i="11" s="1"/>
  <c r="P213" i="11"/>
  <c r="P232" i="11"/>
  <c r="P183" i="10"/>
  <c r="P231" i="11" s="1"/>
  <c r="O213" i="11"/>
  <c r="O164" i="10"/>
  <c r="O212" i="11" s="1"/>
  <c r="W233" i="11"/>
  <c r="T183" i="10"/>
  <c r="T231" i="11" s="1"/>
  <c r="T232" i="11"/>
  <c r="S232" i="11"/>
  <c r="S183" i="10"/>
  <c r="S231" i="11" s="1"/>
  <c r="Y166" i="10"/>
  <c r="X166" i="10"/>
  <c r="V213" i="11"/>
  <c r="V164" i="10"/>
  <c r="V212" i="11" s="1"/>
  <c r="U164" i="10"/>
  <c r="U212" i="11" s="1"/>
  <c r="U213" i="11"/>
  <c r="T69" i="10"/>
  <c r="T117" i="11" s="1"/>
  <c r="T118" i="11"/>
  <c r="R118" i="11"/>
  <c r="R69" i="10"/>
  <c r="R117" i="11" s="1"/>
  <c r="M118" i="11"/>
  <c r="M69" i="10"/>
  <c r="M117" i="11" s="1"/>
  <c r="L118" i="11"/>
  <c r="L69" i="10"/>
  <c r="L117" i="11" s="1"/>
  <c r="Q69" i="10"/>
  <c r="Q117" i="11" s="1"/>
  <c r="Q118" i="11"/>
  <c r="N69" i="10"/>
  <c r="N117" i="11" s="1"/>
  <c r="N118" i="11"/>
  <c r="Y71" i="10"/>
  <c r="X71" i="10"/>
  <c r="W119" i="11"/>
  <c r="U118" i="11"/>
  <c r="U69" i="10"/>
  <c r="U117" i="11" s="1"/>
  <c r="O118" i="11"/>
  <c r="O69" i="10"/>
  <c r="O117" i="11" s="1"/>
  <c r="S118" i="11"/>
  <c r="S69" i="10"/>
  <c r="S117" i="11" s="1"/>
  <c r="V69" i="10"/>
  <c r="V117" i="11" s="1"/>
  <c r="V118" i="11"/>
  <c r="K69" i="10"/>
  <c r="K17" i="10" s="1"/>
  <c r="K118" i="11"/>
  <c r="W70" i="10"/>
  <c r="P69" i="10"/>
  <c r="P117" i="11" s="1"/>
  <c r="P118" i="11"/>
  <c r="W246" i="11"/>
  <c r="X79" i="10"/>
  <c r="Y79" i="10"/>
  <c r="I206" i="11"/>
  <c r="T378" i="7"/>
  <c r="Q226" i="7"/>
  <c r="L74" i="6"/>
  <c r="R38" i="3"/>
  <c r="U570" i="7"/>
  <c r="I158" i="10"/>
  <c r="O245" i="11"/>
  <c r="O188" i="10"/>
  <c r="P245" i="11"/>
  <c r="P188" i="10"/>
  <c r="T47" i="11"/>
  <c r="U245" i="11"/>
  <c r="U188" i="10"/>
  <c r="R245" i="11"/>
  <c r="R188" i="10"/>
  <c r="N144" i="11"/>
  <c r="W144" i="11" s="1"/>
  <c r="W96" i="10"/>
  <c r="N84" i="10"/>
  <c r="R156" i="11"/>
  <c r="W156" i="11" s="1"/>
  <c r="W108" i="10"/>
  <c r="Q245" i="11"/>
  <c r="Q188" i="10"/>
  <c r="I84" i="10"/>
  <c r="Q138" i="7"/>
  <c r="I132" i="11"/>
  <c r="D25" i="11"/>
  <c r="D28" i="7"/>
  <c r="Y113" i="10"/>
  <c r="X113" i="10"/>
  <c r="X198" i="10"/>
  <c r="Y198" i="10"/>
  <c r="K245" i="11"/>
  <c r="W197" i="10"/>
  <c r="K188" i="10"/>
  <c r="X195" i="13"/>
  <c r="AB540" i="13"/>
  <c r="V245" i="11"/>
  <c r="V188" i="10"/>
  <c r="S245" i="11"/>
  <c r="S188" i="10"/>
  <c r="L245" i="11"/>
  <c r="L188" i="10"/>
  <c r="T245" i="11"/>
  <c r="T188" i="10"/>
  <c r="N245" i="11"/>
  <c r="N188" i="10"/>
  <c r="V59" i="11"/>
  <c r="V58" i="11" s="1"/>
  <c r="V47" i="11" s="1"/>
  <c r="V16" i="11" s="1"/>
  <c r="V62" i="11" s="1"/>
  <c r="U58" i="11"/>
  <c r="U47" i="11" s="1"/>
  <c r="U16" i="11" s="1"/>
  <c r="U62" i="11" s="1"/>
  <c r="M245" i="11"/>
  <c r="M188" i="10"/>
  <c r="Y97" i="10"/>
  <c r="X97" i="10"/>
  <c r="Y109" i="10"/>
  <c r="X109" i="10"/>
  <c r="I63" i="13"/>
  <c r="I62" i="13" s="1"/>
  <c r="I282" i="13" s="1"/>
  <c r="M105" i="11"/>
  <c r="N105" i="11"/>
  <c r="R105" i="11"/>
  <c r="K105" i="11"/>
  <c r="W57" i="10"/>
  <c r="Y119" i="10"/>
  <c r="X119" i="10"/>
  <c r="K166" i="11"/>
  <c r="W166" i="11" s="1"/>
  <c r="Y166" i="11" s="1"/>
  <c r="W118" i="10"/>
  <c r="S105" i="11"/>
  <c r="Y131" i="10"/>
  <c r="X131" i="10"/>
  <c r="P105" i="11"/>
  <c r="T105" i="11"/>
  <c r="O105" i="11"/>
  <c r="Y58" i="10"/>
  <c r="X58" i="10"/>
  <c r="W106" i="11"/>
  <c r="Y106" i="11" s="1"/>
  <c r="W167" i="11"/>
  <c r="Y167" i="11" s="1"/>
  <c r="L105" i="11"/>
  <c r="K66" i="7"/>
  <c r="Q67" i="7"/>
  <c r="L22" i="6"/>
  <c r="I16" i="10"/>
  <c r="Q22" i="3"/>
  <c r="I64" i="11"/>
  <c r="V105" i="11"/>
  <c r="U105" i="11"/>
  <c r="Q105" i="11"/>
  <c r="Y92" i="11"/>
  <c r="Y84" i="11"/>
  <c r="S67" i="13"/>
  <c r="S66" i="13" s="1"/>
  <c r="S65" i="13" s="1"/>
  <c r="S64" i="13" s="1"/>
  <c r="S63" i="13" s="1"/>
  <c r="S62" i="13" s="1"/>
  <c r="T68" i="13"/>
  <c r="P64" i="13"/>
  <c r="N62" i="13"/>
  <c r="R66" i="13"/>
  <c r="R22" i="3" l="1"/>
  <c r="AC22" i="57"/>
  <c r="L66" i="7"/>
  <c r="L311" i="7" s="1"/>
  <c r="L62" i="58" s="1"/>
  <c r="U17" i="10"/>
  <c r="U16" i="10" s="1"/>
  <c r="Y165" i="10"/>
  <c r="X165" i="10"/>
  <c r="W232" i="11"/>
  <c r="W213" i="11"/>
  <c r="Y213" i="11" s="1"/>
  <c r="Y184" i="10"/>
  <c r="X184" i="10"/>
  <c r="K212" i="11"/>
  <c r="W212" i="11" s="1"/>
  <c r="Y212" i="11" s="1"/>
  <c r="W164" i="10"/>
  <c r="K231" i="11"/>
  <c r="W231" i="11" s="1"/>
  <c r="W183" i="10"/>
  <c r="Q17" i="10"/>
  <c r="Q16" i="10" s="1"/>
  <c r="W59" i="11"/>
  <c r="Y59" i="11" s="1"/>
  <c r="O17" i="10"/>
  <c r="O65" i="11" s="1"/>
  <c r="T17" i="10"/>
  <c r="T65" i="11" s="1"/>
  <c r="L17" i="10"/>
  <c r="L16" i="10" s="1"/>
  <c r="I291" i="10"/>
  <c r="P17" i="10"/>
  <c r="P65" i="11" s="1"/>
  <c r="S17" i="10"/>
  <c r="S65" i="11" s="1"/>
  <c r="N17" i="10"/>
  <c r="N65" i="11" s="1"/>
  <c r="K311" i="7"/>
  <c r="X70" i="10"/>
  <c r="Y70" i="10"/>
  <c r="K117" i="11"/>
  <c r="W117" i="11" s="1"/>
  <c r="Y117" i="11" s="1"/>
  <c r="W69" i="10"/>
  <c r="V17" i="10"/>
  <c r="V16" i="10" s="1"/>
  <c r="R17" i="10"/>
  <c r="R16" i="10" s="1"/>
  <c r="M17" i="10"/>
  <c r="M16" i="10" s="1"/>
  <c r="W118" i="11"/>
  <c r="Y118" i="11" s="1"/>
  <c r="I281" i="13"/>
  <c r="X281" i="13" s="1"/>
  <c r="M236" i="11"/>
  <c r="M158" i="10"/>
  <c r="M206" i="11" s="1"/>
  <c r="W245" i="11"/>
  <c r="X197" i="10"/>
  <c r="Y197" i="10"/>
  <c r="D26" i="11"/>
  <c r="D29" i="7"/>
  <c r="Y96" i="10"/>
  <c r="X96" i="10"/>
  <c r="R236" i="11"/>
  <c r="R158" i="10"/>
  <c r="R206" i="11" s="1"/>
  <c r="U236" i="11"/>
  <c r="U158" i="10"/>
  <c r="U206" i="11" s="1"/>
  <c r="W58" i="11"/>
  <c r="Y58" i="11" s="1"/>
  <c r="P236" i="11"/>
  <c r="P158" i="10"/>
  <c r="P206" i="11" s="1"/>
  <c r="O236" i="11"/>
  <c r="O158" i="10"/>
  <c r="O206" i="11" s="1"/>
  <c r="N236" i="11"/>
  <c r="N158" i="10"/>
  <c r="N206" i="11" s="1"/>
  <c r="T236" i="11"/>
  <c r="T158" i="10"/>
  <c r="T206" i="11" s="1"/>
  <c r="L158" i="10"/>
  <c r="L206" i="11" s="1"/>
  <c r="L236" i="11"/>
  <c r="S236" i="11"/>
  <c r="S158" i="10"/>
  <c r="S206" i="11" s="1"/>
  <c r="V158" i="10"/>
  <c r="V206" i="11" s="1"/>
  <c r="V236" i="11"/>
  <c r="K236" i="11"/>
  <c r="K158" i="10"/>
  <c r="W188" i="10"/>
  <c r="Q236" i="11"/>
  <c r="Q158" i="10"/>
  <c r="Q206" i="11" s="1"/>
  <c r="X108" i="10"/>
  <c r="Y108" i="10"/>
  <c r="N132" i="11"/>
  <c r="W132" i="11" s="1"/>
  <c r="Y132" i="11" s="1"/>
  <c r="W84" i="10"/>
  <c r="T16" i="11"/>
  <c r="W47" i="11"/>
  <c r="Y47" i="11" s="1"/>
  <c r="Q66" i="7"/>
  <c r="X57" i="10"/>
  <c r="Y57" i="10"/>
  <c r="X118" i="10"/>
  <c r="Y118" i="10"/>
  <c r="K65" i="11"/>
  <c r="K16" i="10"/>
  <c r="W105" i="11"/>
  <c r="Y105" i="11" s="1"/>
  <c r="AA42" i="13"/>
  <c r="I302" i="13"/>
  <c r="X302" i="13" s="1"/>
  <c r="X282" i="13"/>
  <c r="U68" i="13"/>
  <c r="W68" i="13" s="1"/>
  <c r="X68" i="13" s="1"/>
  <c r="T67" i="13"/>
  <c r="R65" i="13"/>
  <c r="P63" i="13"/>
  <c r="Y83" i="11"/>
  <c r="AB48" i="57" l="1"/>
  <c r="K62" i="58"/>
  <c r="L312" i="7"/>
  <c r="L332" i="7" s="1"/>
  <c r="AC48" i="57"/>
  <c r="R48" i="3"/>
  <c r="M311" i="7"/>
  <c r="R311" i="7"/>
  <c r="R312" i="7"/>
  <c r="K312" i="7"/>
  <c r="U65" i="11"/>
  <c r="Q65" i="11"/>
  <c r="V65" i="11"/>
  <c r="X164" i="10"/>
  <c r="Y164" i="10"/>
  <c r="T16" i="10"/>
  <c r="T64" i="11" s="1"/>
  <c r="T318" i="11" s="1"/>
  <c r="T339" i="11" s="1"/>
  <c r="T319" i="11" s="1"/>
  <c r="X183" i="10"/>
  <c r="Y183" i="10"/>
  <c r="S16" i="10"/>
  <c r="S270" i="10" s="1"/>
  <c r="S291" i="10" s="1"/>
  <c r="S271" i="10" s="1"/>
  <c r="O16" i="10"/>
  <c r="O64" i="11" s="1"/>
  <c r="O318" i="11" s="1"/>
  <c r="O339" i="11" s="1"/>
  <c r="O319" i="11" s="1"/>
  <c r="L65" i="11"/>
  <c r="P16" i="10"/>
  <c r="P64" i="11" s="1"/>
  <c r="P318" i="11" s="1"/>
  <c r="P339" i="11" s="1"/>
  <c r="P319" i="11" s="1"/>
  <c r="N16" i="10"/>
  <c r="W16" i="10" s="1"/>
  <c r="X16" i="10" s="1"/>
  <c r="M65" i="11"/>
  <c r="R65" i="11"/>
  <c r="W17" i="10"/>
  <c r="X17" i="10" s="1"/>
  <c r="Y69" i="10"/>
  <c r="X69" i="10"/>
  <c r="Y84" i="10"/>
  <c r="X84" i="10"/>
  <c r="X188" i="10"/>
  <c r="Y188" i="10"/>
  <c r="W236" i="11"/>
  <c r="D27" i="11"/>
  <c r="D30" i="7"/>
  <c r="T62" i="11"/>
  <c r="W62" i="11" s="1"/>
  <c r="Y62" i="11" s="1"/>
  <c r="W16" i="11"/>
  <c r="Y16" i="11" s="1"/>
  <c r="K206" i="11"/>
  <c r="W206" i="11" s="1"/>
  <c r="Y206" i="11" s="1"/>
  <c r="W158" i="10"/>
  <c r="L64" i="11"/>
  <c r="L318" i="11" s="1"/>
  <c r="L339" i="11" s="1"/>
  <c r="L319" i="11" s="1"/>
  <c r="L270" i="10"/>
  <c r="M64" i="11"/>
  <c r="M318" i="11" s="1"/>
  <c r="M339" i="11" s="1"/>
  <c r="M319" i="11" s="1"/>
  <c r="M270" i="10"/>
  <c r="M291" i="10" s="1"/>
  <c r="M271" i="10" s="1"/>
  <c r="R270" i="10"/>
  <c r="R64" i="11"/>
  <c r="R318" i="11" s="1"/>
  <c r="R339" i="11" s="1"/>
  <c r="R319" i="11" s="1"/>
  <c r="V64" i="11"/>
  <c r="V318" i="11" s="1"/>
  <c r="V339" i="11" s="1"/>
  <c r="V319" i="11" s="1"/>
  <c r="V270" i="10"/>
  <c r="U270" i="10"/>
  <c r="U64" i="11"/>
  <c r="U318" i="11" s="1"/>
  <c r="U339" i="11" s="1"/>
  <c r="U319" i="11" s="1"/>
  <c r="Q64" i="11"/>
  <c r="Q318" i="11" s="1"/>
  <c r="Q339" i="11" s="1"/>
  <c r="Q319" i="11" s="1"/>
  <c r="Q270" i="10"/>
  <c r="K64" i="11"/>
  <c r="K270" i="10"/>
  <c r="I270" i="10"/>
  <c r="Q311" i="7"/>
  <c r="L20" i="6"/>
  <c r="Q48" i="3"/>
  <c r="I318" i="11"/>
  <c r="I339" i="11" s="1"/>
  <c r="Y339" i="11" s="1"/>
  <c r="R64" i="13"/>
  <c r="U67" i="13"/>
  <c r="U66" i="13" s="1"/>
  <c r="U65" i="13" s="1"/>
  <c r="U64" i="13" s="1"/>
  <c r="U63" i="13" s="1"/>
  <c r="U62" i="13" s="1"/>
  <c r="V68" i="13"/>
  <c r="V67" i="13" s="1"/>
  <c r="V66" i="13" s="1"/>
  <c r="V65" i="13" s="1"/>
  <c r="V64" i="13" s="1"/>
  <c r="V63" i="13" s="1"/>
  <c r="V62" i="13" s="1"/>
  <c r="P62" i="13"/>
  <c r="T66" i="13"/>
  <c r="T270" i="10" l="1"/>
  <c r="T291" i="10" s="1"/>
  <c r="T271" i="10" s="1"/>
  <c r="K332" i="7"/>
  <c r="M312" i="7"/>
  <c r="S311" i="7" s="1"/>
  <c r="Q312" i="7"/>
  <c r="S309" i="7"/>
  <c r="I319" i="11"/>
  <c r="P270" i="10"/>
  <c r="P291" i="10" s="1"/>
  <c r="P271" i="10" s="1"/>
  <c r="N270" i="10"/>
  <c r="N291" i="10" s="1"/>
  <c r="N271" i="10" s="1"/>
  <c r="S64" i="11"/>
  <c r="S318" i="11" s="1"/>
  <c r="S339" i="11" s="1"/>
  <c r="S319" i="11" s="1"/>
  <c r="O270" i="10"/>
  <c r="O291" i="10" s="1"/>
  <c r="O271" i="10" s="1"/>
  <c r="N64" i="11"/>
  <c r="N318" i="11" s="1"/>
  <c r="N339" i="11" s="1"/>
  <c r="N319" i="11" s="1"/>
  <c r="W65" i="11"/>
  <c r="X158" i="10"/>
  <c r="Y158" i="10"/>
  <c r="D31" i="7"/>
  <c r="D28" i="11"/>
  <c r="W270" i="10"/>
  <c r="I271" i="10"/>
  <c r="K318" i="11"/>
  <c r="Q291" i="10"/>
  <c r="Q271" i="10" s="1"/>
  <c r="V291" i="10"/>
  <c r="V271" i="10" s="1"/>
  <c r="L291" i="10"/>
  <c r="L271" i="10" s="1"/>
  <c r="K291" i="10"/>
  <c r="K271" i="10" s="1"/>
  <c r="U291" i="10"/>
  <c r="U271" i="10" s="1"/>
  <c r="R291" i="10"/>
  <c r="R271" i="10" s="1"/>
  <c r="T65" i="13"/>
  <c r="W66" i="13"/>
  <c r="X66" i="13" s="1"/>
  <c r="R63" i="13"/>
  <c r="W67" i="13"/>
  <c r="X67" i="13" s="1"/>
  <c r="M332" i="7" l="1"/>
  <c r="W64" i="11"/>
  <c r="D32" i="7"/>
  <c r="D29" i="11"/>
  <c r="W271" i="10"/>
  <c r="K339" i="11"/>
  <c r="W339" i="11" s="1"/>
  <c r="W318" i="11"/>
  <c r="Y318" i="11" s="1"/>
  <c r="W291" i="10"/>
  <c r="Y291" i="10" s="1"/>
  <c r="X270" i="10"/>
  <c r="Y270" i="10"/>
  <c r="R62" i="13"/>
  <c r="Y119" i="11"/>
  <c r="Y133" i="11"/>
  <c r="T64" i="13"/>
  <c r="W65" i="13"/>
  <c r="X65" i="13" s="1"/>
  <c r="K319" i="11" l="1"/>
  <c r="W319" i="11" s="1"/>
  <c r="Y319" i="11" s="1"/>
  <c r="D33" i="7"/>
  <c r="D30" i="11"/>
  <c r="Y271" i="10"/>
  <c r="X271" i="10"/>
  <c r="Y71" i="11"/>
  <c r="T63" i="13"/>
  <c r="W64" i="13"/>
  <c r="X64" i="13" s="1"/>
  <c r="Z23" i="13"/>
  <c r="Z24" i="13"/>
  <c r="Z27" i="13"/>
  <c r="Z26" i="13"/>
  <c r="Z25" i="13"/>
  <c r="D31" i="11" l="1"/>
  <c r="D34" i="7"/>
  <c r="T62" i="13"/>
  <c r="W62" i="13" s="1"/>
  <c r="X62" i="13" s="1"/>
  <c r="W63" i="13"/>
  <c r="X63" i="13" s="1"/>
  <c r="Y64" i="11"/>
  <c r="Y65" i="11"/>
  <c r="Z28" i="13"/>
  <c r="Z29" i="13" s="1"/>
  <c r="D32" i="11" l="1"/>
  <c r="D35" i="7"/>
  <c r="D33" i="11" l="1"/>
  <c r="D36" i="7"/>
  <c r="D37" i="7" l="1"/>
  <c r="D34" i="11"/>
  <c r="D35" i="11" l="1"/>
  <c r="D38" i="7"/>
  <c r="D36" i="11" l="1"/>
  <c r="D39" i="7"/>
  <c r="D40" i="7" l="1"/>
  <c r="D37" i="11"/>
  <c r="D41" i="7" l="1"/>
  <c r="D38" i="11"/>
  <c r="D42" i="7" l="1"/>
  <c r="D39" i="11"/>
  <c r="D43" i="7" l="1"/>
  <c r="D40" i="11"/>
  <c r="D44" i="7" l="1"/>
  <c r="D41" i="11"/>
  <c r="D45" i="7" l="1"/>
  <c r="D42" i="11"/>
  <c r="D46" i="7" l="1"/>
  <c r="D43" i="11"/>
  <c r="D47" i="7" l="1"/>
  <c r="D44" i="11"/>
  <c r="D45" i="11" l="1"/>
  <c r="D48" i="7"/>
  <c r="D46" i="11" l="1"/>
  <c r="D49" i="7"/>
  <c r="D50" i="7" l="1"/>
  <c r="D47" i="11"/>
  <c r="D51" i="7" l="1"/>
  <c r="D48" i="11"/>
  <c r="D52" i="7" l="1"/>
  <c r="D49" i="11"/>
  <c r="D53" i="7" l="1"/>
  <c r="D50" i="11"/>
  <c r="D54" i="7" l="1"/>
  <c r="D51" i="11"/>
  <c r="D55" i="7" l="1"/>
  <c r="D52" i="11"/>
  <c r="D56" i="7" l="1"/>
  <c r="D53" i="11"/>
  <c r="D57" i="7" l="1"/>
  <c r="D54" i="11"/>
  <c r="D58" i="7" l="1"/>
  <c r="D55" i="11"/>
  <c r="D59" i="7" l="1"/>
  <c r="D56" i="11"/>
  <c r="D60" i="7" l="1"/>
  <c r="D57" i="11"/>
  <c r="D61" i="7" l="1"/>
  <c r="D58" i="11"/>
  <c r="D62" i="7" l="1"/>
  <c r="D59" i="11"/>
  <c r="D63" i="7" l="1"/>
  <c r="D61" i="11" s="1"/>
  <c r="D60" i="11"/>
</calcChain>
</file>

<file path=xl/comments1.xml><?xml version="1.0" encoding="utf-8"?>
<comments xmlns="http://schemas.openxmlformats.org/spreadsheetml/2006/main">
  <authors>
    <author>Ari</author>
    <author>Ujang RH</author>
  </authors>
  <commentList>
    <comment ref="T3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1. Jambore PKK
2. Konsumsi Tamu
------------------
kecamatan
1. menguarangi ATK
2. membuang tiang baleho</t>
        </r>
      </text>
    </comment>
    <comment ref="U3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Jendela Sorga</t>
        </r>
      </text>
    </comment>
    <comment ref="V3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Bangunan aula</t>
        </r>
      </text>
    </comment>
    <comment ref="K312" authorId="1" shapeId="0">
      <text>
        <r>
          <rPr>
            <b/>
            <sz val="9"/>
            <color indexed="81"/>
            <rFont val="Tahoma"/>
            <family val="2"/>
          </rPr>
          <t>Ujang RH:</t>
        </r>
        <r>
          <rPr>
            <sz val="9"/>
            <color indexed="81"/>
            <rFont val="Tahoma"/>
            <family val="2"/>
          </rPr>
          <t xml:space="preserve">
- Sarana Prasaran Paud / TK 
- Pipanisasi
- Pelatihan
</t>
        </r>
      </text>
    </comment>
  </commentList>
</comments>
</file>

<file path=xl/comments2.xml><?xml version="1.0" encoding="utf-8"?>
<comments xmlns="http://schemas.openxmlformats.org/spreadsheetml/2006/main">
  <authors>
    <author>Aska</author>
  </authors>
  <commentList>
    <comment ref="L16" authorId="0" shapeId="0">
      <text>
        <r>
          <rPr>
            <b/>
            <sz val="9"/>
            <color indexed="81"/>
            <rFont val="Tahoma"/>
            <family val="2"/>
          </rPr>
          <t>Aska:</t>
        </r>
        <r>
          <rPr>
            <sz val="9"/>
            <color indexed="81"/>
            <rFont val="Tahoma"/>
            <family val="2"/>
          </rPr>
          <t xml:space="preserve">
Pas Pencairan sesuai dengan kolom ini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Aska:</t>
        </r>
        <r>
          <rPr>
            <sz val="9"/>
            <color indexed="81"/>
            <rFont val="Tahoma"/>
            <family val="2"/>
          </rPr>
          <t xml:space="preserve">
Pas Pencairan sesuai dengan kolom ini</t>
        </r>
      </text>
    </comment>
  </commentList>
</comments>
</file>

<file path=xl/comments3.xml><?xml version="1.0" encoding="utf-8"?>
<comments xmlns="http://schemas.openxmlformats.org/spreadsheetml/2006/main">
  <authors>
    <author>Ari</author>
  </authors>
  <commentList>
    <comment ref="D7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  <comment ref="I7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  <comment ref="I77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</commentList>
</comments>
</file>

<file path=xl/comments4.xml><?xml version="1.0" encoding="utf-8"?>
<comments xmlns="http://schemas.openxmlformats.org/spreadsheetml/2006/main">
  <authors>
    <author>Ari</author>
  </authors>
  <commentList>
    <comment ref="D7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  <comment ref="I7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</commentList>
</comments>
</file>

<file path=xl/comments5.xml><?xml version="1.0" encoding="utf-8"?>
<comments xmlns="http://schemas.openxmlformats.org/spreadsheetml/2006/main">
  <authors>
    <author>Ari</author>
  </authors>
  <commentList>
    <comment ref="D7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  <comment ref="I73" authorId="0" shapeId="0">
      <text>
        <r>
          <rPr>
            <b/>
            <sz val="9"/>
            <color indexed="81"/>
            <rFont val="Tahoma"/>
            <family val="2"/>
          </rPr>
          <t>Ari:</t>
        </r>
        <r>
          <rPr>
            <sz val="9"/>
            <color indexed="81"/>
            <rFont val="Tahoma"/>
            <family val="2"/>
          </rPr>
          <t xml:space="preserve">
Dianggarkan untuk 3 kasi dan 2 kaur</t>
        </r>
      </text>
    </comment>
  </commentList>
</comments>
</file>

<file path=xl/comments6.xml><?xml version="1.0" encoding="utf-8"?>
<comments xmlns="http://schemas.openxmlformats.org/spreadsheetml/2006/main">
  <authors>
    <author>Ujang RH</author>
  </authors>
  <commentList>
    <comment ref="D51" authorId="0" shapeId="0">
      <text>
        <r>
          <rPr>
            <b/>
            <sz val="9"/>
            <color indexed="81"/>
            <rFont val="Tahoma"/>
            <family val="2"/>
          </rPr>
          <t>Ujang RH:</t>
        </r>
        <r>
          <rPr>
            <sz val="9"/>
            <color indexed="81"/>
            <rFont val="Tahoma"/>
            <family val="2"/>
          </rPr>
          <t xml:space="preserve">
isi 1000</t>
        </r>
      </text>
    </comment>
    <comment ref="D52" authorId="0" shapeId="0">
      <text>
        <r>
          <rPr>
            <b/>
            <sz val="9"/>
            <color indexed="81"/>
            <rFont val="Tahoma"/>
            <family val="2"/>
          </rPr>
          <t>Ujang RH:</t>
        </r>
        <r>
          <rPr>
            <sz val="9"/>
            <color indexed="81"/>
            <rFont val="Tahoma"/>
            <family val="2"/>
          </rPr>
          <t xml:space="preserve">
Isi 1000</t>
        </r>
      </text>
    </comment>
  </commentList>
</comments>
</file>

<file path=xl/sharedStrings.xml><?xml version="1.0" encoding="utf-8"?>
<sst xmlns="http://schemas.openxmlformats.org/spreadsheetml/2006/main" count="7610" uniqueCount="1654">
  <si>
    <t>KODE  REKENING</t>
  </si>
  <si>
    <t>URAIAN</t>
  </si>
  <si>
    <t>ANGGARAN</t>
  </si>
  <si>
    <t>Pendapatan Asli Desa</t>
  </si>
  <si>
    <t>Hasil Usaha</t>
  </si>
  <si>
    <t>Dana Desa</t>
  </si>
  <si>
    <t>JUMLAH PENDAPATAN</t>
  </si>
  <si>
    <t>BELANJA</t>
  </si>
  <si>
    <t>Belanja Barang dan Jasa</t>
  </si>
  <si>
    <t>Belanja Modal</t>
  </si>
  <si>
    <t xml:space="preserve">JUMLAH  BELANJA </t>
  </si>
  <si>
    <t xml:space="preserve">PEMBIAYAAN </t>
  </si>
  <si>
    <t>Bantuan Keuangan Provinsi</t>
  </si>
  <si>
    <t>Pendapatan Lain-lain</t>
  </si>
  <si>
    <t>Tunjangan BPD</t>
  </si>
  <si>
    <t>Pembiayaan</t>
  </si>
  <si>
    <t>Penerimaan Pembiayaan</t>
  </si>
  <si>
    <t>Pencairan Dana Cadangan</t>
  </si>
  <si>
    <t>Pengeluaran Pembiayaan</t>
  </si>
  <si>
    <t>Pembentukan Dana Cadangan</t>
  </si>
  <si>
    <t>Penyertaan Modal Desa</t>
  </si>
  <si>
    <t xml:space="preserve"> </t>
  </si>
  <si>
    <t>DD</t>
  </si>
  <si>
    <t>ADD</t>
  </si>
  <si>
    <t>TTL</t>
  </si>
  <si>
    <t>PP</t>
  </si>
  <si>
    <t>PB</t>
  </si>
  <si>
    <t>PD (Pembinaan)</t>
  </si>
  <si>
    <t>PN (Pemberdayaan)</t>
  </si>
  <si>
    <t>Persentase Dana Desa</t>
  </si>
  <si>
    <t>Persentase</t>
  </si>
  <si>
    <t>Jumlah</t>
  </si>
  <si>
    <t>JML</t>
  </si>
  <si>
    <t>RINCIAN ALOKASI DANA PER BIDANG</t>
  </si>
  <si>
    <t>Pembinaan</t>
  </si>
  <si>
    <t>Pemberdayaan</t>
  </si>
  <si>
    <t>JLH</t>
  </si>
  <si>
    <t>KRG/LBH</t>
  </si>
  <si>
    <t>RINCIAN ALOKASI DANA PER SUMBER</t>
  </si>
  <si>
    <t>SUMBER DANA</t>
  </si>
  <si>
    <t>JML ANGGARAN</t>
  </si>
  <si>
    <t>SALDO</t>
  </si>
  <si>
    <t>PERSENTASE</t>
  </si>
  <si>
    <t>4x4x2</t>
  </si>
  <si>
    <t>6x4</t>
  </si>
  <si>
    <t>Alokasi Dana Desa</t>
  </si>
  <si>
    <t>:</t>
  </si>
  <si>
    <t>Sumber</t>
  </si>
  <si>
    <t>Pembangunan Desa</t>
  </si>
  <si>
    <t>Pembinaan Kemasyarakatan</t>
  </si>
  <si>
    <t>Pemberdayaan Masyarakat</t>
  </si>
  <si>
    <t xml:space="preserve">DESA                </t>
  </si>
  <si>
    <t xml:space="preserve">KECAMATAN   </t>
  </si>
  <si>
    <t xml:space="preserve">KABUPATEN    </t>
  </si>
  <si>
    <t>MUARO JAMBI</t>
  </si>
  <si>
    <t xml:space="preserve">PROVINSI        </t>
  </si>
  <si>
    <t>JAMBI</t>
  </si>
  <si>
    <t>No</t>
  </si>
  <si>
    <t>Bidang/ Jenis Kegiatan</t>
  </si>
  <si>
    <t>Lokasi</t>
  </si>
  <si>
    <t>Volume</t>
  </si>
  <si>
    <t>Sasaran/ Manfaat</t>
  </si>
  <si>
    <t>Waktu Pelaksanaan</t>
  </si>
  <si>
    <t>Biaya dan Sumber Pembiayaan</t>
  </si>
  <si>
    <t>Pola Pelaksanaan</t>
  </si>
  <si>
    <t>Rencana Pelaksana Kegiatan</t>
  </si>
  <si>
    <t>Bidang</t>
  </si>
  <si>
    <t>Jenis Kegiatan</t>
  </si>
  <si>
    <t>Jlh (Rp)</t>
  </si>
  <si>
    <t>Swakelola</t>
  </si>
  <si>
    <t>Kerjasama Antar Desa</t>
  </si>
  <si>
    <t>Kerjasama Pihak Ketiga</t>
  </si>
  <si>
    <t>a</t>
  </si>
  <si>
    <t>b</t>
  </si>
  <si>
    <t>c.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</si>
  <si>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</si>
  <si>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</si>
  <si>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</si>
  <si>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</si>
  <si>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</si>
  <si>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</si>
  <si>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</si>
  <si>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</si>
  <si>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</si>
  <si>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</si>
  <si>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</si>
  <si>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Penyelenggaraan Pemerintahan Desa</t>
  </si>
  <si>
    <t>1 tahun</t>
  </si>
  <si>
    <t>Perangkat Desa</t>
  </si>
  <si>
    <t>BPD</t>
  </si>
  <si>
    <t>Masyarakat</t>
  </si>
  <si>
    <t>Pelaksanaan Pembangunan Desa</t>
  </si>
  <si>
    <t>PKK</t>
  </si>
  <si>
    <t>JUMLAH TOTAL</t>
  </si>
  <si>
    <t>Mengetahui :</t>
  </si>
  <si>
    <t>Disusun oleh:</t>
  </si>
  <si>
    <t>Kegiatan</t>
  </si>
  <si>
    <t>Satuan</t>
  </si>
  <si>
    <t>Sub Total 1)</t>
  </si>
  <si>
    <t>Sub Total 2)</t>
  </si>
  <si>
    <t>Tim Penyusun RKP Desa</t>
  </si>
  <si>
    <t>Rim</t>
  </si>
  <si>
    <t>Sub Total 3)</t>
  </si>
  <si>
    <t>Paket</t>
  </si>
  <si>
    <t>Unit</t>
  </si>
  <si>
    <t xml:space="preserve">Propinsi </t>
  </si>
  <si>
    <t>No.RAB</t>
  </si>
  <si>
    <t>Kabupaten</t>
  </si>
  <si>
    <t>Kecamatan</t>
  </si>
  <si>
    <t xml:space="preserve">Desa        </t>
  </si>
  <si>
    <t>Rincian Pendanaan</t>
  </si>
  <si>
    <t>NO</t>
  </si>
  <si>
    <t>Harga Satuan (Rp.)</t>
  </si>
  <si>
    <t>Jumlah Total    (Rp.)</t>
  </si>
  <si>
    <t>Jumlah     (Rp.)</t>
  </si>
  <si>
    <t>1.1</t>
  </si>
  <si>
    <t>OB</t>
  </si>
  <si>
    <t>1.2</t>
  </si>
  <si>
    <t>1.3</t>
  </si>
  <si>
    <t>1.4</t>
  </si>
  <si>
    <t>1.5</t>
  </si>
  <si>
    <t>2.1</t>
  </si>
  <si>
    <t>2.2</t>
  </si>
  <si>
    <t>2.3</t>
  </si>
  <si>
    <t>2.4</t>
  </si>
  <si>
    <t>2.5</t>
  </si>
  <si>
    <t>3.1</t>
  </si>
  <si>
    <t>3.2</t>
  </si>
  <si>
    <t>4.1</t>
  </si>
  <si>
    <t>4.2</t>
  </si>
  <si>
    <t>Sub Total 4)</t>
  </si>
  <si>
    <t>TOTAL BIAYA</t>
  </si>
  <si>
    <t>Kertas F4</t>
  </si>
  <si>
    <t>Kertas A 4</t>
  </si>
  <si>
    <t>1.6</t>
  </si>
  <si>
    <t>Tip Ex</t>
  </si>
  <si>
    <t>Bh</t>
  </si>
  <si>
    <t>1.7</t>
  </si>
  <si>
    <t>Map biasa</t>
  </si>
  <si>
    <t>1.8</t>
  </si>
  <si>
    <t>1.9</t>
  </si>
  <si>
    <t>Bk</t>
  </si>
  <si>
    <t>1.10</t>
  </si>
  <si>
    <t>1.11</t>
  </si>
  <si>
    <t>1.13</t>
  </si>
  <si>
    <t>1.14</t>
  </si>
  <si>
    <t>1.15</t>
  </si>
  <si>
    <t>Pena</t>
  </si>
  <si>
    <t>Ktk</t>
  </si>
  <si>
    <t>1.16</t>
  </si>
  <si>
    <t>1.17</t>
  </si>
  <si>
    <t>1.18</t>
  </si>
  <si>
    <t>1.20</t>
  </si>
  <si>
    <t>1.21</t>
  </si>
  <si>
    <t>1.22</t>
  </si>
  <si>
    <t>1.23</t>
  </si>
  <si>
    <t>1.24</t>
  </si>
  <si>
    <t>1.25</t>
  </si>
  <si>
    <t>Stabilo</t>
  </si>
  <si>
    <t>Spidol</t>
  </si>
  <si>
    <t>Gunting</t>
  </si>
  <si>
    <t>Sub Total 1</t>
  </si>
  <si>
    <t>Materai 6000</t>
  </si>
  <si>
    <t>Sub Total 2</t>
  </si>
  <si>
    <t>TA</t>
  </si>
  <si>
    <t>Sub Total 3</t>
  </si>
  <si>
    <t>Perjalanan Dinas Dalam Kecamatan</t>
  </si>
  <si>
    <t>Hoj</t>
  </si>
  <si>
    <t>Perjalanan Dinas ke Kabupaten</t>
  </si>
  <si>
    <t>Sub Total 4</t>
  </si>
  <si>
    <t>5.1</t>
  </si>
  <si>
    <t>Stel</t>
  </si>
  <si>
    <t>Sub Total 5</t>
  </si>
  <si>
    <t>Bln</t>
  </si>
  <si>
    <t>Keg</t>
  </si>
  <si>
    <t>Perjalanan Dinas BPD</t>
  </si>
  <si>
    <t>Penanggung Jawab</t>
  </si>
  <si>
    <t>Ketua</t>
  </si>
  <si>
    <t>Sekretaris</t>
  </si>
  <si>
    <t>Anggota</t>
  </si>
  <si>
    <t>Pelaksana Kegiatan</t>
  </si>
  <si>
    <t>Ketua Linmas</t>
  </si>
  <si>
    <t>Anggota Linmas</t>
  </si>
  <si>
    <t>2.6</t>
  </si>
  <si>
    <t>2.7</t>
  </si>
  <si>
    <t>2.8</t>
  </si>
  <si>
    <t>Honorarium Tim Penggerak PKK Desa</t>
  </si>
  <si>
    <t>Bendahara</t>
  </si>
  <si>
    <t>Imam</t>
  </si>
  <si>
    <t>Khotib</t>
  </si>
  <si>
    <t>Bilal</t>
  </si>
  <si>
    <t>Guru Ngaji</t>
  </si>
  <si>
    <t>Posyandu Balita ( 5 Org x 12 Bln )</t>
  </si>
  <si>
    <t>Posyandu Lansia ( 5 Org x 12 Bln )</t>
  </si>
  <si>
    <t>Honorarium LPM</t>
  </si>
  <si>
    <t>Perjalanan Dinas</t>
  </si>
  <si>
    <t>Pelaksanaan Upacara</t>
  </si>
  <si>
    <t>Pelaksanaan Perlombaan</t>
  </si>
  <si>
    <t>Perlombaan PAUD</t>
  </si>
  <si>
    <t>Perlombaan TK</t>
  </si>
  <si>
    <t>Perlombaan SD</t>
  </si>
  <si>
    <t>Perlombaan Umum</t>
  </si>
  <si>
    <t>Hiburan Rakyat</t>
  </si>
  <si>
    <t>BAHAR SELATAN</t>
  </si>
  <si>
    <t>Penghasilan Tetap Kepala Desa</t>
  </si>
  <si>
    <t>Penghasilan Tetap Kepala Urusan</t>
  </si>
  <si>
    <t>Penghasilan Tetap Kepala Seksi</t>
  </si>
  <si>
    <t>Penghasilan Tetap Kepala Dusun</t>
  </si>
  <si>
    <t>Tunjangan Sekretaris Desa</t>
  </si>
  <si>
    <t>Tunjangan Kepala Urusan</t>
  </si>
  <si>
    <t>Tunjangan Kepala Seksi</t>
  </si>
  <si>
    <t>Tunjangan Ketua BPD</t>
  </si>
  <si>
    <t>Tunjangan Wakil Ketua BPD</t>
  </si>
  <si>
    <t>Tunjangan Sekretaris BPD</t>
  </si>
  <si>
    <t>Tunjangan Anggota BPD</t>
  </si>
  <si>
    <t>Alat Tulis Kantor (ATK)</t>
  </si>
  <si>
    <t>8.1</t>
  </si>
  <si>
    <t>4.3</t>
  </si>
  <si>
    <t>4.4</t>
  </si>
  <si>
    <t>5.2</t>
  </si>
  <si>
    <t>Pengelolaan Tanah Kas Desa</t>
  </si>
  <si>
    <t>Tunjangan Kepala Dusun</t>
  </si>
  <si>
    <t xml:space="preserve">-   Tunjangan Jaminan Sosial Kepala Desa dan Perangkat </t>
  </si>
  <si>
    <t>5.3</t>
  </si>
  <si>
    <t>FIX</t>
  </si>
  <si>
    <t>3.3</t>
  </si>
  <si>
    <t>3.4</t>
  </si>
  <si>
    <t>3.5</t>
  </si>
  <si>
    <t>3.6</t>
  </si>
  <si>
    <t>3.7</t>
  </si>
  <si>
    <t>3.8</t>
  </si>
  <si>
    <t>Jumlah Per Bidang 1)</t>
  </si>
  <si>
    <t>Jumlah Per Bidang 2)</t>
  </si>
  <si>
    <t>Jumlah Per Bidang 3)</t>
  </si>
  <si>
    <t>Jumlah Per Bidang 4)</t>
  </si>
  <si>
    <t>1 TA</t>
  </si>
  <si>
    <t>Air Mineral</t>
  </si>
  <si>
    <t>Honorarium Lembaga Adat Desa</t>
  </si>
  <si>
    <t>Ketua Lembaga Adat Desa</t>
  </si>
  <si>
    <t xml:space="preserve"> Honorarium Linmas Desa</t>
  </si>
  <si>
    <t>PAD</t>
  </si>
  <si>
    <t>Makan Minum Pelaksanaan  Upacara</t>
  </si>
  <si>
    <t>7.1</t>
  </si>
  <si>
    <t>6.1</t>
  </si>
  <si>
    <t>6.2</t>
  </si>
  <si>
    <t>6.3</t>
  </si>
  <si>
    <t>√</t>
  </si>
  <si>
    <t>Kegiatan Peningkatan Kapasitas Aparatur Pemerintahan Desa</t>
  </si>
  <si>
    <t xml:space="preserve">Snack Rapat </t>
  </si>
  <si>
    <t>Nasi Kotak</t>
  </si>
  <si>
    <t>10</t>
  </si>
  <si>
    <t>1</t>
  </si>
  <si>
    <t>Kaleng</t>
  </si>
  <si>
    <t>2</t>
  </si>
  <si>
    <t>Air Mineral Gelas</t>
  </si>
  <si>
    <t>Duz</t>
  </si>
  <si>
    <t>Belanja Air Mineral</t>
  </si>
  <si>
    <t>Snack Kotak</t>
  </si>
  <si>
    <t>Pengadaan Bahan Bakar Minyak dan Gas</t>
  </si>
  <si>
    <t>Lembaga Desa</t>
  </si>
  <si>
    <t>LINMAS</t>
  </si>
  <si>
    <t>Harga Satuan     Rp</t>
  </si>
  <si>
    <t>Jumlah Total
Rp</t>
  </si>
  <si>
    <t xml:space="preserve">Jumlah </t>
  </si>
  <si>
    <t>c</t>
  </si>
  <si>
    <t>e = b x d</t>
  </si>
  <si>
    <t>KTK</t>
  </si>
  <si>
    <t>bh</t>
  </si>
  <si>
    <t>Upah Pekerja</t>
  </si>
  <si>
    <t>Sub Total 5)</t>
  </si>
  <si>
    <t>5.4</t>
  </si>
  <si>
    <t>Snack</t>
  </si>
  <si>
    <t>Spanduk</t>
  </si>
  <si>
    <t>Steker</t>
  </si>
  <si>
    <t>1.12</t>
  </si>
  <si>
    <t>Ketua Pokja</t>
  </si>
  <si>
    <t>Hasil Aset</t>
  </si>
  <si>
    <t>Tambatan Perahu</t>
  </si>
  <si>
    <t>Pasar Desa</t>
  </si>
  <si>
    <t>Tempat Pemandian Umum</t>
  </si>
  <si>
    <t>Hasil Pungutan Desa</t>
  </si>
  <si>
    <t>OH</t>
  </si>
  <si>
    <t>Sub Total 6)</t>
  </si>
  <si>
    <t>O/K</t>
  </si>
  <si>
    <t>1.19</t>
  </si>
  <si>
    <t xml:space="preserve"> Honorarium Petugas Aset Desa</t>
  </si>
  <si>
    <t>Buku Agenda</t>
  </si>
  <si>
    <t>Isi Steker</t>
  </si>
  <si>
    <t>Buku</t>
  </si>
  <si>
    <t>Modul Materi</t>
  </si>
  <si>
    <t>Baju Seragam</t>
  </si>
  <si>
    <t>Mistar</t>
  </si>
  <si>
    <t>Pensil</t>
  </si>
  <si>
    <t>Penghapus</t>
  </si>
  <si>
    <t>Piagam</t>
  </si>
  <si>
    <t>BH</t>
  </si>
  <si>
    <t>Cetak dan Penggandaan</t>
  </si>
  <si>
    <t>Insentif Kader Posyandu Desa</t>
  </si>
  <si>
    <t>Makan dan Minum</t>
  </si>
  <si>
    <t>Uang Saku Peserta Pelatihan</t>
  </si>
  <si>
    <t>Makan dan Minum Pelatihan</t>
  </si>
  <si>
    <t>OK</t>
  </si>
  <si>
    <t>OJ</t>
  </si>
  <si>
    <t>Tas</t>
  </si>
  <si>
    <t>Narasumber</t>
  </si>
  <si>
    <t>Air, listrik, telepon, fax dan internet</t>
  </si>
  <si>
    <t>Cetak dan penggandaan</t>
  </si>
  <si>
    <t>Insentif pegawai syara’</t>
  </si>
  <si>
    <t>Makan  minum Kantor</t>
  </si>
  <si>
    <t>Pengadaan Peralatan Komputer</t>
  </si>
  <si>
    <t>POS dan Materai</t>
  </si>
  <si>
    <t>Makan Minum Rapat BPD</t>
  </si>
  <si>
    <t>Belanja Pegawai</t>
  </si>
  <si>
    <t>-</t>
  </si>
  <si>
    <t>Belanja Peg</t>
  </si>
  <si>
    <t>BBJ</t>
  </si>
  <si>
    <t>BM</t>
  </si>
  <si>
    <t>Honorarium Narasumber ,Moderator</t>
  </si>
  <si>
    <t>Moderator</t>
  </si>
  <si>
    <t xml:space="preserve"> Foto copy, cetak dan penggandaan</t>
  </si>
  <si>
    <t>JUMLAH</t>
  </si>
  <si>
    <t>+/-</t>
  </si>
  <si>
    <t>TPK</t>
  </si>
  <si>
    <t>M</t>
  </si>
  <si>
    <t>Pakaian Seragam Lainya</t>
  </si>
  <si>
    <t>Pakaian Seragam Lainnya</t>
  </si>
  <si>
    <t>Insentif guru PAUD TK dan KB</t>
  </si>
  <si>
    <t>BKP</t>
  </si>
  <si>
    <t>Tunjangan Kepala Desa</t>
  </si>
  <si>
    <t>BKP/PBP</t>
  </si>
  <si>
    <t>PBH</t>
  </si>
  <si>
    <t>Honorarium RT</t>
  </si>
  <si>
    <t>RT 08</t>
  </si>
  <si>
    <t>7.2</t>
  </si>
  <si>
    <t>Honor narasumber dan Moderator</t>
  </si>
  <si>
    <t xml:space="preserve">Honorarium Narasumber </t>
  </si>
  <si>
    <t>jam</t>
  </si>
  <si>
    <t>Alat tulis kantor</t>
  </si>
  <si>
    <t>Kertas HVS</t>
  </si>
  <si>
    <t>rim</t>
  </si>
  <si>
    <t>Amplop</t>
  </si>
  <si>
    <t>ID Card / Name Tag</t>
  </si>
  <si>
    <t xml:space="preserve"> Ballpoint</t>
  </si>
  <si>
    <t>Bahan praktek pelatihan</t>
  </si>
  <si>
    <t>Sewa Alat</t>
  </si>
  <si>
    <t>Pakaian seragam</t>
  </si>
  <si>
    <t>LBR</t>
  </si>
  <si>
    <t>Sub Total 7)</t>
  </si>
  <si>
    <t>Uang saku peserta</t>
  </si>
  <si>
    <t xml:space="preserve">Uang Saku Peserta Pelatihan </t>
  </si>
  <si>
    <t>Sub Total 8)</t>
  </si>
  <si>
    <t xml:space="preserve"> Cetak dan Penggandaan</t>
  </si>
  <si>
    <t>Foto Copy Materi</t>
  </si>
  <si>
    <t>makan dan minum</t>
  </si>
  <si>
    <t>snack</t>
  </si>
  <si>
    <t>nasi kotak</t>
  </si>
  <si>
    <t>BKP/PKP</t>
  </si>
  <si>
    <t>Nasi Kotak @ 8 Orang x 3 Hari</t>
  </si>
  <si>
    <t>Snack @ 8 Orang x 2 Kali x 3 Hari</t>
  </si>
  <si>
    <t>Peserta Pelatihan @ 8 Orang x 3 Hari</t>
  </si>
  <si>
    <t>Ketua / Wakil Ketua</t>
  </si>
  <si>
    <t>Sekretaris / Bendahara</t>
  </si>
  <si>
    <t xml:space="preserve"> Anggota</t>
  </si>
  <si>
    <t>2.9</t>
  </si>
  <si>
    <t>2.10</t>
  </si>
  <si>
    <t>2.11</t>
  </si>
  <si>
    <t>2.12</t>
  </si>
  <si>
    <t>2.13</t>
  </si>
  <si>
    <t>Penginapan Full Board</t>
  </si>
  <si>
    <t>KASI Pem</t>
  </si>
  <si>
    <t>KASI Pely</t>
  </si>
  <si>
    <t>KASI Kesra</t>
  </si>
  <si>
    <t>DAFTAR USULAN RKP DESA</t>
  </si>
  <si>
    <t>PROVINSI</t>
  </si>
  <si>
    <t>Prakiraan Waktu Pelaksanaan</t>
  </si>
  <si>
    <t>Prakiraan Biaya dan Sumber Pembiayaan</t>
  </si>
  <si>
    <t>Jumlah (Rp)</t>
  </si>
  <si>
    <t>Jumlah Per Bidang 1</t>
  </si>
  <si>
    <t>APBN</t>
  </si>
  <si>
    <t>1 unit</t>
  </si>
  <si>
    <t>Jumlah Per Bidang 2</t>
  </si>
  <si>
    <t>Jumlah Per Bidang 3</t>
  </si>
  <si>
    <t>Jumlah Per Bidang 4</t>
  </si>
  <si>
    <t>Mengetahui</t>
  </si>
  <si>
    <t>TAHUN : 2018</t>
  </si>
  <si>
    <t>12.000 m</t>
  </si>
  <si>
    <t>APBD</t>
  </si>
  <si>
    <t>Rabat Beton</t>
  </si>
  <si>
    <t>RT 01- RT 10</t>
  </si>
  <si>
    <t>Pembangunan Box Culvert</t>
  </si>
  <si>
    <t>6 Unit</t>
  </si>
  <si>
    <t>Rehab PUSTU</t>
  </si>
  <si>
    <t>Dusun II</t>
  </si>
  <si>
    <t>1 Unit</t>
  </si>
  <si>
    <t>6.000 m</t>
  </si>
  <si>
    <t>Sarana Transportasi</t>
  </si>
  <si>
    <t>Pengadaan Lampu Jalan</t>
  </si>
  <si>
    <t>20 unit</t>
  </si>
  <si>
    <t>Penerangan Jalan</t>
  </si>
  <si>
    <t>RT 06</t>
  </si>
  <si>
    <t>Rehap Gedung Madrasah</t>
  </si>
  <si>
    <t>Sarana Pendidikan</t>
  </si>
  <si>
    <t>Dusun I</t>
  </si>
  <si>
    <t>Sumber air bersih</t>
  </si>
  <si>
    <t>Pengaspalan Jalan Penghubung Desa</t>
  </si>
  <si>
    <t>Pengadaan APE PAUD/TK</t>
  </si>
  <si>
    <t>Pembangunan Drainase</t>
  </si>
  <si>
    <t>600 m</t>
  </si>
  <si>
    <t>Peningkatan Jalan Desa</t>
  </si>
  <si>
    <t>2 Paket</t>
  </si>
  <si>
    <t>Aparat Desa</t>
  </si>
  <si>
    <t>Pembangunan Sarana Olah Raga</t>
  </si>
  <si>
    <t>2 unit</t>
  </si>
  <si>
    <t>PAUD TK/KB</t>
  </si>
  <si>
    <t xml:space="preserve">APBD </t>
  </si>
  <si>
    <t>DLL</t>
  </si>
  <si>
    <t>Upah</t>
  </si>
  <si>
    <t xml:space="preserve">Total DD </t>
  </si>
  <si>
    <t>Jalan 1</t>
  </si>
  <si>
    <t>Jalan 2</t>
  </si>
  <si>
    <t>Jalan 3</t>
  </si>
  <si>
    <t>Jalan 4</t>
  </si>
  <si>
    <t>BOX 1</t>
  </si>
  <si>
    <t>BOX 2</t>
  </si>
  <si>
    <t>%</t>
  </si>
  <si>
    <t>Material</t>
  </si>
  <si>
    <t>Ttl 2.2</t>
  </si>
  <si>
    <t>DD Bid.2.2</t>
  </si>
  <si>
    <t xml:space="preserve">Pembangunan Sumur Bor </t>
  </si>
  <si>
    <t>PBP</t>
  </si>
  <si>
    <t>30%</t>
  </si>
  <si>
    <t>pagu-Pby</t>
  </si>
  <si>
    <t>TAHUN 2019</t>
  </si>
  <si>
    <t>Keadaan Mendesak</t>
  </si>
  <si>
    <t>Keadaan Darurat</t>
  </si>
  <si>
    <t>Penanggulangan Bencana</t>
  </si>
  <si>
    <t>lain-lain kegiatan sub bidang Perdagangan dan Perindustrian*</t>
  </si>
  <si>
    <t>90-99</t>
  </si>
  <si>
    <t>Pengembangan Industri kecil level Desa</t>
  </si>
  <si>
    <t>Pemeliharaan Pasar Desa/Kios milik Desa</t>
  </si>
  <si>
    <t>lain-lain kegiatan sub bidang Penanaman Modal*</t>
  </si>
  <si>
    <t>Pelatihan Pengelolaan BUM Desa (Pelatihan yang dilaksanakan oleh Desa)</t>
  </si>
  <si>
    <t>Pembentukan BUM Desa (Persiapan dan Pembentukan Awal BUM Desa)</t>
  </si>
  <si>
    <t>lain-lain kegiatan sub bidang Koperasi, Usaha Kecil dan Menengah*</t>
  </si>
  <si>
    <t>Pengadaan Teknologi Tepat Guna untuk Pengembangan Ekonomi Pedesaan Non-Pertanian</t>
  </si>
  <si>
    <t>Pengembangan Sarana Prasarana Usaha Mikro, Kecil dan Menengah serta Koperasi</t>
  </si>
  <si>
    <t>Pelatihan Manajemen Pengelolaan Koperasi/ KUD/ UMKM</t>
  </si>
  <si>
    <t>lain-lain kegiatan sub bidang Pemberdayaan Perempuan dan Perlindungan Anak*</t>
  </si>
  <si>
    <t>Pelatihan dan Penguatan Penyandang Difabel (penyandang disabilitas)</t>
  </si>
  <si>
    <t>Pelatihan/Penyuluhan Perlindungan Anak</t>
  </si>
  <si>
    <t>Pelatihan/Penyuluhan Pemberdayaan Perempuan</t>
  </si>
  <si>
    <t>Peningkatan kapasitas BPD</t>
  </si>
  <si>
    <t>Peningkatan kapasitas perangkat Desa</t>
  </si>
  <si>
    <t>Peningkatan kapasitas kepala Desa</t>
  </si>
  <si>
    <t>Penguatan Ketahanan Pangan Tingkat Desa (Lumbung Desa, dll)</t>
  </si>
  <si>
    <t>Pelatihan/Bimtek/Pengenalan Tekonologi Tepat Guna untuk Perikanan Darat/Nelayan</t>
  </si>
  <si>
    <t>Bantuan Perikanan (Bibit/Pakan/dst)</t>
  </si>
  <si>
    <t>Pemeliharaan Pelabuhan Perikanan Sungai/Kecil Milik Desa</t>
  </si>
  <si>
    <t>Pemeliharaan Karamba/Kolam Perikanan Darat Milik Desa</t>
  </si>
  <si>
    <t>lain-lain kegiatan sub bidang Kelembagaan Masyarakat*</t>
  </si>
  <si>
    <t>Pelatihan Pembinaan Lembaga Kemasyarakatan</t>
  </si>
  <si>
    <t>Pembinaan PKK</t>
  </si>
  <si>
    <t>Pembinaan LKMD/LPM/LPMD</t>
  </si>
  <si>
    <t>Pembinaan Lembaga Adat</t>
  </si>
  <si>
    <t>Pembinaan Karang Taruna/Klub Kepemudaan/Klub Olah raga</t>
  </si>
  <si>
    <t>Pembangunan/Rehabilitasi/Peningkatan Sarana dan Prasarana Kepemudaan dan Olah Raga Milik Desa**</t>
  </si>
  <si>
    <t>Penyelenggaraan Festival/Lomba Kepemudaan dan Olahraga tingkat Desa</t>
  </si>
  <si>
    <t>Penyelenggaraan pelatihan kepemudaan (Kepemudaan, Penyadaraan Wawasan Kebangsaan, dll) tingkat Desa</t>
  </si>
  <si>
    <t>Pengiriman Kontingen Kepemudaan dan Olah Raga sebagai Wakil Desa di tingkat Kecamatan dan Kabupaten/Kota</t>
  </si>
  <si>
    <t>Pemeliharaan Sarana dan Prasarana Kebudayaan/Rumah Adat/Keagamaan Milik Desa</t>
  </si>
  <si>
    <t>Penyelenggaraan Festival Kesenian, Adat/Kebudayaan, dan Keagamaan (perayaan hari kemerdekaan, hari besar keagamaan, dll) tingkat Desa</t>
  </si>
  <si>
    <t>Pengiriman Kontingen Group Kesenian dan Kebudayaan sebagai Wakil Desa di tingkat Kecamatan dan Kabupaten/Kota</t>
  </si>
  <si>
    <t>Pembinaan Group Kesenian dan Kebudayaan Tingkat Desa</t>
  </si>
  <si>
    <t>lain-lain kegiatan sub bidang Ketenteraman, Ketertiban Umum, dan Pelindungan Masyarakat*</t>
  </si>
  <si>
    <t>Pelatihan/Penyuluhan/Sosialisasi kepada Masyarakat di Bidang Hukum dan Pelindungan Masyarakat</t>
  </si>
  <si>
    <t>Bantuan Hukum Untuk Aparatur Desa dan Masyarakat Miskin</t>
  </si>
  <si>
    <t>Penyediaan Pos Kesiapsiagaan Bencana Skala Lokal Desa</t>
  </si>
  <si>
    <t>Pelatihan Kesiapsiagaan/Tanggap Bencana Skala Lokal Desa</t>
  </si>
  <si>
    <t>Koordinasi Pembinaan Ketentraman, Ketertiban, dan Pelindungan Masyarakat (dengan masyarakat/instansi pemerintah daerah, dll)  Skala Lokal Desa</t>
  </si>
  <si>
    <t>Penguatan dan Peningkatan Kapasitas Tenaga Keamanan/Ketertiban oleh Pemerintah Desa (Satlinmas desa)</t>
  </si>
  <si>
    <t>lain-lain kegiatan sub bidang pariwisata*</t>
  </si>
  <si>
    <t>Pengembangan Pariwisata Tingkat Desa</t>
  </si>
  <si>
    <t>Pembangunan/Rehabilitasi/Peningkatan Sarana dan Prasarana Pariwisata Milik Desa</t>
  </si>
  <si>
    <t>Pemeliharaan Sarana dan Prasarana Pariwisata Milik Desa</t>
  </si>
  <si>
    <t>lain-lain kegiatan sub bidang Energi dan Sumber Daya Mineral*</t>
  </si>
  <si>
    <t>Pembangunan/Rehabilitasi/Peningkatan Sarana dan Prasarana Energi Alternatif tingkat Desa **</t>
  </si>
  <si>
    <t>Pemeliharaan Sarana dan Prasarana Energi Alternatif tingkat Desa</t>
  </si>
  <si>
    <t>lain-lain kegiatan sub bidang Perhubungan, Komunikasi, dan Informatika*</t>
  </si>
  <si>
    <t>Penyelenggaraan Informasi Publik Desa  (Misal : Pembuatan Poster/Baliho Informasi penetapan/LPJ APBDes untuk Warga, dll)</t>
  </si>
  <si>
    <t>Pembuatan Rambu-rambu di Jalan Desa</t>
  </si>
  <si>
    <t>lain-lain kegiatan sub bidang Kehutanan dan Lingkungan Hidup*</t>
  </si>
  <si>
    <t>Pelatihan/Sosialisasi/Penyuluhan/Penyadaran tentang Lingkungan Hidup dan Kehutanan</t>
  </si>
  <si>
    <t>Pengelolaan Lingkungan Hidup Desa</t>
  </si>
  <si>
    <t>Pengelolaan Hutan Milik Desa</t>
  </si>
  <si>
    <t>lain-lain kegiatan sub bidang perumahan rakyat dan kawasan pemukiman*</t>
  </si>
  <si>
    <t>Pembangunan/Rehabilitasi/Peningkatan Taman/Taman Bermain Anak Milik Desa**</t>
  </si>
  <si>
    <t>Pembangunan/Rehabilitasi/Peningkatan Fasilitas Pengelolaan Sampah Desa/Permukiman (Penampungan, Bank Sampah, dll)**</t>
  </si>
  <si>
    <t>Pembangunan/Rehabilitas/Peningkatan Fasilitas Jamban Umum/MCK umum, dll **</t>
  </si>
  <si>
    <t>Pembangunan/Rehabilitasi/Peningkatan Sambungan Air Bersih ke Rumah Tangga (pipanisasi, dll) **</t>
  </si>
  <si>
    <t>Pemeliharaan Taman/Taman Bermain Anak Milik Desa</t>
  </si>
  <si>
    <t>Pemeliharaan Sistem Pembuangan Air Limbah (Drainase, Air limbah Rumah Tangga)</t>
  </si>
  <si>
    <t>Pemeliharaan Fasilitas Pengelolaan Sampah Desa/Permukiman (Penampungan, Bank Sampah, dll)</t>
  </si>
  <si>
    <t>Pemeliharaan Fasilitas Jamban Umum/MCK umum, dll</t>
  </si>
  <si>
    <t>Pemeliharaan Sanitasi Permukiman (Gorong-gorong, Selokan, Parit, dll., diluar prasarana jalan)</t>
  </si>
  <si>
    <t>Pemeliharaan Sambungan Air Bersih ke Rumah Tangga (pipanisasi, dll)</t>
  </si>
  <si>
    <t>Pemeliharaan Sumber Air Bersih Milik Desa (Mata Air/Tandon Penampungan Air Hujan/Sumur Bor, dll)</t>
  </si>
  <si>
    <t>Pemeliharaan Sumur Resapan Milik Desa</t>
  </si>
  <si>
    <t>Dukungan pelaksanaan program Pembangunan/Rehab Rumah Tidak Layak Huni (RTLH) GAKIN (pemetaan, validasi, dll)</t>
  </si>
  <si>
    <t>Penyusunan Dokumen Perencanaan Tata Ruang Desa</t>
  </si>
  <si>
    <t>Pembangunan/Rehabilitasi/Peningkatan Pemakaman Milik Desa/Situs Bersejarah Milik Desa/Petilasan</t>
  </si>
  <si>
    <t>Pemeliharaan Embung Milik Desa</t>
  </si>
  <si>
    <t>Pemeliharaan Pemakaman Milik Desa/Situs Bersejarah Milik Desa/Petilasan Milik Desa</t>
  </si>
  <si>
    <t>Pemeliharaan Gedung/Prasarana Balai Desa/Balai Kemasyarakatan</t>
  </si>
  <si>
    <t>Pemeliharaan Jembatan Milik Desa</t>
  </si>
  <si>
    <t>Pemeliharaan Jalan Usaha Tani</t>
  </si>
  <si>
    <t>Pemeliharaan Jalan Lingkungan Permukiman/Gang</t>
  </si>
  <si>
    <t>Pemeliharaan Jalan Desa</t>
  </si>
  <si>
    <t>lain-lain kegiatan sub bidang kesehatan*</t>
  </si>
  <si>
    <t>Pemeliharaan Sarana/Prasarana Posyandu/Polindes/PKD</t>
  </si>
  <si>
    <t>Pembinaan dan Pengawasan Upaya Kesehatan Tradisional</t>
  </si>
  <si>
    <t>Pengasuhan Bersama atau Bina Keluarga Balita (BKB)</t>
  </si>
  <si>
    <t>Pembinaan Palang Merah Remaja (PMR) tingkat desa</t>
  </si>
  <si>
    <t>Penyelenggaraan Desa Siaga Kesehatan</t>
  </si>
  <si>
    <t>lain-lain kegiatan sub bidang pendidikan*</t>
  </si>
  <si>
    <t>Dukungan Pendidikan bagi Siswa Miskin/Berprestasi</t>
  </si>
  <si>
    <t>Pengembangan dan Pembinaan Sanggar Seni dan Belajar</t>
  </si>
  <si>
    <t>Pengelolaan Perpustakaan Milik Desa (Pengadaan Buku-buku Bacaan, Honor Penjaga untuk Perpustakaan/Taman Bacaan Desa)</t>
  </si>
  <si>
    <t>Pembangunan/Rehabilitasi/Peningkatan Sarana Prasarana Perpustakaan/Taman Bacaan Desa/ Sanggar Belajar Milik Desa**</t>
  </si>
  <si>
    <t>Penyuluhan dan Pelatihan Pendidikan bagi Masyarakat</t>
  </si>
  <si>
    <t>Dukungan Penyelenggaraan PAUD (APE, Sarana PAUD, dst)</t>
  </si>
  <si>
    <t>Administrasi Pajak Bumi dan Bangunan (PBB)</t>
  </si>
  <si>
    <t>Penyuluhan Pertanahan</t>
  </si>
  <si>
    <t>Mediasi Konflik Pertanahan</t>
  </si>
  <si>
    <t>Fasilitasi Sertifikasi Tanah untuk Masyarakat Miskin</t>
  </si>
  <si>
    <t>Administrasi Pertanahan (Pendaftaran Tanah, dan Pemberian Registrasi Agenda Pertanahan)</t>
  </si>
  <si>
    <t>Sertifikasi Tanah Kas Desa</t>
  </si>
  <si>
    <t>Dukungan Pelaksanaan dan Sosialisasi Pilkades, Pemilihan Kepala Kewilayahan dan Pemilihan BPD (yang menjadi wewenang Desa)</t>
  </si>
  <si>
    <t>Penyusunan Laporan Kepala Desa/Penyelenggaraan Pemerintahan Desa (laporan akhir tahun anggaran, laporan akhir masa jabatan, laporan keterangan akhir tahun anggaran, informasi kepada masyarakat)</t>
  </si>
  <si>
    <t>Penyusunan Kebijakan Desa (Perdes/Perkades, dll - diluar dokumen Rencana Pembangunan/Keuangan)</t>
  </si>
  <si>
    <t>Pengelolaan/Administrasi/Inventarisasi/Penilaian Aset Desa</t>
  </si>
  <si>
    <t>Pemetaan dan Analisis Kemiskinan Desa secara Partisipatif</t>
  </si>
  <si>
    <t>Penyuluhan dan Penyadaran Masyarakat tentang Kependudukan dan Pencatatan Sipil</t>
  </si>
  <si>
    <t>Pengelolaan administrasi dan kearsipan pemerintahan desa</t>
  </si>
  <si>
    <t>Pemeliharaan Gedung/Prasarana Kantor Desa</t>
  </si>
  <si>
    <t>Penyediaan sarana (aset tetap) perkantoran/pemerintahan</t>
  </si>
  <si>
    <t>Penyediaan Tunjangan BPD</t>
  </si>
  <si>
    <t>Penyediaan Jaminan Sosial bagi Kepala Desa dan Perangkat Desa</t>
  </si>
  <si>
    <t>Penyediaan Penghasilan Tetap dan Tunjangan Perangkat Desa</t>
  </si>
  <si>
    <t>Penyediaan Penghasilan Tetap dan Tunjangan Kepala Desa</t>
  </si>
  <si>
    <t xml:space="preserve">Penyediaan Operasional Pemerintah Desa </t>
  </si>
  <si>
    <t>Penyediaan Operasional BPD</t>
  </si>
  <si>
    <t>Penyediaan Insentif/Operasional RT</t>
  </si>
  <si>
    <t>Kepala Desa</t>
  </si>
  <si>
    <t>Kepala Desa dan Perangkat</t>
  </si>
  <si>
    <t>Pemerintahan Desa</t>
  </si>
  <si>
    <t>Ketua RT</t>
  </si>
  <si>
    <t xml:space="preserve">Penyusunan/Pendataan/Pemutakhiran Profil Desa </t>
  </si>
  <si>
    <t xml:space="preserve">Penyelenggaraan Musyawarah Perencanaan Desa/Pembahasan APBDes  </t>
  </si>
  <si>
    <t>KAUR Per</t>
  </si>
  <si>
    <t xml:space="preserve">Penyusunan Dokumen Perencanaan Desa </t>
  </si>
  <si>
    <t xml:space="preserve">Penyusunan Dokumen Keuangan Desa </t>
  </si>
  <si>
    <t>Informasi Desa</t>
  </si>
  <si>
    <t>KAUR Adm/Umum</t>
  </si>
  <si>
    <t xml:space="preserve">Penghasilan Tetap Kepala Desa </t>
  </si>
  <si>
    <t xml:space="preserve">Tunjangan Kepala Desa </t>
  </si>
  <si>
    <t>Penghasilan Tetap Perangkat Desa</t>
  </si>
  <si>
    <t>Tunjangan Perangkat Desa</t>
  </si>
  <si>
    <t>Wajib Pajak</t>
  </si>
  <si>
    <t xml:space="preserve"> Makan Minum Rapat </t>
  </si>
  <si>
    <t xml:space="preserve"> Makan Minum Musyawarah</t>
  </si>
  <si>
    <t>Honorarium Tim PKPKD</t>
  </si>
  <si>
    <t xml:space="preserve"> Honorarium Kolektor PBB</t>
  </si>
  <si>
    <t>Penanggulangan Bencana,Keadaan Darurat Desa dan Mendesak Desa</t>
  </si>
  <si>
    <t>Jumlah Per Bidang 5)</t>
  </si>
  <si>
    <t>Makanan Tambahan Balita</t>
  </si>
  <si>
    <t>Honorarium Panitia</t>
  </si>
  <si>
    <t>Peserta Pelatihan @ 1 Orang x 3 Hari</t>
  </si>
  <si>
    <t>6.4</t>
  </si>
  <si>
    <t>Honor panitia</t>
  </si>
  <si>
    <t>3.9</t>
  </si>
  <si>
    <t>8.2</t>
  </si>
  <si>
    <t>RT 01</t>
  </si>
  <si>
    <t>RT 02</t>
  </si>
  <si>
    <t>RT 05</t>
  </si>
  <si>
    <t>Kepala Desa,</t>
  </si>
  <si>
    <t>Sub Total 6</t>
  </si>
  <si>
    <t>Sub Total 7</t>
  </si>
  <si>
    <t>TAHUN ANGGARAN 2019</t>
  </si>
  <si>
    <t>Rp.</t>
  </si>
  <si>
    <t/>
  </si>
  <si>
    <t>PENDAPATAN</t>
  </si>
  <si>
    <t>Transfer</t>
  </si>
  <si>
    <t>Penyelenggaraan Belanja Penghasilan Tetap, Tunjangan dan Operasional Pemerintahan Desa</t>
  </si>
  <si>
    <t>01</t>
  </si>
  <si>
    <t>02</t>
  </si>
  <si>
    <t>03</t>
  </si>
  <si>
    <t>04</t>
  </si>
  <si>
    <t>05</t>
  </si>
  <si>
    <t>06</t>
  </si>
  <si>
    <t>Penyediaan Operasional BPD (ATK, perlengkapan perkantoran, Pakaian Seragam, listrik/telpon, dll)</t>
  </si>
  <si>
    <t>07</t>
  </si>
  <si>
    <t>Penyediaan Insentif/Operasional RT/RW</t>
  </si>
  <si>
    <t>Sarana dan Prasarana Pemerintahan Desa</t>
  </si>
  <si>
    <t>Pembangunan/Rehabilitasi/Peningkatan Gedung/Prasarana Kantor Desa</t>
  </si>
  <si>
    <t>lain-lain kegiatan sub bidang sarana dan prasarana pemerintahan Desa</t>
  </si>
  <si>
    <t>Administrasi Kependudukan, Pencatatan Sipil, Statistik dan Kearsipan</t>
  </si>
  <si>
    <t>Pelayanan administrasi umum dan kependudukan (Surat Pengantar/Pelayanan KTP, Kartu Keluarga, dll)</t>
  </si>
  <si>
    <t>Penyusunan/Pendataan/Pemutakhiran Profil Desa (profil kependudukan dan potensi desa)</t>
  </si>
  <si>
    <t>lain-lain kegiatan sub bidang administrasi kependudukan, pencatatan sipil, statistik dan kearsipan</t>
  </si>
  <si>
    <t>Tata Praja Pemerintahan, Perencanaan, Keuangan dan Pelaporan</t>
  </si>
  <si>
    <t>Penyelenggaraan Musyawarah Perencanaan Desa/Pembahasan APBDes  (Musdes, Musrenbangdes/Pra-Musrenbangdes, dll., bersifat reguler)</t>
  </si>
  <si>
    <t>Penyelenggaraan Musyawarah Desa lainnya (musdus, rembug warga, dll., yang bersifat non-reguler sesuai kebutuhan desa)</t>
  </si>
  <si>
    <t>Penyusunan Dokumen Perencanaan Desa (RPJMDes/RKPDes,dll)</t>
  </si>
  <si>
    <t>Penyusunan Dokumen Keuangan Desa (APBDes/ APBDes Perubahan/ LPJ APBDes, dan seluruh dokumen terkait)</t>
  </si>
  <si>
    <t>08</t>
  </si>
  <si>
    <t xml:space="preserve">Pengembangan Sistem Informasi Desa </t>
  </si>
  <si>
    <t>09</t>
  </si>
  <si>
    <t>Koordinasi/Kerjasama Penyelenggaraan Pemerintahan dan Pembangunan Desa (Antar Desa/Kecamatan/Kabupaten, Pihak Ketiga, dll)</t>
  </si>
  <si>
    <t>11</t>
  </si>
  <si>
    <t xml:space="preserve">Penyelenggaraan Lomba antar kewilayahan dan pengiriman kontingen dalam mengikuti Lomba Desa </t>
  </si>
  <si>
    <t>lain-lain kegiatan sub bidang tata praja pemerintahan, perencanaan, keuangan dan pelaporan</t>
  </si>
  <si>
    <t>Pertanahan</t>
  </si>
  <si>
    <t>Penentuan/Penegasan/Pembangunan Batas/Patok Tanah Desa</t>
  </si>
  <si>
    <t>lain-lain kegiatan sub bidang pertanahan</t>
  </si>
  <si>
    <t>Pendidikan</t>
  </si>
  <si>
    <t>Penyelenggaraan PAUD/TK/TPA/TKA/TPQ/Madrasah Non-Formal Milik Desa (Bantuan Honor Pengajar, Pakaian Seragam, Operasional, dst)</t>
  </si>
  <si>
    <t>Pemeliharaan Sarana dan Prasarana Perpustakaan/Taman Bacaan Desa/ Sanggar Belajar Milik Desa</t>
  </si>
  <si>
    <t>Pemeliharaan Sarana dan Prasarana PAUD/TK/TPA/TKA/TPQ/Madrasah Non-Formal Milik Desa</t>
  </si>
  <si>
    <t>Pembangunan/Rehabilitasi/Peningkatan/Pengadaan Sarana/Prasarana/Alat Peraga Edukatif (APE) PAUD/ TK/TPA/TKA/TPQ/Madrasah Non-Formal Milik Desa</t>
  </si>
  <si>
    <t>Kesehatan</t>
  </si>
  <si>
    <t>Penyelenggaraan Pos Kesehatan Desa (PKD)/Polindes Milik Desa (Obat-obatan; Tambahan Insentif Bidan Desa/Perawat Desa; Penyediaan Pelayanan KB dan Alat Kontrasepsi bagi Keluarga Miskin, dst)</t>
  </si>
  <si>
    <t>Penyelenggaraan Posyandu (Makanan Tambahan, Kelas Ibu Hamil, Kelas Lansia, Insentif Kader Posyandu)</t>
  </si>
  <si>
    <t>Penyuluhan dan Pelatihan Bidang Kesehatan (untuk Masyarakat, Tenaga Kesehatan, Kader Kesehatan, dll)</t>
  </si>
  <si>
    <t xml:space="preserve">Pembangunan/Rehabilitasi/Peningkatan/Pengadaan Sarana/Prasarana Posyandu/Polindes/PKD </t>
  </si>
  <si>
    <t>Pekerjaan Umum dan Penataan Ruang</t>
  </si>
  <si>
    <t>Pemeliharaan Prasarana Jalan Desa (Gorong-gorong, Selokan, Box/Slab Culvert, Drainase, Prasarana Jalan lain)</t>
  </si>
  <si>
    <t>Pembangunan/Rehabilitasi/Peningkatan/Pengerasan Jalan Desa</t>
  </si>
  <si>
    <t>Pembangunan/Rehabilitasi/Peningkatan/Pengerasan Jalan Lingkungan Permukiman/Gang</t>
  </si>
  <si>
    <t>Pembangunan/Rehabilitasi/Peningkatan/Pengerasan Jalan Usaha Tani</t>
  </si>
  <si>
    <t>12</t>
  </si>
  <si>
    <t>Pembangunan/Rehabilitasi/Peningkatan/Pengerasan Jembatan Milik Desa</t>
  </si>
  <si>
    <t>13</t>
  </si>
  <si>
    <t>Pembangunan/Rehabilitasi/Peningkatan Prasarana Jalan Desa (Gorong-gorong, Selokan, Box/Slab Culvert, Drainase, Prasarana Jalan lain)</t>
  </si>
  <si>
    <t>14</t>
  </si>
  <si>
    <t>Pembangunan/Rehabilitasi/Peningkatan Balai Desa/Balai Kemasyarakatan</t>
  </si>
  <si>
    <t>15</t>
  </si>
  <si>
    <t>16</t>
  </si>
  <si>
    <t>Pembuatan/Pemutakhiran Peta Wilayah dan Sosial Desa</t>
  </si>
  <si>
    <t>17</t>
  </si>
  <si>
    <t>18</t>
  </si>
  <si>
    <t>Pembangunan/Rehabilitasi/Peningkatan Embung Desa</t>
  </si>
  <si>
    <t>lain-lain kegiatan sub bidang pekerjaan umum dan penataan ruang</t>
  </si>
  <si>
    <t>Kawasan Permukiman</t>
  </si>
  <si>
    <t>Pembangunan/Rehabilitasi/Peningkatan Sumur Resapan</t>
  </si>
  <si>
    <t>Pembangunan/Rehabilitasi/Peningkatan Sumber Air Bersih Milik Desa (Mata Air/Tandon Penampungan Air Hujan/Sumur Bor, dll)</t>
  </si>
  <si>
    <t>Pembangunan/Rehabilitasi/Peningkatan Sanitasi Permukiman (Gorong-gorong, Selokan, Parit, dll., diluar prasarana jalan)</t>
  </si>
  <si>
    <t>Pembangunan/Rehabilitasi/Peningkatan Sistem Pembuangan Air Limbah (Drainase, Air limbah Rumah Tangga)**</t>
  </si>
  <si>
    <t>Kehutanan dan Lingkungan Hidup</t>
  </si>
  <si>
    <t>Perhubungan, Komunikasi, dan Informatika</t>
  </si>
  <si>
    <t>Pengelolaan dan Pembuatan Jaringan/Instalasi Komunikasi dan Informasi Lokal Desal</t>
  </si>
  <si>
    <t>Energi dan Sumber Daya Mineral</t>
  </si>
  <si>
    <t>Pariwisata</t>
  </si>
  <si>
    <t>PEMBINAAN KEMASYARAKATAN DESA</t>
  </si>
  <si>
    <t>Ketenteraman, Ketertiban Umum, dan Pelindungan Masyarakat</t>
  </si>
  <si>
    <t>Pengadaan/Penyelenggaraan Pos Keamanan Desa (pembangunan pos, pengawasan pelaksanaan jadwal ronda/patroli dll)</t>
  </si>
  <si>
    <t>Kebudayaan dan Keagamaan</t>
  </si>
  <si>
    <t>Pembangunan/Rehabilitasi/Peningkatan Sarana dan Prasarana Kebudayaan/Rumah Adat/Keagamaan Milik Desa</t>
  </si>
  <si>
    <t>lain-lain kegiatan sub bidang Kebudayaan dan Keagamaan*</t>
  </si>
  <si>
    <t>Kepemudaan dan Olah Raga</t>
  </si>
  <si>
    <t>Pemeliharaan Sarana dan Prasarana Kepemudaan dan Olah Raga Milik Desa**</t>
  </si>
  <si>
    <t>lain-lain kegiatan sub bidang Kepemudaan dan Olah Raga</t>
  </si>
  <si>
    <t>Kelembagaan Masyarakat</t>
  </si>
  <si>
    <t>PEMBERDAYAAN MASYARAKAT DESA</t>
  </si>
  <si>
    <t>Kelautan dan Perikanan</t>
  </si>
  <si>
    <t>Pembangunan/Rehabilitasi/Peningkatan Karamba/Kolam Perikanan Darat Milik Desa</t>
  </si>
  <si>
    <t>Pembangunan/Rehabilitasi/Peningkatan Pelabuhan Perikanan Sungai/Kecil Milik Desa</t>
  </si>
  <si>
    <t>lain-lain kegiatan sub bidang kelautan dan perikanan</t>
  </si>
  <si>
    <t>Pertanian dan Peternakan</t>
  </si>
  <si>
    <t>Peningkatan Produksi Tanaman Pangan (Alat Produksi dan pengolahan pertanian, penggilingan Padi/jagung, dll)</t>
  </si>
  <si>
    <t>Peningkatan Produksi Peternakan (Alat Produksi dan pengolahan peternakan, kandang, dll)</t>
  </si>
  <si>
    <t>Pemeliharaan Saluran Irigasi Tersier/Sederhana</t>
  </si>
  <si>
    <t>Pelatihan/Bimtek/Pengenalan Tekonologi Tepat Guna untuk Pertanian/Peternakan</t>
  </si>
  <si>
    <t>lain-lain kegiatan sub bidang pertanian dan peternakan</t>
  </si>
  <si>
    <t>Peningkatan Kapasitas Aparatur Desa</t>
  </si>
  <si>
    <t xml:space="preserve">Peningkatan kapasitas kepala  Desa </t>
  </si>
  <si>
    <t xml:space="preserve">Peningkatan kapasitas perangkat Desa </t>
  </si>
  <si>
    <t xml:space="preserve">Peningkatan kapasitas BPD </t>
  </si>
  <si>
    <t>Lain-lain Peningkatan kapasitas Aparatur Desa</t>
  </si>
  <si>
    <t>Pemberdayaan Perempuan, Perlindungan Anak dan Keluarga</t>
  </si>
  <si>
    <t>Koperasi, Usaha Mikro Kecil dan Menengah (UMKM)</t>
  </si>
  <si>
    <t>Dukungan Penanaman Modal</t>
  </si>
  <si>
    <t>Perdagangan dan Perindustrian</t>
  </si>
  <si>
    <t>Pembangunan/Rehabilitasi/Peningkatan Pasar Desa/Kios milik Desa</t>
  </si>
  <si>
    <t>Pembentukan/Fasilitasi/Pelatihan/Pendampingan kelompok usaha ekonomi produktif  (pengrajin, pedagang, industri rumah tangga, dll) **</t>
  </si>
  <si>
    <t>PENANGGULANGAN BENCANA, KEADAAN DARURAT DAN MENDESAK</t>
  </si>
  <si>
    <t>00</t>
  </si>
  <si>
    <t>Belanja Tak Terduga</t>
  </si>
  <si>
    <t>Mendesak</t>
  </si>
  <si>
    <t>SURPLUS /(DEFISIT)</t>
  </si>
  <si>
    <t>SELISIH PEMBIAYAAN/SISA LEBIH PEMBIAYAAN ANGGARAN (SILPA)</t>
  </si>
  <si>
    <t>FORMAT PENJABARAN ANGGARAN PENDAPATAN DAN BELANJA DESA</t>
  </si>
  <si>
    <t>KELUARAN/OUTPUT</t>
  </si>
  <si>
    <t>ANGGARAN
Rp.</t>
  </si>
  <si>
    <t>VOLUME</t>
  </si>
  <si>
    <t>SATUAN</t>
  </si>
  <si>
    <t>Bagi Hasil BUMDes</t>
  </si>
  <si>
    <t>Lain-lain</t>
  </si>
  <si>
    <t>Jaringan Irigasi Desa</t>
  </si>
  <si>
    <t>Swadaya, Partisipasi dan Gotong Royong</t>
  </si>
  <si>
    <t>Swadaya, partisipasi dan gotong royong</t>
  </si>
  <si>
    <t>Lain-lain Swadaya, Partisipasi dan Gotong Royong</t>
  </si>
  <si>
    <t>Lain-lain Pendapatan Asli Desa</t>
  </si>
  <si>
    <t>Bagian dari Hasil Pajak dan Retribusi Daerah Kabupaten/kota</t>
  </si>
  <si>
    <t>Bantuan Keuangan dari APBD Provinsi</t>
  </si>
  <si>
    <t>Lain-lain Bantuan Keuangan dari APBD Provinsi</t>
  </si>
  <si>
    <t>Bantuan Keuangan APBD Kabupaten/Kota</t>
  </si>
  <si>
    <t>Lain-lain Bantuan Keuangan dari APBD Kabupaten/Kota</t>
  </si>
  <si>
    <t xml:space="preserve">Penerimaan dari Hasil Kerjasama antar Desa </t>
  </si>
  <si>
    <t>Penerimaan dari Hasil Kerjasama Desa dengan Pihak Ketiga</t>
  </si>
  <si>
    <t>Penerimaan dari Bantuan Perusahaan yang berlokasi di Desa</t>
  </si>
  <si>
    <t>Hibah dan sumbangan dari Pihak Ketiga</t>
  </si>
  <si>
    <t>Koreksi kesalahan belanja tahun-tahun anggaran sebelumnya yang mengakibatkan penerimaan di kas Desa pada tahun anggaran berjalan</t>
  </si>
  <si>
    <t>Bunga Bank</t>
  </si>
  <si>
    <t>Lain-lain pendapatan Desa yang sah</t>
  </si>
  <si>
    <t>Penghasilan Tetap &amp; Tunjangan Kepala Desa</t>
  </si>
  <si>
    <t>Penghasilan Tetap &amp; Tunjangan Perangkat Desa</t>
  </si>
  <si>
    <t>Jaminan Sosial Kepala Desa dan Perangkat Desa</t>
  </si>
  <si>
    <t>Jaminan Kesehatan Kepala Desa</t>
  </si>
  <si>
    <t>Jaminan Kesehatan Perangkat Desa</t>
  </si>
  <si>
    <t>Jaminan Ketenagakerjaan Kepala Desa</t>
  </si>
  <si>
    <t>Jaminan Ketenagakerjaan Perangkat Desa</t>
  </si>
  <si>
    <t>Belanja Barang Perlengkapan Kantor</t>
  </si>
  <si>
    <t>Belanja Perlengkapan Alat Tulis Kantor - Belanja Barang Pakai Habis</t>
  </si>
  <si>
    <t>Belanja Perlengkapan Alat-alat Rumah Tangga</t>
  </si>
  <si>
    <t>Belanja Perlengkapan Cetak/Penggandaan - Belanja Barang Cetak dan Penggandaan</t>
  </si>
  <si>
    <t>Belanja Perlengkapan Barang Konsumsi (Makan/minum) - Belanja Barang Konsumsi</t>
  </si>
  <si>
    <t>Belanja Jasa Honorarium</t>
  </si>
  <si>
    <t>Belanja Jasa Honorarium Tim yang Melaksanakan Kegiatan</t>
  </si>
  <si>
    <t>Belanja Jasa Honorarium Petugas</t>
  </si>
  <si>
    <t>Belanja Jasa Honorarium Lainnya</t>
  </si>
  <si>
    <t>Belanja Perjalanan Dinas</t>
  </si>
  <si>
    <t>Belanja Perjalanan Dinas Dalam Kabupaten/Kota</t>
  </si>
  <si>
    <t>Belanja Perjalanan Dinas Luar Kabupaten/Kota</t>
  </si>
  <si>
    <t>Belanja Jasa Sewa</t>
  </si>
  <si>
    <t>Belanja Operasional Perkantoran</t>
  </si>
  <si>
    <t>Belanja Jasa Langganan Listrik</t>
  </si>
  <si>
    <t>Belanja Barang Perlengkapan Kantor Lainnya</t>
  </si>
  <si>
    <t>Belanja Modal Peralatan, Mesin, dan Alat Berat</t>
  </si>
  <si>
    <t>Belanja Modal Gedung dan Bangunan</t>
  </si>
  <si>
    <t>Belanja Modal Honor Tim yang Melaksanakan Kegiatan</t>
  </si>
  <si>
    <t>Belanja Modal Upah Tenaga Kerja</t>
  </si>
  <si>
    <t xml:space="preserve">Belanja Modal Bahan Baku </t>
  </si>
  <si>
    <t xml:space="preserve">Belanja Modal Sewa Peralatan  </t>
  </si>
  <si>
    <t>Belanja Jasa Honorarium Ahli/Profesi/Konsultan</t>
  </si>
  <si>
    <t>Belanja Kursus/Pelatihan</t>
  </si>
  <si>
    <t>Belanja Modal Jalan</t>
  </si>
  <si>
    <t>SiLPA Tahun Sebelumnya</t>
  </si>
  <si>
    <t>Hasil Penjualan Kekayaan Desa yang Dipisahkan</t>
  </si>
  <si>
    <t>Penerimaan Pembiayaan Lainnya</t>
  </si>
  <si>
    <t>Pengeluaran Pembiayaan Lainnya</t>
  </si>
  <si>
    <t>SISA LEBIH PEMBIAYAAN</t>
  </si>
  <si>
    <t>Keterangan Cara Pengisian:</t>
  </si>
  <si>
    <t>Kolom 1</t>
  </si>
  <si>
    <t>diisi berdasarkan klasifikasi Bidang Kegiatan:</t>
  </si>
  <si>
    <t>a. bidang;</t>
  </si>
  <si>
    <t>b. sub bidang; dan</t>
  </si>
  <si>
    <t>c. kegiatan</t>
  </si>
  <si>
    <t>Kolom 2</t>
  </si>
  <si>
    <t xml:space="preserve">Kode rekening diisi berdasarkan klasifikasi ekonomi terdiri dari Pendapatan, Belanja dan </t>
  </si>
  <si>
    <t xml:space="preserve">Pembiayaan: </t>
  </si>
  <si>
    <t>Bagian pendapatan diisi:</t>
  </si>
  <si>
    <t xml:space="preserve">a. Pendapatan: </t>
  </si>
  <si>
    <t xml:space="preserve">b. kelompok pendapatan: </t>
  </si>
  <si>
    <t xml:space="preserve">c. jenis pendapatan; dan </t>
  </si>
  <si>
    <t>d. obyek pendapatan</t>
  </si>
  <si>
    <t xml:space="preserve">Bagian Belanja diisi: </t>
  </si>
  <si>
    <t xml:space="preserve">a. belanja; </t>
  </si>
  <si>
    <t xml:space="preserve">b. jenis belanja (disesuaikan dengan jenis kegiatan); </t>
  </si>
  <si>
    <t xml:space="preserve">c. obyek belanja: dan </t>
  </si>
  <si>
    <t>d. rincian obyek belanja.</t>
  </si>
  <si>
    <t xml:space="preserve">Bagian Pembiayaan diisi: </t>
  </si>
  <si>
    <t xml:space="preserve">a. pembiayaan; </t>
  </si>
  <si>
    <t xml:space="preserve">b. kelompok pembiayaan; dan </t>
  </si>
  <si>
    <t>c. jenis pembiayaan</t>
  </si>
  <si>
    <t xml:space="preserve">Kolom 3 </t>
  </si>
  <si>
    <t>Uraian Pendapatan, Belanja dan Pembiayaan (Lihat Lampiran A Permendagri ini)</t>
  </si>
  <si>
    <t xml:space="preserve">Kolom 4 </t>
  </si>
  <si>
    <t xml:space="preserve">Volume diisi dengan volume (jumlah) output kegiatan (Kolom 1.c) dan volume (jumlah) </t>
  </si>
  <si>
    <t>input pada rincian obyek belanja (Kolom 2.d)</t>
  </si>
  <si>
    <t xml:space="preserve">Kolom 5 </t>
  </si>
  <si>
    <t xml:space="preserve">Satuan  diisi dengan satuan output (paket, unit, km, Ha) kegiatan dan satuan (paket, unit) </t>
  </si>
  <si>
    <t>input pada rincian obyek belanja</t>
  </si>
  <si>
    <t xml:space="preserve">Kolom 6 </t>
  </si>
  <si>
    <t>Anggaran diisi dengan jumlah anggaran yang ditetapkan</t>
  </si>
  <si>
    <t xml:space="preserve">Kolom 7 </t>
  </si>
  <si>
    <t>Sumber Dana diisi dengan Sumber Dana yang digunakan dalam kegiatan (kolom 1.c) terkait</t>
  </si>
  <si>
    <t>Ketua RT 01</t>
  </si>
  <si>
    <t>Ketua RT 02</t>
  </si>
  <si>
    <t>Ketua RT 03</t>
  </si>
  <si>
    <t>Ketua RT 04</t>
  </si>
  <si>
    <t>Ketua RT 05</t>
  </si>
  <si>
    <t>Ketua RT 06</t>
  </si>
  <si>
    <t>Ketua RT 07</t>
  </si>
  <si>
    <t>Ketua RT 08</t>
  </si>
  <si>
    <t>Ketua RT 09</t>
  </si>
  <si>
    <t>Ketua RT 10</t>
  </si>
  <si>
    <t>HUT RI</t>
  </si>
  <si>
    <t>Lembaga Adat</t>
  </si>
  <si>
    <t>LPM</t>
  </si>
  <si>
    <t>mtq</t>
  </si>
  <si>
    <t>Hadiah</t>
  </si>
  <si>
    <t>Piala</t>
  </si>
  <si>
    <t>Sound</t>
  </si>
  <si>
    <t>Juri</t>
  </si>
  <si>
    <t>Cetak Pengandaan</t>
  </si>
  <si>
    <t>21 September</t>
  </si>
  <si>
    <t xml:space="preserve">Jaminan Sosial Kesehatan  Kepala Desa </t>
  </si>
  <si>
    <t>Jaminan Sosial Kesehatan Perangkat Desa</t>
  </si>
  <si>
    <t xml:space="preserve">Jaminan Sosial Ketenagakerjaan Kepala Desa </t>
  </si>
  <si>
    <t>Jaminan Sosial Ketenagakerjaan Perangkat Desa</t>
  </si>
  <si>
    <t>Perlengkapan Cetak dan Penggandaan</t>
  </si>
  <si>
    <t>Insentif RT</t>
  </si>
  <si>
    <t>Koordinator PPKD</t>
  </si>
  <si>
    <t>Belanja Insentif</t>
  </si>
  <si>
    <t>Sara</t>
  </si>
  <si>
    <t>Jambore</t>
  </si>
  <si>
    <t>Belanja Pakaian Seragam</t>
  </si>
  <si>
    <t>Tata Boga</t>
  </si>
  <si>
    <t>19</t>
  </si>
  <si>
    <t>Pembangunan/Rehabilitasi/Peningkatan Sarana dan Prasarana Kepemudaan dan Olah Raga Milik Desa</t>
  </si>
  <si>
    <t>Sub Bidang</t>
  </si>
  <si>
    <t>Jumlah   (Rp.)</t>
  </si>
  <si>
    <t>Belanja Perlengkapan Alat Tulis Kantor dan Benda Pos</t>
  </si>
  <si>
    <t>1.26</t>
  </si>
  <si>
    <t>Belanja Modal Peralatan Komputer</t>
  </si>
  <si>
    <t>RENCANA KERJA KEGIATAN DESA (RKK-DESA)</t>
  </si>
  <si>
    <t>Bidang/ Sub Bidang/ Kegiatan</t>
  </si>
  <si>
    <t>Biaya ( Rp )</t>
  </si>
  <si>
    <t>Sasaran</t>
  </si>
  <si>
    <t>Laki-Laki</t>
  </si>
  <si>
    <t>Perempuan</t>
  </si>
  <si>
    <t>A-RTM</t>
  </si>
  <si>
    <t>Durasi</t>
  </si>
  <si>
    <t>Mulai</t>
  </si>
  <si>
    <t>Selesai</t>
  </si>
  <si>
    <t>Pelaksan Kegiatan Anggaran</t>
  </si>
  <si>
    <t>Tim yang melaksanakan kegiatan</t>
  </si>
  <si>
    <t>Sekretaris Desa</t>
  </si>
  <si>
    <t>Bidang Sarana dan Prasarana Pemerintahan Desa</t>
  </si>
  <si>
    <t>Bidang Penyelenggaraan Belanja Penghasilan Tetap, Tunjangan dan Operasional Pemerintahan Desa</t>
  </si>
  <si>
    <t xml:space="preserve">RENCANA KEGIATAN ANGGARAN </t>
  </si>
  <si>
    <t>RENCANA PENARIKAN ANGGARAN</t>
  </si>
  <si>
    <t>JANUARI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</si>
  <si>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</si>
  <si>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</si>
  <si>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</si>
  <si>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</si>
  <si>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</si>
  <si>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</si>
  <si>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</si>
  <si>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</si>
  <si>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</si>
  <si>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</si>
  <si>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</si>
  <si>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Belanja Perlengkapan Alat Tulis Kantor</t>
  </si>
  <si>
    <t>Penyelenggaraan Musyawarah Perencanaan Desa</t>
  </si>
  <si>
    <t>Penyusunan Dokumen Perencanaan Desa (RKPDes)</t>
  </si>
  <si>
    <t>Honorarium Petugas Profil Desa</t>
  </si>
  <si>
    <t>Honorarium Tim Penyusun RKPDes</t>
  </si>
  <si>
    <t>Honorarium Tim Verifikasi RKPDes</t>
  </si>
  <si>
    <t>Januari</t>
  </si>
  <si>
    <t>Desember</t>
  </si>
  <si>
    <t>Nopember</t>
  </si>
  <si>
    <t>September</t>
  </si>
  <si>
    <t>Maret</t>
  </si>
  <si>
    <t>SUPARNO</t>
  </si>
  <si>
    <t>(TIRTO NADI)</t>
  </si>
  <si>
    <t>TIRTO NADI</t>
  </si>
  <si>
    <t>( TIRTO NADI )</t>
  </si>
  <si>
    <t>PEMERINTAH DESA Tanjung Mulya</t>
  </si>
  <si>
    <t>Tanjung Mulya,28 Desember 2018</t>
  </si>
  <si>
    <t>Kepala Desa Tanjung Mulya</t>
  </si>
  <si>
    <t>Tanjung Mulya</t>
  </si>
  <si>
    <t>Tanjung Mulya , 09 Agustus 2017</t>
  </si>
  <si>
    <t>Ketua RT 11</t>
  </si>
  <si>
    <t>Ketua RT 12</t>
  </si>
  <si>
    <t>Ketua RT 13</t>
  </si>
  <si>
    <t>Ketua RT 14</t>
  </si>
  <si>
    <t>Ketua RT 15</t>
  </si>
  <si>
    <t>Ketua RT 16</t>
  </si>
  <si>
    <t>1.27</t>
  </si>
  <si>
    <t>Materai 3000</t>
  </si>
  <si>
    <t>1.28</t>
  </si>
  <si>
    <t>1.29</t>
  </si>
  <si>
    <t>BPP</t>
  </si>
  <si>
    <t>RINCIAN PER BIDANG</t>
  </si>
  <si>
    <t>PEMERINTAHAN</t>
  </si>
  <si>
    <t>PEMBANGUNAN</t>
  </si>
  <si>
    <t>PEMBINAAN</t>
  </si>
  <si>
    <t>PEMBERDAYAAN</t>
  </si>
  <si>
    <t>PENY. MODAL</t>
  </si>
  <si>
    <t>Sapu Lantai</t>
  </si>
  <si>
    <t>Sapu  Pel</t>
  </si>
  <si>
    <t>Kemoceng</t>
  </si>
  <si>
    <t>btl</t>
  </si>
  <si>
    <t>Rekening listrik</t>
  </si>
  <si>
    <t>Internet</t>
  </si>
  <si>
    <t>Box file</t>
  </si>
  <si>
    <t>1.30</t>
  </si>
  <si>
    <t>Belanja Jasa Langganan internet</t>
  </si>
  <si>
    <t>Belanja Perlengkapan Alat -Alat Listrik</t>
  </si>
  <si>
    <t>Belanja Perlengkapan Alat -Alat  rumah tangga /peralatan kebersihan</t>
  </si>
  <si>
    <t>Belanja bahan bakar Minyak /gas /isi ulang tabung pemadam kebakaran</t>
  </si>
  <si>
    <t>Alat alat Listrik</t>
  </si>
  <si>
    <t>Alat  - alat rumah tangga dan Kebersihan</t>
  </si>
  <si>
    <t xml:space="preserve">Bahan Bakar Minyak/gas </t>
  </si>
  <si>
    <t>Operasional Kantor</t>
  </si>
  <si>
    <t>8.3</t>
  </si>
  <si>
    <t>Map tulang plastik</t>
  </si>
  <si>
    <t>Map Floder</t>
  </si>
  <si>
    <t>Buku agenda</t>
  </si>
  <si>
    <t>Pena Gel Besar</t>
  </si>
  <si>
    <t>Staples</t>
  </si>
  <si>
    <t>Isi staples</t>
  </si>
  <si>
    <t>Air minum</t>
  </si>
  <si>
    <t>Dus</t>
  </si>
  <si>
    <t>PN</t>
  </si>
  <si>
    <t>PELAKSANAAN PEMBANGUANAN DESA</t>
  </si>
  <si>
    <t>Petugas kebersihan makam</t>
  </si>
  <si>
    <t>Sewa Peralatan</t>
  </si>
  <si>
    <t>Tenda</t>
  </si>
  <si>
    <t>Sound Sistim</t>
  </si>
  <si>
    <t>Barang diberikan masyarakat</t>
  </si>
  <si>
    <t>set</t>
  </si>
  <si>
    <t>Wakil Ketua</t>
  </si>
  <si>
    <t>Dalam Kecamatan</t>
  </si>
  <si>
    <t>Kekabupaten</t>
  </si>
  <si>
    <t>Honorarium Ketua RT ( 16 Orang x 12 Bulan )</t>
  </si>
  <si>
    <r>
      <t xml:space="preserve">Kepala PAUD TK dan PAUDKB </t>
    </r>
    <r>
      <rPr>
        <sz val="9"/>
        <rFont val="Times New Roman"/>
        <family val="1"/>
      </rPr>
      <t>( 2 Org x 12 Bln )</t>
    </r>
  </si>
  <si>
    <r>
      <t xml:space="preserve">Guru PAUD KB </t>
    </r>
    <r>
      <rPr>
        <sz val="9"/>
        <rFont val="Times New Roman"/>
        <family val="1"/>
      </rPr>
      <t>( 5 Org x 12 Bln )</t>
    </r>
  </si>
  <si>
    <t>Penyelenggaraan lomba antar kewilayahan dan pengiriman kontingen dalam mengikuti lomba Desa</t>
  </si>
  <si>
    <t xml:space="preserve">Belanja Barang Perlengkapan </t>
  </si>
  <si>
    <t>Belanja Bahan/ Material</t>
  </si>
  <si>
    <t xml:space="preserve">Belanja Bendera/umbul umbul /spanduk </t>
  </si>
  <si>
    <t>Belanja Jasa sewa</t>
  </si>
  <si>
    <t>Belanja Jasa sewa Peralatan / Perlengkapan</t>
  </si>
  <si>
    <t>Air Minum</t>
  </si>
  <si>
    <t xml:space="preserve"> Makan Minum </t>
  </si>
  <si>
    <t>Bahan /Material</t>
  </si>
  <si>
    <t>Cat</t>
  </si>
  <si>
    <t>Kuas</t>
  </si>
  <si>
    <t>Umbul - umbul</t>
  </si>
  <si>
    <t>Bendera panjang</t>
  </si>
  <si>
    <t>Sewa</t>
  </si>
  <si>
    <t>dus</t>
  </si>
  <si>
    <t>Nasi kotak</t>
  </si>
  <si>
    <t>Biji</t>
  </si>
  <si>
    <t>PEMERINTAH DESA TANJUNG MULYA</t>
  </si>
  <si>
    <t>TANJUNG MULYA</t>
  </si>
  <si>
    <t>Penyelenggaraan Lomba antar kewilayahan dan pengiriman kontingen dalam mengikuti Lomba Desa</t>
  </si>
  <si>
    <t>Juli</t>
  </si>
  <si>
    <t>PENYELENGGARAAN PEMERINTAHAN DESA</t>
  </si>
  <si>
    <t>Belanja Jasa Sewa Peralatan/Perlengkapan</t>
  </si>
  <si>
    <t>Belanja Perjalana Dinas</t>
  </si>
  <si>
    <t>Belanja Perjalana Dinas Dalam Kabupaten/Kota</t>
  </si>
  <si>
    <t>PADES</t>
  </si>
  <si>
    <t>PD</t>
  </si>
  <si>
    <t>Pembinaan Pegawai sara Desa</t>
  </si>
  <si>
    <t>Pembinaan Lembaga Rukun Tetangga</t>
  </si>
  <si>
    <t>Penyelenggaraan PAUD/TK/Madrasya Non  formal Milik Desa</t>
  </si>
  <si>
    <t>Penyelenggaraan Posyandu ( Makan Tambahan, Kelas Ibu Hamil,Kelas Lamsia,Insentif Kader Posyandu)</t>
  </si>
  <si>
    <t>Belanja Barang dan Jasa yang diserahkan kepada masyarakat</t>
  </si>
  <si>
    <t>Pengadaan sarana prasarana posyandu</t>
  </si>
  <si>
    <t>Pembangunan Box/Slab Culvert dana Drainase</t>
  </si>
  <si>
    <t>Belanja Modal Prasarana Jalan</t>
  </si>
  <si>
    <t>Honorarium Guru Madrasyah</t>
  </si>
  <si>
    <t>Bubur kacang hijau</t>
  </si>
  <si>
    <t>PENYELENGGARAAN PEMERINTAH DESA</t>
  </si>
  <si>
    <t>PELAKSANAAN PEMBANGUAN DESA</t>
  </si>
  <si>
    <t>Pekerjaan Umum Dan Tata Ruang</t>
  </si>
  <si>
    <t xml:space="preserve"> Pembinaan Lembaga Rukun Tetangga</t>
  </si>
  <si>
    <t>90</t>
  </si>
  <si>
    <t>PAUD,TK</t>
  </si>
  <si>
    <t>Posyandu</t>
  </si>
  <si>
    <t>70 Meter</t>
  </si>
  <si>
    <t>Pembangunan dan pemeliharaan Draenase desa II</t>
  </si>
  <si>
    <t>14 Meter</t>
  </si>
  <si>
    <t>Pembangunan dan pemeliharaan jalan pemukiman desa I</t>
  </si>
  <si>
    <t>Pembangunan dan pemeliharaan jalan pemukiman desa II</t>
  </si>
  <si>
    <t>Pembangunan dan pemeliharaan jalan pemukiman desa III</t>
  </si>
  <si>
    <t>Memperlancar Kegiatan transportasi Masyarakat Dan Hasil Produksi Masyarakat</t>
  </si>
  <si>
    <t>Pembangunan dan pemeliharaan jalan pemukiman desa IV</t>
  </si>
  <si>
    <t>Pembangunan dan pemeliharaan jalan pemukiman desa V</t>
  </si>
  <si>
    <t>65 Meter</t>
  </si>
  <si>
    <t>Pembangunan dan pemeliharaan jalan pemukiman desa VI</t>
  </si>
  <si>
    <t>50 Meter</t>
  </si>
  <si>
    <t>Pembangunan dan pemeliharaan jalan pemukiman desa VII</t>
  </si>
  <si>
    <t>222 Meter</t>
  </si>
  <si>
    <t>6 Meter</t>
  </si>
  <si>
    <t>Pembangunan/Pemeliharaan box culvert Desa  II</t>
  </si>
  <si>
    <t>Pembangunan/Pemeliharaan box culvert Desa  III</t>
  </si>
  <si>
    <t>Pembangunan/Pemeliharaan box culvert Desa  IV</t>
  </si>
  <si>
    <t>Pembangunan/Pemeliharaan box culvert Desa  VII</t>
  </si>
  <si>
    <t>Pembangunan/Pemeliharaan box culvert Desa  VIII</t>
  </si>
  <si>
    <t>Pembangunan/Pemeliharaan box culvert Desa  IX</t>
  </si>
  <si>
    <t>Pembangunan/Pemeliharaan box culvert Desa  X</t>
  </si>
  <si>
    <t>2.14</t>
  </si>
  <si>
    <t>2.15</t>
  </si>
  <si>
    <t>2.16</t>
  </si>
  <si>
    <t>2.17</t>
  </si>
  <si>
    <t>2.18</t>
  </si>
  <si>
    <t>2.19</t>
  </si>
  <si>
    <t>2.20</t>
  </si>
  <si>
    <t>2.21</t>
  </si>
  <si>
    <t>2.22</t>
  </si>
  <si>
    <t>Penyelenggaraan lembaga Adat</t>
  </si>
  <si>
    <t>Pembangunan/Pemeliharaan box culvert Desa  V</t>
  </si>
  <si>
    <t>Pembangunan/Pemeliharaan box culvert Desa  VI</t>
  </si>
  <si>
    <t xml:space="preserve">Pembangunan/Pemeliharaan box culvert Desa I </t>
  </si>
  <si>
    <t>Belanja Pupuk / Obat- obatan pertanian</t>
  </si>
  <si>
    <t>Belanja barang perlengkapan</t>
  </si>
  <si>
    <t>Belanja perlengkapan alat tulis kantor dan benda pos</t>
  </si>
  <si>
    <t>KAUR Perencanaan</t>
  </si>
  <si>
    <t>RANCANGAN ANGGARAN BIAYA</t>
  </si>
  <si>
    <t>(RAB)</t>
  </si>
  <si>
    <t>Penyelenggaraan lembaga Kemasyarakatan Desa</t>
  </si>
  <si>
    <t>Makan Minum</t>
  </si>
  <si>
    <t>Sewa alat</t>
  </si>
  <si>
    <t>sneck</t>
  </si>
  <si>
    <t>bks</t>
  </si>
  <si>
    <t>ktk</t>
  </si>
  <si>
    <t>tropy</t>
  </si>
  <si>
    <t>bingkisan</t>
  </si>
  <si>
    <t xml:space="preserve">Honorarium </t>
  </si>
  <si>
    <t>ok</t>
  </si>
  <si>
    <t>Belanja barang konsumsi</t>
  </si>
  <si>
    <t>Belanja perlengkapan barang lainya</t>
  </si>
  <si>
    <t>Belanja jasa honorarium profesi</t>
  </si>
  <si>
    <t>Belanja Cetak dan penggadaan</t>
  </si>
  <si>
    <t>KEG</t>
  </si>
  <si>
    <t>8 Meter</t>
  </si>
  <si>
    <t>RT 10</t>
  </si>
  <si>
    <t>RT 14</t>
  </si>
  <si>
    <t>RT 15</t>
  </si>
  <si>
    <t>Pengelolaan Tanah kas Desa</t>
  </si>
  <si>
    <t>TKD</t>
  </si>
  <si>
    <t>Pembinaan Pegawai Sara'</t>
  </si>
  <si>
    <t>Juni</t>
  </si>
  <si>
    <t>Agustus</t>
  </si>
  <si>
    <t>Pembangunan dan pemeliharaan Draenase Desa I</t>
  </si>
  <si>
    <t>RT 16</t>
  </si>
  <si>
    <t>RT 03</t>
  </si>
  <si>
    <t>RT 09</t>
  </si>
  <si>
    <t xml:space="preserve">RT 10 </t>
  </si>
  <si>
    <t>Pembangunan Gedung sarana kantor Desa</t>
  </si>
  <si>
    <t>Belanja modal gedung ,bangunan atau taman</t>
  </si>
  <si>
    <t>Belanja modal upah</t>
  </si>
  <si>
    <t>Belanja modal bahan baku</t>
  </si>
  <si>
    <t>Penyertaan Modal ke BUMDES</t>
  </si>
  <si>
    <t>4.5</t>
  </si>
  <si>
    <t>Honor Tim Pelaksana</t>
  </si>
  <si>
    <t>MCK</t>
  </si>
  <si>
    <t>PAGAR</t>
  </si>
  <si>
    <t>RT 01 a</t>
  </si>
  <si>
    <t>RT 01 b</t>
  </si>
  <si>
    <t>Jalan 5</t>
  </si>
  <si>
    <t>Jalan 6</t>
  </si>
  <si>
    <t>jalan7</t>
  </si>
  <si>
    <t>Nama Kegiatan</t>
  </si>
  <si>
    <t>Modal</t>
  </si>
  <si>
    <t>sewa</t>
  </si>
  <si>
    <t>Honor</t>
  </si>
  <si>
    <t>Jumlah anggaran</t>
  </si>
  <si>
    <t>Gorong gorong desa 1</t>
  </si>
  <si>
    <t>Gorong gorong desa 2</t>
  </si>
  <si>
    <t>Gorong gorong desa 3</t>
  </si>
  <si>
    <t>Gorong gorong desa 4</t>
  </si>
  <si>
    <t>Gorong gorong desa 5</t>
  </si>
  <si>
    <t>Gorong gorong desa 6</t>
  </si>
  <si>
    <t>Gorong gorong desa 7</t>
  </si>
  <si>
    <t>Gorong gorong desa 8</t>
  </si>
  <si>
    <t>Gorong gorong desa 9</t>
  </si>
  <si>
    <t>Gorong gorong desa 10</t>
  </si>
  <si>
    <t>Drainase desa 1</t>
  </si>
  <si>
    <t>Drainase desa 2</t>
  </si>
  <si>
    <t>Penyertaan Modal</t>
  </si>
  <si>
    <t>Pembanguan Prasarana Kantor Desa</t>
  </si>
  <si>
    <t>Peringatan Hari Kemerdekan</t>
  </si>
  <si>
    <t>Pegawai sara'</t>
  </si>
  <si>
    <t>Pembinaan Karang Taruna</t>
  </si>
  <si>
    <t>Pembinaan lembaga Rukun Tetangga</t>
  </si>
  <si>
    <t>Pembangunan Pengerasan Jalan Desa</t>
  </si>
  <si>
    <t>DESA</t>
  </si>
  <si>
    <t>KECAMATAN</t>
  </si>
  <si>
    <t>KABUPATEN</t>
  </si>
  <si>
    <t>PROPINSI</t>
  </si>
  <si>
    <t>RENCANA ANGGARAN KAS DESA</t>
  </si>
  <si>
    <t>Penyertaan Modal Desa ke BUMDES</t>
  </si>
  <si>
    <t>ketua TPK</t>
  </si>
  <si>
    <t>Ok</t>
  </si>
  <si>
    <t>Exsavator</t>
  </si>
  <si>
    <t>Pembangunan Embung Desa</t>
  </si>
  <si>
    <t>RENCANA ANGGARAN BELANJA</t>
  </si>
  <si>
    <t>(  RAB )</t>
  </si>
  <si>
    <t>10-</t>
  </si>
  <si>
    <t>Tipex</t>
  </si>
  <si>
    <t>Pensil 2B</t>
  </si>
  <si>
    <t>DUST</t>
  </si>
  <si>
    <t>Sunlight</t>
  </si>
  <si>
    <t>Soklin lantai</t>
  </si>
  <si>
    <t>Ltr</t>
  </si>
  <si>
    <t>Pajak kendaraan dinas roda dua</t>
  </si>
  <si>
    <t>Perawatan kendaraan dinas roda dua</t>
  </si>
  <si>
    <t xml:space="preserve">Perawatan Kendaraan dinas roda dua </t>
  </si>
  <si>
    <t>9.1</t>
  </si>
  <si>
    <t>Sub Total 8</t>
  </si>
  <si>
    <t>Sub Total 9</t>
  </si>
  <si>
    <t xml:space="preserve">Belanja pemeliharaan </t>
  </si>
  <si>
    <t>Belanja pemeliharaan kendaraan bermotor</t>
  </si>
  <si>
    <t>BBM Gain Set</t>
  </si>
  <si>
    <t>10.1</t>
  </si>
  <si>
    <t>Belanja pakaian dinas/seragam/atribut</t>
  </si>
  <si>
    <t>pena Pilot</t>
  </si>
  <si>
    <t>Tep x</t>
  </si>
  <si>
    <t xml:space="preserve">Mistar </t>
  </si>
  <si>
    <t>buah</t>
  </si>
  <si>
    <t>kotak</t>
  </si>
  <si>
    <t>boox file</t>
  </si>
  <si>
    <t>Belanja jasa honorarium</t>
  </si>
  <si>
    <t>Balanja jasa honorarium tim yang melaksanakan kegiatan</t>
  </si>
  <si>
    <t>Mudin/Pemandi Jenazah</t>
  </si>
  <si>
    <t>Guru Madrasyah ( 4 Orang x 12 Bulan )</t>
  </si>
  <si>
    <t>Kader Kb ( 6 Org x 12 Bln )</t>
  </si>
  <si>
    <t>Pemegang Kekuasaan Pengelolaan Keuangan Desa</t>
  </si>
  <si>
    <t>1.31</t>
  </si>
  <si>
    <t>APBDES</t>
  </si>
  <si>
    <t>PRIBADI</t>
  </si>
  <si>
    <t>KADES</t>
  </si>
  <si>
    <t>PERANGKAT</t>
  </si>
  <si>
    <t>KCL</t>
  </si>
  <si>
    <t>Dolomit</t>
  </si>
  <si>
    <t>Racun Rumput</t>
  </si>
  <si>
    <t>Pupuk</t>
  </si>
  <si>
    <t xml:space="preserve">Urea </t>
  </si>
  <si>
    <t>karung</t>
  </si>
  <si>
    <t>liter</t>
  </si>
  <si>
    <t>Drainase desa 3</t>
  </si>
  <si>
    <t>Balanja jasa honorarium /Insentif Pelayanan Desa</t>
  </si>
  <si>
    <t>Embung Desa</t>
  </si>
  <si>
    <t>RT09</t>
  </si>
  <si>
    <t>Baju</t>
  </si>
  <si>
    <t>68,5 Meter</t>
  </si>
  <si>
    <t>134 Meter</t>
  </si>
  <si>
    <t>800 m3</t>
  </si>
  <si>
    <t>Belanja Jasa Perpanjangan ijin/Pajak</t>
  </si>
  <si>
    <t>Honorarium Stap</t>
  </si>
  <si>
    <t>11.1</t>
  </si>
  <si>
    <t>Belanja Barang yang diserahkan kepada Masyarakat</t>
  </si>
  <si>
    <t>Buah</t>
  </si>
  <si>
    <t>Bola Kaki</t>
  </si>
  <si>
    <t>Bola Voly</t>
  </si>
  <si>
    <t>Sampul jilid</t>
  </si>
  <si>
    <t>Pembolong kertas</t>
  </si>
  <si>
    <t>Binder klip sedang</t>
  </si>
  <si>
    <t>Binder klip kecil</t>
  </si>
  <si>
    <t>Binder klip besar</t>
  </si>
  <si>
    <t>Tinta printer</t>
  </si>
  <si>
    <t>Tinta printer serbuk</t>
  </si>
  <si>
    <t>Pisau cutter</t>
  </si>
  <si>
    <t>Lakban/Selotif</t>
  </si>
  <si>
    <t>Buku nota</t>
  </si>
  <si>
    <t>Flash disk</t>
  </si>
  <si>
    <t>Kertas HVS warna</t>
  </si>
  <si>
    <t>Plastik jilid</t>
  </si>
  <si>
    <t>Map golbi</t>
  </si>
  <si>
    <t>Pena gel Ink pen</t>
  </si>
  <si>
    <t>Amplop panjang</t>
  </si>
  <si>
    <t>Kotak</t>
  </si>
  <si>
    <t>Botol</t>
  </si>
  <si>
    <t>Bungkus</t>
  </si>
  <si>
    <t>T.A</t>
  </si>
  <si>
    <t>BBM motor dinas</t>
  </si>
  <si>
    <t>Belanja jasa pelayanan Desa</t>
  </si>
  <si>
    <t>Isi staples besar</t>
  </si>
  <si>
    <t>Isi staples kecil</t>
  </si>
  <si>
    <t>Perjalanan dinas dalam Kabupaten</t>
  </si>
  <si>
    <t>Gb</t>
  </si>
  <si>
    <t>Lampu</t>
  </si>
  <si>
    <t>Belanja peralatan mesin dan lainya</t>
  </si>
  <si>
    <t>Belanja Modal Peralatan Mesin Dan Lainya</t>
  </si>
  <si>
    <t>Belanja Modal peralatan mesin dan lainya</t>
  </si>
  <si>
    <t>PELAKSANAAN PEMBANGUNAN DESA</t>
  </si>
  <si>
    <t>ANGGARAN 2019
Rp.</t>
  </si>
  <si>
    <t>Perubahan</t>
  </si>
  <si>
    <t>Belanja barang cetak dan penggadaan</t>
  </si>
  <si>
    <t>Belanja uang saku</t>
  </si>
  <si>
    <t>Laptop</t>
  </si>
  <si>
    <t>Sarana dan prasarana</t>
  </si>
  <si>
    <t>Tikar pertumbuhan</t>
  </si>
  <si>
    <t>MD</t>
  </si>
  <si>
    <t>RT.04</t>
  </si>
  <si>
    <t>RT 11</t>
  </si>
  <si>
    <t>Terselenggaranya kegiatan Pemilihan anggota BPD</t>
  </si>
  <si>
    <t>Dukungan dan sosialisasi pelaksanaan pilkades,Pemilihan ka. Kewilayahan dan BPD</t>
  </si>
  <si>
    <t>TAHUN 2020</t>
  </si>
  <si>
    <t>TANJUNG MULIA</t>
  </si>
  <si>
    <t>Tanjung Mulia</t>
  </si>
  <si>
    <t>Tanjung Mulia,       September 2019</t>
  </si>
  <si>
    <t>BPP (Bantuan Prov)</t>
  </si>
  <si>
    <t>PBH (Bagi Hasil Pajak)</t>
  </si>
  <si>
    <t>Pembangunan gedung balai kemasyarakatan</t>
  </si>
  <si>
    <t>Kasi Pelayanan</t>
  </si>
  <si>
    <t>Timbangan duduk</t>
  </si>
  <si>
    <t>Timbangan gantung</t>
  </si>
  <si>
    <t>Peserta Pelatihan @ 15 Orang x 2 Hari</t>
  </si>
  <si>
    <t>Belanja jasa dan sewa</t>
  </si>
  <si>
    <t>Belanja jasa sewa peralatan/perlengkapan</t>
  </si>
  <si>
    <t>Belanja</t>
  </si>
  <si>
    <t>Pembangunan teralis Pintu dan Jendela TK Bhakti Mulia</t>
  </si>
  <si>
    <t>1.1.2</t>
  </si>
  <si>
    <t>Belanja modal gedung, Bangunan, Taman - Upah Tenaga Kerja</t>
  </si>
  <si>
    <t>1.1.2.1</t>
  </si>
  <si>
    <t>Upah Kerja</t>
  </si>
  <si>
    <t>1.1.3</t>
  </si>
  <si>
    <t>Belanja modal gedung, Bangunan, Taman - bahan baku material</t>
  </si>
  <si>
    <t>1.1.3.1</t>
  </si>
  <si>
    <t>Teralis Pintu</t>
  </si>
  <si>
    <t>Teralis Jendela</t>
  </si>
  <si>
    <t>Besi Teralis atas pintu</t>
  </si>
  <si>
    <t>1.1.3.2</t>
  </si>
  <si>
    <t>1.1.3.3</t>
  </si>
  <si>
    <t>1.2.2</t>
  </si>
  <si>
    <t>1.2.2.1</t>
  </si>
  <si>
    <t>1.2.3</t>
  </si>
  <si>
    <t>1.2.3.1</t>
  </si>
  <si>
    <t>1.2.3.2</t>
  </si>
  <si>
    <t>1.2.3.3</t>
  </si>
  <si>
    <t>Semen</t>
  </si>
  <si>
    <t>Pasir</t>
  </si>
  <si>
    <t>Koral</t>
  </si>
  <si>
    <t>Batu Bata</t>
  </si>
  <si>
    <t>Besi 8</t>
  </si>
  <si>
    <t>Besi 6</t>
  </si>
  <si>
    <t>Kawat ikat</t>
  </si>
  <si>
    <t>Papan</t>
  </si>
  <si>
    <t>Kasau</t>
  </si>
  <si>
    <t>Paku</t>
  </si>
  <si>
    <t>Benang</t>
  </si>
  <si>
    <t>Kanal C</t>
  </si>
  <si>
    <t>Besi reng</t>
  </si>
  <si>
    <t>Galvalum</t>
  </si>
  <si>
    <t>Baut</t>
  </si>
  <si>
    <t>Dyna bolt</t>
  </si>
  <si>
    <t>Tanah urug</t>
  </si>
  <si>
    <t>Pintu</t>
  </si>
  <si>
    <t>Ram</t>
  </si>
  <si>
    <t>1.2.3.4</t>
  </si>
  <si>
    <t>1.2.3.5</t>
  </si>
  <si>
    <t>1.2.3.6</t>
  </si>
  <si>
    <t>1.2.3.7</t>
  </si>
  <si>
    <t>1.2.3.8</t>
  </si>
  <si>
    <t>1.2.3.9</t>
  </si>
  <si>
    <t>1.2.3.10</t>
  </si>
  <si>
    <t>1.2.3.11</t>
  </si>
  <si>
    <t>1.2.3.12</t>
  </si>
  <si>
    <t>1.2.3.13</t>
  </si>
  <si>
    <t>1.2.3.14</t>
  </si>
  <si>
    <t>1.2.3.15</t>
  </si>
  <si>
    <t>1.2.3.16</t>
  </si>
  <si>
    <t>1.2.3.17</t>
  </si>
  <si>
    <t>1.2.3.18</t>
  </si>
  <si>
    <t>1.2.3.19</t>
  </si>
  <si>
    <t xml:space="preserve">Pembangunan Gedung Tempat Bermain </t>
  </si>
  <si>
    <t>Zak</t>
  </si>
  <si>
    <t>M3</t>
  </si>
  <si>
    <t>Btg</t>
  </si>
  <si>
    <t>Kg</t>
  </si>
  <si>
    <t>Keping</t>
  </si>
  <si>
    <t>Gulung</t>
  </si>
  <si>
    <t>1.2.1</t>
  </si>
  <si>
    <t>Belanja Modal Gedung, Bangunan, Taman Honor Pelaksana Kegiatan</t>
  </si>
  <si>
    <t>1.2.1.1</t>
  </si>
  <si>
    <t>1.2.1.2</t>
  </si>
  <si>
    <t>Honor Ketua TPK</t>
  </si>
  <si>
    <t>Honor Sekretaris TPK</t>
  </si>
  <si>
    <t>Honor Anggota TPK</t>
  </si>
  <si>
    <t>1.2.1.3</t>
  </si>
  <si>
    <t>: TANJUNG MULIA</t>
  </si>
  <si>
    <t>: BAHAR SELATAN</t>
  </si>
  <si>
    <t>No RAB</t>
  </si>
  <si>
    <t>: MUARO JAMBI</t>
  </si>
  <si>
    <t>: Pembinaan Kemasyarakatan Desa</t>
  </si>
  <si>
    <t>: JAMBI</t>
  </si>
  <si>
    <t>: Pelaksanaan Musabaqah Tilawatil Qur'an</t>
  </si>
  <si>
    <t>HARGA   SATUAN</t>
  </si>
  <si>
    <t>JUMLAH  TOTAL</t>
  </si>
  <si>
    <t xml:space="preserve">JUMLAH  </t>
  </si>
  <si>
    <t>e=bxd</t>
  </si>
  <si>
    <t>Pembuatan Spanduk</t>
  </si>
  <si>
    <t>Lbr</t>
  </si>
  <si>
    <t>Sub Total ( 1 )</t>
  </si>
  <si>
    <t>Makanan dan minuman</t>
  </si>
  <si>
    <t>Arthes</t>
  </si>
  <si>
    <t>Dust</t>
  </si>
  <si>
    <t>Sub Total ( 2 )</t>
  </si>
  <si>
    <t>Barang untuk diberikan kepada masyarakat</t>
  </si>
  <si>
    <t xml:space="preserve"> Cat minyak</t>
  </si>
  <si>
    <t>Klg</t>
  </si>
  <si>
    <t>Set</t>
  </si>
  <si>
    <t>Tiner</t>
  </si>
  <si>
    <t>Paku kecil</t>
  </si>
  <si>
    <t>1/2</t>
  </si>
  <si>
    <t>Kertas karton</t>
  </si>
  <si>
    <t>Lem</t>
  </si>
  <si>
    <t>Btl</t>
  </si>
  <si>
    <t>Paku pitnes</t>
  </si>
  <si>
    <t>Sub Total ( 3 )</t>
  </si>
  <si>
    <t>Pakaian Seragam lainya</t>
  </si>
  <si>
    <t>Baju Kafillah dan Official</t>
  </si>
  <si>
    <t>lbr</t>
  </si>
  <si>
    <t>Sub Total ( 4 )</t>
  </si>
  <si>
    <t xml:space="preserve">Uang saku </t>
  </si>
  <si>
    <t>Official dan Kafillah</t>
  </si>
  <si>
    <t>Org</t>
  </si>
  <si>
    <t>Sub Total ( 5 )</t>
  </si>
  <si>
    <t>Pembangunan/pemeliharaan sarpras air bersih desa</t>
  </si>
  <si>
    <t>Pipa PVC</t>
  </si>
  <si>
    <t>Elbow</t>
  </si>
  <si>
    <t>Shock</t>
  </si>
  <si>
    <t>Lem Paralon</t>
  </si>
  <si>
    <t>Meter</t>
  </si>
  <si>
    <t>Pembangunan/Pemeliharaan sarana prasarana air bersih desa</t>
  </si>
  <si>
    <t>: 3.9</t>
  </si>
  <si>
    <t>RT 10/13</t>
  </si>
  <si>
    <t>Tim Penyusun RKP</t>
  </si>
  <si>
    <t>Belanja barang yang diberikan kepada masyarakat</t>
  </si>
  <si>
    <t>TAHUN ANGGARAN 2020</t>
  </si>
  <si>
    <t>Penyelenggaraan pemilihan anggota BPD</t>
  </si>
  <si>
    <t>Peningkatan kapasitas Kelembagaan pemuda</t>
  </si>
  <si>
    <t>Tanjung Mulya,        Oktober 2019</t>
  </si>
  <si>
    <t>Pengiriman grup kesenian dan budaya (Tkt Kec/Kab/Prov)</t>
  </si>
  <si>
    <t>Kepala Desa Tanjung Mulia</t>
  </si>
  <si>
    <t>RANCANGAN ANGGARAN PENDAPATAN DAN BELANJA DESA</t>
  </si>
  <si>
    <t>Penghasilan Tetap Sekretaris Desa</t>
  </si>
  <si>
    <t>7.3</t>
  </si>
  <si>
    <t>7.4</t>
  </si>
  <si>
    <t>Dukungan dan sosialiasai pelaksanaan pilkades, pemilihan kepala kewilayahan dan BPD</t>
  </si>
  <si>
    <t>RENCANA KEGIATAN DAN ANGGARAN</t>
  </si>
  <si>
    <t>TANJUNG BARU</t>
  </si>
  <si>
    <t>Kode Rekening</t>
  </si>
  <si>
    <t>Uraian</t>
  </si>
  <si>
    <t>Rencana Penarikan Anggaran ( Rp )</t>
  </si>
  <si>
    <t>JUMLAH      (RP)</t>
  </si>
  <si>
    <t>Februari</t>
  </si>
  <si>
    <t>April</t>
  </si>
  <si>
    <t>Mei</t>
  </si>
  <si>
    <t>Oktober</t>
  </si>
  <si>
    <t>Rencana Belanja (Rp)</t>
  </si>
  <si>
    <t>Tanjung Baru , 30 Desember 2018</t>
  </si>
  <si>
    <t>Diverifikasi oleh:</t>
  </si>
  <si>
    <t>Sekretaris Desa,</t>
  </si>
  <si>
    <t>Disetujui oleh:</t>
  </si>
  <si>
    <t>PENERIMAAN / PENGELUARAN</t>
  </si>
  <si>
    <t>JUMLAH              (RP)</t>
  </si>
  <si>
    <t>KAUR Keuangan</t>
  </si>
  <si>
    <t>Tanjung Mulia, 30 Desember 2019</t>
  </si>
  <si>
    <t>1 Tahun</t>
  </si>
  <si>
    <t xml:space="preserve">Jaminan Sosial Kesehatan  Sekretaris Desa </t>
  </si>
  <si>
    <t xml:space="preserve">Jaminan Sosial Ketenagakerjaan Sekretaris Desa </t>
  </si>
  <si>
    <t>BPJS KESEHATAN</t>
  </si>
  <si>
    <t>GAJI</t>
  </si>
  <si>
    <t>PEMBULATAN</t>
  </si>
  <si>
    <t>SEKDES</t>
  </si>
  <si>
    <t>BPJS KETENAGAKERJAAN</t>
  </si>
  <si>
    <t>P E N D A P A T A N</t>
  </si>
  <si>
    <t>DDs</t>
  </si>
  <si>
    <t>PDRD</t>
  </si>
  <si>
    <t xml:space="preserve">BUNGA </t>
  </si>
  <si>
    <t>A D D</t>
  </si>
  <si>
    <t>PENGELUARAN</t>
  </si>
  <si>
    <t>SISA</t>
  </si>
  <si>
    <t>PAGU</t>
  </si>
  <si>
    <t>SEBELUM</t>
  </si>
  <si>
    <t xml:space="preserve">SESUDAH </t>
  </si>
  <si>
    <t>BERTAMBAH / BERKURANG</t>
  </si>
  <si>
    <t>SURPLUS</t>
  </si>
  <si>
    <t>BANK</t>
  </si>
  <si>
    <t>D A N A  D E S A</t>
  </si>
  <si>
    <t>P A D</t>
  </si>
  <si>
    <t>P B H</t>
  </si>
  <si>
    <t>P D R D</t>
  </si>
  <si>
    <t>B U N G A B A N K</t>
  </si>
  <si>
    <t>BUNGA</t>
  </si>
  <si>
    <t>PEMBIAYAAN</t>
  </si>
  <si>
    <t>Pakaian seragam lainnya</t>
  </si>
  <si>
    <t>Baju Teluk Belango</t>
  </si>
  <si>
    <t>Pembelian bahan tambahan racun rumput</t>
  </si>
  <si>
    <t>Monitor 70 : 30</t>
  </si>
  <si>
    <t>Jumlah Pendapatan - BKP</t>
  </si>
  <si>
    <t>Jml Pengeluaran Untuk Lima Kegiatan 30 %</t>
  </si>
  <si>
    <t>Makan minum kegiatan</t>
  </si>
  <si>
    <t>Aqua</t>
  </si>
  <si>
    <t>Alat Tulis Kantor</t>
  </si>
  <si>
    <t>Map Ketras</t>
  </si>
  <si>
    <t>Tinta Printer</t>
  </si>
  <si>
    <t>Lakban</t>
  </si>
  <si>
    <t>Klip Kertas</t>
  </si>
  <si>
    <t>Isi Staples</t>
  </si>
  <si>
    <t>Karton</t>
  </si>
  <si>
    <t>Map Tulang</t>
  </si>
  <si>
    <t>Lembar</t>
  </si>
  <si>
    <t>Belanja Cetak Dan Penggandaan</t>
  </si>
  <si>
    <t>Foto Copy</t>
  </si>
  <si>
    <t>Honorarium Pelaksana Pemilihan</t>
  </si>
  <si>
    <t>Belanja alat tulis kantor</t>
  </si>
  <si>
    <t>Belanja Cetak dan Penggandaan</t>
  </si>
  <si>
    <t>Belanja Honorarium</t>
  </si>
  <si>
    <t>Belanja Honorarium tim yang melaksanakan kegiatan</t>
  </si>
  <si>
    <t>kertas A4</t>
  </si>
  <si>
    <t>Belanja Modal gedung, bangunan dan taman</t>
  </si>
  <si>
    <t>Belanja Modal gedung, bangunan dan taman- Upah Tenaga kerja</t>
  </si>
  <si>
    <t>Belanja Modal gedung, bangunan dan taman- Bahan baku/material</t>
  </si>
  <si>
    <t>Belanja Peralatan Komputer</t>
  </si>
  <si>
    <t>Printer Epson L120</t>
  </si>
  <si>
    <t>Belanja Uang Saku</t>
  </si>
  <si>
    <t>Uang saku pendamping jambore PKK</t>
  </si>
  <si>
    <t>Router Wifi</t>
  </si>
  <si>
    <t>loo</t>
  </si>
  <si>
    <t xml:space="preserve">o </t>
  </si>
  <si>
    <t>Pembangunan gedung sarana olah raga desa</t>
  </si>
  <si>
    <t>Jaminan Kesehatan Sekretaris Desa</t>
  </si>
  <si>
    <t>Jaminan Ketenagakerjaan Sekretaris Desa</t>
  </si>
  <si>
    <t>Penanggung jawab kegiatan</t>
  </si>
  <si>
    <t>Pelet</t>
  </si>
  <si>
    <t>Bibit Ikan lele</t>
  </si>
  <si>
    <t>Ekor</t>
  </si>
  <si>
    <t>Terpal Ukuran 8 x 6 Meter</t>
  </si>
  <si>
    <t>Ember</t>
  </si>
  <si>
    <t>Kayu kasau Ukuran 6 x 6 Cm</t>
  </si>
  <si>
    <t>Jerigen</t>
  </si>
  <si>
    <t>Corong</t>
  </si>
  <si>
    <t>Kertas HVS A4</t>
  </si>
  <si>
    <t>Atk</t>
  </si>
  <si>
    <t>Uang saku</t>
  </si>
  <si>
    <t>Makan Minum 25 Org</t>
  </si>
  <si>
    <t xml:space="preserve">Air Minum </t>
  </si>
  <si>
    <t>Kertas HVS F4</t>
  </si>
  <si>
    <t>Map Kertas</t>
  </si>
  <si>
    <t>Harga satuan</t>
  </si>
  <si>
    <t>Total</t>
  </si>
  <si>
    <t>Map Biasa</t>
  </si>
  <si>
    <t>Tunjangan Hari Raya</t>
  </si>
  <si>
    <t>Tunjangan Hari Raya Kepala Desa</t>
  </si>
  <si>
    <t>Tunjangan Hari Raya Perangkat Desa</t>
  </si>
  <si>
    <t>1 Paket</t>
  </si>
  <si>
    <t>Penyediaan Operasional Pemerintah Desa (ATK, Honor PKPKD, PPKD Dll)</t>
  </si>
  <si>
    <t>Pengelolaan/pemeliharaan tanah kas desa</t>
  </si>
  <si>
    <t>Penyelenggaraan PAUD/TPA/TKA/TPQ/Madrasah Non formal milik desa (Honor,pakaian dll)</t>
  </si>
  <si>
    <t>Penyelenggaraan POSYANDU (Mkn tambahan, Kelas Bumil, Lansia, Insentif)</t>
  </si>
  <si>
    <t>Pembangunan/rehabilitasi/peningkatan sarana dan prasarana kepemudaan dan olah raga milik desa</t>
  </si>
  <si>
    <t>PEMERINTAH DESA TANJUNG MULIA</t>
  </si>
  <si>
    <t>Bimtek/Pelatihan/Pengenalan TTG Untuk Perikanan Darat/Nelayan</t>
  </si>
  <si>
    <t>Kelautan dan perikanan</t>
  </si>
  <si>
    <t>3.10</t>
  </si>
  <si>
    <t>3.11</t>
  </si>
  <si>
    <t>dd</t>
  </si>
  <si>
    <t>Penanggulangan Bencana, Keadaan Darurat, dan Mendesak Desa</t>
  </si>
  <si>
    <t>Bantuan Langsung Tunai (BLT) Dana Desa</t>
  </si>
  <si>
    <t>3 Bulan</t>
  </si>
  <si>
    <t>Jumlah Per Bidang 6)</t>
  </si>
  <si>
    <t>Pengadaan bahan cairan disinvektan</t>
  </si>
  <si>
    <t>Pengadaan Alat Pelindung Diri</t>
  </si>
  <si>
    <t>Masker Kain</t>
  </si>
  <si>
    <t>Pengadaan Alat</t>
  </si>
  <si>
    <t>Alat Semprot (Sprayer)</t>
  </si>
  <si>
    <t>Pengadaan Sarana CTPS ( Cuci Tangan Pakai Sabun)</t>
  </si>
  <si>
    <t>Banner Kriteria Penduduk Penerima BLT Desa</t>
  </si>
  <si>
    <t>Bahan Pemasangan Spanduk</t>
  </si>
  <si>
    <t>Hand Sanitezer</t>
  </si>
  <si>
    <t>Besi L</t>
  </si>
  <si>
    <t>Pipa / Paralon 0,5"</t>
  </si>
  <si>
    <t>Keran Air</t>
  </si>
  <si>
    <t>4.6</t>
  </si>
  <si>
    <t>Sambungan "L" 0,5"</t>
  </si>
  <si>
    <t>Sambungan "T" 0,5"</t>
  </si>
  <si>
    <t>Lem Pipa</t>
  </si>
  <si>
    <t>4.7</t>
  </si>
  <si>
    <t>Sambungan Drat Pipa</t>
  </si>
  <si>
    <t>4.8</t>
  </si>
  <si>
    <t>Batang</t>
  </si>
  <si>
    <t>Jas Hujan</t>
  </si>
  <si>
    <t>Sepatu Boot</t>
  </si>
  <si>
    <t>Kaca Mata Semprot</t>
  </si>
  <si>
    <t>M2</t>
  </si>
  <si>
    <t>Ruber Hand Gloves</t>
  </si>
  <si>
    <t>Pengadaan Vitamin dan Obat-Obatan</t>
  </si>
  <si>
    <t>Vitamin C</t>
  </si>
  <si>
    <t>Vitamin E</t>
  </si>
  <si>
    <t>Total Biaya</t>
  </si>
  <si>
    <t>Kayu Kaso</t>
  </si>
  <si>
    <t>Pipa 2"</t>
  </si>
  <si>
    <t>4.9</t>
  </si>
  <si>
    <t>Westafel Stainless</t>
  </si>
  <si>
    <t>4.10</t>
  </si>
  <si>
    <t>Baut 10</t>
  </si>
  <si>
    <t>4.11</t>
  </si>
  <si>
    <t>Drum 200 liter</t>
  </si>
  <si>
    <t>Pasang</t>
  </si>
  <si>
    <t>Cairan Wipol 800 ml</t>
  </si>
  <si>
    <t>Sabun cair 800 ml</t>
  </si>
  <si>
    <t xml:space="preserve">Mengetahui </t>
  </si>
  <si>
    <t>TIRTONADI</t>
  </si>
  <si>
    <t>Tanjung Mulia,       April 2020</t>
  </si>
  <si>
    <t>TIM Penyusun RKPDes</t>
  </si>
  <si>
    <t xml:space="preserve">  Ketua</t>
  </si>
  <si>
    <t>UJANG RAHMAT HIDAYAT</t>
  </si>
  <si>
    <t>Alat Pengukur Suhu / Infrared Termometer</t>
  </si>
  <si>
    <t>Box</t>
  </si>
  <si>
    <t>Cairan Byclean 500 ml</t>
  </si>
  <si>
    <t>PENANGGULANGAN BENCANA ALAM</t>
  </si>
  <si>
    <t>PBA</t>
  </si>
  <si>
    <t>SETELAH</t>
  </si>
  <si>
    <t>Setelah Perubahan</t>
  </si>
  <si>
    <t>Sebelum Perubahan</t>
  </si>
  <si>
    <t>No. Rab</t>
  </si>
  <si>
    <t>: 1.1</t>
  </si>
  <si>
    <t>: Penyelenggaraan Pemerintah Desa</t>
  </si>
  <si>
    <t>: Penyediaan Penghasilan Tetap Dan Tunjangan Kepala Desa</t>
  </si>
  <si>
    <t>LEBIH / KURANG</t>
  </si>
  <si>
    <t>: 1.2</t>
  </si>
  <si>
    <t>: Penyediaan Penghasilan tetap dan Perangkat Desa</t>
  </si>
  <si>
    <t>Kurang/ Lebih (Rp.)</t>
  </si>
  <si>
    <t>11.2</t>
  </si>
  <si>
    <t>11.3</t>
  </si>
  <si>
    <t>12.1</t>
  </si>
  <si>
    <t>No. RAB</t>
  </si>
  <si>
    <t>: 1.4</t>
  </si>
  <si>
    <t>: Penyediaan Operasional Pemerintah Desa (ATK, Honor PKPKD, PPKD, DLL)</t>
  </si>
  <si>
    <t>Lebih / Kurang</t>
  </si>
  <si>
    <t>: 1.5</t>
  </si>
  <si>
    <t>: Penyediaan Tunjangan BPD</t>
  </si>
  <si>
    <t>Lebih / Kurang (Rp.)</t>
  </si>
  <si>
    <t>: 1.6</t>
  </si>
  <si>
    <t>: Penyediaan Operasional BPD (Rapat, ATK, Makan Minum, Pakaian Seragam )</t>
  </si>
  <si>
    <t>Seletah Perubahan</t>
  </si>
  <si>
    <t xml:space="preserve">No. </t>
  </si>
  <si>
    <t xml:space="preserve">No. Rab </t>
  </si>
  <si>
    <t>: 1.9</t>
  </si>
  <si>
    <t>: Penyelenggaraan Musyawarah Perencanaan Desa / Pembahasan APBDes</t>
  </si>
  <si>
    <t>lebih / Kurang (Rp.)</t>
  </si>
  <si>
    <t>Kurang / Lebih (Rp.)</t>
  </si>
  <si>
    <t>: 3.3</t>
  </si>
  <si>
    <t>: Pembinaan wawasan kebangsaan (HUT RI)</t>
  </si>
  <si>
    <t>Lebih / Kurang (Rp,)</t>
  </si>
  <si>
    <t>: 1.12</t>
  </si>
  <si>
    <t>: Dukungan dan sosialisasi pelaksanaan pilkades, Pemilhan Kepala Kewilayahan dan BPD</t>
  </si>
  <si>
    <t>SEBELUM PERUBAHAN</t>
  </si>
  <si>
    <t>SETELAH PERUBAHAN</t>
  </si>
  <si>
    <t>Siltap Kades</t>
  </si>
  <si>
    <t>Siltap Perangkat</t>
  </si>
  <si>
    <t>Op Kantor</t>
  </si>
  <si>
    <t>Op BPD</t>
  </si>
  <si>
    <t>Penyelenggaraan Musdes</t>
  </si>
  <si>
    <t>Honor Tim RKP</t>
  </si>
  <si>
    <t>Pemilihan BPD</t>
  </si>
  <si>
    <t>Penyelenggaraan STQ</t>
  </si>
  <si>
    <t>Pembinaan Karang Taruna (Bola Voli dan bola kaki)</t>
  </si>
  <si>
    <t>OP PKK</t>
  </si>
  <si>
    <t>Urian</t>
  </si>
  <si>
    <t>Jumlah Pengurangan</t>
  </si>
  <si>
    <t>: 1.10</t>
  </si>
  <si>
    <t xml:space="preserve">Kegiatan </t>
  </si>
  <si>
    <t>: Penyusunan dokumen Perencanaan Desa (RPJM/RKPDes Dll)</t>
  </si>
  <si>
    <t>Kurang/Lebih</t>
  </si>
  <si>
    <t>Sub Total 10</t>
  </si>
  <si>
    <t>Sub Total 11</t>
  </si>
  <si>
    <t>Sub Total 12</t>
  </si>
  <si>
    <t>Sub Total 13</t>
  </si>
  <si>
    <t>Pengadaan Tiang Besi Baleho Apbdes</t>
  </si>
  <si>
    <t>Tiang Besi Baleho APBDes</t>
  </si>
  <si>
    <t>Pengadaan tiang baleho APBDes</t>
  </si>
  <si>
    <t>Seterlah Perubahan</t>
  </si>
  <si>
    <t>Nominal Pengurangan</t>
  </si>
  <si>
    <t>Jumlah total pengurangan Kegiatan Bersumber Dari  ADD</t>
  </si>
  <si>
    <t>Jumlah Pengurangan pagu ADD</t>
  </si>
  <si>
    <t xml:space="preserve">RINCIAN PENGURANGAN DANA KEGIATAN BERSUMBER DARI ADD </t>
  </si>
  <si>
    <t>OP BPD</t>
  </si>
  <si>
    <t>Silpa Add Sampai tahun 2019</t>
  </si>
  <si>
    <t>Bgks</t>
  </si>
  <si>
    <t>Pelatihan Kades</t>
  </si>
  <si>
    <t>Pelatihan Perangkat</t>
  </si>
  <si>
    <t>Pelatihan UMKM</t>
  </si>
  <si>
    <t>PERUBAHAN RENCANA KERJA PEMERINTAH DESA (RKP-DESA)</t>
  </si>
  <si>
    <t>Pemasangan Pipanisasi Ke rumah warga</t>
  </si>
  <si>
    <t>200 Meter</t>
  </si>
  <si>
    <t>Belanja modal</t>
  </si>
  <si>
    <t>Belanja Modal pembangunan/pemeliharaan sarana prasarana air</t>
  </si>
  <si>
    <t>Banner sosialisasi pencegahan wabah penyakit</t>
  </si>
  <si>
    <t>Bantuan Langsung Tunai</t>
  </si>
  <si>
    <t>BLT Dana Desa</t>
  </si>
  <si>
    <t>Belanja tak terduga</t>
  </si>
  <si>
    <t>Keadaan Mendesak Desa</t>
  </si>
  <si>
    <t>Tanjung Mulia, 11 Mei  2020</t>
  </si>
  <si>
    <t>Perangakat Desa</t>
  </si>
  <si>
    <t>Kepala Desa Dan Perangkat Desa</t>
  </si>
  <si>
    <t>RT</t>
  </si>
  <si>
    <t>Tim Pengelola Aset Desa</t>
  </si>
  <si>
    <t>Tim Pelaksana</t>
  </si>
  <si>
    <t>Tanah Kas Desa</t>
  </si>
  <si>
    <t xml:space="preserve">Guru Paud </t>
  </si>
  <si>
    <t>Masyarakat dan Kader Posyandu</t>
  </si>
  <si>
    <t>Masyarakat desa</t>
  </si>
  <si>
    <t>Linmas</t>
  </si>
  <si>
    <t>Petugas keagamaan dan Syara' Desa</t>
  </si>
  <si>
    <t>Masyarakat Desa</t>
  </si>
  <si>
    <t>Lembaga adat</t>
  </si>
  <si>
    <t>Lembaga kemasyarakatan desa</t>
  </si>
  <si>
    <t>Sebelum</t>
  </si>
  <si>
    <t>Sesudah</t>
  </si>
  <si>
    <t>RENCANA KERJA PEMERINTAH DESA (RKP-DESA)</t>
  </si>
  <si>
    <t>Penyediaan Operasional BPD  (Rapat, ATK, Makan Minum, Pakaian seragam, Listrik Dll)</t>
  </si>
  <si>
    <t>Pembangunan/rehabilitasi/peningkatan gedung/prasarana kantor desa</t>
  </si>
  <si>
    <t>Kelancaran Pelayanan</t>
  </si>
  <si>
    <t>Penyelenggaraan Musyawarah Perencanaan Desa/Pembahasan APBDes (Reguler)</t>
  </si>
  <si>
    <t>Tersusunnya Perencanaan Desa</t>
  </si>
  <si>
    <t>Penyusunan Dokumen Perencanaan Desa (RPJM/RKPDes Dll)</t>
  </si>
  <si>
    <t>3 Bln</t>
  </si>
  <si>
    <t>Tersusunnya RKPDes/APBDes</t>
  </si>
  <si>
    <t>penyelenggaraan Wawasan kebangsaan</t>
  </si>
  <si>
    <t>Pembinaan Karang Taruna/Kepemudaan/Klub Olah Raga Tinkgat Desa</t>
  </si>
  <si>
    <t>Karang Taruna</t>
  </si>
  <si>
    <t>Pengiriman kontingen grup kesenian dan kebudayaan (STQ)</t>
  </si>
  <si>
    <t>Desa</t>
  </si>
  <si>
    <t>Sadaran / Manfaat</t>
  </si>
  <si>
    <t>Masyarakat dan Guru PAUD</t>
  </si>
  <si>
    <t>Waktu Pelaksanan</t>
  </si>
  <si>
    <t>Pembangunan dan pemeilharaan jalan pemukiman desa I</t>
  </si>
  <si>
    <t>RT. 01</t>
  </si>
  <si>
    <t>RT. 06</t>
  </si>
  <si>
    <t>55 Meter</t>
  </si>
  <si>
    <t>Pengadaan sarana air bersih Desa</t>
  </si>
  <si>
    <t>Peningkatan Kapasitas Kepala Desa</t>
  </si>
  <si>
    <t>Peningkatan Kapasiatas Perangakat Desa</t>
  </si>
  <si>
    <t>Lain-lain Sub Bidang Koperasi, Usaha Mikro kecil menengah (UMKM)</t>
  </si>
  <si>
    <t>Lebih/Kurang</t>
  </si>
  <si>
    <t>Kerjasama antar Desa</t>
  </si>
  <si>
    <t>Kerja Sama Pihak Ketiga</t>
  </si>
  <si>
    <t>Pola Kegiatan</t>
  </si>
  <si>
    <t>Kasi Pemerintahan</t>
  </si>
  <si>
    <t>Kaur Umum</t>
  </si>
  <si>
    <t>Kasi Kesra</t>
  </si>
  <si>
    <t>Kaur Perencanaan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</si>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</sst>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(* #,##0_);_(* \(#,##0\);_(* &quot;-&quot;_);_(@_)"/>
    <numFmt numFmtId="43" formatCode="_(* #,##0.00_);_(* \(#,##0.00\);_(* &quot;-&quot;??_);_(@_)"/>
    <numFmt numFmtId="164" formatCode="_(&quot;Rp&quot;* #,##0_);_(&quot;Rp&quot;* \(#,##0\);_(&quot;Rp&quot;* &quot;-&quot;_);_(@_)"/>
    <numFmt numFmtId="165" formatCode="_(* #,##0_);_(* \(#,##0\);_(* &quot;-&quot;??_);_(@_)"/>
    <numFmt numFmtId="166" formatCode="_([$Rp-421]* #,##0_);_([$Rp-421]* \(#,##0\);_([$Rp-421]* &quot;-&quot;_);_(@_)"/>
    <numFmt numFmtId="167" formatCode="_(* #,##0.00_);_(* \(#,##0.00\);_(* &quot;-&quot;_);_(@_)"/>
    <numFmt numFmtId="168" formatCode="&quot;Rp&quot;#,##0"/>
    <numFmt numFmtId="169" formatCode="0\ &quot;Meter&quot;"/>
    <numFmt numFmtId="170" formatCode="0."/>
    <numFmt numFmtId="171" formatCode="0.0%"/>
    <numFmt numFmtId="172" formatCode=";;;"/>
    <numFmt numFmtId="173" formatCode="_-* #,##0_-;\-* #,##0_-;_-* &quot;-&quot;_-;_-@_-"/>
    <numFmt numFmtId="174" formatCode="&quot;Rp&quot;\.\ \ \ \ 0"/>
    <numFmt numFmtId="175" formatCode="#,##0;\-#,##0"/>
    <numFmt numFmtId="176" formatCode="hh:mm"/>
  </numFmts>
  <fonts count="156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theme="1"/>
      <name val="Bookman Old Style"/>
      <family val="1"/>
    </font>
    <font>
      <sz val="10"/>
      <name val="Arial"/>
      <family val="2"/>
    </font>
    <font>
      <b/>
      <sz val="12"/>
      <color theme="1"/>
      <name val="Bookman Old Style"/>
      <family val="1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 tint="-0.34998626667073579"/>
      <name val="Bookman Old Style"/>
      <family val="1"/>
    </font>
    <font>
      <b/>
      <sz val="12"/>
      <color theme="0" tint="-0.34998626667073579"/>
      <name val="Bookman Old Style"/>
      <family val="1"/>
    </font>
    <font>
      <b/>
      <sz val="12"/>
      <name val="Bookman Old Style"/>
      <family val="1"/>
    </font>
    <font>
      <sz val="12"/>
      <name val="Bookman Old Style"/>
      <family val="1"/>
    </font>
    <font>
      <i/>
      <sz val="12"/>
      <name val="Bookman Old Style"/>
      <family val="1"/>
    </font>
    <font>
      <i/>
      <sz val="12"/>
      <color rgb="FFC00000"/>
      <name val="Bookman Old Style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0"/>
      <name val="Times New Roman"/>
      <family val="1"/>
    </font>
    <font>
      <b/>
      <u/>
      <sz val="1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Bookman Old Style"/>
      <family val="1"/>
    </font>
    <font>
      <sz val="9"/>
      <name val="Times New Roman"/>
      <family val="1"/>
    </font>
    <font>
      <sz val="12"/>
      <name val="Calibri"/>
      <family val="2"/>
    </font>
    <font>
      <sz val="11"/>
      <name val="Calibri"/>
      <family val="2"/>
    </font>
    <font>
      <sz val="10"/>
      <name val="Bookman Old Style"/>
      <family val="1"/>
    </font>
    <font>
      <sz val="9"/>
      <color theme="1"/>
      <name val="Bookman Old Style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b/>
      <u/>
      <sz val="10"/>
      <color theme="1"/>
      <name val="Times New Roman"/>
      <family val="1"/>
    </font>
    <font>
      <b/>
      <sz val="12"/>
      <color theme="0"/>
      <name val="Bookman Old Style"/>
      <family val="1"/>
    </font>
    <font>
      <b/>
      <sz val="12"/>
      <color rgb="FFFFFF00"/>
      <name val="Bookman Old Style"/>
      <family val="1"/>
    </font>
    <font>
      <b/>
      <sz val="9"/>
      <color theme="1"/>
      <name val="Bookman Old Style"/>
      <family val="1"/>
    </font>
    <font>
      <sz val="12"/>
      <color rgb="FFFF0000"/>
      <name val="Bookman Old Style"/>
      <family val="1"/>
    </font>
    <font>
      <sz val="10"/>
      <color theme="1"/>
      <name val="Bookman Old Style"/>
      <family val="1"/>
    </font>
    <font>
      <sz val="11"/>
      <name val="Bookman Old Style"/>
      <family val="1"/>
    </font>
    <font>
      <b/>
      <sz val="11"/>
      <name val="Calibri"/>
      <family val="2"/>
      <scheme val="minor"/>
    </font>
    <font>
      <b/>
      <sz val="14"/>
      <name val="Bookman Old Style"/>
      <family val="1"/>
    </font>
    <font>
      <sz val="11"/>
      <color theme="1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b/>
      <u/>
      <sz val="10"/>
      <name val="Calibri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u/>
      <sz val="1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0"/>
      <name val="Calibri"/>
      <family val="2"/>
    </font>
    <font>
      <sz val="12"/>
      <color theme="1"/>
      <name val="Calibri"/>
      <family val="2"/>
    </font>
    <font>
      <sz val="8"/>
      <color theme="1"/>
      <name val="Calibri"/>
      <family val="2"/>
    </font>
    <font>
      <sz val="11"/>
      <color indexed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Arial"/>
      <family val="2"/>
    </font>
    <font>
      <sz val="12"/>
      <color theme="0"/>
      <name val="Bookman Old Style"/>
      <family val="1"/>
    </font>
    <font>
      <sz val="14"/>
      <color theme="1"/>
      <name val="Bookman Old Style"/>
      <family val="1"/>
    </font>
    <font>
      <b/>
      <sz val="14"/>
      <color theme="1"/>
      <name val="Bookman Old Style"/>
      <family val="1"/>
    </font>
    <font>
      <b/>
      <sz val="11"/>
      <color theme="1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rgb="FFFF0000"/>
      <name val="Bookman Old Style"/>
      <family val="1"/>
    </font>
    <font>
      <sz val="9"/>
      <name val="Calibri"/>
      <family val="2"/>
      <scheme val="minor"/>
    </font>
    <font>
      <sz val="11"/>
      <name val="Cambria"/>
      <family val="1"/>
      <scheme val="major"/>
    </font>
    <font>
      <b/>
      <sz val="14"/>
      <name val="Arial"/>
      <family val="2"/>
    </font>
    <font>
      <sz val="12"/>
      <color theme="1"/>
      <name val="Arial"/>
      <family val="2"/>
    </font>
    <font>
      <sz val="14"/>
      <name val="Arial"/>
      <family val="2"/>
    </font>
    <font>
      <sz val="14"/>
      <color theme="1"/>
      <name val="Arial"/>
      <family val="2"/>
    </font>
    <font>
      <sz val="14"/>
      <color theme="0"/>
      <name val="Arial"/>
      <family val="2"/>
    </font>
    <font>
      <i/>
      <sz val="14"/>
      <name val="Arial"/>
      <family val="2"/>
    </font>
    <font>
      <sz val="14"/>
      <color rgb="FF000000"/>
      <name val="Arial"/>
      <family val="2"/>
    </font>
    <font>
      <i/>
      <sz val="14"/>
      <color rgb="FFC00000"/>
      <name val="Arial"/>
      <family val="2"/>
    </font>
    <font>
      <b/>
      <sz val="14"/>
      <color rgb="FFFFFF00"/>
      <name val="Arial"/>
      <family val="2"/>
    </font>
    <font>
      <b/>
      <sz val="14"/>
      <color theme="0"/>
      <name val="Arial"/>
      <family val="2"/>
    </font>
    <font>
      <b/>
      <sz val="14"/>
      <name val="Cambria"/>
      <family val="1"/>
      <scheme val="major"/>
    </font>
    <font>
      <b/>
      <sz val="11"/>
      <name val="Cambria"/>
      <family val="1"/>
      <scheme val="major"/>
    </font>
    <font>
      <sz val="11"/>
      <color theme="1"/>
      <name val="Cambria"/>
      <family val="1"/>
      <scheme val="major"/>
    </font>
    <font>
      <sz val="11"/>
      <color theme="1"/>
      <name val="Arial Rounded MT Bold"/>
      <family val="2"/>
    </font>
    <font>
      <b/>
      <sz val="11"/>
      <color theme="0"/>
      <name val="Cambria"/>
      <family val="1"/>
      <scheme val="major"/>
    </font>
    <font>
      <b/>
      <sz val="11"/>
      <name val="Arial Black"/>
      <family val="2"/>
    </font>
    <font>
      <sz val="9"/>
      <color theme="1"/>
      <name val="Calibri"/>
      <family val="2"/>
      <scheme val="minor"/>
    </font>
    <font>
      <sz val="9"/>
      <name val="Cambria"/>
      <family val="1"/>
      <scheme val="major"/>
    </font>
    <font>
      <sz val="9"/>
      <name val="Cambria"/>
      <family val="1"/>
    </font>
    <font>
      <sz val="9"/>
      <color theme="0"/>
      <name val="Cambria"/>
      <family val="1"/>
    </font>
    <font>
      <b/>
      <sz val="11"/>
      <color theme="1"/>
      <name val="Cambria"/>
      <family val="1"/>
      <scheme val="major"/>
    </font>
    <font>
      <sz val="10"/>
      <color theme="1"/>
      <name val="Calibri"/>
      <family val="2"/>
      <scheme val="minor"/>
    </font>
    <font>
      <sz val="10"/>
      <color theme="1"/>
      <name val="Cambria"/>
      <family val="1"/>
      <scheme val="major"/>
    </font>
    <font>
      <sz val="9"/>
      <color theme="1"/>
      <name val="Arial Rounded MT Bold"/>
      <family val="2"/>
    </font>
    <font>
      <b/>
      <sz val="10"/>
      <name val="Cambria"/>
      <family val="1"/>
      <scheme val="major"/>
    </font>
    <font>
      <sz val="10"/>
      <color theme="1"/>
      <name val="Arial Rounded MT Bold"/>
      <family val="2"/>
    </font>
    <font>
      <b/>
      <sz val="10"/>
      <color theme="1"/>
      <name val="Arial Rounded MT Bold"/>
      <family val="2"/>
    </font>
    <font>
      <b/>
      <u/>
      <sz val="14"/>
      <name val="Arial"/>
      <family val="2"/>
    </font>
    <font>
      <b/>
      <sz val="14"/>
      <color theme="1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b/>
      <u/>
      <sz val="8"/>
      <name val="Arial"/>
      <family val="2"/>
    </font>
    <font>
      <sz val="9"/>
      <color rgb="FFFF0000"/>
      <name val="Arial"/>
      <family val="2"/>
    </font>
    <font>
      <b/>
      <u/>
      <sz val="9"/>
      <name val="Arial"/>
      <family val="2"/>
    </font>
    <font>
      <u/>
      <sz val="9"/>
      <name val="Arial"/>
      <family val="2"/>
    </font>
    <font>
      <sz val="10"/>
      <color rgb="FFFF0000"/>
      <name val="Arial"/>
      <family val="2"/>
    </font>
    <font>
      <b/>
      <u val="singleAccounting"/>
      <sz val="12"/>
      <name val="Arial"/>
      <family val="2"/>
    </font>
    <font>
      <u val="singleAccounting"/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Bookman Old Style"/>
      <family val="1"/>
    </font>
    <font>
      <b/>
      <sz val="16"/>
      <name val="Adobe Gothic Std B"/>
      <family val="2"/>
      <charset val="128"/>
    </font>
    <font>
      <b/>
      <sz val="16"/>
      <name val="Adobe Heiti Std R"/>
      <family val="2"/>
      <charset val="128"/>
    </font>
    <font>
      <b/>
      <i/>
      <sz val="12"/>
      <color theme="1"/>
      <name val="Calibri"/>
      <family val="2"/>
      <scheme val="minor"/>
    </font>
    <font>
      <b/>
      <sz val="16"/>
      <color rgb="FF6600FF"/>
      <name val="Calibri"/>
      <family val="2"/>
      <charset val="1"/>
      <scheme val="minor"/>
    </font>
    <font>
      <b/>
      <sz val="12"/>
      <color rgb="FF6600FF"/>
      <name val="Calibri"/>
      <family val="2"/>
      <charset val="1"/>
      <scheme val="minor"/>
    </font>
    <font>
      <b/>
      <sz val="12"/>
      <color rgb="FF6600FF"/>
      <name val="Bookman Old Style"/>
      <family val="1"/>
    </font>
    <font>
      <b/>
      <sz val="12"/>
      <name val="Calibri"/>
      <family val="2"/>
      <scheme val="minor"/>
    </font>
    <font>
      <b/>
      <sz val="36"/>
      <name val="Calibri"/>
      <family val="2"/>
      <scheme val="minor"/>
    </font>
    <font>
      <sz val="20"/>
      <color rgb="FFFF0000"/>
      <name val="Adobe Gothic Std B"/>
      <family val="2"/>
      <charset val="128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sz val="9"/>
      <name val="Bookman Old Style"/>
      <family val="1"/>
    </font>
    <font>
      <b/>
      <sz val="11"/>
      <name val="Bookman Old Style"/>
      <family val="1"/>
    </font>
    <font>
      <sz val="10"/>
      <color rgb="FF000000"/>
      <name val="Bookman Old Style"/>
      <family val="1"/>
    </font>
    <font>
      <sz val="11"/>
      <color rgb="FF000000"/>
      <name val="Bookman Old Style"/>
      <family val="1"/>
    </font>
    <font>
      <b/>
      <sz val="36"/>
      <color rgb="FF0000FF"/>
      <name val="Clarendon Lt BT"/>
      <family val="1"/>
    </font>
    <font>
      <sz val="22"/>
      <color theme="1"/>
      <name val="Calibri"/>
      <family val="2"/>
      <scheme val="minor"/>
    </font>
    <font>
      <sz val="14"/>
      <color rgb="FF0000FF"/>
      <name val="Yu Gothic Light"/>
      <family val="2"/>
    </font>
    <font>
      <i/>
      <sz val="20"/>
      <color rgb="FF0000FF"/>
      <name val="Monotype Corsiva"/>
      <family val="4"/>
    </font>
    <font>
      <b/>
      <sz val="26"/>
      <color rgb="FF0000FF"/>
      <name val="PMingLiU-ExtB"/>
      <family val="1"/>
    </font>
    <font>
      <i/>
      <sz val="24"/>
      <name val="Cambria"/>
      <family val="1"/>
      <scheme val="major"/>
    </font>
    <font>
      <b/>
      <sz val="14"/>
      <color rgb="FFFF0000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18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b/>
      <u/>
      <sz val="14"/>
      <color theme="1"/>
      <name val="Arial"/>
      <family val="2"/>
    </font>
    <font>
      <b/>
      <sz val="12"/>
      <color rgb="FFFF0000"/>
      <name val="Arial"/>
      <family val="2"/>
    </font>
    <font>
      <b/>
      <sz val="11"/>
      <color rgb="FFFF0000"/>
      <name val="Calibri"/>
      <family val="2"/>
      <charset val="1"/>
      <scheme val="minor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18"/>
      <name val="Bookman Old Style"/>
      <family val="1"/>
    </font>
    <font>
      <sz val="14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gradientFill type="path" left="0.5" right="0.5" top="0.5" bottom="0.5">
        <stop position="0">
          <color rgb="FFFF0000"/>
        </stop>
        <stop position="1">
          <color rgb="FFFFFF00"/>
        </stop>
      </gradientFill>
    </fill>
    <fill>
      <patternFill patternType="lightGray">
        <fgColor rgb="FF10F0F0"/>
        <bgColor rgb="FFFFFF00"/>
      </patternFill>
    </fill>
    <fill>
      <gradientFill>
        <stop position="0">
          <color rgb="FF00FF00"/>
        </stop>
        <stop position="1">
          <color rgb="FFFFFF00"/>
        </stop>
      </gradientFill>
    </fill>
    <fill>
      <gradientFill type="path" left="0.5" right="0.5" top="0.5" bottom="0.5">
        <stop position="0">
          <color theme="0"/>
        </stop>
        <stop position="1">
          <color rgb="FFE2F212"/>
        </stop>
      </gradientFill>
    </fill>
    <fill>
      <gradientFill type="path" degree="180" left="0.5" right="0.5" top="0.5" bottom="0.5">
        <stop position="0">
          <color rgb="FFFF3399"/>
        </stop>
        <stop position="1">
          <color theme="0"/>
        </stop>
      </gradientFill>
    </fill>
    <fill>
      <gradientFill type="path" left="0.5" right="0.5" top="0.5" bottom="0.5">
        <stop position="0">
          <color theme="1"/>
        </stop>
        <stop position="1">
          <color rgb="FF00FF00"/>
        </stop>
      </gradientFill>
    </fill>
    <fill>
      <patternFill patternType="solid">
        <fgColor theme="0"/>
        <bgColor theme="0"/>
      </patternFill>
    </fill>
    <fill>
      <patternFill patternType="solid">
        <fgColor rgb="FFFF00FF"/>
        <bgColor theme="0"/>
      </patternFill>
    </fill>
    <fill>
      <patternFill patternType="solid">
        <fgColor rgb="FF3333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gradientFill degree="135">
        <stop position="0">
          <color theme="2" tint="-9.8025452436902985E-2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rgb="FFFFFF00"/>
        </stop>
        <stop position="1">
          <color theme="1" tint="0.25098422193060094"/>
        </stop>
      </gradientFill>
    </fill>
    <fill>
      <gradientFill degree="135">
        <stop position="0">
          <color theme="2"/>
        </stop>
        <stop position="1">
          <color rgb="FFC0C0C0"/>
        </stop>
      </gradientFill>
    </fill>
    <fill>
      <gradientFill type="path" left="0.5" right="0.5" top="0.5" bottom="0.5">
        <stop position="0">
          <color theme="9" tint="-0.49803155613879818"/>
        </stop>
        <stop position="1">
          <color theme="6" tint="0.59999389629810485"/>
        </stop>
      </gradientFill>
    </fill>
    <fill>
      <gradientFill type="path" left="0.5" right="0.5" top="0.5" bottom="0.5">
        <stop position="0">
          <color rgb="FF00FFFF"/>
        </stop>
        <stop position="1">
          <color theme="0"/>
        </stop>
      </gradientFill>
    </fill>
  </fills>
  <borders count="1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auto="1"/>
      </right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auto="1"/>
      </left>
      <right style="thin">
        <color auto="1"/>
      </right>
      <top/>
      <bottom style="dashed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ashed">
        <color indexed="64"/>
      </bottom>
      <diagonal/>
    </border>
    <border>
      <left/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auto="1"/>
      </left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thin">
        <color indexed="64"/>
      </bottom>
      <diagonal/>
    </border>
    <border>
      <left/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</borders>
  <cellStyleXfs count="32">
    <xf numFmtId="0" fontId="0" fillId="0" borderId="0"/>
    <xf numFmtId="41" fontId="10" fillId="0" borderId="0" applyFont="0" applyFill="0" applyBorder="0" applyAlignment="0" applyProtection="0"/>
    <xf numFmtId="0" fontId="12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2" fillId="0" borderId="0"/>
    <xf numFmtId="166" fontId="15" fillId="0" borderId="0"/>
    <xf numFmtId="43" fontId="12" fillId="0" borderId="0" applyFont="0" applyFill="0" applyBorder="0" applyAlignment="0" applyProtection="0"/>
    <xf numFmtId="166" fontId="12" fillId="0" borderId="0">
      <alignment vertical="center"/>
    </xf>
    <xf numFmtId="43" fontId="27" fillId="0" borderId="0" applyFont="0" applyFill="0" applyBorder="0" applyAlignment="0" applyProtection="0">
      <alignment vertical="center"/>
    </xf>
    <xf numFmtId="0" fontId="12" fillId="0" borderId="0"/>
    <xf numFmtId="0" fontId="12" fillId="0" borderId="0"/>
    <xf numFmtId="41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167" fontId="12" fillId="0" borderId="0" applyFont="0" applyFill="0" applyBorder="0" applyAlignment="0" applyProtection="0"/>
    <xf numFmtId="0" fontId="62" fillId="0" borderId="0"/>
    <xf numFmtId="0" fontId="12" fillId="0" borderId="0"/>
    <xf numFmtId="0" fontId="9" fillId="0" borderId="0"/>
    <xf numFmtId="43" fontId="9" fillId="0" borderId="0" applyFont="0" applyFill="0" applyBorder="0" applyAlignment="0" applyProtection="0"/>
    <xf numFmtId="41" fontId="12" fillId="0" borderId="0" applyFont="0" applyFill="0" applyBorder="0" applyAlignment="0" applyProtection="0"/>
    <xf numFmtId="166" fontId="103" fillId="0" borderId="0">
      <alignment vertical="top"/>
    </xf>
    <xf numFmtId="166" fontId="12" fillId="0" borderId="0"/>
    <xf numFmtId="164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166" fontId="12" fillId="0" borderId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0" fontId="12" fillId="0" borderId="0"/>
    <xf numFmtId="41" fontId="1" fillId="0" borderId="0" applyFont="0" applyFill="0" applyBorder="0" applyAlignment="0" applyProtection="0"/>
  </cellStyleXfs>
  <cellXfs count="3361">
    <xf numFmtId="0" fontId="0" fillId="0" borderId="0" xfId="0"/>
    <xf numFmtId="0" fontId="11" fillId="0" borderId="0" xfId="0" applyFont="1"/>
    <xf numFmtId="41" fontId="11" fillId="0" borderId="0" xfId="0" applyNumberFormat="1" applyFont="1"/>
    <xf numFmtId="164" fontId="0" fillId="0" borderId="0" xfId="0" applyNumberFormat="1"/>
    <xf numFmtId="0" fontId="16" fillId="0" borderId="0" xfId="6" applyFont="1"/>
    <xf numFmtId="0" fontId="16" fillId="0" borderId="0" xfId="6" applyFont="1" applyAlignment="1">
      <alignment horizontal="center" vertical="center"/>
    </xf>
    <xf numFmtId="0" fontId="17" fillId="0" borderId="0" xfId="6" applyFont="1"/>
    <xf numFmtId="0" fontId="18" fillId="0" borderId="0" xfId="6" applyFont="1"/>
    <xf numFmtId="0" fontId="11" fillId="0" borderId="0" xfId="0" applyFont="1" applyAlignment="1"/>
    <xf numFmtId="0" fontId="19" fillId="0" borderId="0" xfId="6" applyFont="1"/>
    <xf numFmtId="0" fontId="19" fillId="0" borderId="0" xfId="6" applyFont="1" applyAlignment="1">
      <alignment horizontal="center" vertical="center"/>
    </xf>
    <xf numFmtId="164" fontId="19" fillId="0" borderId="0" xfId="6" applyNumberFormat="1" applyFont="1"/>
    <xf numFmtId="0" fontId="19" fillId="0" borderId="0" xfId="6" applyFont="1" applyAlignment="1">
      <alignment horizontal="left"/>
    </xf>
    <xf numFmtId="0" fontId="20" fillId="0" borderId="0" xfId="6" applyFont="1" applyAlignment="1">
      <alignment horizontal="center" vertical="center"/>
    </xf>
    <xf numFmtId="0" fontId="19" fillId="0" borderId="4" xfId="6" applyFont="1" applyBorder="1"/>
    <xf numFmtId="0" fontId="19" fillId="0" borderId="12" xfId="6" applyFont="1" applyBorder="1"/>
    <xf numFmtId="41" fontId="18" fillId="0" borderId="4" xfId="5" applyFont="1" applyBorder="1" applyAlignment="1">
      <alignment horizontal="center" vertical="center"/>
    </xf>
    <xf numFmtId="41" fontId="19" fillId="0" borderId="4" xfId="5" applyFont="1" applyBorder="1" applyAlignment="1">
      <alignment vertical="center"/>
    </xf>
    <xf numFmtId="0" fontId="19" fillId="0" borderId="42" xfId="6" applyFont="1" applyBorder="1"/>
    <xf numFmtId="0" fontId="19" fillId="0" borderId="43" xfId="6" applyFont="1" applyBorder="1"/>
    <xf numFmtId="0" fontId="19" fillId="0" borderId="0" xfId="6" applyFont="1" applyAlignment="1"/>
    <xf numFmtId="41" fontId="19" fillId="0" borderId="0" xfId="6" applyNumberFormat="1" applyFont="1" applyAlignment="1"/>
    <xf numFmtId="0" fontId="20" fillId="0" borderId="0" xfId="6" applyFont="1"/>
    <xf numFmtId="0" fontId="19" fillId="0" borderId="0" xfId="6" quotePrefix="1" applyFont="1"/>
    <xf numFmtId="41" fontId="19" fillId="0" borderId="0" xfId="6" applyNumberFormat="1" applyFont="1"/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 vertical="top"/>
    </xf>
    <xf numFmtId="0" fontId="22" fillId="0" borderId="0" xfId="0" applyFont="1" applyAlignment="1">
      <alignment vertical="top"/>
    </xf>
    <xf numFmtId="0" fontId="22" fillId="0" borderId="0" xfId="0" applyFont="1" applyAlignment="1">
      <alignment vertical="center"/>
    </xf>
    <xf numFmtId="165" fontId="22" fillId="0" borderId="62" xfId="3" applyNumberFormat="1" applyFont="1" applyBorder="1" applyAlignment="1">
      <alignment horizontal="left" vertical="center"/>
    </xf>
    <xf numFmtId="165" fontId="22" fillId="0" borderId="26" xfId="3" applyNumberFormat="1" applyFont="1" applyBorder="1" applyAlignment="1">
      <alignment vertical="center"/>
    </xf>
    <xf numFmtId="165" fontId="22" fillId="0" borderId="63" xfId="3" applyNumberFormat="1" applyFont="1" applyBorder="1" applyAlignment="1">
      <alignment horizontal="left" vertical="center"/>
    </xf>
    <xf numFmtId="165" fontId="22" fillId="0" borderId="20" xfId="3" applyNumberFormat="1" applyFont="1" applyBorder="1" applyAlignment="1">
      <alignment vertical="center"/>
    </xf>
    <xf numFmtId="165" fontId="22" fillId="0" borderId="21" xfId="3" applyNumberFormat="1" applyFont="1" applyBorder="1" applyAlignment="1">
      <alignment vertical="center"/>
    </xf>
    <xf numFmtId="165" fontId="22" fillId="0" borderId="65" xfId="3" applyNumberFormat="1" applyFont="1" applyBorder="1" applyAlignment="1">
      <alignment horizontal="left" vertical="center"/>
    </xf>
    <xf numFmtId="165" fontId="22" fillId="0" borderId="6" xfId="3" applyNumberFormat="1" applyFont="1" applyBorder="1" applyAlignment="1">
      <alignment horizontal="left" vertical="center"/>
    </xf>
    <xf numFmtId="165" fontId="22" fillId="0" borderId="64" xfId="3" applyNumberFormat="1" applyFont="1" applyBorder="1" applyAlignment="1">
      <alignment vertical="center"/>
    </xf>
    <xf numFmtId="165" fontId="22" fillId="0" borderId="6" xfId="3" applyNumberFormat="1" applyFont="1" applyBorder="1" applyAlignment="1">
      <alignment vertical="center"/>
    </xf>
    <xf numFmtId="165" fontId="22" fillId="0" borderId="12" xfId="3" applyNumberFormat="1" applyFont="1" applyBorder="1" applyAlignment="1">
      <alignment vertical="center"/>
    </xf>
    <xf numFmtId="0" fontId="0" fillId="0" borderId="67" xfId="0" applyBorder="1"/>
    <xf numFmtId="165" fontId="22" fillId="0" borderId="0" xfId="3" applyNumberFormat="1" applyFont="1" applyAlignment="1">
      <alignment vertical="center"/>
    </xf>
    <xf numFmtId="0" fontId="22" fillId="0" borderId="0" xfId="0" applyFont="1" applyAlignment="1">
      <alignment horizontal="right"/>
    </xf>
    <xf numFmtId="37" fontId="22" fillId="0" borderId="2" xfId="2" applyNumberFormat="1" applyFont="1" applyBorder="1" applyAlignment="1">
      <alignment horizontal="right" vertical="center"/>
    </xf>
    <xf numFmtId="0" fontId="27" fillId="12" borderId="21" xfId="0" applyFont="1" applyFill="1" applyBorder="1" applyAlignment="1">
      <alignment vertical="center"/>
    </xf>
    <xf numFmtId="165" fontId="22" fillId="0" borderId="70" xfId="3" applyNumberFormat="1" applyFont="1" applyBorder="1" applyAlignment="1">
      <alignment horizontal="left" vertical="center"/>
    </xf>
    <xf numFmtId="0" fontId="22" fillId="0" borderId="20" xfId="2" quotePrefix="1" applyFont="1" applyBorder="1" applyAlignment="1">
      <alignment horizontal="left" vertical="center"/>
    </xf>
    <xf numFmtId="165" fontId="22" fillId="0" borderId="22" xfId="3" applyNumberFormat="1" applyFont="1" applyBorder="1" applyAlignment="1">
      <alignment vertical="center"/>
    </xf>
    <xf numFmtId="165" fontId="22" fillId="0" borderId="48" xfId="3" applyNumberFormat="1" applyFont="1" applyBorder="1" applyAlignment="1">
      <alignment vertical="center"/>
    </xf>
    <xf numFmtId="165" fontId="22" fillId="0" borderId="28" xfId="3" applyNumberFormat="1" applyFont="1" applyBorder="1" applyAlignment="1">
      <alignment vertical="center"/>
    </xf>
    <xf numFmtId="0" fontId="0" fillId="0" borderId="76" xfId="0" applyBorder="1"/>
    <xf numFmtId="165" fontId="23" fillId="0" borderId="54" xfId="3" applyNumberFormat="1" applyFont="1" applyBorder="1" applyAlignment="1">
      <alignment horizontal="center" vertical="center"/>
    </xf>
    <xf numFmtId="37" fontId="22" fillId="0" borderId="2" xfId="2" applyNumberFormat="1" applyFont="1" applyBorder="1" applyAlignment="1">
      <alignment horizontal="center" vertical="center"/>
    </xf>
    <xf numFmtId="0" fontId="0" fillId="0" borderId="28" xfId="0" applyBorder="1"/>
    <xf numFmtId="41" fontId="22" fillId="12" borderId="2" xfId="1" applyFont="1" applyFill="1" applyBorder="1" applyAlignment="1">
      <alignment horizontal="center" vertical="center" wrapText="1"/>
    </xf>
    <xf numFmtId="0" fontId="22" fillId="0" borderId="20" xfId="2" applyFont="1" applyBorder="1" applyAlignment="1">
      <alignment horizontal="left" vertical="center"/>
    </xf>
    <xf numFmtId="165" fontId="22" fillId="0" borderId="78" xfId="3" applyNumberFormat="1" applyFont="1" applyBorder="1" applyAlignment="1">
      <alignment vertical="center"/>
    </xf>
    <xf numFmtId="0" fontId="0" fillId="0" borderId="0" xfId="0" applyNumberFormat="1"/>
    <xf numFmtId="165" fontId="22" fillId="0" borderId="6" xfId="3" applyNumberFormat="1" applyFont="1" applyBorder="1" applyAlignment="1">
      <alignment horizontal="center" vertical="center"/>
    </xf>
    <xf numFmtId="0" fontId="22" fillId="0" borderId="74" xfId="0" applyFont="1" applyBorder="1" applyAlignment="1">
      <alignment horizontal="center" vertical="center"/>
    </xf>
    <xf numFmtId="0" fontId="22" fillId="0" borderId="77" xfId="0" applyFont="1" applyBorder="1" applyAlignment="1">
      <alignment horizontal="center" vertical="center"/>
    </xf>
    <xf numFmtId="41" fontId="0" fillId="0" borderId="0" xfId="0" applyNumberFormat="1"/>
    <xf numFmtId="165" fontId="0" fillId="0" borderId="0" xfId="0" applyNumberFormat="1"/>
    <xf numFmtId="0" fontId="15" fillId="0" borderId="4" xfId="0" applyFont="1" applyBorder="1"/>
    <xf numFmtId="0" fontId="22" fillId="0" borderId="20" xfId="3" applyNumberFormat="1" applyFont="1" applyBorder="1" applyAlignment="1">
      <alignment horizontal="left" vertical="center"/>
    </xf>
    <xf numFmtId="0" fontId="22" fillId="12" borderId="21" xfId="2" applyFont="1" applyFill="1" applyBorder="1" applyAlignment="1">
      <alignment horizontal="left" vertical="center"/>
    </xf>
    <xf numFmtId="0" fontId="22" fillId="0" borderId="6" xfId="3" applyNumberFormat="1" applyFont="1" applyBorder="1" applyAlignment="1">
      <alignment vertical="center"/>
    </xf>
    <xf numFmtId="0" fontId="22" fillId="0" borderId="2" xfId="2" applyFont="1" applyBorder="1" applyAlignment="1">
      <alignment horizontal="right" vertical="center"/>
    </xf>
    <xf numFmtId="0" fontId="22" fillId="0" borderId="2" xfId="2" applyFont="1" applyFill="1" applyBorder="1" applyAlignment="1">
      <alignment horizontal="right" vertical="center"/>
    </xf>
    <xf numFmtId="0" fontId="22" fillId="0" borderId="2" xfId="2" applyFont="1" applyBorder="1" applyAlignment="1">
      <alignment horizontal="left" vertical="center"/>
    </xf>
    <xf numFmtId="37" fontId="22" fillId="0" borderId="2" xfId="2" applyNumberFormat="1" applyFont="1" applyFill="1" applyBorder="1" applyAlignment="1">
      <alignment horizontal="right" vertical="center"/>
    </xf>
    <xf numFmtId="0" fontId="22" fillId="12" borderId="69" xfId="2" applyFont="1" applyFill="1" applyBorder="1" applyAlignment="1">
      <alignment horizontal="left" vertical="center"/>
    </xf>
    <xf numFmtId="0" fontId="22" fillId="12" borderId="2" xfId="2" applyFont="1" applyFill="1" applyBorder="1" applyAlignment="1">
      <alignment horizontal="center" vertical="center" wrapText="1"/>
    </xf>
    <xf numFmtId="0" fontId="22" fillId="12" borderId="63" xfId="2" applyFont="1" applyFill="1" applyBorder="1" applyAlignment="1">
      <alignment horizontal="left" vertical="center" wrapText="1"/>
    </xf>
    <xf numFmtId="0" fontId="22" fillId="0" borderId="21" xfId="2" applyFont="1" applyBorder="1" applyAlignment="1">
      <alignment horizontal="left" vertical="center"/>
    </xf>
    <xf numFmtId="0" fontId="19" fillId="0" borderId="1" xfId="6" applyFont="1" applyBorder="1"/>
    <xf numFmtId="0" fontId="19" fillId="0" borderId="68" xfId="6" applyFont="1" applyBorder="1" applyAlignment="1">
      <alignment vertical="center" wrapText="1"/>
    </xf>
    <xf numFmtId="0" fontId="19" fillId="0" borderId="68" xfId="6" applyFont="1" applyBorder="1" applyAlignment="1">
      <alignment horizontal="center" vertical="center" wrapText="1"/>
    </xf>
    <xf numFmtId="0" fontId="19" fillId="0" borderId="68" xfId="6" applyFont="1" applyBorder="1" applyAlignment="1">
      <alignment horizontal="center" vertical="center"/>
    </xf>
    <xf numFmtId="41" fontId="19" fillId="0" borderId="68" xfId="5" applyFont="1" applyBorder="1" applyAlignment="1">
      <alignment vertical="center"/>
    </xf>
    <xf numFmtId="0" fontId="19" fillId="0" borderId="67" xfId="6" applyFont="1" applyBorder="1"/>
    <xf numFmtId="0" fontId="19" fillId="0" borderId="68" xfId="6" applyFont="1" applyBorder="1" applyAlignment="1">
      <alignment horizontal="left" vertical="center" wrapText="1"/>
    </xf>
    <xf numFmtId="0" fontId="19" fillId="0" borderId="2" xfId="6" applyFont="1" applyBorder="1" applyAlignment="1">
      <alignment horizontal="left" vertical="center" wrapText="1"/>
    </xf>
    <xf numFmtId="0" fontId="19" fillId="0" borderId="2" xfId="6" applyFont="1" applyBorder="1" applyAlignment="1">
      <alignment horizontal="center" vertical="center" wrapText="1"/>
    </xf>
    <xf numFmtId="0" fontId="19" fillId="0" borderId="2" xfId="6" applyFont="1" applyBorder="1" applyAlignment="1">
      <alignment horizontal="center" vertical="center"/>
    </xf>
    <xf numFmtId="41" fontId="19" fillId="0" borderId="2" xfId="5" applyFont="1" applyBorder="1" applyAlignment="1">
      <alignment horizontal="center" vertical="center"/>
    </xf>
    <xf numFmtId="0" fontId="19" fillId="0" borderId="20" xfId="6" applyFont="1" applyBorder="1"/>
    <xf numFmtId="41" fontId="19" fillId="0" borderId="82" xfId="5" applyFont="1" applyBorder="1" applyAlignment="1">
      <alignment horizontal="center" vertical="center"/>
    </xf>
    <xf numFmtId="0" fontId="19" fillId="0" borderId="66" xfId="6" applyFont="1" applyBorder="1"/>
    <xf numFmtId="0" fontId="19" fillId="0" borderId="2" xfId="6" applyFont="1" applyBorder="1" applyAlignment="1">
      <alignment vertical="center" wrapText="1"/>
    </xf>
    <xf numFmtId="41" fontId="19" fillId="0" borderId="2" xfId="5" applyFont="1" applyBorder="1" applyAlignment="1">
      <alignment vertical="center"/>
    </xf>
    <xf numFmtId="0" fontId="19" fillId="0" borderId="82" xfId="6" applyFont="1" applyBorder="1" applyAlignment="1">
      <alignment vertical="center" wrapText="1"/>
    </xf>
    <xf numFmtId="0" fontId="19" fillId="0" borderId="84" xfId="6" applyFont="1" applyBorder="1" applyAlignment="1">
      <alignment vertical="center" wrapText="1"/>
    </xf>
    <xf numFmtId="0" fontId="19" fillId="0" borderId="84" xfId="6" applyFont="1" applyBorder="1" applyAlignment="1">
      <alignment horizontal="center" vertical="center"/>
    </xf>
    <xf numFmtId="41" fontId="19" fillId="0" borderId="80" xfId="5" applyFont="1" applyBorder="1" applyAlignment="1">
      <alignment vertical="center"/>
    </xf>
    <xf numFmtId="0" fontId="19" fillId="0" borderId="2" xfId="6" applyFont="1" applyBorder="1" applyAlignment="1">
      <alignment horizontal="center"/>
    </xf>
    <xf numFmtId="0" fontId="19" fillId="0" borderId="5" xfId="6" applyFont="1" applyBorder="1" applyAlignment="1">
      <alignment horizontal="left" vertical="center" wrapText="1"/>
    </xf>
    <xf numFmtId="0" fontId="19" fillId="0" borderId="5" xfId="6" applyFont="1" applyBorder="1" applyAlignment="1">
      <alignment horizontal="center" vertical="center" wrapText="1"/>
    </xf>
    <xf numFmtId="0" fontId="19" fillId="0" borderId="5" xfId="6" applyFont="1" applyBorder="1" applyAlignment="1">
      <alignment horizontal="center" vertical="center"/>
    </xf>
    <xf numFmtId="41" fontId="19" fillId="0" borderId="5" xfId="5" applyFont="1" applyBorder="1" applyAlignment="1">
      <alignment horizontal="center" vertical="center"/>
    </xf>
    <xf numFmtId="0" fontId="19" fillId="0" borderId="26" xfId="6" applyFont="1" applyBorder="1"/>
    <xf numFmtId="0" fontId="19" fillId="0" borderId="26" xfId="6" applyFont="1" applyBorder="1" applyAlignment="1">
      <alignment horizontal="left" vertical="center" wrapText="1"/>
    </xf>
    <xf numFmtId="41" fontId="19" fillId="0" borderId="5" xfId="5" applyFont="1" applyBorder="1" applyAlignment="1">
      <alignment vertical="center"/>
    </xf>
    <xf numFmtId="41" fontId="19" fillId="0" borderId="5" xfId="6" applyNumberFormat="1" applyFont="1" applyBorder="1" applyAlignment="1">
      <alignment horizontal="center" vertical="center"/>
    </xf>
    <xf numFmtId="0" fontId="19" fillId="0" borderId="0" xfId="6" applyFont="1" applyBorder="1" applyAlignment="1">
      <alignment horizontal="center" vertical="center" wrapText="1"/>
    </xf>
    <xf numFmtId="0" fontId="20" fillId="0" borderId="0" xfId="6" applyFont="1" applyBorder="1" applyAlignment="1">
      <alignment horizontal="center" vertical="center"/>
    </xf>
    <xf numFmtId="0" fontId="19" fillId="0" borderId="0" xfId="6" applyFont="1" applyBorder="1"/>
    <xf numFmtId="0" fontId="19" fillId="0" borderId="20" xfId="6" applyFont="1" applyBorder="1" applyAlignment="1">
      <alignment horizontal="center"/>
    </xf>
    <xf numFmtId="41" fontId="18" fillId="0" borderId="42" xfId="6" applyNumberFormat="1" applyFont="1" applyBorder="1" applyAlignment="1">
      <alignment vertical="center"/>
    </xf>
    <xf numFmtId="0" fontId="11" fillId="0" borderId="2" xfId="0" applyFont="1" applyBorder="1" applyAlignment="1">
      <alignment horizontal="center" vertical="center"/>
    </xf>
    <xf numFmtId="0" fontId="11" fillId="0" borderId="2" xfId="0" quotePrefix="1" applyFont="1" applyBorder="1" applyAlignment="1">
      <alignment horizontal="justify" vertical="center"/>
    </xf>
    <xf numFmtId="41" fontId="11" fillId="0" borderId="2" xfId="0" applyNumberFormat="1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22" fillId="0" borderId="0" xfId="0" applyFont="1" applyAlignment="1"/>
    <xf numFmtId="0" fontId="28" fillId="0" borderId="0" xfId="0" applyFont="1"/>
    <xf numFmtId="0" fontId="0" fillId="0" borderId="0" xfId="0" applyFont="1"/>
    <xf numFmtId="0" fontId="28" fillId="0" borderId="0" xfId="0" applyFont="1" applyAlignment="1">
      <alignment vertical="center"/>
    </xf>
    <xf numFmtId="0" fontId="28" fillId="0" borderId="5" xfId="0" applyFont="1" applyBorder="1" applyAlignment="1">
      <alignment horizontal="center" vertical="center"/>
    </xf>
    <xf numFmtId="165" fontId="28" fillId="0" borderId="58" xfId="3" applyNumberFormat="1" applyFont="1" applyBorder="1" applyAlignment="1">
      <alignment horizontal="left" vertical="center"/>
    </xf>
    <xf numFmtId="165" fontId="28" fillId="0" borderId="3" xfId="3" applyNumberFormat="1" applyFont="1" applyBorder="1" applyAlignment="1">
      <alignment vertical="center"/>
    </xf>
    <xf numFmtId="165" fontId="28" fillId="0" borderId="3" xfId="3" applyNumberFormat="1" applyFont="1" applyBorder="1" applyAlignment="1">
      <alignment horizontal="left" vertical="center"/>
    </xf>
    <xf numFmtId="165" fontId="28" fillId="0" borderId="26" xfId="3" applyNumberFormat="1" applyFont="1" applyBorder="1" applyAlignment="1">
      <alignment vertical="center"/>
    </xf>
    <xf numFmtId="165" fontId="28" fillId="0" borderId="27" xfId="3" applyNumberFormat="1" applyFont="1" applyBorder="1" applyAlignment="1">
      <alignment vertical="center"/>
    </xf>
    <xf numFmtId="0" fontId="0" fillId="0" borderId="26" xfId="0" applyFont="1" applyBorder="1"/>
    <xf numFmtId="0" fontId="0" fillId="0" borderId="5" xfId="0" applyFont="1" applyBorder="1"/>
    <xf numFmtId="0" fontId="28" fillId="0" borderId="2" xfId="0" applyFont="1" applyBorder="1" applyAlignment="1">
      <alignment horizontal="center" vertical="center"/>
    </xf>
    <xf numFmtId="0" fontId="26" fillId="12" borderId="21" xfId="0" applyFont="1" applyFill="1" applyBorder="1" applyAlignment="1">
      <alignment vertical="center"/>
    </xf>
    <xf numFmtId="165" fontId="28" fillId="0" borderId="65" xfId="3" applyNumberFormat="1" applyFont="1" applyBorder="1" applyAlignment="1">
      <alignment horizontal="left" vertical="center"/>
    </xf>
    <xf numFmtId="165" fontId="28" fillId="0" borderId="6" xfId="3" applyNumberFormat="1" applyFont="1" applyBorder="1" applyAlignment="1">
      <alignment vertical="center"/>
    </xf>
    <xf numFmtId="165" fontId="28" fillId="0" borderId="6" xfId="3" applyNumberFormat="1" applyFont="1" applyBorder="1" applyAlignment="1">
      <alignment horizontal="left" vertical="center"/>
    </xf>
    <xf numFmtId="165" fontId="28" fillId="0" borderId="20" xfId="3" applyNumberFormat="1" applyFont="1" applyBorder="1" applyAlignment="1">
      <alignment vertical="center"/>
    </xf>
    <xf numFmtId="165" fontId="28" fillId="0" borderId="21" xfId="3" applyNumberFormat="1" applyFont="1" applyBorder="1" applyAlignment="1">
      <alignment vertical="center"/>
    </xf>
    <xf numFmtId="165" fontId="28" fillId="0" borderId="5" xfId="3" applyNumberFormat="1" applyFont="1" applyBorder="1" applyAlignment="1">
      <alignment vertical="center"/>
    </xf>
    <xf numFmtId="165" fontId="28" fillId="0" borderId="12" xfId="3" applyNumberFormat="1" applyFont="1" applyBorder="1" applyAlignment="1">
      <alignment vertical="center"/>
    </xf>
    <xf numFmtId="165" fontId="28" fillId="0" borderId="4" xfId="3" applyNumberFormat="1" applyFont="1" applyBorder="1" applyAlignment="1">
      <alignment vertical="center"/>
    </xf>
    <xf numFmtId="165" fontId="35" fillId="0" borderId="81" xfId="3" applyNumberFormat="1" applyFont="1" applyBorder="1" applyAlignment="1">
      <alignment horizontal="right" vertical="center"/>
    </xf>
    <xf numFmtId="165" fontId="35" fillId="0" borderId="36" xfId="3" applyNumberFormat="1" applyFont="1" applyBorder="1" applyAlignment="1">
      <alignment horizontal="center" vertical="center"/>
    </xf>
    <xf numFmtId="165" fontId="35" fillId="0" borderId="4" xfId="3" applyNumberFormat="1" applyFont="1" applyBorder="1" applyAlignment="1">
      <alignment horizontal="center" vertical="center"/>
    </xf>
    <xf numFmtId="165" fontId="28" fillId="0" borderId="0" xfId="3" applyNumberFormat="1" applyFont="1" applyAlignment="1">
      <alignment vertical="center"/>
    </xf>
    <xf numFmtId="0" fontId="36" fillId="12" borderId="0" xfId="0" applyNumberFormat="1" applyFont="1" applyFill="1"/>
    <xf numFmtId="0" fontId="36" fillId="12" borderId="0" xfId="0" applyFont="1" applyFill="1" applyAlignment="1"/>
    <xf numFmtId="0" fontId="36" fillId="12" borderId="0" xfId="0" applyFont="1" applyFill="1"/>
    <xf numFmtId="0" fontId="25" fillId="12" borderId="0" xfId="0" applyFont="1" applyFill="1" applyAlignment="1">
      <alignment horizontal="center"/>
    </xf>
    <xf numFmtId="0" fontId="19" fillId="0" borderId="26" xfId="6" applyFont="1" applyBorder="1" applyAlignment="1">
      <alignment horizontal="center"/>
    </xf>
    <xf numFmtId="0" fontId="26" fillId="0" borderId="26" xfId="2" applyFont="1" applyBorder="1" applyAlignment="1">
      <alignment horizontal="left" vertical="center"/>
    </xf>
    <xf numFmtId="0" fontId="13" fillId="0" borderId="0" xfId="0" applyFont="1"/>
    <xf numFmtId="0" fontId="11" fillId="10" borderId="0" xfId="0" applyFont="1" applyFill="1"/>
    <xf numFmtId="41" fontId="11" fillId="10" borderId="0" xfId="0" applyNumberFormat="1" applyFont="1" applyFill="1"/>
    <xf numFmtId="0" fontId="11" fillId="2" borderId="0" xfId="0" applyFont="1" applyFill="1"/>
    <xf numFmtId="41" fontId="11" fillId="2" borderId="0" xfId="0" applyNumberFormat="1" applyFont="1" applyFill="1"/>
    <xf numFmtId="0" fontId="11" fillId="3" borderId="0" xfId="0" applyFont="1" applyFill="1"/>
    <xf numFmtId="165" fontId="11" fillId="3" borderId="0" xfId="3" applyNumberFormat="1" applyFont="1" applyFill="1"/>
    <xf numFmtId="0" fontId="11" fillId="4" borderId="0" xfId="0" applyFont="1" applyFill="1"/>
    <xf numFmtId="165" fontId="11" fillId="4" borderId="0" xfId="3" applyNumberFormat="1" applyFont="1" applyFill="1"/>
    <xf numFmtId="0" fontId="13" fillId="5" borderId="0" xfId="0" applyFont="1" applyFill="1"/>
    <xf numFmtId="165" fontId="13" fillId="5" borderId="0" xfId="0" applyNumberFormat="1" applyFont="1" applyFill="1"/>
    <xf numFmtId="41" fontId="11" fillId="0" borderId="0" xfId="5" applyNumberFormat="1" applyFont="1"/>
    <xf numFmtId="41" fontId="11" fillId="0" borderId="0" xfId="5" applyFont="1"/>
    <xf numFmtId="41" fontId="13" fillId="0" borderId="0" xfId="0" applyNumberFormat="1" applyFont="1"/>
    <xf numFmtId="165" fontId="11" fillId="0" borderId="0" xfId="0" applyNumberFormat="1" applyFont="1"/>
    <xf numFmtId="0" fontId="11" fillId="6" borderId="0" xfId="0" applyFont="1" applyFill="1"/>
    <xf numFmtId="41" fontId="11" fillId="6" borderId="0" xfId="3" applyNumberFormat="1" applyFont="1" applyFill="1"/>
    <xf numFmtId="0" fontId="11" fillId="7" borderId="0" xfId="0" applyFont="1" applyFill="1"/>
    <xf numFmtId="41" fontId="11" fillId="7" borderId="0" xfId="0" applyNumberFormat="1" applyFont="1" applyFill="1"/>
    <xf numFmtId="0" fontId="11" fillId="8" borderId="0" xfId="0" applyFont="1" applyFill="1"/>
    <xf numFmtId="41" fontId="11" fillId="8" borderId="0" xfId="0" applyNumberFormat="1" applyFont="1" applyFill="1"/>
    <xf numFmtId="165" fontId="11" fillId="9" borderId="0" xfId="0" applyNumberFormat="1" applyFont="1" applyFill="1" applyAlignment="1">
      <alignment horizontal="center" vertical="center"/>
    </xf>
    <xf numFmtId="0" fontId="11" fillId="9" borderId="0" xfId="0" applyFont="1" applyFill="1"/>
    <xf numFmtId="41" fontId="11" fillId="9" borderId="0" xfId="0" applyNumberFormat="1" applyFont="1" applyFill="1"/>
    <xf numFmtId="0" fontId="13" fillId="0" borderId="4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9" fontId="11" fillId="0" borderId="4" xfId="0" applyNumberFormat="1" applyFont="1" applyBorder="1" applyAlignment="1">
      <alignment horizontal="center"/>
    </xf>
    <xf numFmtId="41" fontId="11" fillId="0" borderId="4" xfId="4" applyNumberFormat="1" applyFont="1" applyBorder="1" applyAlignment="1">
      <alignment horizontal="center"/>
    </xf>
    <xf numFmtId="41" fontId="13" fillId="0" borderId="4" xfId="0" applyNumberFormat="1" applyFont="1" applyBorder="1" applyAlignment="1">
      <alignment horizontal="center"/>
    </xf>
    <xf numFmtId="0" fontId="13" fillId="8" borderId="4" xfId="0" applyFont="1" applyFill="1" applyBorder="1" applyAlignment="1">
      <alignment horizontal="center"/>
    </xf>
    <xf numFmtId="41" fontId="11" fillId="8" borderId="4" xfId="4" applyNumberFormat="1" applyFont="1" applyFill="1" applyBorder="1" applyAlignment="1">
      <alignment horizontal="center"/>
    </xf>
    <xf numFmtId="41" fontId="11" fillId="2" borderId="4" xfId="0" applyNumberFormat="1" applyFont="1" applyFill="1" applyBorder="1"/>
    <xf numFmtId="0" fontId="11" fillId="4" borderId="4" xfId="0" applyFont="1" applyFill="1" applyBorder="1"/>
    <xf numFmtId="41" fontId="11" fillId="4" borderId="4" xfId="0" applyNumberFormat="1" applyFont="1" applyFill="1" applyBorder="1"/>
    <xf numFmtId="0" fontId="11" fillId="10" borderId="4" xfId="0" applyFont="1" applyFill="1" applyBorder="1"/>
    <xf numFmtId="165" fontId="11" fillId="10" borderId="4" xfId="0" applyNumberFormat="1" applyFont="1" applyFill="1" applyBorder="1"/>
    <xf numFmtId="0" fontId="11" fillId="10" borderId="0" xfId="0" applyFont="1" applyFill="1" applyBorder="1"/>
    <xf numFmtId="165" fontId="11" fillId="10" borderId="0" xfId="0" applyNumberFormat="1" applyFont="1" applyFill="1" applyBorder="1"/>
    <xf numFmtId="0" fontId="11" fillId="11" borderId="4" xfId="0" applyFont="1" applyFill="1" applyBorder="1"/>
    <xf numFmtId="41" fontId="11" fillId="11" borderId="4" xfId="4" applyNumberFormat="1" applyFont="1" applyFill="1" applyBorder="1" applyAlignment="1">
      <alignment horizontal="center"/>
    </xf>
    <xf numFmtId="165" fontId="11" fillId="11" borderId="4" xfId="0" applyNumberFormat="1" applyFont="1" applyFill="1" applyBorder="1"/>
    <xf numFmtId="0" fontId="11" fillId="12" borderId="0" xfId="0" applyFont="1" applyFill="1"/>
    <xf numFmtId="41" fontId="11" fillId="12" borderId="0" xfId="0" applyNumberFormat="1" applyFont="1" applyFill="1"/>
    <xf numFmtId="164" fontId="11" fillId="0" borderId="0" xfId="0" applyNumberFormat="1" applyFont="1"/>
    <xf numFmtId="41" fontId="11" fillId="0" borderId="0" xfId="1" applyFont="1"/>
    <xf numFmtId="0" fontId="11" fillId="2" borderId="4" xfId="0" applyFont="1" applyFill="1" applyBorder="1"/>
    <xf numFmtId="41" fontId="11" fillId="0" borderId="4" xfId="0" applyNumberFormat="1" applyFont="1" applyBorder="1"/>
    <xf numFmtId="0" fontId="11" fillId="0" borderId="4" xfId="0" applyFont="1" applyBorder="1"/>
    <xf numFmtId="165" fontId="28" fillId="0" borderId="2" xfId="3" applyNumberFormat="1" applyFont="1" applyBorder="1" applyAlignment="1">
      <alignment horizontal="left" vertical="center"/>
    </xf>
    <xf numFmtId="164" fontId="11" fillId="0" borderId="4" xfId="0" applyNumberFormat="1" applyFont="1" applyBorder="1"/>
    <xf numFmtId="0" fontId="26" fillId="12" borderId="27" xfId="0" applyFont="1" applyFill="1" applyBorder="1" applyAlignment="1">
      <alignment vertical="center"/>
    </xf>
    <xf numFmtId="0" fontId="34" fillId="11" borderId="4" xfId="0" applyFont="1" applyFill="1" applyBorder="1"/>
    <xf numFmtId="0" fontId="42" fillId="8" borderId="4" xfId="0" applyFont="1" applyFill="1" applyBorder="1"/>
    <xf numFmtId="0" fontId="11" fillId="13" borderId="0" xfId="0" applyFont="1" applyFill="1"/>
    <xf numFmtId="41" fontId="11" fillId="13" borderId="0" xfId="0" applyNumberFormat="1" applyFont="1" applyFill="1"/>
    <xf numFmtId="0" fontId="23" fillId="0" borderId="59" xfId="0" applyFont="1" applyBorder="1" applyAlignment="1">
      <alignment horizontal="center" vertical="center" wrapText="1"/>
    </xf>
    <xf numFmtId="0" fontId="23" fillId="0" borderId="37" xfId="0" applyFont="1" applyBorder="1" applyAlignment="1">
      <alignment horizontal="center" vertical="center" wrapText="1"/>
    </xf>
    <xf numFmtId="0" fontId="28" fillId="0" borderId="67" xfId="2" applyFont="1" applyBorder="1" applyAlignment="1">
      <alignment horizontal="left" vertical="center"/>
    </xf>
    <xf numFmtId="165" fontId="28" fillId="0" borderId="70" xfId="3" applyNumberFormat="1" applyFont="1" applyBorder="1" applyAlignment="1">
      <alignment horizontal="left" vertical="center"/>
    </xf>
    <xf numFmtId="165" fontId="28" fillId="0" borderId="68" xfId="3" applyNumberFormat="1" applyFont="1" applyBorder="1" applyAlignment="1">
      <alignment vertical="center"/>
    </xf>
    <xf numFmtId="165" fontId="28" fillId="0" borderId="68" xfId="3" applyNumberFormat="1" applyFont="1" applyBorder="1" applyAlignment="1">
      <alignment horizontal="left" vertical="center"/>
    </xf>
    <xf numFmtId="165" fontId="28" fillId="0" borderId="67" xfId="3" applyNumberFormat="1" applyFont="1" applyBorder="1" applyAlignment="1">
      <alignment vertical="center"/>
    </xf>
    <xf numFmtId="0" fontId="28" fillId="0" borderId="20" xfId="2" applyFont="1" applyBorder="1" applyAlignment="1">
      <alignment horizontal="left" vertical="center"/>
    </xf>
    <xf numFmtId="165" fontId="28" fillId="0" borderId="63" xfId="3" applyNumberFormat="1" applyFont="1" applyBorder="1" applyAlignment="1">
      <alignment horizontal="left" vertical="center"/>
    </xf>
    <xf numFmtId="0" fontId="28" fillId="0" borderId="2" xfId="3" applyNumberFormat="1" applyFont="1" applyBorder="1" applyAlignment="1">
      <alignment vertical="center"/>
    </xf>
    <xf numFmtId="0" fontId="19" fillId="0" borderId="82" xfId="6" applyFont="1" applyBorder="1" applyAlignment="1">
      <alignment horizontal="left" vertical="center" wrapText="1"/>
    </xf>
    <xf numFmtId="0" fontId="19" fillId="0" borderId="0" xfId="6" applyFont="1" applyAlignment="1">
      <alignment horizontal="center"/>
    </xf>
    <xf numFmtId="0" fontId="18" fillId="0" borderId="0" xfId="6" applyFont="1" applyBorder="1" applyAlignment="1">
      <alignment horizontal="right" vertical="center"/>
    </xf>
    <xf numFmtId="41" fontId="18" fillId="0" borderId="0" xfId="6" applyNumberFormat="1" applyFont="1" applyBorder="1" applyAlignment="1">
      <alignment vertical="center"/>
    </xf>
    <xf numFmtId="0" fontId="19" fillId="0" borderId="7" xfId="6" applyFont="1" applyBorder="1" applyAlignment="1">
      <alignment horizontal="center" vertical="center" wrapText="1"/>
    </xf>
    <xf numFmtId="41" fontId="19" fillId="0" borderId="12" xfId="5" applyFont="1" applyBorder="1" applyAlignment="1">
      <alignment vertical="center"/>
    </xf>
    <xf numFmtId="41" fontId="19" fillId="0" borderId="12" xfId="5" applyFont="1" applyBorder="1" applyAlignment="1">
      <alignment horizontal="center" vertical="center"/>
    </xf>
    <xf numFmtId="0" fontId="19" fillId="0" borderId="0" xfId="6" applyFont="1" applyBorder="1" applyAlignment="1">
      <alignment horizontal="right" vertical="center"/>
    </xf>
    <xf numFmtId="41" fontId="19" fillId="0" borderId="0" xfId="6" applyNumberFormat="1" applyFont="1" applyBorder="1" applyAlignment="1">
      <alignment vertical="center"/>
    </xf>
    <xf numFmtId="0" fontId="11" fillId="0" borderId="0" xfId="0" applyFont="1" applyBorder="1"/>
    <xf numFmtId="0" fontId="11" fillId="0" borderId="0" xfId="0" applyFont="1" applyBorder="1" applyAlignment="1">
      <alignment horizontal="left"/>
    </xf>
    <xf numFmtId="0" fontId="11" fillId="0" borderId="0" xfId="0" applyFont="1" applyBorder="1" applyAlignment="1"/>
    <xf numFmtId="0" fontId="19" fillId="0" borderId="2" xfId="6" applyFont="1" applyBorder="1" applyAlignment="1">
      <alignment horizontal="right" vertical="center" wrapText="1"/>
    </xf>
    <xf numFmtId="41" fontId="19" fillId="0" borderId="21" xfId="14" applyNumberFormat="1" applyFont="1" applyBorder="1" applyAlignment="1">
      <alignment horizontal="center" vertical="center" wrapText="1"/>
    </xf>
    <xf numFmtId="41" fontId="19" fillId="0" borderId="61" xfId="5" applyFont="1" applyBorder="1" applyAlignment="1">
      <alignment vertical="center"/>
    </xf>
    <xf numFmtId="0" fontId="19" fillId="0" borderId="2" xfId="6" applyFont="1" applyBorder="1" applyAlignment="1">
      <alignment horizontal="right" vertical="center"/>
    </xf>
    <xf numFmtId="0" fontId="19" fillId="0" borderId="68" xfId="6" applyFont="1" applyBorder="1" applyAlignment="1">
      <alignment horizontal="right" vertical="center"/>
    </xf>
    <xf numFmtId="0" fontId="19" fillId="0" borderId="70" xfId="6" applyFont="1" applyBorder="1" applyAlignment="1">
      <alignment horizontal="center" vertical="center"/>
    </xf>
    <xf numFmtId="41" fontId="19" fillId="0" borderId="68" xfId="6" applyNumberFormat="1" applyFont="1" applyBorder="1" applyAlignment="1">
      <alignment horizontal="center"/>
    </xf>
    <xf numFmtId="0" fontId="19" fillId="0" borderId="20" xfId="6" applyFont="1" applyBorder="1" applyAlignment="1">
      <alignment horizontal="left" vertical="center"/>
    </xf>
    <xf numFmtId="0" fontId="19" fillId="0" borderId="63" xfId="6" applyFont="1" applyBorder="1" applyAlignment="1">
      <alignment horizontal="center" vertical="center"/>
    </xf>
    <xf numFmtId="41" fontId="19" fillId="0" borderId="7" xfId="5" applyFont="1" applyBorder="1" applyAlignment="1">
      <alignment vertical="center"/>
    </xf>
    <xf numFmtId="0" fontId="19" fillId="0" borderId="7" xfId="6" applyFont="1" applyBorder="1" applyAlignment="1">
      <alignment horizontal="center" vertical="center"/>
    </xf>
    <xf numFmtId="0" fontId="19" fillId="0" borderId="68" xfId="6" applyFont="1" applyBorder="1" applyAlignment="1">
      <alignment horizontal="right" vertical="center" wrapText="1"/>
    </xf>
    <xf numFmtId="41" fontId="19" fillId="0" borderId="67" xfId="5" applyFont="1" applyBorder="1" applyAlignment="1">
      <alignment vertical="center"/>
    </xf>
    <xf numFmtId="41" fontId="19" fillId="0" borderId="20" xfId="5" applyFont="1" applyBorder="1" applyAlignment="1">
      <alignment vertical="center"/>
    </xf>
    <xf numFmtId="41" fontId="19" fillId="0" borderId="67" xfId="5" applyFont="1" applyBorder="1" applyAlignment="1">
      <alignment horizontal="center" vertical="center"/>
    </xf>
    <xf numFmtId="41" fontId="19" fillId="0" borderId="20" xfId="5" applyFont="1" applyBorder="1" applyAlignment="1">
      <alignment horizontal="center" vertical="center"/>
    </xf>
    <xf numFmtId="41" fontId="19" fillId="0" borderId="12" xfId="6" applyNumberFormat="1" applyFont="1" applyBorder="1" applyAlignment="1">
      <alignment vertical="center"/>
    </xf>
    <xf numFmtId="0" fontId="19" fillId="0" borderId="57" xfId="6" applyFont="1" applyBorder="1" applyAlignment="1">
      <alignment horizontal="center" vertical="center" wrapText="1"/>
    </xf>
    <xf numFmtId="0" fontId="19" fillId="0" borderId="1" xfId="6" applyFont="1" applyBorder="1" applyAlignment="1">
      <alignment horizontal="center"/>
    </xf>
    <xf numFmtId="41" fontId="19" fillId="0" borderId="67" xfId="14" applyNumberFormat="1" applyFont="1" applyBorder="1" applyAlignment="1">
      <alignment horizontal="center" vertical="center" wrapText="1"/>
    </xf>
    <xf numFmtId="0" fontId="19" fillId="0" borderId="68" xfId="6" applyFont="1" applyBorder="1" applyAlignment="1">
      <alignment horizontal="center"/>
    </xf>
    <xf numFmtId="0" fontId="19" fillId="0" borderId="7" xfId="6" applyFont="1" applyBorder="1" applyAlignment="1">
      <alignment horizontal="left" vertical="center"/>
    </xf>
    <xf numFmtId="0" fontId="19" fillId="0" borderId="68" xfId="6" applyFont="1" applyBorder="1" applyAlignment="1">
      <alignment horizontal="center" vertical="center"/>
    </xf>
    <xf numFmtId="0" fontId="19" fillId="0" borderId="2" xfId="6" applyFont="1" applyBorder="1" applyAlignment="1">
      <alignment horizontal="center" vertical="center"/>
    </xf>
    <xf numFmtId="0" fontId="19" fillId="0" borderId="82" xfId="6" applyFont="1" applyBorder="1" applyAlignment="1">
      <alignment horizontal="center" vertical="center"/>
    </xf>
    <xf numFmtId="0" fontId="19" fillId="0" borderId="2" xfId="6" applyFont="1" applyBorder="1" applyAlignment="1">
      <alignment horizontal="center" vertical="center" wrapText="1"/>
    </xf>
    <xf numFmtId="9" fontId="11" fillId="2" borderId="0" xfId="0" applyNumberFormat="1" applyFont="1" applyFill="1"/>
    <xf numFmtId="9" fontId="11" fillId="0" borderId="0" xfId="0" applyNumberFormat="1" applyFont="1"/>
    <xf numFmtId="0" fontId="11" fillId="2" borderId="0" xfId="0" applyFont="1" applyFill="1" applyBorder="1"/>
    <xf numFmtId="41" fontId="11" fillId="0" borderId="0" xfId="0" applyNumberFormat="1" applyFont="1" applyBorder="1"/>
    <xf numFmtId="9" fontId="11" fillId="0" borderId="4" xfId="0" applyNumberFormat="1" applyFont="1" applyBorder="1"/>
    <xf numFmtId="41" fontId="11" fillId="0" borderId="4" xfId="0" applyNumberFormat="1" applyFont="1" applyBorder="1" applyAlignment="1">
      <alignment vertical="top"/>
    </xf>
    <xf numFmtId="9" fontId="11" fillId="0" borderId="4" xfId="0" applyNumberFormat="1" applyFont="1" applyBorder="1" applyAlignment="1">
      <alignment vertical="top"/>
    </xf>
    <xf numFmtId="0" fontId="11" fillId="0" borderId="12" xfId="0" applyFont="1" applyBorder="1"/>
    <xf numFmtId="9" fontId="11" fillId="0" borderId="12" xfId="0" applyNumberFormat="1" applyFont="1" applyBorder="1"/>
    <xf numFmtId="0" fontId="11" fillId="0" borderId="12" xfId="0" applyFont="1" applyBorder="1" applyAlignment="1">
      <alignment vertical="top"/>
    </xf>
    <xf numFmtId="41" fontId="11" fillId="0" borderId="4" xfId="0" applyNumberFormat="1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4" xfId="0" quotePrefix="1" applyFont="1" applyBorder="1" applyAlignment="1">
      <alignment horizontal="center"/>
    </xf>
    <xf numFmtId="0" fontId="11" fillId="2" borderId="4" xfId="0" quotePrefix="1" applyFont="1" applyFill="1" applyBorder="1" applyAlignment="1">
      <alignment horizontal="center"/>
    </xf>
    <xf numFmtId="0" fontId="11" fillId="0" borderId="0" xfId="0" quotePrefix="1" applyFont="1"/>
    <xf numFmtId="10" fontId="11" fillId="0" borderId="0" xfId="0" applyNumberFormat="1" applyFont="1"/>
    <xf numFmtId="0" fontId="32" fillId="0" borderId="0" xfId="0" applyFont="1"/>
    <xf numFmtId="0" fontId="15" fillId="0" borderId="0" xfId="0" applyFont="1"/>
    <xf numFmtId="165" fontId="32" fillId="0" borderId="62" xfId="3" applyNumberFormat="1" applyFont="1" applyBorder="1" applyAlignment="1">
      <alignment horizontal="left" vertical="center"/>
    </xf>
    <xf numFmtId="165" fontId="32" fillId="0" borderId="5" xfId="3" applyNumberFormat="1" applyFont="1" applyBorder="1" applyAlignment="1">
      <alignment horizontal="right" vertical="center"/>
    </xf>
    <xf numFmtId="165" fontId="32" fillId="0" borderId="5" xfId="3" applyNumberFormat="1" applyFont="1" applyBorder="1" applyAlignment="1">
      <alignment horizontal="left" vertical="center"/>
    </xf>
    <xf numFmtId="165" fontId="32" fillId="0" borderId="26" xfId="3" applyNumberFormat="1" applyFont="1" applyBorder="1" applyAlignment="1">
      <alignment vertical="center"/>
    </xf>
    <xf numFmtId="165" fontId="32" fillId="0" borderId="63" xfId="3" applyNumberFormat="1" applyFont="1" applyBorder="1" applyAlignment="1">
      <alignment horizontal="left" vertical="center"/>
    </xf>
    <xf numFmtId="165" fontId="32" fillId="0" borderId="20" xfId="3" applyNumberFormat="1" applyFont="1" applyBorder="1" applyAlignment="1">
      <alignment vertical="center"/>
    </xf>
    <xf numFmtId="165" fontId="32" fillId="0" borderId="2" xfId="3" applyNumberFormat="1" applyFont="1" applyBorder="1" applyAlignment="1">
      <alignment vertical="center"/>
    </xf>
    <xf numFmtId="165" fontId="32" fillId="0" borderId="12" xfId="3" applyNumberFormat="1" applyFont="1" applyBorder="1" applyAlignment="1">
      <alignment vertical="center"/>
    </xf>
    <xf numFmtId="165" fontId="32" fillId="0" borderId="4" xfId="3" applyNumberFormat="1" applyFont="1" applyBorder="1" applyAlignment="1">
      <alignment vertical="center"/>
    </xf>
    <xf numFmtId="165" fontId="32" fillId="0" borderId="0" xfId="3" applyNumberFormat="1" applyFont="1" applyAlignment="1">
      <alignment vertical="center"/>
    </xf>
    <xf numFmtId="0" fontId="48" fillId="12" borderId="0" xfId="0" applyFont="1" applyFill="1" applyAlignment="1"/>
    <xf numFmtId="0" fontId="50" fillId="0" borderId="0" xfId="0" applyNumberFormat="1" applyFont="1"/>
    <xf numFmtId="0" fontId="50" fillId="0" borderId="0" xfId="0" applyFont="1"/>
    <xf numFmtId="0" fontId="50" fillId="0" borderId="0" xfId="0" applyNumberFormat="1" applyFont="1" applyAlignment="1">
      <alignment horizontal="left"/>
    </xf>
    <xf numFmtId="0" fontId="50" fillId="0" borderId="0" xfId="0" applyFont="1" applyAlignment="1">
      <alignment horizontal="left"/>
    </xf>
    <xf numFmtId="0" fontId="50" fillId="0" borderId="0" xfId="0" applyNumberFormat="1" applyFont="1" applyAlignment="1">
      <alignment vertical="center"/>
    </xf>
    <xf numFmtId="0" fontId="50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44" fillId="0" borderId="0" xfId="0" applyFont="1" applyBorder="1" applyAlignment="1">
      <alignment horizontal="center" vertical="center" wrapText="1"/>
    </xf>
    <xf numFmtId="0" fontId="50" fillId="0" borderId="5" xfId="0" applyNumberFormat="1" applyFont="1" applyBorder="1" applyAlignment="1">
      <alignment horizontal="center" vertical="center"/>
    </xf>
    <xf numFmtId="165" fontId="50" fillId="0" borderId="62" xfId="3" applyNumberFormat="1" applyFont="1" applyBorder="1" applyAlignment="1">
      <alignment horizontal="left" vertical="center"/>
    </xf>
    <xf numFmtId="165" fontId="50" fillId="0" borderId="5" xfId="3" applyNumberFormat="1" applyFont="1" applyBorder="1" applyAlignment="1">
      <alignment horizontal="right" vertical="center"/>
    </xf>
    <xf numFmtId="165" fontId="50" fillId="0" borderId="5" xfId="3" applyNumberFormat="1" applyFont="1" applyBorder="1" applyAlignment="1">
      <alignment horizontal="left" vertical="center"/>
    </xf>
    <xf numFmtId="165" fontId="50" fillId="0" borderId="26" xfId="3" applyNumberFormat="1" applyFont="1" applyBorder="1" applyAlignment="1">
      <alignment vertical="center"/>
    </xf>
    <xf numFmtId="0" fontId="50" fillId="0" borderId="2" xfId="0" applyNumberFormat="1" applyFont="1" applyBorder="1" applyAlignment="1">
      <alignment horizontal="center" vertical="center"/>
    </xf>
    <xf numFmtId="165" fontId="50" fillId="0" borderId="20" xfId="3" applyNumberFormat="1" applyFont="1" applyBorder="1" applyAlignment="1">
      <alignment horizontal="left" vertical="center"/>
    </xf>
    <xf numFmtId="165" fontId="50" fillId="0" borderId="63" xfId="3" applyNumberFormat="1" applyFont="1" applyBorder="1" applyAlignment="1">
      <alignment horizontal="left" vertical="center"/>
    </xf>
    <xf numFmtId="165" fontId="50" fillId="0" borderId="2" xfId="3" applyNumberFormat="1" applyFont="1" applyBorder="1" applyAlignment="1">
      <alignment horizontal="right" vertical="center"/>
    </xf>
    <xf numFmtId="165" fontId="50" fillId="0" borderId="2" xfId="3" applyNumberFormat="1" applyFont="1" applyBorder="1" applyAlignment="1">
      <alignment horizontal="left" vertical="center"/>
    </xf>
    <xf numFmtId="165" fontId="50" fillId="0" borderId="20" xfId="3" applyNumberFormat="1" applyFont="1" applyBorder="1" applyAlignment="1">
      <alignment vertical="center"/>
    </xf>
    <xf numFmtId="165" fontId="50" fillId="0" borderId="21" xfId="3" applyNumberFormat="1" applyFont="1" applyBorder="1" applyAlignment="1">
      <alignment vertical="center"/>
    </xf>
    <xf numFmtId="165" fontId="50" fillId="0" borderId="2" xfId="3" applyNumberFormat="1" applyFont="1" applyBorder="1" applyAlignment="1">
      <alignment vertical="center"/>
    </xf>
    <xf numFmtId="165" fontId="50" fillId="0" borderId="12" xfId="3" applyNumberFormat="1" applyFont="1" applyBorder="1" applyAlignment="1">
      <alignment vertical="center"/>
    </xf>
    <xf numFmtId="165" fontId="50" fillId="0" borderId="4" xfId="3" applyNumberFormat="1" applyFont="1" applyBorder="1" applyAlignment="1">
      <alignment vertical="center"/>
    </xf>
    <xf numFmtId="165" fontId="50" fillId="0" borderId="5" xfId="3" applyNumberFormat="1" applyFont="1" applyBorder="1" applyAlignment="1">
      <alignment vertical="center"/>
    </xf>
    <xf numFmtId="165" fontId="50" fillId="0" borderId="65" xfId="3" applyNumberFormat="1" applyFont="1" applyBorder="1" applyAlignment="1">
      <alignment horizontal="left" vertical="center"/>
    </xf>
    <xf numFmtId="165" fontId="50" fillId="0" borderId="6" xfId="3" applyNumberFormat="1" applyFont="1" applyBorder="1" applyAlignment="1">
      <alignment vertical="center"/>
    </xf>
    <xf numFmtId="165" fontId="50" fillId="0" borderId="6" xfId="3" applyNumberFormat="1" applyFont="1" applyBorder="1" applyAlignment="1">
      <alignment horizontal="left" vertical="center"/>
    </xf>
    <xf numFmtId="165" fontId="44" fillId="0" borderId="4" xfId="3" applyNumberFormat="1" applyFont="1" applyBorder="1" applyAlignment="1">
      <alignment horizontal="center" vertical="center"/>
    </xf>
    <xf numFmtId="165" fontId="50" fillId="0" borderId="0" xfId="3" applyNumberFormat="1" applyFont="1" applyAlignment="1">
      <alignment vertical="center"/>
    </xf>
    <xf numFmtId="165" fontId="50" fillId="0" borderId="0" xfId="3" applyNumberFormat="1" applyFont="1" applyBorder="1" applyAlignment="1">
      <alignment vertical="center"/>
    </xf>
    <xf numFmtId="0" fontId="51" fillId="12" borderId="0" xfId="0" applyNumberFormat="1" applyFont="1" applyFill="1"/>
    <xf numFmtId="0" fontId="51" fillId="12" borderId="0" xfId="0" applyFont="1" applyFill="1" applyAlignment="1"/>
    <xf numFmtId="0" fontId="51" fillId="12" borderId="0" xfId="0" applyFont="1" applyFill="1"/>
    <xf numFmtId="165" fontId="15" fillId="0" borderId="0" xfId="0" applyNumberFormat="1" applyFont="1"/>
    <xf numFmtId="0" fontId="51" fillId="0" borderId="0" xfId="3" quotePrefix="1" applyNumberFormat="1" applyFont="1" applyBorder="1" applyAlignment="1">
      <alignment horizontal="left" vertical="center"/>
    </xf>
    <xf numFmtId="165" fontId="50" fillId="0" borderId="0" xfId="3" applyNumberFormat="1" applyFont="1" applyBorder="1" applyAlignment="1">
      <alignment horizontal="left" vertical="center"/>
    </xf>
    <xf numFmtId="165" fontId="50" fillId="0" borderId="57" xfId="3" applyNumberFormat="1" applyFont="1" applyBorder="1" applyAlignment="1">
      <alignment vertical="center"/>
    </xf>
    <xf numFmtId="165" fontId="50" fillId="0" borderId="3" xfId="3" applyNumberFormat="1" applyFont="1" applyBorder="1" applyAlignment="1">
      <alignment vertical="center"/>
    </xf>
    <xf numFmtId="0" fontId="50" fillId="0" borderId="26" xfId="3" applyNumberFormat="1" applyFont="1" applyBorder="1" applyAlignment="1">
      <alignment horizontal="left" vertical="center"/>
    </xf>
    <xf numFmtId="37" fontId="50" fillId="0" borderId="2" xfId="2" applyNumberFormat="1" applyFont="1" applyBorder="1" applyAlignment="1">
      <alignment horizontal="right" vertical="center"/>
    </xf>
    <xf numFmtId="37" fontId="50" fillId="0" borderId="2" xfId="2" applyNumberFormat="1" applyFont="1" applyBorder="1" applyAlignment="1">
      <alignment horizontal="left" vertical="center"/>
    </xf>
    <xf numFmtId="0" fontId="53" fillId="12" borderId="21" xfId="0" applyFont="1" applyFill="1" applyBorder="1" applyAlignment="1">
      <alignment vertical="center"/>
    </xf>
    <xf numFmtId="0" fontId="50" fillId="0" borderId="20" xfId="3" applyNumberFormat="1" applyFont="1" applyBorder="1" applyAlignment="1">
      <alignment horizontal="left" vertical="center"/>
    </xf>
    <xf numFmtId="0" fontId="15" fillId="0" borderId="67" xfId="0" applyFont="1" applyBorder="1"/>
    <xf numFmtId="0" fontId="15" fillId="0" borderId="68" xfId="0" applyFont="1" applyBorder="1"/>
    <xf numFmtId="164" fontId="15" fillId="0" borderId="0" xfId="0" applyNumberFormat="1" applyFont="1"/>
    <xf numFmtId="165" fontId="50" fillId="0" borderId="70" xfId="3" applyNumberFormat="1" applyFont="1" applyBorder="1" applyAlignment="1">
      <alignment horizontal="left" vertical="center"/>
    </xf>
    <xf numFmtId="165" fontId="50" fillId="0" borderId="64" xfId="3" applyNumberFormat="1" applyFont="1" applyBorder="1" applyAlignment="1">
      <alignment vertical="center"/>
    </xf>
    <xf numFmtId="166" fontId="54" fillId="0" borderId="0" xfId="7" applyFont="1" applyAlignment="1">
      <alignment horizontal="center" vertical="center"/>
    </xf>
    <xf numFmtId="166" fontId="54" fillId="0" borderId="0" xfId="7" applyFont="1" applyBorder="1" applyAlignment="1">
      <alignment vertical="center"/>
    </xf>
    <xf numFmtId="41" fontId="55" fillId="0" borderId="0" xfId="1" applyFont="1" applyBorder="1" applyAlignment="1">
      <alignment horizontal="center" vertical="center"/>
    </xf>
    <xf numFmtId="0" fontId="32" fillId="12" borderId="0" xfId="0" applyNumberFormat="1" applyFont="1" applyFill="1"/>
    <xf numFmtId="0" fontId="46" fillId="0" borderId="0" xfId="0" applyFont="1"/>
    <xf numFmtId="0" fontId="32" fillId="12" borderId="0" xfId="0" applyNumberFormat="1" applyFont="1" applyFill="1" applyAlignment="1">
      <alignment vertical="center"/>
    </xf>
    <xf numFmtId="0" fontId="32" fillId="12" borderId="5" xfId="0" applyNumberFormat="1" applyFont="1" applyFill="1" applyBorder="1" applyAlignment="1">
      <alignment horizontal="center" vertical="center"/>
    </xf>
    <xf numFmtId="0" fontId="46" fillId="0" borderId="26" xfId="0" applyFont="1" applyBorder="1"/>
    <xf numFmtId="0" fontId="46" fillId="0" borderId="5" xfId="0" applyFont="1" applyBorder="1"/>
    <xf numFmtId="0" fontId="32" fillId="12" borderId="2" xfId="0" applyNumberFormat="1" applyFont="1" applyFill="1" applyBorder="1" applyAlignment="1">
      <alignment horizontal="center" vertical="center"/>
    </xf>
    <xf numFmtId="0" fontId="32" fillId="0" borderId="21" xfId="2" quotePrefix="1" applyFont="1" applyBorder="1" applyAlignment="1">
      <alignment horizontal="left" vertical="center"/>
    </xf>
    <xf numFmtId="37" fontId="32" fillId="0" borderId="2" xfId="2" applyNumberFormat="1" applyFont="1" applyBorder="1" applyAlignment="1">
      <alignment horizontal="right" vertical="center"/>
    </xf>
    <xf numFmtId="37" fontId="32" fillId="0" borderId="2" xfId="2" applyNumberFormat="1" applyFont="1" applyBorder="1" applyAlignment="1">
      <alignment horizontal="left" vertical="center"/>
    </xf>
    <xf numFmtId="37" fontId="32" fillId="0" borderId="2" xfId="8" applyNumberFormat="1" applyFont="1" applyBorder="1" applyAlignment="1">
      <alignment horizontal="right" vertical="center"/>
    </xf>
    <xf numFmtId="0" fontId="56" fillId="0" borderId="0" xfId="0" applyFont="1"/>
    <xf numFmtId="164" fontId="56" fillId="0" borderId="0" xfId="0" applyNumberFormat="1" applyFont="1"/>
    <xf numFmtId="0" fontId="32" fillId="0" borderId="20" xfId="3" applyNumberFormat="1" applyFont="1" applyBorder="1" applyAlignment="1">
      <alignment horizontal="left" vertical="center"/>
    </xf>
    <xf numFmtId="164" fontId="46" fillId="0" borderId="0" xfId="0" applyNumberFormat="1" applyFont="1"/>
    <xf numFmtId="0" fontId="32" fillId="0" borderId="26" xfId="3" applyNumberFormat="1" applyFont="1" applyBorder="1" applyAlignment="1">
      <alignment horizontal="left" vertical="center"/>
    </xf>
    <xf numFmtId="165" fontId="47" fillId="0" borderId="55" xfId="3" applyNumberFormat="1" applyFont="1" applyBorder="1" applyAlignment="1">
      <alignment horizontal="center" vertical="center"/>
    </xf>
    <xf numFmtId="165" fontId="47" fillId="0" borderId="7" xfId="3" applyNumberFormat="1" applyFont="1" applyBorder="1" applyAlignment="1">
      <alignment horizontal="center" vertical="center"/>
    </xf>
    <xf numFmtId="165" fontId="46" fillId="0" borderId="0" xfId="0" applyNumberFormat="1" applyFont="1"/>
    <xf numFmtId="0" fontId="57" fillId="12" borderId="0" xfId="7" applyNumberFormat="1" applyFont="1" applyFill="1" applyAlignment="1">
      <alignment vertical="center"/>
    </xf>
    <xf numFmtId="166" fontId="57" fillId="0" borderId="0" xfId="7" applyFont="1" applyAlignment="1">
      <alignment horizontal="center" vertical="center"/>
    </xf>
    <xf numFmtId="166" fontId="57" fillId="0" borderId="0" xfId="7" applyFont="1" applyBorder="1" applyAlignment="1">
      <alignment vertical="center"/>
    </xf>
    <xf numFmtId="41" fontId="58" fillId="0" borderId="0" xfId="1" applyFont="1" applyBorder="1" applyAlignment="1">
      <alignment horizontal="center" vertical="center"/>
    </xf>
    <xf numFmtId="0" fontId="46" fillId="12" borderId="0" xfId="0" applyFont="1" applyFill="1"/>
    <xf numFmtId="0" fontId="50" fillId="0" borderId="0" xfId="0" applyFont="1" applyAlignment="1"/>
    <xf numFmtId="0" fontId="15" fillId="0" borderId="0" xfId="0" applyFont="1" applyBorder="1"/>
    <xf numFmtId="0" fontId="50" fillId="0" borderId="4" xfId="0" applyNumberFormat="1" applyFont="1" applyBorder="1" applyAlignment="1">
      <alignment horizontal="center" vertical="center"/>
    </xf>
    <xf numFmtId="165" fontId="50" fillId="0" borderId="4" xfId="3" applyNumberFormat="1" applyFont="1" applyBorder="1" applyAlignment="1">
      <alignment horizontal="left" vertical="center"/>
    </xf>
    <xf numFmtId="37" fontId="50" fillId="0" borderId="4" xfId="2" applyNumberFormat="1" applyFont="1" applyBorder="1" applyAlignment="1">
      <alignment horizontal="right" vertical="center"/>
    </xf>
    <xf numFmtId="37" fontId="50" fillId="0" borderId="4" xfId="2" applyNumberFormat="1" applyFont="1" applyBorder="1" applyAlignment="1">
      <alignment horizontal="left" vertical="center"/>
    </xf>
    <xf numFmtId="165" fontId="50" fillId="0" borderId="4" xfId="3" applyNumberFormat="1" applyFont="1" applyBorder="1" applyAlignment="1">
      <alignment horizontal="center" vertical="center"/>
    </xf>
    <xf numFmtId="0" fontId="54" fillId="0" borderId="0" xfId="7" applyNumberFormat="1" applyFont="1" applyAlignment="1">
      <alignment vertical="center"/>
    </xf>
    <xf numFmtId="0" fontId="44" fillId="0" borderId="9" xfId="0" applyFont="1" applyBorder="1" applyAlignment="1">
      <alignment horizontal="center" vertical="center" wrapText="1"/>
    </xf>
    <xf numFmtId="0" fontId="44" fillId="0" borderId="72" xfId="0" applyFont="1" applyBorder="1" applyAlignment="1">
      <alignment horizontal="center" vertical="center" wrapText="1"/>
    </xf>
    <xf numFmtId="0" fontId="50" fillId="0" borderId="77" xfId="0" applyNumberFormat="1" applyFont="1" applyBorder="1" applyAlignment="1">
      <alignment horizontal="center" vertical="center"/>
    </xf>
    <xf numFmtId="165" fontId="50" fillId="0" borderId="22" xfId="3" applyNumberFormat="1" applyFont="1" applyBorder="1" applyAlignment="1">
      <alignment vertical="center"/>
    </xf>
    <xf numFmtId="0" fontId="50" fillId="0" borderId="2" xfId="2" applyFont="1" applyBorder="1" applyAlignment="1">
      <alignment horizontal="center" vertical="center"/>
    </xf>
    <xf numFmtId="37" fontId="50" fillId="0" borderId="2" xfId="2" applyNumberFormat="1" applyFont="1" applyBorder="1" applyAlignment="1">
      <alignment horizontal="center" vertical="center"/>
    </xf>
    <xf numFmtId="165" fontId="50" fillId="0" borderId="48" xfId="3" applyNumberFormat="1" applyFont="1" applyBorder="1" applyAlignment="1">
      <alignment vertical="center"/>
    </xf>
    <xf numFmtId="165" fontId="44" fillId="0" borderId="15" xfId="3" applyNumberFormat="1" applyFont="1" applyBorder="1" applyAlignment="1">
      <alignment horizontal="right" vertical="center"/>
    </xf>
    <xf numFmtId="165" fontId="44" fillId="0" borderId="54" xfId="3" applyNumberFormat="1" applyFont="1" applyBorder="1" applyAlignment="1">
      <alignment horizontal="center" vertical="center"/>
    </xf>
    <xf numFmtId="0" fontId="15" fillId="0" borderId="0" xfId="0" applyNumberFormat="1" applyFont="1"/>
    <xf numFmtId="0" fontId="50" fillId="0" borderId="74" xfId="0" applyNumberFormat="1" applyFont="1" applyBorder="1" applyAlignment="1">
      <alignment horizontal="center" vertical="center"/>
    </xf>
    <xf numFmtId="0" fontId="50" fillId="0" borderId="20" xfId="2" applyFont="1" applyBorder="1" applyAlignment="1">
      <alignment horizontal="left" vertical="center"/>
    </xf>
    <xf numFmtId="0" fontId="15" fillId="0" borderId="76" xfId="0" applyFont="1" applyBorder="1"/>
    <xf numFmtId="165" fontId="50" fillId="0" borderId="28" xfId="3" applyNumberFormat="1" applyFont="1" applyBorder="1" applyAlignment="1">
      <alignment vertical="center"/>
    </xf>
    <xf numFmtId="0" fontId="50" fillId="0" borderId="6" xfId="3" applyNumberFormat="1" applyFont="1" applyBorder="1" applyAlignment="1">
      <alignment horizontal="center" vertical="center"/>
    </xf>
    <xf numFmtId="0" fontId="50" fillId="0" borderId="6" xfId="3" applyNumberFormat="1" applyFont="1" applyBorder="1" applyAlignment="1">
      <alignment horizontal="left" vertical="center"/>
    </xf>
    <xf numFmtId="165" fontId="50" fillId="0" borderId="78" xfId="3" applyNumberFormat="1" applyFont="1" applyBorder="1" applyAlignment="1">
      <alignment vertical="center"/>
    </xf>
    <xf numFmtId="0" fontId="50" fillId="0" borderId="77" xfId="0" applyFont="1" applyBorder="1" applyAlignment="1">
      <alignment horizontal="center" vertical="center"/>
    </xf>
    <xf numFmtId="0" fontId="50" fillId="12" borderId="21" xfId="2" applyFont="1" applyFill="1" applyBorder="1" applyAlignment="1">
      <alignment horizontal="left" vertical="center"/>
    </xf>
    <xf numFmtId="0" fontId="50" fillId="0" borderId="6" xfId="3" applyNumberFormat="1" applyFont="1" applyBorder="1" applyAlignment="1">
      <alignment vertical="center"/>
    </xf>
    <xf numFmtId="165" fontId="50" fillId="0" borderId="6" xfId="3" applyNumberFormat="1" applyFont="1" applyBorder="1" applyAlignment="1">
      <alignment horizontal="center" vertical="center"/>
    </xf>
    <xf numFmtId="0" fontId="50" fillId="0" borderId="2" xfId="2" applyFont="1" applyBorder="1" applyAlignment="1">
      <alignment horizontal="right" vertical="center"/>
    </xf>
    <xf numFmtId="0" fontId="19" fillId="0" borderId="82" xfId="6" applyFont="1" applyBorder="1" applyAlignment="1">
      <alignment horizontal="center"/>
    </xf>
    <xf numFmtId="0" fontId="19" fillId="0" borderId="68" xfId="6" applyFont="1" applyBorder="1" applyAlignment="1">
      <alignment horizontal="left" vertical="center"/>
    </xf>
    <xf numFmtId="0" fontId="19" fillId="0" borderId="2" xfId="6" applyFont="1" applyBorder="1" applyAlignment="1">
      <alignment horizontal="left" vertical="center"/>
    </xf>
    <xf numFmtId="0" fontId="37" fillId="12" borderId="0" xfId="0" applyFont="1" applyFill="1" applyAlignment="1">
      <alignment horizontal="center"/>
    </xf>
    <xf numFmtId="0" fontId="53" fillId="0" borderId="0" xfId="6" applyFont="1"/>
    <xf numFmtId="164" fontId="53" fillId="2" borderId="0" xfId="6" applyNumberFormat="1" applyFont="1" applyFill="1"/>
    <xf numFmtId="0" fontId="50" fillId="0" borderId="0" xfId="6" applyFont="1"/>
    <xf numFmtId="0" fontId="50" fillId="0" borderId="53" xfId="6" applyFont="1" applyBorder="1" applyAlignment="1">
      <alignment horizontal="center" vertical="center"/>
    </xf>
    <xf numFmtId="0" fontId="50" fillId="0" borderId="91" xfId="6" applyFont="1" applyBorder="1" applyAlignment="1">
      <alignment horizontal="center" vertical="center"/>
    </xf>
    <xf numFmtId="0" fontId="50" fillId="0" borderId="92" xfId="6" applyFont="1" applyBorder="1" applyAlignment="1">
      <alignment horizontal="center" vertical="center"/>
    </xf>
    <xf numFmtId="0" fontId="50" fillId="0" borderId="54" xfId="6" applyFont="1" applyBorder="1" applyAlignment="1">
      <alignment horizontal="center" vertical="center"/>
    </xf>
    <xf numFmtId="166" fontId="53" fillId="0" borderId="0" xfId="6" applyNumberFormat="1" applyFont="1" applyBorder="1" applyAlignment="1">
      <alignment vertical="center"/>
    </xf>
    <xf numFmtId="164" fontId="53" fillId="2" borderId="0" xfId="6" applyNumberFormat="1" applyFont="1" applyFill="1" applyBorder="1" applyAlignment="1">
      <alignment vertical="center"/>
    </xf>
    <xf numFmtId="0" fontId="50" fillId="0" borderId="5" xfId="6" applyFont="1" applyBorder="1" applyAlignment="1">
      <alignment horizontal="center" vertical="center"/>
    </xf>
    <xf numFmtId="0" fontId="15" fillId="0" borderId="2" xfId="0" applyFont="1" applyBorder="1" applyAlignment="1">
      <alignment horizontal="center"/>
    </xf>
    <xf numFmtId="0" fontId="50" fillId="0" borderId="15" xfId="6" applyFont="1" applyBorder="1" applyAlignment="1">
      <alignment vertical="center"/>
    </xf>
    <xf numFmtId="166" fontId="50" fillId="0" borderId="15" xfId="6" applyNumberFormat="1" applyFont="1" applyBorder="1" applyAlignment="1">
      <alignment vertical="center"/>
    </xf>
    <xf numFmtId="0" fontId="53" fillId="0" borderId="0" xfId="6" applyFont="1" applyAlignment="1">
      <alignment vertical="center"/>
    </xf>
    <xf numFmtId="164" fontId="53" fillId="2" borderId="0" xfId="6" applyNumberFormat="1" applyFont="1" applyFill="1" applyAlignment="1">
      <alignment vertical="center"/>
    </xf>
    <xf numFmtId="3" fontId="59" fillId="0" borderId="2" xfId="15" applyNumberFormat="1" applyFont="1" applyBorder="1" applyAlignment="1">
      <alignment horizontal="center" vertical="center"/>
    </xf>
    <xf numFmtId="166" fontId="50" fillId="2" borderId="2" xfId="6" applyNumberFormat="1" applyFont="1" applyFill="1" applyBorder="1"/>
    <xf numFmtId="164" fontId="15" fillId="2" borderId="0" xfId="0" applyNumberFormat="1" applyFont="1" applyFill="1"/>
    <xf numFmtId="164" fontId="50" fillId="2" borderId="95" xfId="6" applyNumberFormat="1" applyFont="1" applyFill="1" applyBorder="1" applyAlignment="1">
      <alignment vertical="center"/>
    </xf>
    <xf numFmtId="0" fontId="50" fillId="0" borderId="63" xfId="0" applyFont="1" applyBorder="1"/>
    <xf numFmtId="0" fontId="50" fillId="0" borderId="2" xfId="0" applyFont="1" applyBorder="1" applyAlignment="1">
      <alignment horizontal="center"/>
    </xf>
    <xf numFmtId="164" fontId="59" fillId="2" borderId="86" xfId="14" applyNumberFormat="1" applyFont="1" applyFill="1" applyBorder="1" applyAlignment="1">
      <alignment vertical="center"/>
    </xf>
    <xf numFmtId="0" fontId="59" fillId="0" borderId="2" xfId="0" applyFont="1" applyBorder="1" applyAlignment="1">
      <alignment horizontal="center"/>
    </xf>
    <xf numFmtId="164" fontId="15" fillId="2" borderId="2" xfId="14" applyNumberFormat="1" applyFont="1" applyFill="1" applyBorder="1"/>
    <xf numFmtId="0" fontId="59" fillId="0" borderId="2" xfId="15" applyNumberFormat="1" applyFont="1" applyBorder="1" applyAlignment="1">
      <alignment horizontal="center"/>
    </xf>
    <xf numFmtId="166" fontId="50" fillId="0" borderId="0" xfId="6" applyNumberFormat="1" applyFont="1"/>
    <xf numFmtId="164" fontId="50" fillId="0" borderId="0" xfId="14" applyFont="1"/>
    <xf numFmtId="0" fontId="50" fillId="0" borderId="0" xfId="6" applyFont="1" applyAlignment="1"/>
    <xf numFmtId="166" fontId="60" fillId="0" borderId="0" xfId="6" applyNumberFormat="1" applyFont="1" applyAlignment="1"/>
    <xf numFmtId="0" fontId="29" fillId="0" borderId="5" xfId="0" applyFont="1" applyFill="1" applyBorder="1" applyAlignment="1">
      <alignment vertical="center" wrapText="1"/>
    </xf>
    <xf numFmtId="0" fontId="19" fillId="0" borderId="5" xfId="6" applyFont="1" applyBorder="1"/>
    <xf numFmtId="0" fontId="19" fillId="12" borderId="0" xfId="2" applyFont="1" applyFill="1" applyAlignment="1">
      <alignment horizontal="center" vertical="center"/>
    </xf>
    <xf numFmtId="49" fontId="17" fillId="12" borderId="0" xfId="6" applyNumberFormat="1" applyFont="1" applyFill="1"/>
    <xf numFmtId="0" fontId="61" fillId="0" borderId="0" xfId="0" applyFont="1"/>
    <xf numFmtId="0" fontId="19" fillId="0" borderId="0" xfId="0" applyFont="1"/>
    <xf numFmtId="0" fontId="18" fillId="0" borderId="0" xfId="0" applyFont="1"/>
    <xf numFmtId="0" fontId="18" fillId="0" borderId="0" xfId="0" applyFont="1" applyAlignment="1"/>
    <xf numFmtId="0" fontId="19" fillId="0" borderId="0" xfId="0" applyFont="1" applyAlignment="1">
      <alignment horizontal="left"/>
    </xf>
    <xf numFmtId="0" fontId="19" fillId="0" borderId="0" xfId="0" applyFont="1" applyBorder="1" applyAlignment="1">
      <alignment horizontal="left" vertical="top"/>
    </xf>
    <xf numFmtId="0" fontId="19" fillId="0" borderId="0" xfId="0" applyFont="1" applyBorder="1" applyAlignment="1">
      <alignment horizontal="center" vertical="top" wrapText="1"/>
    </xf>
    <xf numFmtId="0" fontId="19" fillId="0" borderId="0" xfId="0" applyFont="1" applyBorder="1" applyAlignment="1">
      <alignment horizontal="center" vertical="top"/>
    </xf>
    <xf numFmtId="0" fontId="19" fillId="0" borderId="0" xfId="0" applyFont="1" applyAlignment="1">
      <alignment vertical="top"/>
    </xf>
    <xf numFmtId="0" fontId="19" fillId="0" borderId="0" xfId="0" applyFont="1" applyAlignment="1">
      <alignment horizontal="center" vertical="top"/>
    </xf>
    <xf numFmtId="0" fontId="19" fillId="0" borderId="0" xfId="0" applyFont="1" applyAlignment="1">
      <alignment vertical="top" wrapText="1"/>
    </xf>
    <xf numFmtId="0" fontId="19" fillId="0" borderId="0" xfId="0" quotePrefix="1" applyFont="1" applyAlignment="1">
      <alignment vertical="top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49" fillId="12" borderId="0" xfId="0" applyFont="1" applyFill="1" applyAlignment="1"/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19" fillId="0" borderId="22" xfId="6" applyFont="1" applyBorder="1" applyAlignment="1">
      <alignment horizontal="center" wrapText="1"/>
    </xf>
    <xf numFmtId="0" fontId="19" fillId="0" borderId="22" xfId="6" applyFont="1" applyBorder="1" applyAlignment="1">
      <alignment horizontal="center" vertical="center" wrapText="1"/>
    </xf>
    <xf numFmtId="0" fontId="19" fillId="0" borderId="22" xfId="6" applyFont="1" applyBorder="1" applyAlignment="1">
      <alignment horizontal="center"/>
    </xf>
    <xf numFmtId="41" fontId="19" fillId="0" borderId="68" xfId="5" applyFont="1" applyBorder="1" applyAlignment="1">
      <alignment horizontal="right" vertical="center"/>
    </xf>
    <xf numFmtId="41" fontId="19" fillId="0" borderId="2" xfId="5" applyFont="1" applyBorder="1" applyAlignment="1">
      <alignment horizontal="right" vertical="center"/>
    </xf>
    <xf numFmtId="41" fontId="19" fillId="0" borderId="82" xfId="5" applyFont="1" applyBorder="1" applyAlignment="1">
      <alignment horizontal="right" vertical="center"/>
    </xf>
    <xf numFmtId="0" fontId="18" fillId="0" borderId="2" xfId="0" applyFont="1" applyFill="1" applyBorder="1" applyAlignment="1">
      <alignment vertical="top" wrapText="1"/>
    </xf>
    <xf numFmtId="0" fontId="19" fillId="0" borderId="20" xfId="18" applyFont="1" applyFill="1" applyBorder="1" applyAlignment="1">
      <alignment vertical="top"/>
    </xf>
    <xf numFmtId="0" fontId="19" fillId="0" borderId="2" xfId="18" applyFont="1" applyFill="1" applyBorder="1" applyAlignment="1">
      <alignment vertical="top"/>
    </xf>
    <xf numFmtId="0" fontId="19" fillId="0" borderId="2" xfId="18" applyFont="1" applyFill="1" applyBorder="1" applyAlignment="1">
      <alignment vertical="top" wrapText="1"/>
    </xf>
    <xf numFmtId="0" fontId="64" fillId="0" borderId="0" xfId="0" applyFont="1"/>
    <xf numFmtId="41" fontId="61" fillId="0" borderId="0" xfId="0" applyNumberFormat="1" applyFont="1"/>
    <xf numFmtId="0" fontId="64" fillId="0" borderId="0" xfId="0" applyFont="1" applyAlignment="1">
      <alignment vertical="top"/>
    </xf>
    <xf numFmtId="41" fontId="64" fillId="0" borderId="0" xfId="0" applyNumberFormat="1" applyFont="1"/>
    <xf numFmtId="0" fontId="64" fillId="0" borderId="4" xfId="0" applyFont="1" applyBorder="1" applyAlignment="1">
      <alignment horizontal="center" vertical="center"/>
    </xf>
    <xf numFmtId="0" fontId="64" fillId="0" borderId="4" xfId="0" applyNumberFormat="1" applyFont="1" applyBorder="1" applyAlignment="1">
      <alignment horizontal="center" vertical="center"/>
    </xf>
    <xf numFmtId="0" fontId="64" fillId="0" borderId="7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top" wrapText="1"/>
    </xf>
    <xf numFmtId="0" fontId="13" fillId="0" borderId="4" xfId="0" applyFont="1" applyBorder="1" applyAlignment="1">
      <alignment vertical="top" wrapText="1"/>
    </xf>
    <xf numFmtId="0" fontId="65" fillId="0" borderId="4" xfId="0" applyFont="1" applyBorder="1" applyAlignment="1">
      <alignment vertical="top" wrapText="1"/>
    </xf>
    <xf numFmtId="0" fontId="65" fillId="0" borderId="0" xfId="0" applyFont="1"/>
    <xf numFmtId="0" fontId="11" fillId="0" borderId="4" xfId="0" applyFont="1" applyBorder="1" applyAlignment="1">
      <alignment vertical="top" wrapText="1"/>
    </xf>
    <xf numFmtId="0" fontId="11" fillId="0" borderId="4" xfId="0" applyFont="1" applyBorder="1" applyAlignment="1">
      <alignment horizontal="center" vertical="top" wrapText="1"/>
    </xf>
    <xf numFmtId="0" fontId="64" fillId="0" borderId="4" xfId="0" applyFont="1" applyBorder="1" applyAlignment="1">
      <alignment vertical="top" wrapText="1"/>
    </xf>
    <xf numFmtId="0" fontId="13" fillId="0" borderId="4" xfId="0" quotePrefix="1" applyFont="1" applyBorder="1" applyAlignment="1">
      <alignment horizontal="center" vertical="top" wrapText="1"/>
    </xf>
    <xf numFmtId="0" fontId="13" fillId="0" borderId="4" xfId="0" applyFont="1" applyFill="1" applyBorder="1" applyAlignment="1">
      <alignment vertical="top" wrapText="1"/>
    </xf>
    <xf numFmtId="0" fontId="65" fillId="0" borderId="4" xfId="0" applyFont="1" applyFill="1" applyBorder="1" applyAlignment="1">
      <alignment vertical="top" wrapText="1"/>
    </xf>
    <xf numFmtId="0" fontId="11" fillId="0" borderId="4" xfId="0" quotePrefix="1" applyFont="1" applyBorder="1" applyAlignment="1">
      <alignment horizontal="center" vertical="top" wrapText="1"/>
    </xf>
    <xf numFmtId="0" fontId="11" fillId="0" borderId="4" xfId="2" applyFont="1" applyBorder="1" applyAlignment="1">
      <alignment horizontal="center" vertical="top"/>
    </xf>
    <xf numFmtId="0" fontId="11" fillId="0" borderId="4" xfId="2" quotePrefix="1" applyFont="1" applyBorder="1" applyAlignment="1">
      <alignment horizontal="center" vertical="top"/>
    </xf>
    <xf numFmtId="0" fontId="11" fillId="0" borderId="12" xfId="18" applyFont="1" applyBorder="1" applyAlignment="1">
      <alignment vertical="top"/>
    </xf>
    <xf numFmtId="0" fontId="11" fillId="0" borderId="12" xfId="18" applyFont="1" applyBorder="1" applyAlignment="1">
      <alignment vertical="top" wrapText="1"/>
    </xf>
    <xf numFmtId="0" fontId="13" fillId="0" borderId="4" xfId="0" applyFont="1" applyBorder="1" applyAlignment="1">
      <alignment horizontal="center" vertical="top"/>
    </xf>
    <xf numFmtId="0" fontId="13" fillId="0" borderId="4" xfId="0" quotePrefix="1" applyFont="1" applyBorder="1" applyAlignment="1">
      <alignment horizontal="center" vertical="top"/>
    </xf>
    <xf numFmtId="0" fontId="13" fillId="0" borderId="12" xfId="2" applyFont="1" applyBorder="1" applyAlignment="1">
      <alignment vertical="top" wrapText="1"/>
    </xf>
    <xf numFmtId="0" fontId="65" fillId="0" borderId="4" xfId="0" applyFont="1" applyBorder="1" applyAlignment="1">
      <alignment vertical="top"/>
    </xf>
    <xf numFmtId="0" fontId="65" fillId="0" borderId="0" xfId="0" applyFont="1" applyAlignment="1"/>
    <xf numFmtId="0" fontId="11" fillId="0" borderId="7" xfId="18" applyFont="1" applyBorder="1" applyAlignment="1">
      <alignment horizontal="center" vertical="top"/>
    </xf>
    <xf numFmtId="0" fontId="11" fillId="0" borderId="4" xfId="18" applyFont="1" applyBorder="1" applyAlignment="1">
      <alignment vertical="top" wrapText="1"/>
    </xf>
    <xf numFmtId="0" fontId="11" fillId="0" borderId="7" xfId="18" quotePrefix="1" applyFont="1" applyBorder="1" applyAlignment="1">
      <alignment horizontal="center" vertical="top"/>
    </xf>
    <xf numFmtId="0" fontId="13" fillId="0" borderId="4" xfId="0" quotePrefix="1" applyFont="1" applyBorder="1" applyAlignment="1">
      <alignment horizontal="center" vertical="center"/>
    </xf>
    <xf numFmtId="0" fontId="11" fillId="0" borderId="4" xfId="18" applyFont="1" applyBorder="1" applyAlignment="1">
      <alignment vertical="top"/>
    </xf>
    <xf numFmtId="41" fontId="11" fillId="0" borderId="60" xfId="18" applyNumberFormat="1" applyFont="1" applyBorder="1" applyAlignment="1">
      <alignment horizontal="right" vertical="top" wrapText="1"/>
    </xf>
    <xf numFmtId="0" fontId="11" fillId="0" borderId="4" xfId="18" applyFont="1" applyBorder="1" applyAlignment="1">
      <alignment horizontal="center" vertical="top"/>
    </xf>
    <xf numFmtId="0" fontId="11" fillId="0" borderId="4" xfId="18" quotePrefix="1" applyFont="1" applyBorder="1" applyAlignment="1">
      <alignment horizontal="center" vertical="top"/>
    </xf>
    <xf numFmtId="0" fontId="13" fillId="0" borderId="4" xfId="18" applyFont="1" applyBorder="1" applyAlignment="1">
      <alignment horizontal="center" vertical="top"/>
    </xf>
    <xf numFmtId="0" fontId="13" fillId="0" borderId="4" xfId="2" quotePrefix="1" applyFont="1" applyBorder="1" applyAlignment="1">
      <alignment horizontal="center" vertical="top"/>
    </xf>
    <xf numFmtId="0" fontId="13" fillId="0" borderId="7" xfId="18" quotePrefix="1" applyFont="1" applyBorder="1" applyAlignment="1">
      <alignment horizontal="center" vertical="top"/>
    </xf>
    <xf numFmtId="0" fontId="13" fillId="0" borderId="4" xfId="2" applyFont="1" applyBorder="1" applyAlignment="1">
      <alignment vertical="top"/>
    </xf>
    <xf numFmtId="0" fontId="11" fillId="0" borderId="60" xfId="0" applyFont="1" applyBorder="1" applyAlignment="1">
      <alignment vertical="top" wrapText="1"/>
    </xf>
    <xf numFmtId="0" fontId="11" fillId="0" borderId="36" xfId="18" applyFont="1" applyBorder="1" applyAlignment="1">
      <alignment horizontal="center" vertical="top"/>
    </xf>
    <xf numFmtId="0" fontId="11" fillId="0" borderId="37" xfId="18" quotePrefix="1" applyFont="1" applyBorder="1" applyAlignment="1">
      <alignment horizontal="center" vertical="top"/>
    </xf>
    <xf numFmtId="0" fontId="11" fillId="0" borderId="12" xfId="18" applyFont="1" applyFill="1" applyBorder="1" applyAlignment="1">
      <alignment vertical="top"/>
    </xf>
    <xf numFmtId="0" fontId="13" fillId="0" borderId="4" xfId="2" applyFont="1" applyBorder="1" applyAlignment="1">
      <alignment horizontal="center" vertical="top"/>
    </xf>
    <xf numFmtId="0" fontId="13" fillId="0" borderId="4" xfId="18" applyFont="1" applyBorder="1" applyAlignment="1">
      <alignment vertical="top"/>
    </xf>
    <xf numFmtId="0" fontId="11" fillId="0" borderId="4" xfId="18" applyFont="1" applyFill="1" applyBorder="1" applyAlignment="1">
      <alignment vertical="top"/>
    </xf>
    <xf numFmtId="0" fontId="11" fillId="0" borderId="4" xfId="18" applyFont="1" applyFill="1" applyBorder="1" applyAlignment="1">
      <alignment vertical="top" wrapText="1"/>
    </xf>
    <xf numFmtId="0" fontId="11" fillId="0" borderId="12" xfId="18" applyFont="1" applyFill="1" applyBorder="1" applyAlignment="1">
      <alignment vertical="top" wrapText="1"/>
    </xf>
    <xf numFmtId="0" fontId="64" fillId="0" borderId="4" xfId="0" applyFont="1" applyBorder="1" applyAlignment="1">
      <alignment horizontal="left" vertical="top" wrapText="1"/>
    </xf>
    <xf numFmtId="0" fontId="64" fillId="0" borderId="0" xfId="0" applyFont="1" applyAlignment="1">
      <alignment horizontal="left"/>
    </xf>
    <xf numFmtId="0" fontId="11" fillId="0" borderId="4" xfId="0" applyFont="1" applyBorder="1" applyAlignment="1">
      <alignment horizontal="left"/>
    </xf>
    <xf numFmtId="0" fontId="11" fillId="0" borderId="4" xfId="18" applyFont="1" applyBorder="1" applyAlignment="1">
      <alignment horizontal="left" vertical="top" wrapText="1"/>
    </xf>
    <xf numFmtId="0" fontId="13" fillId="0" borderId="4" xfId="18" applyFont="1" applyBorder="1" applyAlignment="1">
      <alignment horizontal="left" vertical="top" wrapText="1"/>
    </xf>
    <xf numFmtId="0" fontId="13" fillId="0" borderId="12" xfId="18" applyFont="1" applyBorder="1" applyAlignment="1">
      <alignment vertical="top"/>
    </xf>
    <xf numFmtId="0" fontId="11" fillId="0" borderId="12" xfId="18" applyFont="1" applyBorder="1" applyAlignment="1">
      <alignment horizontal="left" vertical="top" wrapText="1"/>
    </xf>
    <xf numFmtId="41" fontId="11" fillId="0" borderId="60" xfId="0" applyNumberFormat="1" applyFont="1" applyBorder="1" applyAlignment="1">
      <alignment horizontal="right" vertical="top" wrapText="1"/>
    </xf>
    <xf numFmtId="0" fontId="13" fillId="0" borderId="12" xfId="18" applyFont="1" applyBorder="1" applyAlignment="1">
      <alignment horizontal="left" vertical="top" wrapText="1"/>
    </xf>
    <xf numFmtId="0" fontId="11" fillId="0" borderId="4" xfId="2" applyFont="1" applyBorder="1" applyAlignment="1">
      <alignment vertical="top"/>
    </xf>
    <xf numFmtId="0" fontId="11" fillId="0" borderId="4" xfId="2" applyFont="1" applyBorder="1" applyAlignment="1">
      <alignment vertical="top" wrapText="1"/>
    </xf>
    <xf numFmtId="0" fontId="11" fillId="0" borderId="3" xfId="0" applyFont="1" applyBorder="1" applyAlignment="1">
      <alignment horizontal="center" vertical="top" wrapText="1"/>
    </xf>
    <xf numFmtId="0" fontId="11" fillId="0" borderId="58" xfId="0" applyFont="1" applyBorder="1" applyAlignment="1">
      <alignment horizontal="center" vertical="top" wrapText="1"/>
    </xf>
    <xf numFmtId="0" fontId="11" fillId="0" borderId="58" xfId="0" applyFont="1" applyBorder="1" applyAlignment="1">
      <alignment vertical="top" wrapText="1"/>
    </xf>
    <xf numFmtId="0" fontId="64" fillId="0" borderId="58" xfId="0" applyFont="1" applyBorder="1" applyAlignment="1">
      <alignment vertical="top" wrapText="1"/>
    </xf>
    <xf numFmtId="0" fontId="11" fillId="0" borderId="60" xfId="0" applyFont="1" applyBorder="1" applyAlignment="1">
      <alignment horizontal="center" vertical="top" wrapText="1"/>
    </xf>
    <xf numFmtId="0" fontId="64" fillId="0" borderId="60" xfId="0" applyFont="1" applyBorder="1" applyAlignment="1">
      <alignment vertical="top" wrapText="1"/>
    </xf>
    <xf numFmtId="0" fontId="64" fillId="0" borderId="0" xfId="0" applyFont="1" applyAlignment="1">
      <alignment vertical="top" wrapText="1"/>
    </xf>
    <xf numFmtId="41" fontId="64" fillId="0" borderId="0" xfId="0" applyNumberFormat="1" applyFont="1" applyAlignment="1">
      <alignment vertical="top" wrapText="1"/>
    </xf>
    <xf numFmtId="0" fontId="64" fillId="0" borderId="0" xfId="0" applyFont="1" applyAlignment="1">
      <alignment horizontal="left" vertical="top" wrapText="1"/>
    </xf>
    <xf numFmtId="0" fontId="61" fillId="0" borderId="0" xfId="0" applyFont="1" applyAlignment="1">
      <alignment horizontal="left" vertical="top" wrapText="1"/>
    </xf>
    <xf numFmtId="41" fontId="61" fillId="0" borderId="0" xfId="0" applyNumberFormat="1" applyFont="1" applyAlignment="1">
      <alignment horizontal="left" vertical="top" wrapText="1"/>
    </xf>
    <xf numFmtId="0" fontId="51" fillId="12" borderId="0" xfId="0" applyFont="1" applyFill="1" applyAlignment="1">
      <alignment horizontal="center"/>
    </xf>
    <xf numFmtId="0" fontId="50" fillId="0" borderId="6" xfId="0" applyNumberFormat="1" applyFont="1" applyBorder="1" applyAlignment="1">
      <alignment horizontal="center" vertical="center"/>
    </xf>
    <xf numFmtId="0" fontId="50" fillId="0" borderId="82" xfId="0" applyNumberFormat="1" applyFont="1" applyBorder="1" applyAlignment="1">
      <alignment horizontal="center" vertical="center"/>
    </xf>
    <xf numFmtId="0" fontId="50" fillId="0" borderId="66" xfId="3" quotePrefix="1" applyNumberFormat="1" applyFont="1" applyBorder="1" applyAlignment="1">
      <alignment horizontal="left" vertical="center"/>
    </xf>
    <xf numFmtId="165" fontId="50" fillId="0" borderId="82" xfId="3" applyNumberFormat="1" applyFont="1" applyBorder="1" applyAlignment="1">
      <alignment vertical="center"/>
    </xf>
    <xf numFmtId="0" fontId="50" fillId="0" borderId="20" xfId="3" quotePrefix="1" applyNumberFormat="1" applyFont="1" applyBorder="1" applyAlignment="1">
      <alignment horizontal="left" vertical="center"/>
    </xf>
    <xf numFmtId="0" fontId="50" fillId="0" borderId="57" xfId="3" applyNumberFormat="1" applyFont="1" applyBorder="1" applyAlignment="1">
      <alignment horizontal="left" vertical="center"/>
    </xf>
    <xf numFmtId="41" fontId="11" fillId="0" borderId="60" xfId="0" applyNumberFormat="1" applyFont="1" applyBorder="1" applyAlignment="1">
      <alignment horizontal="right"/>
    </xf>
    <xf numFmtId="41" fontId="64" fillId="0" borderId="38" xfId="0" applyNumberFormat="1" applyFont="1" applyBorder="1" applyAlignment="1">
      <alignment horizontal="right" vertical="center"/>
    </xf>
    <xf numFmtId="41" fontId="13" fillId="0" borderId="4" xfId="0" applyNumberFormat="1" applyFont="1" applyBorder="1" applyAlignment="1">
      <alignment horizontal="right" vertical="top" wrapText="1"/>
    </xf>
    <xf numFmtId="41" fontId="11" fillId="0" borderId="4" xfId="0" applyNumberFormat="1" applyFont="1" applyBorder="1" applyAlignment="1">
      <alignment horizontal="right" vertical="top" wrapText="1"/>
    </xf>
    <xf numFmtId="41" fontId="13" fillId="0" borderId="4" xfId="0" applyNumberFormat="1" applyFont="1" applyFill="1" applyBorder="1" applyAlignment="1">
      <alignment horizontal="right" vertical="top" wrapText="1"/>
    </xf>
    <xf numFmtId="41" fontId="13" fillId="0" borderId="4" xfId="0" applyNumberFormat="1" applyFont="1" applyBorder="1" applyAlignment="1">
      <alignment horizontal="right" vertical="top"/>
    </xf>
    <xf numFmtId="41" fontId="11" fillId="0" borderId="60" xfId="18" applyNumberFormat="1" applyFont="1" applyBorder="1" applyAlignment="1">
      <alignment horizontal="right" vertical="top"/>
    </xf>
    <xf numFmtId="41" fontId="13" fillId="0" borderId="60" xfId="0" applyNumberFormat="1" applyFont="1" applyBorder="1" applyAlignment="1">
      <alignment horizontal="right" vertical="top" wrapText="1"/>
    </xf>
    <xf numFmtId="41" fontId="13" fillId="0" borderId="60" xfId="18" applyNumberFormat="1" applyFont="1" applyBorder="1" applyAlignment="1">
      <alignment horizontal="right" vertical="top"/>
    </xf>
    <xf numFmtId="41" fontId="11" fillId="0" borderId="60" xfId="2" applyNumberFormat="1" applyFont="1" applyBorder="1" applyAlignment="1">
      <alignment horizontal="right" vertical="top"/>
    </xf>
    <xf numFmtId="41" fontId="11" fillId="0" borderId="60" xfId="2" applyNumberFormat="1" applyFont="1" applyBorder="1" applyAlignment="1">
      <alignment horizontal="right" vertical="top" wrapText="1"/>
    </xf>
    <xf numFmtId="41" fontId="11" fillId="0" borderId="58" xfId="0" applyNumberFormat="1" applyFont="1" applyBorder="1" applyAlignment="1">
      <alignment horizontal="right" vertical="top" wrapText="1"/>
    </xf>
    <xf numFmtId="0" fontId="66" fillId="0" borderId="0" xfId="0" applyFont="1"/>
    <xf numFmtId="0" fontId="54" fillId="0" borderId="0" xfId="0" applyFont="1"/>
    <xf numFmtId="0" fontId="54" fillId="11" borderId="4" xfId="0" applyFont="1" applyFill="1" applyBorder="1"/>
    <xf numFmtId="41" fontId="54" fillId="11" borderId="4" xfId="4" applyNumberFormat="1" applyFont="1" applyFill="1" applyBorder="1" applyAlignment="1">
      <alignment horizontal="center"/>
    </xf>
    <xf numFmtId="165" fontId="54" fillId="11" borderId="4" xfId="0" applyNumberFormat="1" applyFont="1" applyFill="1" applyBorder="1"/>
    <xf numFmtId="168" fontId="0" fillId="0" borderId="0" xfId="0" applyNumberFormat="1"/>
    <xf numFmtId="0" fontId="19" fillId="2" borderId="0" xfId="0" applyFont="1" applyFill="1"/>
    <xf numFmtId="0" fontId="19" fillId="10" borderId="0" xfId="0" applyFont="1" applyFill="1"/>
    <xf numFmtId="0" fontId="18" fillId="7" borderId="2" xfId="0" applyFont="1" applyFill="1" applyBorder="1" applyAlignment="1">
      <alignment horizontal="center" vertical="top" wrapText="1"/>
    </xf>
    <xf numFmtId="0" fontId="18" fillId="7" borderId="2" xfId="0" applyFont="1" applyFill="1" applyBorder="1" applyAlignment="1">
      <alignment vertical="top" wrapText="1"/>
    </xf>
    <xf numFmtId="0" fontId="18" fillId="7" borderId="0" xfId="0" applyFont="1" applyFill="1"/>
    <xf numFmtId="0" fontId="18" fillId="7" borderId="2" xfId="0" quotePrefix="1" applyFont="1" applyFill="1" applyBorder="1" applyAlignment="1">
      <alignment horizontal="center" vertical="top" wrapText="1"/>
    </xf>
    <xf numFmtId="0" fontId="19" fillId="7" borderId="2" xfId="0" applyFont="1" applyFill="1" applyBorder="1" applyAlignment="1">
      <alignment horizontal="center" vertical="top" wrapText="1"/>
    </xf>
    <xf numFmtId="164" fontId="18" fillId="7" borderId="0" xfId="0" applyNumberFormat="1" applyFont="1" applyFill="1"/>
    <xf numFmtId="41" fontId="6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center" vertical="top" wrapText="1"/>
    </xf>
    <xf numFmtId="0" fontId="64" fillId="0" borderId="38" xfId="0" applyFont="1" applyBorder="1" applyAlignment="1">
      <alignment horizontal="center" vertical="center"/>
    </xf>
    <xf numFmtId="0" fontId="64" fillId="0" borderId="3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top" wrapText="1"/>
    </xf>
    <xf numFmtId="0" fontId="18" fillId="0" borderId="0" xfId="0" applyFont="1" applyFill="1"/>
    <xf numFmtId="0" fontId="19" fillId="0" borderId="0" xfId="0" applyFont="1" applyFill="1"/>
    <xf numFmtId="41" fontId="18" fillId="0" borderId="2" xfId="0" applyNumberFormat="1" applyFont="1" applyFill="1" applyBorder="1" applyAlignment="1">
      <alignment horizontal="right" vertical="top" wrapText="1"/>
    </xf>
    <xf numFmtId="0" fontId="19" fillId="0" borderId="0" xfId="0" applyFont="1" applyAlignment="1">
      <alignment vertical="center"/>
    </xf>
    <xf numFmtId="164" fontId="19" fillId="0" borderId="4" xfId="0" applyNumberFormat="1" applyFont="1" applyFill="1" applyBorder="1" applyAlignment="1">
      <alignment horizontal="center" vertical="center"/>
    </xf>
    <xf numFmtId="0" fontId="18" fillId="0" borderId="68" xfId="0" applyFont="1" applyFill="1" applyBorder="1" applyAlignment="1">
      <alignment horizontal="center" vertical="top" wrapText="1"/>
    </xf>
    <xf numFmtId="0" fontId="18" fillId="0" borderId="68" xfId="0" applyFont="1" applyFill="1" applyBorder="1" applyAlignment="1">
      <alignment vertical="top" wrapText="1"/>
    </xf>
    <xf numFmtId="41" fontId="18" fillId="0" borderId="68" xfId="0" applyNumberFormat="1" applyFont="1" applyFill="1" applyBorder="1" applyAlignment="1">
      <alignment vertical="top" wrapText="1"/>
    </xf>
    <xf numFmtId="0" fontId="18" fillId="0" borderId="2" xfId="0" applyFont="1" applyFill="1" applyBorder="1" applyAlignment="1">
      <alignment horizontal="center" vertical="top" wrapText="1"/>
    </xf>
    <xf numFmtId="41" fontId="18" fillId="0" borderId="2" xfId="0" applyNumberFormat="1" applyFont="1" applyFill="1" applyBorder="1" applyAlignment="1">
      <alignment vertical="top" wrapText="1"/>
    </xf>
    <xf numFmtId="0" fontId="19" fillId="0" borderId="2" xfId="0" applyFont="1" applyFill="1" applyBorder="1" applyAlignment="1">
      <alignment horizontal="center" vertical="top" wrapText="1"/>
    </xf>
    <xf numFmtId="0" fontId="19" fillId="0" borderId="2" xfId="0" applyFont="1" applyFill="1" applyBorder="1" applyAlignment="1">
      <alignment vertical="top" wrapText="1"/>
    </xf>
    <xf numFmtId="41" fontId="19" fillId="0" borderId="2" xfId="0" applyNumberFormat="1" applyFont="1" applyFill="1" applyBorder="1" applyAlignment="1">
      <alignment vertical="top" wrapText="1"/>
    </xf>
    <xf numFmtId="41" fontId="19" fillId="0" borderId="21" xfId="0" applyNumberFormat="1" applyFont="1" applyFill="1" applyBorder="1"/>
    <xf numFmtId="41" fontId="19" fillId="0" borderId="2" xfId="0" applyNumberFormat="1" applyFont="1" applyFill="1" applyBorder="1" applyAlignment="1">
      <alignment horizontal="right" vertical="top" wrapText="1"/>
    </xf>
    <xf numFmtId="0" fontId="18" fillId="0" borderId="2" xfId="0" quotePrefix="1" applyFont="1" applyFill="1" applyBorder="1" applyAlignment="1">
      <alignment horizontal="center" vertical="top" wrapText="1"/>
    </xf>
    <xf numFmtId="0" fontId="19" fillId="0" borderId="2" xfId="0" quotePrefix="1" applyFont="1" applyFill="1" applyBorder="1" applyAlignment="1">
      <alignment horizontal="center" vertical="top" wrapText="1"/>
    </xf>
    <xf numFmtId="0" fontId="19" fillId="0" borderId="2" xfId="0" quotePrefix="1" applyFont="1" applyFill="1" applyBorder="1" applyAlignment="1">
      <alignment horizontal="left" vertical="top" wrapText="1"/>
    </xf>
    <xf numFmtId="0" fontId="19" fillId="0" borderId="2" xfId="0" applyFont="1" applyFill="1" applyBorder="1" applyAlignment="1">
      <alignment vertical="top"/>
    </xf>
    <xf numFmtId="0" fontId="19" fillId="0" borderId="2" xfId="18" applyFont="1" applyFill="1" applyBorder="1" applyAlignment="1">
      <alignment horizontal="center" vertical="top"/>
    </xf>
    <xf numFmtId="0" fontId="19" fillId="0" borderId="2" xfId="2" quotePrefix="1" applyFont="1" applyFill="1" applyBorder="1" applyAlignment="1">
      <alignment horizontal="center" vertical="top"/>
    </xf>
    <xf numFmtId="0" fontId="19" fillId="0" borderId="2" xfId="18" quotePrefix="1" applyFont="1" applyFill="1" applyBorder="1" applyAlignment="1">
      <alignment horizontal="center" vertical="top"/>
    </xf>
    <xf numFmtId="0" fontId="19" fillId="0" borderId="2" xfId="2" applyFont="1" applyFill="1" applyBorder="1" applyAlignment="1">
      <alignment horizontal="center" vertical="top"/>
    </xf>
    <xf numFmtId="0" fontId="19" fillId="0" borderId="21" xfId="0" applyFont="1" applyFill="1" applyBorder="1" applyAlignment="1">
      <alignment horizontal="left" vertical="top"/>
    </xf>
    <xf numFmtId="0" fontId="19" fillId="0" borderId="82" xfId="0" applyFont="1" applyFill="1" applyBorder="1" applyAlignment="1">
      <alignment horizontal="center" vertical="top" wrapText="1"/>
    </xf>
    <xf numFmtId="0" fontId="19" fillId="0" borderId="82" xfId="0" applyFont="1" applyFill="1" applyBorder="1" applyAlignment="1">
      <alignment vertical="top" wrapText="1"/>
    </xf>
    <xf numFmtId="41" fontId="19" fillId="0" borderId="82" xfId="0" applyNumberFormat="1" applyFont="1" applyFill="1" applyBorder="1" applyAlignment="1">
      <alignment horizontal="right" vertical="top" wrapText="1"/>
    </xf>
    <xf numFmtId="0" fontId="19" fillId="0" borderId="4" xfId="0" applyFont="1" applyFill="1" applyBorder="1" applyAlignment="1">
      <alignment horizontal="center" vertical="top" wrapText="1"/>
    </xf>
    <xf numFmtId="0" fontId="18" fillId="0" borderId="4" xfId="0" applyFont="1" applyFill="1" applyBorder="1" applyAlignment="1">
      <alignment vertical="top" wrapText="1"/>
    </xf>
    <xf numFmtId="0" fontId="19" fillId="0" borderId="4" xfId="0" applyFont="1" applyFill="1" applyBorder="1" applyAlignment="1">
      <alignment vertical="top" wrapText="1"/>
    </xf>
    <xf numFmtId="41" fontId="19" fillId="0" borderId="4" xfId="0" applyNumberFormat="1" applyFont="1" applyFill="1" applyBorder="1" applyAlignment="1">
      <alignment horizontal="right" vertical="top" wrapText="1"/>
    </xf>
    <xf numFmtId="0" fontId="19" fillId="0" borderId="0" xfId="0" quotePrefix="1" applyFont="1" applyFill="1" applyAlignment="1">
      <alignment horizontal="left" vertical="top" wrapText="1"/>
    </xf>
    <xf numFmtId="0" fontId="19" fillId="0" borderId="0" xfId="0" applyFont="1" applyFill="1" applyAlignment="1">
      <alignment horizontal="left" vertical="top" wrapText="1"/>
    </xf>
    <xf numFmtId="0" fontId="11" fillId="0" borderId="0" xfId="0" applyFont="1" applyAlignment="1">
      <alignment horizontal="center"/>
    </xf>
    <xf numFmtId="0" fontId="19" fillId="0" borderId="47" xfId="6" applyFont="1" applyBorder="1" applyAlignment="1">
      <alignment horizontal="right" vertical="center"/>
    </xf>
    <xf numFmtId="0" fontId="19" fillId="0" borderId="68" xfId="6" applyFont="1" applyBorder="1" applyAlignment="1">
      <alignment horizontal="center" vertical="center"/>
    </xf>
    <xf numFmtId="0" fontId="19" fillId="0" borderId="2" xfId="6" applyFont="1" applyBorder="1" applyAlignment="1">
      <alignment horizontal="center" vertical="center"/>
    </xf>
    <xf numFmtId="0" fontId="19" fillId="0" borderId="68" xfId="6" applyFont="1" applyBorder="1" applyAlignment="1">
      <alignment horizontal="center" vertical="center" wrapText="1"/>
    </xf>
    <xf numFmtId="0" fontId="19" fillId="0" borderId="2" xfId="6" applyFont="1" applyBorder="1" applyAlignment="1">
      <alignment horizontal="center" vertical="center" wrapText="1"/>
    </xf>
    <xf numFmtId="0" fontId="19" fillId="0" borderId="82" xfId="6" applyFont="1" applyBorder="1" applyAlignment="1">
      <alignment horizontal="center" vertical="center" wrapText="1"/>
    </xf>
    <xf numFmtId="0" fontId="19" fillId="0" borderId="0" xfId="6" applyFont="1" applyAlignment="1">
      <alignment horizontal="center"/>
    </xf>
    <xf numFmtId="0" fontId="18" fillId="0" borderId="16" xfId="6" applyFont="1" applyBorder="1" applyAlignment="1">
      <alignment horizontal="center" vertical="top"/>
    </xf>
    <xf numFmtId="0" fontId="18" fillId="0" borderId="19" xfId="6" applyFont="1" applyBorder="1" applyAlignment="1">
      <alignment horizontal="center" vertical="top"/>
    </xf>
    <xf numFmtId="0" fontId="18" fillId="0" borderId="87" xfId="6" applyFont="1" applyBorder="1" applyAlignment="1">
      <alignment horizontal="center" vertical="top"/>
    </xf>
    <xf numFmtId="0" fontId="18" fillId="0" borderId="32" xfId="6" applyFont="1" applyBorder="1" applyAlignment="1">
      <alignment horizontal="center" vertical="top" wrapText="1"/>
    </xf>
    <xf numFmtId="0" fontId="18" fillId="0" borderId="3" xfId="6" applyFont="1" applyBorder="1" applyAlignment="1">
      <alignment horizontal="center" vertical="top" wrapText="1"/>
    </xf>
    <xf numFmtId="0" fontId="18" fillId="0" borderId="49" xfId="6" applyFont="1" applyBorder="1" applyAlignment="1">
      <alignment horizontal="center" vertical="top"/>
    </xf>
    <xf numFmtId="0" fontId="19" fillId="0" borderId="46" xfId="6" applyFont="1" applyBorder="1" applyAlignment="1">
      <alignment horizontal="right" vertical="center"/>
    </xf>
    <xf numFmtId="0" fontId="18" fillId="0" borderId="1" xfId="6" applyFont="1" applyBorder="1" applyAlignment="1">
      <alignment horizontal="left" vertical="top" wrapText="1"/>
    </xf>
    <xf numFmtId="0" fontId="18" fillId="0" borderId="3" xfId="6" applyFont="1" applyBorder="1" applyAlignment="1">
      <alignment horizontal="left" vertical="top" wrapText="1"/>
    </xf>
    <xf numFmtId="0" fontId="18" fillId="0" borderId="7" xfId="6" applyFont="1" applyBorder="1" applyAlignment="1">
      <alignment horizontal="left" vertical="top" wrapText="1"/>
    </xf>
    <xf numFmtId="0" fontId="18" fillId="0" borderId="1" xfId="6" applyFont="1" applyBorder="1" applyAlignment="1">
      <alignment horizontal="center" vertical="top"/>
    </xf>
    <xf numFmtId="0" fontId="18" fillId="0" borderId="3" xfId="6" applyFont="1" applyBorder="1" applyAlignment="1">
      <alignment horizontal="center" vertical="top"/>
    </xf>
    <xf numFmtId="0" fontId="18" fillId="0" borderId="7" xfId="6" applyFont="1" applyBorder="1" applyAlignment="1">
      <alignment horizontal="center" vertical="top"/>
    </xf>
    <xf numFmtId="0" fontId="64" fillId="0" borderId="0" xfId="0" applyFont="1" applyAlignment="1">
      <alignment horizontal="center"/>
    </xf>
    <xf numFmtId="41" fontId="64" fillId="0" borderId="0" xfId="0" applyNumberFormat="1" applyFont="1" applyAlignment="1">
      <alignment horizontal="center"/>
    </xf>
    <xf numFmtId="0" fontId="64" fillId="0" borderId="0" xfId="0" applyFont="1" applyBorder="1" applyAlignment="1">
      <alignment horizontal="center" vertical="center"/>
    </xf>
    <xf numFmtId="0" fontId="64" fillId="0" borderId="38" xfId="0" applyFont="1" applyBorder="1" applyAlignment="1">
      <alignment horizontal="center" vertical="center"/>
    </xf>
    <xf numFmtId="0" fontId="64" fillId="0" borderId="0" xfId="0" applyNumberFormat="1" applyFont="1" applyAlignment="1">
      <alignment horizontal="right" vertical="top" wrapText="1"/>
    </xf>
    <xf numFmtId="41" fontId="6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center" vertical="top" wrapText="1"/>
    </xf>
    <xf numFmtId="41" fontId="64" fillId="0" borderId="0" xfId="0" applyNumberFormat="1" applyFont="1" applyAlignment="1">
      <alignment horizontal="right" vertical="top" wrapText="1"/>
    </xf>
    <xf numFmtId="0" fontId="51" fillId="12" borderId="0" xfId="0" applyFont="1" applyFill="1" applyAlignment="1">
      <alignment horizontal="center"/>
    </xf>
    <xf numFmtId="0" fontId="18" fillId="0" borderId="0" xfId="6" applyFont="1" applyAlignment="1">
      <alignment horizontal="center"/>
    </xf>
    <xf numFmtId="0" fontId="50" fillId="0" borderId="0" xfId="0" applyNumberFormat="1" applyFont="1" applyAlignment="1">
      <alignment horizontal="left" vertical="top"/>
    </xf>
    <xf numFmtId="49" fontId="50" fillId="0" borderId="0" xfId="0" applyNumberFormat="1" applyFont="1" applyAlignment="1">
      <alignment horizontal="left"/>
    </xf>
    <xf numFmtId="165" fontId="50" fillId="0" borderId="37" xfId="0" applyNumberFormat="1" applyFont="1" applyBorder="1" applyAlignment="1">
      <alignment vertical="top"/>
    </xf>
    <xf numFmtId="0" fontId="50" fillId="0" borderId="0" xfId="0" applyNumberFormat="1" applyFont="1" applyAlignment="1"/>
    <xf numFmtId="0" fontId="51" fillId="12" borderId="0" xfId="0" applyNumberFormat="1" applyFont="1" applyFill="1" applyAlignment="1">
      <alignment vertical="center"/>
    </xf>
    <xf numFmtId="0" fontId="52" fillId="12" borderId="0" xfId="0" applyFont="1" applyFill="1" applyAlignment="1"/>
    <xf numFmtId="0" fontId="19" fillId="0" borderId="6" xfId="6" applyFont="1" applyBorder="1" applyAlignment="1">
      <alignment horizontal="left" vertical="center" wrapText="1"/>
    </xf>
    <xf numFmtId="0" fontId="19" fillId="0" borderId="5" xfId="6" applyFont="1" applyBorder="1" applyAlignment="1">
      <alignment horizontal="left" vertical="center"/>
    </xf>
    <xf numFmtId="0" fontId="18" fillId="0" borderId="46" xfId="6" applyFont="1" applyBorder="1" applyAlignment="1">
      <alignment vertical="center"/>
    </xf>
    <xf numFmtId="0" fontId="18" fillId="0" borderId="47" xfId="6" applyFont="1" applyBorder="1" applyAlignment="1">
      <alignment vertical="center"/>
    </xf>
    <xf numFmtId="0" fontId="19" fillId="0" borderId="2" xfId="6" applyFont="1" applyBorder="1"/>
    <xf numFmtId="0" fontId="19" fillId="0" borderId="6" xfId="6" applyFont="1" applyBorder="1" applyAlignment="1">
      <alignment horizontal="center" vertical="center" wrapText="1"/>
    </xf>
    <xf numFmtId="0" fontId="19" fillId="0" borderId="6" xfId="6" applyFont="1" applyBorder="1" applyAlignment="1">
      <alignment vertical="center" wrapText="1"/>
    </xf>
    <xf numFmtId="41" fontId="19" fillId="0" borderId="6" xfId="5" applyFont="1" applyBorder="1" applyAlignment="1">
      <alignment vertical="center"/>
    </xf>
    <xf numFmtId="0" fontId="19" fillId="0" borderId="6" xfId="6" applyFont="1" applyBorder="1"/>
    <xf numFmtId="0" fontId="19" fillId="0" borderId="6" xfId="6" applyFont="1" applyBorder="1" applyAlignment="1">
      <alignment horizontal="center"/>
    </xf>
    <xf numFmtId="0" fontId="19" fillId="0" borderId="64" xfId="6" applyFont="1" applyBorder="1" applyAlignment="1">
      <alignment horizontal="center"/>
    </xf>
    <xf numFmtId="0" fontId="19" fillId="0" borderId="64" xfId="6" applyFont="1" applyBorder="1"/>
    <xf numFmtId="0" fontId="19" fillId="0" borderId="57" xfId="6" applyFont="1" applyBorder="1" applyAlignment="1">
      <alignment horizontal="left" vertical="center" wrapText="1"/>
    </xf>
    <xf numFmtId="41" fontId="19" fillId="0" borderId="6" xfId="5" applyFont="1" applyBorder="1" applyAlignment="1">
      <alignment horizontal="center" vertical="center"/>
    </xf>
    <xf numFmtId="0" fontId="19" fillId="0" borderId="5" xfId="6" applyFont="1" applyBorder="1" applyAlignment="1">
      <alignment vertical="center" wrapText="1"/>
    </xf>
    <xf numFmtId="41" fontId="19" fillId="0" borderId="5" xfId="5" applyFont="1" applyBorder="1" applyAlignment="1">
      <alignment horizontal="right" vertical="center"/>
    </xf>
    <xf numFmtId="41" fontId="19" fillId="0" borderId="6" xfId="5" applyFont="1" applyBorder="1" applyAlignment="1">
      <alignment horizontal="right" vertical="center"/>
    </xf>
    <xf numFmtId="41" fontId="18" fillId="0" borderId="4" xfId="6" applyNumberFormat="1" applyFont="1" applyBorder="1" applyAlignment="1">
      <alignment vertical="center"/>
    </xf>
    <xf numFmtId="0" fontId="19" fillId="0" borderId="17" xfId="6" applyFont="1" applyBorder="1" applyAlignment="1">
      <alignment horizontal="center" vertical="center"/>
    </xf>
    <xf numFmtId="0" fontId="19" fillId="0" borderId="80" xfId="6" applyFont="1" applyBorder="1" applyAlignment="1">
      <alignment horizontal="center" vertical="center" wrapText="1"/>
    </xf>
    <xf numFmtId="0" fontId="19" fillId="0" borderId="20" xfId="6" applyFont="1" applyBorder="1" applyAlignment="1">
      <alignment horizontal="center" vertical="center"/>
    </xf>
    <xf numFmtId="0" fontId="19" fillId="0" borderId="66" xfId="6" applyFont="1" applyBorder="1" applyAlignment="1">
      <alignment horizontal="center" vertical="center"/>
    </xf>
    <xf numFmtId="0" fontId="19" fillId="0" borderId="85" xfId="6" applyFont="1" applyBorder="1" applyAlignment="1">
      <alignment horizontal="center" vertical="center"/>
    </xf>
    <xf numFmtId="0" fontId="19" fillId="0" borderId="67" xfId="6" applyFont="1" applyBorder="1" applyAlignment="1">
      <alignment horizontal="center" vertical="center"/>
    </xf>
    <xf numFmtId="0" fontId="19" fillId="0" borderId="26" xfId="6" applyFont="1" applyBorder="1" applyAlignment="1">
      <alignment horizontal="center" vertical="center"/>
    </xf>
    <xf numFmtId="0" fontId="19" fillId="0" borderId="62" xfId="6" applyFont="1" applyBorder="1" applyAlignment="1">
      <alignment horizontal="center" vertical="center"/>
    </xf>
    <xf numFmtId="0" fontId="19" fillId="0" borderId="36" xfId="6" applyFont="1" applyBorder="1" applyAlignment="1">
      <alignment horizontal="center" vertical="center"/>
    </xf>
    <xf numFmtId="0" fontId="19" fillId="0" borderId="61" xfId="6" applyFont="1" applyBorder="1" applyAlignment="1">
      <alignment horizontal="center" vertical="center"/>
    </xf>
    <xf numFmtId="0" fontId="19" fillId="0" borderId="56" xfId="6" applyFont="1" applyBorder="1" applyAlignment="1">
      <alignment horizontal="center" vertical="center"/>
    </xf>
    <xf numFmtId="0" fontId="19" fillId="0" borderId="38" xfId="6" applyFont="1" applyBorder="1" applyAlignment="1">
      <alignment horizontal="center" vertical="center"/>
    </xf>
    <xf numFmtId="0" fontId="19" fillId="0" borderId="22" xfId="6" applyFont="1" applyBorder="1" applyAlignment="1">
      <alignment horizontal="left"/>
    </xf>
    <xf numFmtId="0" fontId="19" fillId="0" borderId="48" xfId="6" applyFont="1" applyBorder="1" applyAlignment="1">
      <alignment horizontal="left"/>
    </xf>
    <xf numFmtId="0" fontId="19" fillId="0" borderId="28" xfId="6" applyFont="1" applyBorder="1" applyAlignment="1">
      <alignment horizontal="left"/>
    </xf>
    <xf numFmtId="0" fontId="19" fillId="0" borderId="76" xfId="6" applyFont="1" applyBorder="1" applyAlignment="1">
      <alignment horizontal="left"/>
    </xf>
    <xf numFmtId="0" fontId="19" fillId="0" borderId="83" xfId="6" applyFont="1" applyBorder="1" applyAlignment="1">
      <alignment horizontal="left"/>
    </xf>
    <xf numFmtId="0" fontId="19" fillId="0" borderId="28" xfId="6" applyFont="1" applyBorder="1" applyAlignment="1">
      <alignment horizontal="left" vertical="center"/>
    </xf>
    <xf numFmtId="0" fontId="19" fillId="0" borderId="83" xfId="6" applyFont="1" applyBorder="1" applyAlignment="1">
      <alignment horizontal="left" vertical="center"/>
    </xf>
    <xf numFmtId="0" fontId="19" fillId="0" borderId="52" xfId="6" applyFont="1" applyBorder="1" applyAlignment="1">
      <alignment horizontal="left"/>
    </xf>
    <xf numFmtId="0" fontId="19" fillId="16" borderId="42" xfId="6" applyFont="1" applyFill="1" applyBorder="1" applyAlignment="1">
      <alignment horizontal="center" vertical="center" wrapText="1"/>
    </xf>
    <xf numFmtId="0" fontId="19" fillId="16" borderId="43" xfId="6" applyFont="1" applyFill="1" applyBorder="1" applyAlignment="1">
      <alignment horizontal="center" vertical="center" wrapText="1"/>
    </xf>
    <xf numFmtId="0" fontId="20" fillId="16" borderId="24" xfId="6" applyFont="1" applyFill="1" applyBorder="1" applyAlignment="1">
      <alignment horizontal="center" vertical="center"/>
    </xf>
    <xf numFmtId="0" fontId="20" fillId="16" borderId="41" xfId="6" applyFont="1" applyFill="1" applyBorder="1" applyAlignment="1">
      <alignment horizontal="center" vertical="center"/>
    </xf>
    <xf numFmtId="0" fontId="20" fillId="16" borderId="53" xfId="6" applyFont="1" applyFill="1" applyBorder="1" applyAlignment="1">
      <alignment horizontal="center" vertical="center"/>
    </xf>
    <xf numFmtId="0" fontId="18" fillId="16" borderId="46" xfId="6" applyFont="1" applyFill="1" applyBorder="1" applyAlignment="1">
      <alignment vertical="center"/>
    </xf>
    <xf numFmtId="0" fontId="18" fillId="16" borderId="47" xfId="6" applyFont="1" applyFill="1" applyBorder="1" applyAlignment="1">
      <alignment vertical="center"/>
    </xf>
    <xf numFmtId="41" fontId="18" fillId="16" borderId="4" xfId="5" applyFont="1" applyFill="1" applyBorder="1" applyAlignment="1">
      <alignment vertical="center"/>
    </xf>
    <xf numFmtId="0" fontId="19" fillId="16" borderId="4" xfId="6" applyFont="1" applyFill="1" applyBorder="1"/>
    <xf numFmtId="0" fontId="19" fillId="16" borderId="12" xfId="6" applyFont="1" applyFill="1" applyBorder="1"/>
    <xf numFmtId="0" fontId="19" fillId="16" borderId="48" xfId="6" applyFont="1" applyFill="1" applyBorder="1" applyAlignment="1">
      <alignment horizontal="left"/>
    </xf>
    <xf numFmtId="41" fontId="18" fillId="16" borderId="4" xfId="5" applyFont="1" applyFill="1" applyBorder="1" applyAlignment="1">
      <alignment horizontal="center" vertical="center"/>
    </xf>
    <xf numFmtId="165" fontId="44" fillId="0" borderId="4" xfId="3" applyNumberFormat="1" applyFont="1" applyBorder="1" applyAlignment="1">
      <alignment vertical="center"/>
    </xf>
    <xf numFmtId="0" fontId="64" fillId="0" borderId="0" xfId="0" applyFont="1" applyBorder="1" applyAlignment="1">
      <alignment horizontal="center" vertical="center" wrapText="1"/>
    </xf>
    <xf numFmtId="0" fontId="65" fillId="0" borderId="0" xfId="0" applyFont="1" applyBorder="1" applyAlignment="1">
      <alignment vertical="top" wrapText="1"/>
    </xf>
    <xf numFmtId="0" fontId="64" fillId="0" borderId="0" xfId="0" applyFont="1" applyBorder="1" applyAlignment="1">
      <alignment vertical="top" wrapText="1"/>
    </xf>
    <xf numFmtId="0" fontId="65" fillId="0" borderId="0" xfId="0" applyFont="1" applyFill="1" applyBorder="1" applyAlignment="1">
      <alignment vertical="top" wrapText="1"/>
    </xf>
    <xf numFmtId="0" fontId="65" fillId="0" borderId="0" xfId="0" applyFont="1" applyBorder="1" applyAlignment="1">
      <alignment vertical="top"/>
    </xf>
    <xf numFmtId="0" fontId="64" fillId="0" borderId="0" xfId="0" applyFont="1" applyBorder="1" applyAlignment="1">
      <alignment horizontal="left" vertical="top" wrapText="1"/>
    </xf>
    <xf numFmtId="0" fontId="64" fillId="14" borderId="4" xfId="0" applyFont="1" applyFill="1" applyBorder="1" applyAlignment="1">
      <alignment horizontal="center" vertical="center" wrapText="1"/>
    </xf>
    <xf numFmtId="41" fontId="64" fillId="0" borderId="0" xfId="0" applyNumberFormat="1" applyFont="1" applyBorder="1" applyAlignment="1">
      <alignment vertical="top" wrapText="1"/>
    </xf>
    <xf numFmtId="41" fontId="69" fillId="0" borderId="0" xfId="0" applyNumberFormat="1" applyFont="1"/>
    <xf numFmtId="0" fontId="69" fillId="0" borderId="0" xfId="0" applyFont="1"/>
    <xf numFmtId="0" fontId="41" fillId="0" borderId="4" xfId="0" applyFont="1" applyBorder="1" applyAlignment="1">
      <alignment vertical="top" wrapText="1"/>
    </xf>
    <xf numFmtId="0" fontId="41" fillId="0" borderId="4" xfId="0" applyFont="1" applyBorder="1" applyAlignment="1">
      <alignment horizontal="center" vertical="top" wrapText="1"/>
    </xf>
    <xf numFmtId="0" fontId="11" fillId="15" borderId="4" xfId="0" applyFont="1" applyFill="1" applyBorder="1" applyAlignment="1">
      <alignment vertical="top" wrapText="1"/>
    </xf>
    <xf numFmtId="0" fontId="11" fillId="7" borderId="4" xfId="0" applyFont="1" applyFill="1" applyBorder="1" applyAlignment="1">
      <alignment vertical="top" wrapText="1"/>
    </xf>
    <xf numFmtId="41" fontId="41" fillId="0" borderId="4" xfId="0" applyNumberFormat="1" applyFont="1" applyBorder="1" applyAlignment="1">
      <alignment horizontal="right" vertical="top" wrapText="1"/>
    </xf>
    <xf numFmtId="165" fontId="50" fillId="0" borderId="0" xfId="0" applyNumberFormat="1" applyFont="1" applyBorder="1" applyAlignment="1">
      <alignment vertical="top"/>
    </xf>
    <xf numFmtId="0" fontId="22" fillId="0" borderId="72" xfId="0" applyFont="1" applyBorder="1" applyAlignment="1">
      <alignment vertical="center"/>
    </xf>
    <xf numFmtId="0" fontId="22" fillId="0" borderId="72" xfId="0" applyFont="1" applyBorder="1" applyAlignment="1">
      <alignment horizontal="left" vertical="center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19" fillId="0" borderId="18" xfId="6" applyFont="1" applyBorder="1" applyAlignment="1">
      <alignment horizontal="center"/>
    </xf>
    <xf numFmtId="0" fontId="19" fillId="0" borderId="84" xfId="5" applyNumberFormat="1" applyFont="1" applyBorder="1" applyAlignment="1">
      <alignment horizontal="center" vertical="center"/>
    </xf>
    <xf numFmtId="0" fontId="19" fillId="0" borderId="2" xfId="5" applyNumberFormat="1" applyFont="1" applyBorder="1" applyAlignment="1">
      <alignment horizontal="center" vertical="center"/>
    </xf>
    <xf numFmtId="0" fontId="19" fillId="0" borderId="84" xfId="6" applyNumberFormat="1" applyFont="1" applyBorder="1" applyAlignment="1">
      <alignment horizontal="center" vertical="center"/>
    </xf>
    <xf numFmtId="0" fontId="19" fillId="0" borderId="2" xfId="6" applyNumberFormat="1" applyFont="1" applyBorder="1" applyAlignment="1">
      <alignment horizontal="center" vertical="center"/>
    </xf>
    <xf numFmtId="0" fontId="31" fillId="0" borderId="17" xfId="6" applyNumberFormat="1" applyFont="1" applyBorder="1" applyAlignment="1">
      <alignment horizontal="center" vertical="center"/>
    </xf>
    <xf numFmtId="0" fontId="19" fillId="0" borderId="17" xfId="6" applyNumberFormat="1" applyFont="1" applyBorder="1" applyAlignment="1">
      <alignment horizontal="center" vertical="center"/>
    </xf>
    <xf numFmtId="0" fontId="19" fillId="0" borderId="20" xfId="6" applyNumberFormat="1" applyFont="1" applyBorder="1" applyAlignment="1">
      <alignment horizontal="center" vertical="center"/>
    </xf>
    <xf numFmtId="0" fontId="33" fillId="16" borderId="42" xfId="6" applyFont="1" applyFill="1" applyBorder="1" applyAlignment="1">
      <alignment horizontal="center" vertical="center" wrapText="1"/>
    </xf>
    <xf numFmtId="0" fontId="43" fillId="16" borderId="42" xfId="6" applyFont="1" applyFill="1" applyBorder="1" applyAlignment="1">
      <alignment horizontal="center" vertical="center" wrapText="1"/>
    </xf>
    <xf numFmtId="0" fontId="19" fillId="0" borderId="5" xfId="6" applyFont="1" applyBorder="1" applyAlignment="1">
      <alignment vertical="center"/>
    </xf>
    <xf numFmtId="0" fontId="59" fillId="0" borderId="63" xfId="15" applyNumberFormat="1" applyFont="1" applyBorder="1" applyAlignment="1">
      <alignment vertical="center"/>
    </xf>
    <xf numFmtId="0" fontId="59" fillId="0" borderId="63" xfId="15" quotePrefix="1" applyNumberFormat="1" applyFont="1" applyBorder="1" applyAlignment="1">
      <alignment vertical="center"/>
    </xf>
    <xf numFmtId="0" fontId="59" fillId="0" borderId="63" xfId="4" quotePrefix="1" applyNumberFormat="1" applyFont="1" applyBorder="1" applyAlignment="1">
      <alignment vertical="center"/>
    </xf>
    <xf numFmtId="0" fontId="59" fillId="0" borderId="63" xfId="15" quotePrefix="1" applyNumberFormat="1" applyFont="1" applyBorder="1" applyAlignment="1">
      <alignment horizontal="left"/>
    </xf>
    <xf numFmtId="0" fontId="59" fillId="0" borderId="17" xfId="15" applyNumberFormat="1" applyFont="1" applyBorder="1" applyAlignment="1">
      <alignment vertical="center"/>
    </xf>
    <xf numFmtId="0" fontId="59" fillId="0" borderId="80" xfId="15" applyNumberFormat="1" applyFont="1" applyBorder="1" applyAlignment="1">
      <alignment vertical="center"/>
    </xf>
    <xf numFmtId="0" fontId="50" fillId="0" borderId="84" xfId="6" applyFont="1" applyBorder="1" applyAlignment="1">
      <alignment horizontal="center" vertical="center"/>
    </xf>
    <xf numFmtId="0" fontId="50" fillId="0" borderId="18" xfId="6" applyFont="1" applyBorder="1" applyAlignment="1">
      <alignment horizontal="center" vertical="center"/>
    </xf>
    <xf numFmtId="0" fontId="59" fillId="0" borderId="20" xfId="15" quotePrefix="1" applyNumberFormat="1" applyFont="1" applyBorder="1" applyAlignment="1">
      <alignment vertical="center"/>
    </xf>
    <xf numFmtId="0" fontId="50" fillId="0" borderId="20" xfId="0" applyFont="1" applyBorder="1"/>
    <xf numFmtId="0" fontId="59" fillId="0" borderId="20" xfId="15" applyNumberFormat="1" applyFont="1" applyBorder="1" applyAlignment="1">
      <alignment vertical="center"/>
    </xf>
    <xf numFmtId="0" fontId="59" fillId="0" borderId="79" xfId="15" quotePrefix="1" applyNumberFormat="1" applyFont="1" applyBorder="1" applyAlignment="1">
      <alignment horizontal="left"/>
    </xf>
    <xf numFmtId="0" fontId="59" fillId="0" borderId="94" xfId="15" applyNumberFormat="1" applyFont="1" applyBorder="1" applyAlignment="1">
      <alignment horizontal="center"/>
    </xf>
    <xf numFmtId="0" fontId="50" fillId="0" borderId="2" xfId="6" applyFont="1" applyBorder="1" applyAlignment="1">
      <alignment horizontal="center"/>
    </xf>
    <xf numFmtId="0" fontId="50" fillId="0" borderId="94" xfId="6" applyFont="1" applyBorder="1" applyAlignment="1">
      <alignment horizontal="center"/>
    </xf>
    <xf numFmtId="0" fontId="59" fillId="0" borderId="20" xfId="4" quotePrefix="1" applyNumberFormat="1" applyFont="1" applyBorder="1" applyAlignment="1">
      <alignment vertical="center"/>
    </xf>
    <xf numFmtId="0" fontId="59" fillId="0" borderId="20" xfId="15" quotePrefix="1" applyNumberFormat="1" applyFont="1" applyBorder="1" applyAlignment="1">
      <alignment horizontal="left"/>
    </xf>
    <xf numFmtId="0" fontId="59" fillId="0" borderId="97" xfId="15" quotePrefix="1" applyNumberFormat="1" applyFont="1" applyBorder="1" applyAlignment="1">
      <alignment horizontal="left"/>
    </xf>
    <xf numFmtId="0" fontId="59" fillId="0" borderId="64" xfId="15" quotePrefix="1" applyNumberFormat="1" applyFont="1" applyBorder="1" applyAlignment="1">
      <alignment vertical="center"/>
    </xf>
    <xf numFmtId="0" fontId="59" fillId="0" borderId="65" xfId="15" quotePrefix="1" applyNumberFormat="1" applyFont="1" applyBorder="1" applyAlignment="1">
      <alignment vertical="center"/>
    </xf>
    <xf numFmtId="0" fontId="15" fillId="0" borderId="6" xfId="0" applyFont="1" applyBorder="1" applyAlignment="1">
      <alignment horizontal="center"/>
    </xf>
    <xf numFmtId="20" fontId="50" fillId="0" borderId="26" xfId="6" quotePrefix="1" applyNumberFormat="1" applyFont="1" applyBorder="1" applyAlignment="1">
      <alignment vertical="center"/>
    </xf>
    <xf numFmtId="20" fontId="50" fillId="0" borderId="62" xfId="6" quotePrefix="1" applyNumberFormat="1" applyFont="1" applyBorder="1" applyAlignment="1">
      <alignment vertical="center"/>
    </xf>
    <xf numFmtId="0" fontId="50" fillId="0" borderId="12" xfId="6" applyFont="1" applyBorder="1" applyAlignment="1">
      <alignment vertical="center"/>
    </xf>
    <xf numFmtId="0" fontId="50" fillId="0" borderId="60" xfId="6" applyFont="1" applyBorder="1" applyAlignment="1">
      <alignment vertical="center"/>
    </xf>
    <xf numFmtId="0" fontId="50" fillId="0" borderId="4" xfId="6" applyFont="1" applyBorder="1" applyAlignment="1">
      <alignment vertical="center"/>
    </xf>
    <xf numFmtId="166" fontId="50" fillId="0" borderId="4" xfId="6" applyNumberFormat="1" applyFont="1" applyBorder="1" applyAlignment="1">
      <alignment vertical="center"/>
    </xf>
    <xf numFmtId="0" fontId="59" fillId="0" borderId="64" xfId="15" applyNumberFormat="1" applyFont="1" applyBorder="1" applyAlignment="1">
      <alignment vertical="center"/>
    </xf>
    <xf numFmtId="0" fontId="59" fillId="0" borderId="65" xfId="15" applyNumberFormat="1" applyFont="1" applyBorder="1" applyAlignment="1">
      <alignment vertical="center"/>
    </xf>
    <xf numFmtId="0" fontId="59" fillId="0" borderId="26" xfId="15" applyNumberFormat="1" applyFont="1" applyBorder="1" applyAlignment="1">
      <alignment vertical="center"/>
    </xf>
    <xf numFmtId="0" fontId="59" fillId="0" borderId="62" xfId="15" applyNumberFormat="1" applyFont="1" applyBorder="1" applyAlignment="1">
      <alignment vertical="center"/>
    </xf>
    <xf numFmtId="3" fontId="59" fillId="0" borderId="5" xfId="15" applyNumberFormat="1" applyFont="1" applyBorder="1" applyAlignment="1">
      <alignment horizontal="center" vertical="center"/>
    </xf>
    <xf numFmtId="0" fontId="59" fillId="0" borderId="5" xfId="15" applyNumberFormat="1" applyFont="1" applyBorder="1" applyAlignment="1">
      <alignment horizontal="center" vertical="center"/>
    </xf>
    <xf numFmtId="0" fontId="50" fillId="0" borderId="6" xfId="0" applyFont="1" applyBorder="1" applyAlignment="1">
      <alignment horizontal="center"/>
    </xf>
    <xf numFmtId="0" fontId="50" fillId="0" borderId="26" xfId="0" applyFont="1" applyBorder="1"/>
    <xf numFmtId="0" fontId="50" fillId="0" borderId="62" xfId="0" applyFont="1" applyBorder="1"/>
    <xf numFmtId="0" fontId="50" fillId="0" borderId="5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59" fillId="0" borderId="26" xfId="4" applyNumberFormat="1" applyFont="1" applyBorder="1" applyAlignment="1">
      <alignment vertical="center"/>
    </xf>
    <xf numFmtId="0" fontId="59" fillId="0" borderId="62" xfId="4" applyNumberFormat="1" applyFont="1" applyBorder="1" applyAlignment="1">
      <alignment vertical="center"/>
    </xf>
    <xf numFmtId="0" fontId="59" fillId="0" borderId="5" xfId="0" applyFont="1" applyBorder="1" applyAlignment="1">
      <alignment horizontal="center"/>
    </xf>
    <xf numFmtId="0" fontId="50" fillId="0" borderId="5" xfId="6" applyFont="1" applyBorder="1"/>
    <xf numFmtId="0" fontId="59" fillId="0" borderId="64" xfId="4" quotePrefix="1" applyNumberFormat="1" applyFont="1" applyBorder="1" applyAlignment="1"/>
    <xf numFmtId="0" fontId="59" fillId="0" borderId="65" xfId="4" quotePrefix="1" applyNumberFormat="1" applyFont="1" applyBorder="1" applyAlignment="1"/>
    <xf numFmtId="0" fontId="59" fillId="0" borderId="6" xfId="0" applyFont="1" applyBorder="1" applyAlignment="1">
      <alignment horizontal="center"/>
    </xf>
    <xf numFmtId="0" fontId="50" fillId="0" borderId="6" xfId="6" applyFont="1" applyBorder="1" applyAlignment="1">
      <alignment horizontal="center"/>
    </xf>
    <xf numFmtId="0" fontId="59" fillId="0" borderId="26" xfId="15" applyNumberFormat="1" applyFont="1" applyBorder="1" applyAlignment="1">
      <alignment horizontal="left"/>
    </xf>
    <xf numFmtId="0" fontId="59" fillId="0" borderId="62" xfId="15" applyNumberFormat="1" applyFont="1" applyBorder="1" applyAlignment="1">
      <alignment horizontal="left"/>
    </xf>
    <xf numFmtId="0" fontId="59" fillId="0" borderId="5" xfId="15" applyNumberFormat="1" applyFont="1" applyBorder="1" applyAlignment="1">
      <alignment horizontal="center"/>
    </xf>
    <xf numFmtId="0" fontId="50" fillId="0" borderId="5" xfId="6" applyFont="1" applyBorder="1" applyAlignment="1">
      <alignment horizontal="center"/>
    </xf>
    <xf numFmtId="41" fontId="50" fillId="0" borderId="2" xfId="6" applyNumberFormat="1" applyFont="1" applyBorder="1"/>
    <xf numFmtId="41" fontId="50" fillId="0" borderId="22" xfId="6" applyNumberFormat="1" applyFont="1" applyBorder="1"/>
    <xf numFmtId="41" fontId="50" fillId="0" borderId="6" xfId="6" applyNumberFormat="1" applyFont="1" applyBorder="1"/>
    <xf numFmtId="41" fontId="50" fillId="0" borderId="78" xfId="6" applyNumberFormat="1" applyFont="1" applyBorder="1"/>
    <xf numFmtId="41" fontId="50" fillId="0" borderId="4" xfId="6" applyNumberFormat="1" applyFont="1" applyBorder="1" applyAlignment="1">
      <alignment horizontal="right" vertical="center"/>
    </xf>
    <xf numFmtId="41" fontId="50" fillId="0" borderId="4" xfId="6" applyNumberFormat="1" applyFont="1" applyBorder="1" applyAlignment="1">
      <alignment vertical="center"/>
    </xf>
    <xf numFmtId="41" fontId="50" fillId="0" borderId="48" xfId="6" applyNumberFormat="1" applyFont="1" applyBorder="1" applyAlignment="1">
      <alignment vertical="center"/>
    </xf>
    <xf numFmtId="41" fontId="50" fillId="0" borderId="5" xfId="6" applyNumberFormat="1" applyFont="1" applyBorder="1" applyAlignment="1">
      <alignment horizontal="center" vertical="center"/>
    </xf>
    <xf numFmtId="41" fontId="50" fillId="0" borderId="28" xfId="6" applyNumberFormat="1" applyFont="1" applyBorder="1" applyAlignment="1">
      <alignment horizontal="center" vertical="center"/>
    </xf>
    <xf numFmtId="41" fontId="15" fillId="12" borderId="2" xfId="14" applyNumberFormat="1" applyFont="1" applyFill="1" applyBorder="1"/>
    <xf numFmtId="41" fontId="15" fillId="12" borderId="6" xfId="14" applyNumberFormat="1" applyFont="1" applyFill="1" applyBorder="1"/>
    <xf numFmtId="41" fontId="59" fillId="0" borderId="5" xfId="15" applyNumberFormat="1" applyFont="1" applyBorder="1" applyAlignment="1">
      <alignment vertical="center"/>
    </xf>
    <xf numFmtId="41" fontId="50" fillId="0" borderId="28" xfId="6" applyNumberFormat="1" applyFont="1" applyBorder="1" applyAlignment="1">
      <alignment vertical="center"/>
    </xf>
    <xf numFmtId="41" fontId="59" fillId="0" borderId="4" xfId="15" applyNumberFormat="1" applyFont="1" applyBorder="1" applyAlignment="1">
      <alignment vertical="center"/>
    </xf>
    <xf numFmtId="41" fontId="15" fillId="12" borderId="5" xfId="14" applyNumberFormat="1" applyFont="1" applyFill="1" applyBorder="1"/>
    <xf numFmtId="41" fontId="50" fillId="0" borderId="28" xfId="6" applyNumberFormat="1" applyFont="1" applyBorder="1"/>
    <xf numFmtId="41" fontId="59" fillId="12" borderId="5" xfId="17" applyNumberFormat="1" applyFont="1" applyFill="1" applyBorder="1" applyAlignment="1"/>
    <xf numFmtId="41" fontId="50" fillId="0" borderId="5" xfId="6" applyNumberFormat="1" applyFont="1" applyBorder="1"/>
    <xf numFmtId="41" fontId="59" fillId="12" borderId="6" xfId="14" quotePrefix="1" applyNumberFormat="1" applyFont="1" applyFill="1" applyBorder="1" applyAlignment="1"/>
    <xf numFmtId="41" fontId="50" fillId="12" borderId="5" xfId="17" applyNumberFormat="1" applyFont="1" applyFill="1" applyBorder="1"/>
    <xf numFmtId="41" fontId="50" fillId="12" borderId="2" xfId="14" applyNumberFormat="1" applyFont="1" applyFill="1" applyBorder="1"/>
    <xf numFmtId="41" fontId="59" fillId="12" borderId="2" xfId="14" applyNumberFormat="1" applyFont="1" applyFill="1" applyBorder="1" applyAlignment="1">
      <alignment horizontal="left"/>
    </xf>
    <xf numFmtId="41" fontId="59" fillId="12" borderId="94" xfId="14" applyNumberFormat="1" applyFont="1" applyFill="1" applyBorder="1" applyAlignment="1">
      <alignment horizontal="left"/>
    </xf>
    <xf numFmtId="41" fontId="50" fillId="0" borderId="94" xfId="6" applyNumberFormat="1" applyFont="1" applyBorder="1"/>
    <xf numFmtId="41" fontId="50" fillId="0" borderId="25" xfId="6" applyNumberFormat="1" applyFont="1" applyBorder="1"/>
    <xf numFmtId="41" fontId="50" fillId="0" borderId="15" xfId="6" applyNumberFormat="1" applyFont="1" applyBorder="1" applyAlignment="1">
      <alignment horizontal="right" vertical="center"/>
    </xf>
    <xf numFmtId="41" fontId="50" fillId="0" borderId="91" xfId="6" applyNumberFormat="1" applyFont="1" applyBorder="1" applyAlignment="1">
      <alignment vertical="center"/>
    </xf>
    <xf numFmtId="41" fontId="50" fillId="0" borderId="54" xfId="6" applyNumberFormat="1" applyFont="1" applyBorder="1" applyAlignment="1">
      <alignment vertical="center"/>
    </xf>
    <xf numFmtId="41" fontId="50" fillId="0" borderId="54" xfId="6" applyNumberFormat="1" applyFont="1" applyBorder="1"/>
    <xf numFmtId="164" fontId="15" fillId="0" borderId="0" xfId="0" applyNumberFormat="1" applyFont="1" applyBorder="1" applyAlignment="1"/>
    <xf numFmtId="165" fontId="15" fillId="0" borderId="0" xfId="0" applyNumberFormat="1" applyFont="1" applyBorder="1"/>
    <xf numFmtId="0" fontId="18" fillId="2" borderId="0" xfId="0" applyFont="1" applyFill="1"/>
    <xf numFmtId="0" fontId="14" fillId="8" borderId="12" xfId="0" applyFont="1" applyFill="1" applyBorder="1" applyAlignment="1">
      <alignment horizontal="center" wrapText="1"/>
    </xf>
    <xf numFmtId="0" fontId="14" fillId="8" borderId="60" xfId="0" applyFont="1" applyFill="1" applyBorder="1" applyAlignment="1">
      <alignment horizontal="center" wrapText="1"/>
    </xf>
    <xf numFmtId="0" fontId="14" fillId="8" borderId="4" xfId="0" applyFont="1" applyFill="1" applyBorder="1" applyAlignment="1">
      <alignment horizontal="center"/>
    </xf>
    <xf numFmtId="0" fontId="0" fillId="8" borderId="4" xfId="0" applyFill="1" applyBorder="1"/>
    <xf numFmtId="165" fontId="0" fillId="8" borderId="4" xfId="4" applyNumberFormat="1" applyFont="1" applyFill="1" applyBorder="1" applyAlignment="1">
      <alignment horizontal="center"/>
    </xf>
    <xf numFmtId="41" fontId="0" fillId="8" borderId="4" xfId="4" applyNumberFormat="1" applyFont="1" applyFill="1" applyBorder="1" applyAlignment="1">
      <alignment horizontal="center"/>
    </xf>
    <xf numFmtId="165" fontId="0" fillId="10" borderId="4" xfId="0" applyNumberFormat="1" applyFill="1" applyBorder="1"/>
    <xf numFmtId="0" fontId="19" fillId="7" borderId="2" xfId="0" quotePrefix="1" applyFont="1" applyFill="1" applyBorder="1" applyAlignment="1">
      <alignment horizontal="center" vertical="top" wrapText="1"/>
    </xf>
    <xf numFmtId="0" fontId="19" fillId="7" borderId="2" xfId="0" applyFont="1" applyFill="1" applyBorder="1" applyAlignment="1">
      <alignment vertical="top" wrapText="1"/>
    </xf>
    <xf numFmtId="41" fontId="19" fillId="7" borderId="2" xfId="0" applyNumberFormat="1" applyFont="1" applyFill="1" applyBorder="1" applyAlignment="1">
      <alignment horizontal="right" vertical="top" wrapText="1"/>
    </xf>
    <xf numFmtId="41" fontId="18" fillId="7" borderId="2" xfId="0" applyNumberFormat="1" applyFont="1" applyFill="1" applyBorder="1" applyAlignment="1">
      <alignment horizontal="right" vertical="top" wrapText="1"/>
    </xf>
    <xf numFmtId="0" fontId="18" fillId="8" borderId="2" xfId="0" applyFont="1" applyFill="1" applyBorder="1" applyAlignment="1">
      <alignment horizontal="center" vertical="top" wrapText="1"/>
    </xf>
    <xf numFmtId="0" fontId="18" fillId="8" borderId="2" xfId="0" quotePrefix="1" applyFont="1" applyFill="1" applyBorder="1" applyAlignment="1">
      <alignment horizontal="center" vertical="top" wrapText="1"/>
    </xf>
    <xf numFmtId="0" fontId="19" fillId="8" borderId="2" xfId="0" applyFont="1" applyFill="1" applyBorder="1" applyAlignment="1">
      <alignment horizontal="center" vertical="top" wrapText="1"/>
    </xf>
    <xf numFmtId="0" fontId="18" fillId="8" borderId="2" xfId="0" applyFont="1" applyFill="1" applyBorder="1" applyAlignment="1">
      <alignment vertical="top" wrapText="1"/>
    </xf>
    <xf numFmtId="41" fontId="18" fillId="8" borderId="2" xfId="0" applyNumberFormat="1" applyFont="1" applyFill="1" applyBorder="1" applyAlignment="1">
      <alignment horizontal="right" vertical="top" wrapText="1"/>
    </xf>
    <xf numFmtId="0" fontId="18" fillId="8" borderId="2" xfId="0" applyFont="1" applyFill="1" applyBorder="1" applyAlignment="1">
      <alignment horizontal="center" vertical="top"/>
    </xf>
    <xf numFmtId="0" fontId="18" fillId="8" borderId="2" xfId="0" quotePrefix="1" applyFont="1" applyFill="1" applyBorder="1" applyAlignment="1">
      <alignment horizontal="center" vertical="top"/>
    </xf>
    <xf numFmtId="0" fontId="18" fillId="8" borderId="20" xfId="2" applyFont="1" applyFill="1" applyBorder="1" applyAlignment="1">
      <alignment vertical="top" wrapText="1"/>
    </xf>
    <xf numFmtId="0" fontId="18" fillId="8" borderId="2" xfId="0" applyFont="1" applyFill="1" applyBorder="1" applyAlignment="1">
      <alignment vertical="top"/>
    </xf>
    <xf numFmtId="41" fontId="18" fillId="8" borderId="2" xfId="0" applyNumberFormat="1" applyFont="1" applyFill="1" applyBorder="1" applyAlignment="1">
      <alignment horizontal="right" vertical="top"/>
    </xf>
    <xf numFmtId="0" fontId="18" fillId="8" borderId="2" xfId="18" applyFont="1" applyFill="1" applyBorder="1" applyAlignment="1">
      <alignment horizontal="center" vertical="top"/>
    </xf>
    <xf numFmtId="0" fontId="18" fillId="8" borderId="2" xfId="2" quotePrefix="1" applyFont="1" applyFill="1" applyBorder="1" applyAlignment="1">
      <alignment horizontal="center" vertical="top"/>
    </xf>
    <xf numFmtId="0" fontId="18" fillId="8" borderId="2" xfId="18" quotePrefix="1" applyFont="1" applyFill="1" applyBorder="1" applyAlignment="1">
      <alignment horizontal="center" vertical="top"/>
    </xf>
    <xf numFmtId="0" fontId="18" fillId="8" borderId="2" xfId="2" applyFont="1" applyFill="1" applyBorder="1" applyAlignment="1">
      <alignment vertical="top"/>
    </xf>
    <xf numFmtId="0" fontId="18" fillId="2" borderId="2" xfId="0" applyFont="1" applyFill="1" applyBorder="1" applyAlignment="1">
      <alignment horizontal="center" vertical="center" wrapText="1"/>
    </xf>
    <xf numFmtId="0" fontId="18" fillId="2" borderId="2" xfId="0" quotePrefix="1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center" vertical="center" wrapText="1"/>
    </xf>
    <xf numFmtId="0" fontId="18" fillId="2" borderId="2" xfId="0" applyFont="1" applyFill="1" applyBorder="1" applyAlignment="1">
      <alignment vertical="center" wrapText="1"/>
    </xf>
    <xf numFmtId="41" fontId="18" fillId="2" borderId="2" xfId="0" applyNumberFormat="1" applyFont="1" applyFill="1" applyBorder="1" applyAlignment="1">
      <alignment horizontal="right" vertical="center" wrapText="1"/>
    </xf>
    <xf numFmtId="0" fontId="18" fillId="2" borderId="4" xfId="0" applyFont="1" applyFill="1" applyBorder="1"/>
    <xf numFmtId="0" fontId="19" fillId="8" borderId="2" xfId="0" quotePrefix="1" applyFont="1" applyFill="1" applyBorder="1" applyAlignment="1">
      <alignment horizontal="center" vertical="top" wrapText="1"/>
    </xf>
    <xf numFmtId="0" fontId="19" fillId="8" borderId="2" xfId="2" quotePrefix="1" applyFont="1" applyFill="1" applyBorder="1" applyAlignment="1">
      <alignment horizontal="center" vertical="top"/>
    </xf>
    <xf numFmtId="0" fontId="18" fillId="8" borderId="2" xfId="18" applyFont="1" applyFill="1" applyBorder="1" applyAlignment="1">
      <alignment horizontal="left" vertical="top" wrapText="1"/>
    </xf>
    <xf numFmtId="0" fontId="19" fillId="8" borderId="2" xfId="0" applyFont="1" applyFill="1" applyBorder="1" applyAlignment="1">
      <alignment vertical="top" wrapText="1"/>
    </xf>
    <xf numFmtId="41" fontId="19" fillId="8" borderId="2" xfId="0" applyNumberFormat="1" applyFont="1" applyFill="1" applyBorder="1" applyAlignment="1">
      <alignment horizontal="right" vertical="top" wrapText="1"/>
    </xf>
    <xf numFmtId="0" fontId="19" fillId="8" borderId="2" xfId="2" applyFont="1" applyFill="1" applyBorder="1" applyAlignment="1">
      <alignment horizontal="center" vertical="top"/>
    </xf>
    <xf numFmtId="0" fontId="18" fillId="8" borderId="20" xfId="18" applyFont="1" applyFill="1" applyBorder="1" applyAlignment="1">
      <alignment vertical="top"/>
    </xf>
    <xf numFmtId="0" fontId="19" fillId="7" borderId="2" xfId="2" applyFont="1" applyFill="1" applyBorder="1" applyAlignment="1">
      <alignment horizontal="center" vertical="top"/>
    </xf>
    <xf numFmtId="0" fontId="19" fillId="7" borderId="2" xfId="2" quotePrefix="1" applyFont="1" applyFill="1" applyBorder="1" applyAlignment="1">
      <alignment horizontal="center" vertical="top"/>
    </xf>
    <xf numFmtId="0" fontId="19" fillId="7" borderId="20" xfId="18" applyFont="1" applyFill="1" applyBorder="1" applyAlignment="1">
      <alignment vertical="top"/>
    </xf>
    <xf numFmtId="0" fontId="19" fillId="0" borderId="0" xfId="0" applyFont="1" applyBorder="1"/>
    <xf numFmtId="0" fontId="0" fillId="0" borderId="0" xfId="0" applyBorder="1"/>
    <xf numFmtId="0" fontId="18" fillId="0" borderId="0" xfId="0" applyFont="1" applyBorder="1"/>
    <xf numFmtId="164" fontId="0" fillId="0" borderId="0" xfId="0" applyNumberFormat="1" applyBorder="1"/>
    <xf numFmtId="0" fontId="66" fillId="0" borderId="0" xfId="0" applyFont="1" applyBorder="1"/>
    <xf numFmtId="41" fontId="54" fillId="0" borderId="0" xfId="5" applyFont="1" applyBorder="1"/>
    <xf numFmtId="0" fontId="54" fillId="0" borderId="0" xfId="0" applyFont="1" applyBorder="1"/>
    <xf numFmtId="41" fontId="54" fillId="0" borderId="0" xfId="0" applyNumberFormat="1" applyFont="1" applyBorder="1"/>
    <xf numFmtId="0" fontId="67" fillId="0" borderId="0" xfId="0" applyFont="1" applyBorder="1"/>
    <xf numFmtId="41" fontId="67" fillId="0" borderId="0" xfId="0" applyNumberFormat="1" applyFont="1" applyBorder="1"/>
    <xf numFmtId="0" fontId="67" fillId="0" borderId="0" xfId="0" applyFont="1" applyBorder="1" applyAlignment="1">
      <alignment horizontal="center"/>
    </xf>
    <xf numFmtId="0" fontId="54" fillId="0" borderId="0" xfId="0" applyFont="1" applyBorder="1" applyAlignment="1">
      <alignment horizontal="center"/>
    </xf>
    <xf numFmtId="9" fontId="54" fillId="0" borderId="0" xfId="0" applyNumberFormat="1" applyFont="1" applyBorder="1" applyAlignment="1">
      <alignment horizontal="center"/>
    </xf>
    <xf numFmtId="41" fontId="54" fillId="0" borderId="0" xfId="4" applyNumberFormat="1" applyFont="1" applyBorder="1" applyAlignment="1">
      <alignment horizontal="center"/>
    </xf>
    <xf numFmtId="41" fontId="67" fillId="0" borderId="0" xfId="0" applyNumberFormat="1" applyFont="1" applyBorder="1" applyAlignment="1">
      <alignment horizontal="center"/>
    </xf>
    <xf numFmtId="0" fontId="19" fillId="7" borderId="2" xfId="18" applyFont="1" applyFill="1" applyBorder="1" applyAlignment="1">
      <alignment horizontal="center" vertical="top"/>
    </xf>
    <xf numFmtId="0" fontId="19" fillId="7" borderId="2" xfId="18" applyFont="1" applyFill="1" applyBorder="1" applyAlignment="1">
      <alignment vertical="top" wrapText="1"/>
    </xf>
    <xf numFmtId="0" fontId="19" fillId="7" borderId="2" xfId="18" applyFont="1" applyFill="1" applyBorder="1" applyAlignment="1">
      <alignment vertical="top"/>
    </xf>
    <xf numFmtId="0" fontId="19" fillId="7" borderId="2" xfId="18" quotePrefix="1" applyFont="1" applyFill="1" applyBorder="1" applyAlignment="1">
      <alignment horizontal="center" vertical="top"/>
    </xf>
    <xf numFmtId="0" fontId="19" fillId="7" borderId="20" xfId="18" applyFont="1" applyFill="1" applyBorder="1" applyAlignment="1">
      <alignment vertical="top" wrapText="1"/>
    </xf>
    <xf numFmtId="41" fontId="13" fillId="0" borderId="0" xfId="4" applyNumberFormat="1" applyFont="1" applyFill="1" applyBorder="1" applyAlignment="1">
      <alignment horizontal="center"/>
    </xf>
    <xf numFmtId="0" fontId="18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67" fillId="0" borderId="0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center"/>
    </xf>
    <xf numFmtId="0" fontId="0" fillId="0" borderId="0" xfId="0" applyFill="1"/>
    <xf numFmtId="0" fontId="54" fillId="0" borderId="0" xfId="0" applyFont="1" applyFill="1" applyBorder="1"/>
    <xf numFmtId="41" fontId="54" fillId="0" borderId="0" xfId="4" applyNumberFormat="1" applyFont="1" applyFill="1" applyBorder="1" applyAlignment="1">
      <alignment horizontal="center"/>
    </xf>
    <xf numFmtId="41" fontId="54" fillId="0" borderId="0" xfId="0" applyNumberFormat="1" applyFont="1" applyFill="1" applyBorder="1"/>
    <xf numFmtId="0" fontId="0" fillId="0" borderId="0" xfId="0" applyFill="1" applyBorder="1"/>
    <xf numFmtId="165" fontId="54" fillId="0" borderId="0" xfId="0" applyNumberFormat="1" applyFont="1" applyFill="1" applyBorder="1"/>
    <xf numFmtId="0" fontId="11" fillId="0" borderId="0" xfId="0" applyFont="1" applyFill="1" applyBorder="1"/>
    <xf numFmtId="41" fontId="11" fillId="0" borderId="0" xfId="0" applyNumberFormat="1" applyFont="1" applyFill="1" applyBorder="1"/>
    <xf numFmtId="0" fontId="13" fillId="0" borderId="0" xfId="0" applyFont="1" applyFill="1" applyBorder="1"/>
    <xf numFmtId="165" fontId="11" fillId="0" borderId="0" xfId="3" applyNumberFormat="1" applyFont="1" applyFill="1" applyBorder="1"/>
    <xf numFmtId="165" fontId="13" fillId="0" borderId="0" xfId="0" applyNumberFormat="1" applyFont="1" applyFill="1" applyBorder="1"/>
    <xf numFmtId="41" fontId="11" fillId="0" borderId="0" xfId="5" applyNumberFormat="1" applyFont="1" applyFill="1" applyBorder="1"/>
    <xf numFmtId="41" fontId="11" fillId="0" borderId="0" xfId="5" applyFont="1" applyFill="1" applyBorder="1"/>
    <xf numFmtId="41" fontId="13" fillId="0" borderId="0" xfId="0" applyNumberFormat="1" applyFont="1" applyFill="1" applyBorder="1"/>
    <xf numFmtId="165" fontId="11" fillId="0" borderId="0" xfId="0" applyNumberFormat="1" applyFont="1" applyFill="1" applyBorder="1"/>
    <xf numFmtId="41" fontId="11" fillId="0" borderId="0" xfId="3" applyNumberFormat="1" applyFont="1" applyFill="1" applyBorder="1"/>
    <xf numFmtId="165" fontId="11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9" fontId="11" fillId="0" borderId="0" xfId="0" applyNumberFormat="1" applyFont="1" applyFill="1" applyBorder="1" applyAlignment="1">
      <alignment horizontal="center"/>
    </xf>
    <xf numFmtId="41" fontId="11" fillId="0" borderId="0" xfId="4" applyNumberFormat="1" applyFont="1" applyFill="1" applyBorder="1" applyAlignment="1">
      <alignment horizontal="center"/>
    </xf>
    <xf numFmtId="41" fontId="13" fillId="0" borderId="0" xfId="0" applyNumberFormat="1" applyFont="1" applyFill="1" applyBorder="1" applyAlignment="1">
      <alignment horizontal="center"/>
    </xf>
    <xf numFmtId="0" fontId="42" fillId="0" borderId="0" xfId="0" applyFont="1" applyFill="1" applyBorder="1"/>
    <xf numFmtId="0" fontId="34" fillId="0" borderId="0" xfId="0" applyFont="1" applyFill="1" applyBorder="1"/>
    <xf numFmtId="0" fontId="11" fillId="0" borderId="0" xfId="0" applyFont="1" applyFill="1" applyBorder="1" applyAlignment="1">
      <alignment horizontal="center" vertical="center"/>
    </xf>
    <xf numFmtId="0" fontId="11" fillId="0" borderId="0" xfId="0" quotePrefix="1" applyFont="1" applyFill="1" applyBorder="1" applyAlignment="1">
      <alignment horizontal="justify" vertical="center"/>
    </xf>
    <xf numFmtId="41" fontId="11" fillId="0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164" fontId="11" fillId="0" borderId="0" xfId="0" applyNumberFormat="1" applyFont="1" applyFill="1" applyBorder="1"/>
    <xf numFmtId="0" fontId="13" fillId="0" borderId="0" xfId="0" quotePrefix="1" applyFont="1" applyFill="1" applyBorder="1" applyAlignment="1">
      <alignment horizontal="center" vertical="center"/>
    </xf>
    <xf numFmtId="164" fontId="19" fillId="0" borderId="0" xfId="6" applyNumberFormat="1" applyFont="1" applyFill="1" applyBorder="1"/>
    <xf numFmtId="164" fontId="63" fillId="0" borderId="0" xfId="6" applyNumberFormat="1" applyFont="1" applyFill="1" applyBorder="1"/>
    <xf numFmtId="164" fontId="16" fillId="0" borderId="0" xfId="6" applyNumberFormat="1" applyFont="1" applyFill="1" applyBorder="1"/>
    <xf numFmtId="0" fontId="16" fillId="0" borderId="0" xfId="6" applyFont="1" applyFill="1" applyBorder="1"/>
    <xf numFmtId="0" fontId="19" fillId="0" borderId="0" xfId="6" applyFont="1" applyFill="1" applyBorder="1"/>
    <xf numFmtId="164" fontId="18" fillId="0" borderId="0" xfId="6" applyNumberFormat="1" applyFont="1" applyFill="1" applyBorder="1"/>
    <xf numFmtId="0" fontId="18" fillId="0" borderId="0" xfId="6" applyFont="1" applyFill="1" applyBorder="1"/>
    <xf numFmtId="41" fontId="19" fillId="0" borderId="0" xfId="6" applyNumberFormat="1" applyFont="1" applyFill="1" applyBorder="1"/>
    <xf numFmtId="164" fontId="19" fillId="0" borderId="0" xfId="6" applyNumberFormat="1" applyFont="1" applyFill="1" applyBorder="1" applyAlignment="1">
      <alignment horizontal="center" vertical="center"/>
    </xf>
    <xf numFmtId="0" fontId="19" fillId="0" borderId="0" xfId="6" applyFont="1" applyFill="1" applyBorder="1" applyAlignment="1">
      <alignment horizontal="center" vertical="center"/>
    </xf>
    <xf numFmtId="0" fontId="20" fillId="0" borderId="0" xfId="6" applyFont="1" applyFill="1" applyBorder="1" applyAlignment="1">
      <alignment horizontal="center" vertical="center"/>
    </xf>
    <xf numFmtId="164" fontId="20" fillId="0" borderId="0" xfId="6" applyNumberFormat="1" applyFont="1" applyFill="1" applyBorder="1" applyAlignment="1">
      <alignment horizontal="center" vertical="center"/>
    </xf>
    <xf numFmtId="164" fontId="21" fillId="0" borderId="0" xfId="6" applyNumberFormat="1" applyFont="1" applyFill="1" applyBorder="1"/>
    <xf numFmtId="0" fontId="19" fillId="0" borderId="0" xfId="2" applyFont="1" applyFill="1" applyBorder="1" applyAlignment="1">
      <alignment horizontal="center" vertical="center"/>
    </xf>
    <xf numFmtId="164" fontId="19" fillId="0" borderId="0" xfId="6" applyNumberFormat="1" applyFont="1" applyFill="1" applyBorder="1" applyAlignment="1">
      <alignment horizontal="center"/>
    </xf>
    <xf numFmtId="0" fontId="19" fillId="0" borderId="0" xfId="6" applyFont="1" applyFill="1" applyBorder="1" applyAlignment="1">
      <alignment horizontal="center"/>
    </xf>
    <xf numFmtId="164" fontId="39" fillId="0" borderId="0" xfId="6" applyNumberFormat="1" applyFont="1" applyFill="1" applyBorder="1" applyAlignment="1">
      <alignment vertical="center"/>
    </xf>
    <xf numFmtId="41" fontId="18" fillId="0" borderId="0" xfId="6" applyNumberFormat="1" applyFont="1" applyFill="1" applyBorder="1" applyAlignment="1">
      <alignment vertical="center"/>
    </xf>
    <xf numFmtId="164" fontId="38" fillId="0" borderId="0" xfId="6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quotePrefix="1" applyFont="1" applyBorder="1" applyAlignment="1">
      <alignment horizontal="center"/>
    </xf>
    <xf numFmtId="9" fontId="11" fillId="0" borderId="0" xfId="0" applyNumberFormat="1" applyFont="1" applyBorder="1"/>
    <xf numFmtId="41" fontId="11" fillId="0" borderId="0" xfId="0" applyNumberFormat="1" applyFont="1" applyBorder="1" applyAlignment="1">
      <alignment vertical="top"/>
    </xf>
    <xf numFmtId="9" fontId="11" fillId="0" borderId="0" xfId="0" applyNumberFormat="1" applyFont="1" applyBorder="1" applyAlignment="1">
      <alignment vertical="top"/>
    </xf>
    <xf numFmtId="165" fontId="11" fillId="0" borderId="0" xfId="0" applyNumberFormat="1" applyFont="1" applyBorder="1"/>
    <xf numFmtId="0" fontId="19" fillId="0" borderId="2" xfId="6" applyFont="1" applyBorder="1" applyAlignment="1">
      <alignment horizontal="center" vertical="center"/>
    </xf>
    <xf numFmtId="0" fontId="15" fillId="0" borderId="0" xfId="0" applyFont="1" applyFill="1" applyBorder="1"/>
    <xf numFmtId="0" fontId="11" fillId="0" borderId="0" xfId="0" applyFont="1" applyAlignment="1">
      <alignment vertical="center" wrapText="1"/>
    </xf>
    <xf numFmtId="41" fontId="0" fillId="0" borderId="0" xfId="0" applyNumberFormat="1" applyFill="1" applyBorder="1"/>
    <xf numFmtId="165" fontId="54" fillId="0" borderId="0" xfId="3" applyNumberFormat="1" applyFont="1" applyFill="1" applyBorder="1"/>
    <xf numFmtId="0" fontId="67" fillId="0" borderId="0" xfId="0" applyFont="1" applyFill="1" applyBorder="1"/>
    <xf numFmtId="165" fontId="67" fillId="0" borderId="0" xfId="0" applyNumberFormat="1" applyFont="1" applyFill="1" applyBorder="1"/>
    <xf numFmtId="41" fontId="54" fillId="0" borderId="0" xfId="5" applyNumberFormat="1" applyFont="1" applyFill="1" applyBorder="1"/>
    <xf numFmtId="41" fontId="54" fillId="0" borderId="0" xfId="3" applyNumberFormat="1" applyFont="1" applyFill="1" applyBorder="1"/>
    <xf numFmtId="165" fontId="54" fillId="0" borderId="0" xfId="0" applyNumberFormat="1" applyFont="1" applyFill="1" applyBorder="1" applyAlignment="1">
      <alignment horizontal="center" vertical="center"/>
    </xf>
    <xf numFmtId="41" fontId="18" fillId="0" borderId="0" xfId="0" applyNumberFormat="1" applyFont="1" applyFill="1" applyBorder="1" applyAlignment="1">
      <alignment vertical="center"/>
    </xf>
    <xf numFmtId="0" fontId="19" fillId="0" borderId="5" xfId="0" applyFont="1" applyFill="1" applyBorder="1" applyAlignment="1">
      <alignment vertical="top" wrapText="1"/>
    </xf>
    <xf numFmtId="9" fontId="11" fillId="0" borderId="0" xfId="0" applyNumberFormat="1" applyFont="1" applyFill="1" applyBorder="1"/>
    <xf numFmtId="41" fontId="11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top"/>
    </xf>
    <xf numFmtId="41" fontId="11" fillId="0" borderId="0" xfId="0" applyNumberFormat="1" applyFont="1" applyFill="1" applyBorder="1" applyAlignment="1">
      <alignment vertical="top"/>
    </xf>
    <xf numFmtId="9" fontId="11" fillId="0" borderId="0" xfId="0" applyNumberFormat="1" applyFont="1" applyFill="1"/>
    <xf numFmtId="0" fontId="11" fillId="0" borderId="0" xfId="0" applyFont="1" applyFill="1"/>
    <xf numFmtId="41" fontId="18" fillId="2" borderId="0" xfId="1" applyFont="1" applyFill="1"/>
    <xf numFmtId="41" fontId="18" fillId="0" borderId="0" xfId="0" applyNumberFormat="1" applyFont="1"/>
    <xf numFmtId="0" fontId="19" fillId="0" borderId="20" xfId="0" applyFont="1" applyFill="1" applyBorder="1" applyAlignment="1">
      <alignment vertical="top" wrapText="1"/>
    </xf>
    <xf numFmtId="0" fontId="19" fillId="7" borderId="20" xfId="18" applyFont="1" applyFill="1" applyBorder="1" applyAlignment="1">
      <alignment horizontal="left" vertical="top" wrapText="1"/>
    </xf>
    <xf numFmtId="0" fontId="14" fillId="4" borderId="4" xfId="0" applyFont="1" applyFill="1" applyBorder="1"/>
    <xf numFmtId="165" fontId="14" fillId="4" borderId="4" xfId="0" applyNumberFormat="1" applyFont="1" applyFill="1" applyBorder="1"/>
    <xf numFmtId="41" fontId="14" fillId="4" borderId="4" xfId="0" applyNumberFormat="1" applyFont="1" applyFill="1" applyBorder="1"/>
    <xf numFmtId="0" fontId="19" fillId="8" borderId="20" xfId="18" applyFont="1" applyFill="1" applyBorder="1" applyAlignment="1">
      <alignment horizontal="left" vertical="top" wrapText="1"/>
    </xf>
    <xf numFmtId="0" fontId="19" fillId="7" borderId="20" xfId="0" applyFont="1" applyFill="1" applyBorder="1" applyAlignment="1">
      <alignment vertical="top" wrapText="1"/>
    </xf>
    <xf numFmtId="0" fontId="18" fillId="8" borderId="2" xfId="2" applyFont="1" applyFill="1" applyBorder="1" applyAlignment="1">
      <alignment horizontal="center" vertical="top"/>
    </xf>
    <xf numFmtId="0" fontId="19" fillId="0" borderId="0" xfId="0" applyFont="1" applyAlignment="1">
      <alignment wrapText="1"/>
    </xf>
    <xf numFmtId="0" fontId="18" fillId="8" borderId="2" xfId="18" applyFont="1" applyFill="1" applyBorder="1" applyAlignment="1">
      <alignment vertical="top"/>
    </xf>
    <xf numFmtId="165" fontId="22" fillId="0" borderId="57" xfId="3" applyNumberFormat="1" applyFont="1" applyBorder="1" applyAlignment="1">
      <alignment vertical="center"/>
    </xf>
    <xf numFmtId="0" fontId="22" fillId="0" borderId="75" xfId="0" applyFont="1" applyBorder="1" applyAlignment="1">
      <alignment horizontal="center" vertical="center"/>
    </xf>
    <xf numFmtId="165" fontId="22" fillId="0" borderId="58" xfId="3" applyNumberFormat="1" applyFont="1" applyBorder="1" applyAlignment="1">
      <alignment horizontal="left" vertical="center"/>
    </xf>
    <xf numFmtId="165" fontId="22" fillId="0" borderId="3" xfId="3" applyNumberFormat="1" applyFont="1" applyBorder="1" applyAlignment="1">
      <alignment vertical="center"/>
    </xf>
    <xf numFmtId="165" fontId="22" fillId="0" borderId="3" xfId="3" applyNumberFormat="1" applyFont="1" applyBorder="1" applyAlignment="1">
      <alignment horizontal="left" vertical="center"/>
    </xf>
    <xf numFmtId="0" fontId="22" fillId="0" borderId="4" xfId="0" applyFont="1" applyBorder="1" applyAlignment="1">
      <alignment horizontal="center" vertical="center"/>
    </xf>
    <xf numFmtId="165" fontId="0" fillId="0" borderId="4" xfId="0" applyNumberFormat="1" applyBorder="1"/>
    <xf numFmtId="0" fontId="11" fillId="0" borderId="0" xfId="0" quotePrefix="1" applyFont="1" applyFill="1" applyBorder="1" applyAlignment="1">
      <alignment horizontal="center"/>
    </xf>
    <xf numFmtId="0" fontId="15" fillId="0" borderId="0" xfId="0" applyFont="1" applyAlignment="1">
      <alignment horizontal="left"/>
    </xf>
    <xf numFmtId="0" fontId="44" fillId="0" borderId="0" xfId="0" applyFont="1" applyAlignment="1"/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164" fontId="15" fillId="0" borderId="0" xfId="0" applyNumberFormat="1" applyFont="1" applyFill="1" applyBorder="1" applyAlignment="1"/>
    <xf numFmtId="165" fontId="50" fillId="0" borderId="0" xfId="3" applyNumberFormat="1" applyFont="1" applyFill="1" applyBorder="1" applyAlignment="1">
      <alignment vertical="center"/>
    </xf>
    <xf numFmtId="0" fontId="51" fillId="12" borderId="0" xfId="0" quotePrefix="1" applyFont="1" applyFill="1"/>
    <xf numFmtId="0" fontId="22" fillId="0" borderId="27" xfId="2" applyFont="1" applyBorder="1" applyAlignment="1">
      <alignment horizontal="left" vertical="center"/>
    </xf>
    <xf numFmtId="165" fontId="22" fillId="0" borderId="4" xfId="3" applyNumberFormat="1" applyFont="1" applyBorder="1" applyAlignment="1">
      <alignment vertical="center"/>
    </xf>
    <xf numFmtId="165" fontId="22" fillId="0" borderId="4" xfId="3" applyNumberFormat="1" applyFont="1" applyBorder="1" applyAlignment="1">
      <alignment horizontal="left" vertical="center"/>
    </xf>
    <xf numFmtId="0" fontId="0" fillId="0" borderId="4" xfId="0" applyBorder="1"/>
    <xf numFmtId="0" fontId="19" fillId="11" borderId="4" xfId="0" applyFont="1" applyFill="1" applyBorder="1"/>
    <xf numFmtId="41" fontId="31" fillId="11" borderId="4" xfId="0" applyNumberFormat="1" applyFont="1" applyFill="1" applyBorder="1"/>
    <xf numFmtId="0" fontId="52" fillId="12" borderId="0" xfId="0" applyFont="1" applyFill="1" applyAlignment="1">
      <alignment horizontal="center"/>
    </xf>
    <xf numFmtId="0" fontId="51" fillId="12" borderId="0" xfId="0" applyFont="1" applyFill="1" applyAlignment="1">
      <alignment horizontal="center"/>
    </xf>
    <xf numFmtId="0" fontId="62" fillId="0" borderId="86" xfId="2" applyFont="1" applyBorder="1" applyAlignment="1">
      <alignment horizontal="left" vertical="center" wrapText="1"/>
    </xf>
    <xf numFmtId="169" fontId="73" fillId="0" borderId="86" xfId="6" applyNumberFormat="1" applyFont="1" applyBorder="1" applyAlignment="1" applyProtection="1">
      <alignment horizontal="center" vertical="center" wrapText="1"/>
    </xf>
    <xf numFmtId="0" fontId="62" fillId="0" borderId="99" xfId="2" applyFont="1" applyBorder="1" applyAlignment="1">
      <alignment horizontal="left" vertical="center" wrapText="1"/>
    </xf>
    <xf numFmtId="0" fontId="62" fillId="0" borderId="100" xfId="2" applyFont="1" applyBorder="1" applyAlignment="1">
      <alignment horizontal="left" vertical="center" wrapText="1"/>
    </xf>
    <xf numFmtId="169" fontId="62" fillId="0" borderId="100" xfId="6" applyNumberFormat="1" applyFont="1" applyBorder="1" applyAlignment="1" applyProtection="1">
      <alignment horizontal="center" vertical="center" wrapText="1"/>
    </xf>
    <xf numFmtId="169" fontId="62" fillId="0" borderId="100" xfId="6" applyNumberFormat="1" applyFont="1" applyFill="1" applyBorder="1" applyAlignment="1" applyProtection="1">
      <alignment horizontal="center" vertical="center" wrapText="1"/>
    </xf>
    <xf numFmtId="0" fontId="62" fillId="0" borderId="100" xfId="6" applyFont="1" applyBorder="1" applyAlignment="1" applyProtection="1">
      <alignment horizontal="center" vertical="center" wrapText="1"/>
    </xf>
    <xf numFmtId="0" fontId="19" fillId="0" borderId="2" xfId="6" applyFont="1" applyBorder="1" applyAlignment="1">
      <alignment horizontal="center" vertical="center"/>
    </xf>
    <xf numFmtId="0" fontId="19" fillId="0" borderId="84" xfId="6" applyFont="1" applyFill="1" applyBorder="1" applyAlignment="1">
      <alignment horizontal="center" vertical="center" wrapText="1"/>
    </xf>
    <xf numFmtId="0" fontId="19" fillId="0" borderId="2" xfId="6" applyFont="1" applyFill="1" applyBorder="1" applyAlignment="1">
      <alignment horizontal="center" vertical="center" wrapText="1"/>
    </xf>
    <xf numFmtId="0" fontId="19" fillId="0" borderId="2" xfId="6" applyFont="1" applyBorder="1" applyAlignment="1">
      <alignment horizontal="center" vertical="center"/>
    </xf>
    <xf numFmtId="41" fontId="19" fillId="0" borderId="0" xfId="0" applyNumberFormat="1" applyFont="1"/>
    <xf numFmtId="41" fontId="62" fillId="0" borderId="0" xfId="5" applyFont="1" applyBorder="1" applyAlignment="1">
      <alignment vertical="center"/>
    </xf>
    <xf numFmtId="0" fontId="18" fillId="11" borderId="2" xfId="2" applyFont="1" applyFill="1" applyBorder="1" applyAlignment="1">
      <alignment horizontal="center" vertical="top"/>
    </xf>
    <xf numFmtId="0" fontId="18" fillId="11" borderId="2" xfId="2" quotePrefix="1" applyFont="1" applyFill="1" applyBorder="1" applyAlignment="1">
      <alignment horizontal="center" vertical="top"/>
    </xf>
    <xf numFmtId="0" fontId="18" fillId="11" borderId="2" xfId="0" quotePrefix="1" applyFont="1" applyFill="1" applyBorder="1" applyAlignment="1">
      <alignment horizontal="center" vertical="top" wrapText="1"/>
    </xf>
    <xf numFmtId="0" fontId="18" fillId="11" borderId="2" xfId="0" applyFont="1" applyFill="1" applyBorder="1" applyAlignment="1">
      <alignment horizontal="center" vertical="top" wrapText="1"/>
    </xf>
    <xf numFmtId="0" fontId="18" fillId="11" borderId="2" xfId="0" applyFont="1" applyFill="1" applyBorder="1" applyAlignment="1">
      <alignment vertical="top" wrapText="1"/>
    </xf>
    <xf numFmtId="41" fontId="18" fillId="11" borderId="2" xfId="0" applyNumberFormat="1" applyFont="1" applyFill="1" applyBorder="1" applyAlignment="1">
      <alignment horizontal="right" vertical="top" wrapText="1"/>
    </xf>
    <xf numFmtId="0" fontId="19" fillId="5" borderId="2" xfId="0" applyFont="1" applyFill="1" applyBorder="1" applyAlignment="1">
      <alignment horizontal="center" vertical="top" wrapText="1"/>
    </xf>
    <xf numFmtId="0" fontId="18" fillId="5" borderId="2" xfId="0" applyFont="1" applyFill="1" applyBorder="1" applyAlignment="1">
      <alignment vertical="top" wrapText="1"/>
    </xf>
    <xf numFmtId="0" fontId="19" fillId="5" borderId="2" xfId="0" applyFont="1" applyFill="1" applyBorder="1" applyAlignment="1">
      <alignment vertical="top" wrapText="1"/>
    </xf>
    <xf numFmtId="41" fontId="18" fillId="5" borderId="2" xfId="0" applyNumberFormat="1" applyFont="1" applyFill="1" applyBorder="1" applyAlignment="1">
      <alignment horizontal="right" vertical="top" wrapText="1"/>
    </xf>
    <xf numFmtId="41" fontId="19" fillId="5" borderId="2" xfId="0" applyNumberFormat="1" applyFont="1" applyFill="1" applyBorder="1" applyAlignment="1">
      <alignment horizontal="right" vertical="top" wrapText="1"/>
    </xf>
    <xf numFmtId="165" fontId="19" fillId="0" borderId="0" xfId="0" applyNumberFormat="1" applyFont="1"/>
    <xf numFmtId="41" fontId="19" fillId="0" borderId="0" xfId="0" applyNumberFormat="1" applyFont="1" applyFill="1" applyBorder="1" applyAlignment="1">
      <alignment horizontal="right" vertical="top" wrapText="1"/>
    </xf>
    <xf numFmtId="0" fontId="19" fillId="0" borderId="4" xfId="6" applyFont="1" applyBorder="1" applyAlignment="1">
      <alignment horizontal="center" vertical="center" wrapText="1"/>
    </xf>
    <xf numFmtId="0" fontId="19" fillId="0" borderId="3" xfId="6" applyFont="1" applyBorder="1" applyAlignment="1">
      <alignment horizontal="center" vertical="center" wrapText="1"/>
    </xf>
    <xf numFmtId="0" fontId="19" fillId="0" borderId="7" xfId="6" applyFont="1" applyBorder="1" applyAlignment="1">
      <alignment horizontal="center" vertical="center" wrapText="1"/>
    </xf>
    <xf numFmtId="0" fontId="19" fillId="0" borderId="3" xfId="6" applyFont="1" applyBorder="1" applyAlignment="1">
      <alignment horizontal="center" vertical="center"/>
    </xf>
    <xf numFmtId="0" fontId="19" fillId="0" borderId="68" xfId="6" applyFont="1" applyBorder="1" applyAlignment="1">
      <alignment horizontal="center" vertical="center"/>
    </xf>
    <xf numFmtId="0" fontId="19" fillId="0" borderId="2" xfId="6" applyFont="1" applyBorder="1" applyAlignment="1">
      <alignment horizontal="center" vertical="center"/>
    </xf>
    <xf numFmtId="0" fontId="19" fillId="0" borderId="68" xfId="6" applyFont="1" applyBorder="1" applyAlignment="1">
      <alignment horizontal="center" vertical="center" wrapText="1"/>
    </xf>
    <xf numFmtId="41" fontId="19" fillId="10" borderId="0" xfId="0" applyNumberFormat="1" applyFont="1" applyFill="1"/>
    <xf numFmtId="41" fontId="19" fillId="10" borderId="0" xfId="1" applyFont="1" applyFill="1"/>
    <xf numFmtId="41" fontId="0" fillId="0" borderId="4" xfId="0" applyNumberFormat="1" applyBorder="1"/>
    <xf numFmtId="0" fontId="0" fillId="2" borderId="4" xfId="0" applyFill="1" applyBorder="1"/>
    <xf numFmtId="41" fontId="0" fillId="2" borderId="4" xfId="0" applyNumberFormat="1" applyFill="1" applyBorder="1"/>
    <xf numFmtId="0" fontId="0" fillId="8" borderId="4" xfId="0" applyFill="1" applyBorder="1" applyAlignment="1">
      <alignment horizontal="center"/>
    </xf>
    <xf numFmtId="41" fontId="18" fillId="0" borderId="0" xfId="6" applyNumberFormat="1" applyFont="1" applyBorder="1" applyAlignment="1">
      <alignment horizontal="right" vertical="center"/>
    </xf>
    <xf numFmtId="0" fontId="19" fillId="0" borderId="5" xfId="5" applyNumberFormat="1" applyFont="1" applyBorder="1" applyAlignment="1">
      <alignment horizontal="center" vertical="center"/>
    </xf>
    <xf numFmtId="0" fontId="19" fillId="0" borderId="5" xfId="6" applyNumberFormat="1" applyFont="1" applyBorder="1" applyAlignment="1">
      <alignment horizontal="center" vertical="center"/>
    </xf>
    <xf numFmtId="0" fontId="19" fillId="0" borderId="26" xfId="6" applyNumberFormat="1" applyFont="1" applyBorder="1" applyAlignment="1">
      <alignment horizontal="center" vertical="center"/>
    </xf>
    <xf numFmtId="0" fontId="19" fillId="0" borderId="28" xfId="6" applyFont="1" applyBorder="1" applyAlignment="1">
      <alignment horizontal="center"/>
    </xf>
    <xf numFmtId="0" fontId="19" fillId="0" borderId="7" xfId="6" applyFont="1" applyBorder="1" applyAlignment="1">
      <alignment vertical="center" wrapText="1"/>
    </xf>
    <xf numFmtId="0" fontId="19" fillId="0" borderId="7" xfId="5" applyNumberFormat="1" applyFont="1" applyBorder="1" applyAlignment="1">
      <alignment horizontal="center" vertical="center"/>
    </xf>
    <xf numFmtId="0" fontId="19" fillId="0" borderId="7" xfId="6" applyNumberFormat="1" applyFont="1" applyBorder="1" applyAlignment="1">
      <alignment horizontal="center" vertical="center"/>
    </xf>
    <xf numFmtId="0" fontId="19" fillId="0" borderId="36" xfId="6" applyNumberFormat="1" applyFont="1" applyBorder="1" applyAlignment="1">
      <alignment horizontal="center" vertical="center"/>
    </xf>
    <xf numFmtId="0" fontId="19" fillId="0" borderId="55" xfId="6" applyFont="1" applyBorder="1" applyAlignment="1">
      <alignment horizontal="center"/>
    </xf>
    <xf numFmtId="0" fontId="19" fillId="0" borderId="4" xfId="6" applyFont="1" applyBorder="1" applyAlignment="1">
      <alignment vertical="center" wrapText="1"/>
    </xf>
    <xf numFmtId="0" fontId="19" fillId="0" borderId="4" xfId="6" applyFont="1" applyBorder="1" applyAlignment="1">
      <alignment horizontal="center" vertical="center"/>
    </xf>
    <xf numFmtId="0" fontId="19" fillId="0" borderId="12" xfId="6" applyFont="1" applyBorder="1" applyAlignment="1">
      <alignment horizontal="center" vertical="center"/>
    </xf>
    <xf numFmtId="0" fontId="19" fillId="0" borderId="60" xfId="6" applyFont="1" applyBorder="1" applyAlignment="1">
      <alignment horizontal="center" vertical="center"/>
    </xf>
    <xf numFmtId="0" fontId="19" fillId="0" borderId="4" xfId="5" applyNumberFormat="1" applyFont="1" applyBorder="1" applyAlignment="1">
      <alignment horizontal="center" vertical="center"/>
    </xf>
    <xf numFmtId="0" fontId="19" fillId="0" borderId="4" xfId="6" applyNumberFormat="1" applyFont="1" applyBorder="1" applyAlignment="1">
      <alignment horizontal="center" vertical="center"/>
    </xf>
    <xf numFmtId="0" fontId="19" fillId="0" borderId="12" xfId="6" applyNumberFormat="1" applyFont="1" applyBorder="1" applyAlignment="1">
      <alignment horizontal="center" vertical="center"/>
    </xf>
    <xf numFmtId="0" fontId="19" fillId="0" borderId="48" xfId="6" applyFont="1" applyBorder="1" applyAlignment="1">
      <alignment horizontal="center"/>
    </xf>
    <xf numFmtId="0" fontId="19" fillId="0" borderId="6" xfId="6" applyFont="1" applyBorder="1" applyAlignment="1">
      <alignment horizontal="center" vertical="center"/>
    </xf>
    <xf numFmtId="0" fontId="19" fillId="0" borderId="64" xfId="6" applyFont="1" applyBorder="1" applyAlignment="1">
      <alignment horizontal="center" vertical="center"/>
    </xf>
    <xf numFmtId="0" fontId="19" fillId="0" borderId="65" xfId="6" applyFont="1" applyBorder="1" applyAlignment="1">
      <alignment horizontal="center" vertical="center"/>
    </xf>
    <xf numFmtId="0" fontId="19" fillId="0" borderId="6" xfId="5" applyNumberFormat="1" applyFont="1" applyBorder="1" applyAlignment="1">
      <alignment horizontal="center" vertical="center"/>
    </xf>
    <xf numFmtId="0" fontId="19" fillId="0" borderId="6" xfId="6" applyNumberFormat="1" applyFont="1" applyBorder="1" applyAlignment="1">
      <alignment horizontal="center" vertical="center"/>
    </xf>
    <xf numFmtId="0" fontId="19" fillId="0" borderId="64" xfId="6" applyNumberFormat="1" applyFont="1" applyBorder="1" applyAlignment="1">
      <alignment horizontal="center" vertical="center"/>
    </xf>
    <xf numFmtId="0" fontId="19" fillId="0" borderId="78" xfId="6" applyFont="1" applyBorder="1" applyAlignment="1">
      <alignment horizontal="center" vertical="center" wrapText="1"/>
    </xf>
    <xf numFmtId="0" fontId="19" fillId="0" borderId="68" xfId="5" applyNumberFormat="1" applyFont="1" applyBorder="1" applyAlignment="1">
      <alignment horizontal="center" vertical="center"/>
    </xf>
    <xf numFmtId="0" fontId="19" fillId="0" borderId="68" xfId="6" applyNumberFormat="1" applyFont="1" applyBorder="1" applyAlignment="1">
      <alignment horizontal="center" vertical="center"/>
    </xf>
    <xf numFmtId="0" fontId="19" fillId="0" borderId="67" xfId="6" applyNumberFormat="1" applyFont="1" applyBorder="1" applyAlignment="1">
      <alignment horizontal="center" vertical="center"/>
    </xf>
    <xf numFmtId="0" fontId="19" fillId="0" borderId="76" xfId="6" applyFont="1" applyBorder="1" applyAlignment="1">
      <alignment horizontal="center"/>
    </xf>
    <xf numFmtId="0" fontId="19" fillId="0" borderId="3" xfId="6" applyFont="1" applyBorder="1" applyAlignment="1">
      <alignment vertical="center" wrapText="1"/>
    </xf>
    <xf numFmtId="0" fontId="19" fillId="0" borderId="57" xfId="6" applyFont="1" applyBorder="1" applyAlignment="1">
      <alignment horizontal="center" vertical="center"/>
    </xf>
    <xf numFmtId="0" fontId="19" fillId="0" borderId="58" xfId="6" applyFont="1" applyBorder="1" applyAlignment="1">
      <alignment horizontal="center" vertical="center"/>
    </xf>
    <xf numFmtId="41" fontId="19" fillId="0" borderId="3" xfId="5" applyFont="1" applyBorder="1" applyAlignment="1">
      <alignment vertical="center"/>
    </xf>
    <xf numFmtId="0" fontId="29" fillId="0" borderId="4" xfId="0" applyFont="1" applyFill="1" applyBorder="1" applyAlignment="1">
      <alignment vertical="center" wrapText="1"/>
    </xf>
    <xf numFmtId="0" fontId="19" fillId="0" borderId="12" xfId="6" applyFont="1" applyBorder="1" applyAlignment="1">
      <alignment horizontal="center"/>
    </xf>
    <xf numFmtId="0" fontId="19" fillId="0" borderId="4" xfId="6" applyFont="1" applyBorder="1" applyAlignment="1">
      <alignment vertical="center"/>
    </xf>
    <xf numFmtId="0" fontId="19" fillId="0" borderId="48" xfId="6" applyFont="1" applyBorder="1" applyAlignment="1">
      <alignment horizontal="left" vertical="center"/>
    </xf>
    <xf numFmtId="0" fontId="62" fillId="0" borderId="101" xfId="2" applyFont="1" applyBorder="1" applyAlignment="1">
      <alignment horizontal="left" vertical="center" wrapText="1"/>
    </xf>
    <xf numFmtId="41" fontId="19" fillId="0" borderId="4" xfId="5" applyFont="1" applyBorder="1" applyAlignment="1">
      <alignment horizontal="center" vertical="center"/>
    </xf>
    <xf numFmtId="0" fontId="19" fillId="0" borderId="7" xfId="6" applyFont="1" applyBorder="1"/>
    <xf numFmtId="41" fontId="19" fillId="0" borderId="7" xfId="5" applyFont="1" applyBorder="1" applyAlignment="1">
      <alignment horizontal="center" vertical="center"/>
    </xf>
    <xf numFmtId="0" fontId="19" fillId="0" borderId="55" xfId="6" applyFont="1" applyBorder="1" applyAlignment="1">
      <alignment horizontal="left"/>
    </xf>
    <xf numFmtId="0" fontId="19" fillId="0" borderId="0" xfId="6" applyFont="1" applyAlignment="1">
      <alignment vertical="center"/>
    </xf>
    <xf numFmtId="0" fontId="19" fillId="0" borderId="3" xfId="6" applyFont="1" applyBorder="1"/>
    <xf numFmtId="41" fontId="19" fillId="0" borderId="3" xfId="5" applyFont="1" applyBorder="1" applyAlignment="1">
      <alignment horizontal="center" vertical="center"/>
    </xf>
    <xf numFmtId="0" fontId="19" fillId="0" borderId="57" xfId="6" applyFont="1" applyBorder="1" applyAlignment="1">
      <alignment horizontal="center"/>
    </xf>
    <xf numFmtId="0" fontId="19" fillId="0" borderId="7" xfId="6" applyFont="1" applyBorder="1" applyAlignment="1">
      <alignment horizontal="center"/>
    </xf>
    <xf numFmtId="0" fontId="19" fillId="0" borderId="57" xfId="6" applyFont="1" applyBorder="1"/>
    <xf numFmtId="0" fontId="19" fillId="0" borderId="39" xfId="6" applyFont="1" applyBorder="1" applyAlignment="1">
      <alignment horizontal="left"/>
    </xf>
    <xf numFmtId="0" fontId="19" fillId="0" borderId="6" xfId="6" applyFont="1" applyFill="1" applyBorder="1" applyAlignment="1">
      <alignment horizontal="center" vertical="center" wrapText="1"/>
    </xf>
    <xf numFmtId="0" fontId="19" fillId="0" borderId="78" xfId="6" applyFont="1" applyBorder="1" applyAlignment="1">
      <alignment horizontal="center"/>
    </xf>
    <xf numFmtId="0" fontId="18" fillId="0" borderId="0" xfId="6" applyFont="1" applyBorder="1" applyAlignment="1">
      <alignment horizontal="center" vertical="top" wrapText="1"/>
    </xf>
    <xf numFmtId="0" fontId="19" fillId="0" borderId="68" xfId="6" applyFont="1" applyBorder="1" applyAlignment="1">
      <alignment horizontal="center" vertical="center"/>
    </xf>
    <xf numFmtId="0" fontId="19" fillId="0" borderId="3" xfId="6" applyFont="1" applyBorder="1" applyAlignment="1">
      <alignment horizontal="center" vertical="center"/>
    </xf>
    <xf numFmtId="0" fontId="19" fillId="0" borderId="102" xfId="6" applyFont="1" applyBorder="1" applyAlignment="1">
      <alignment horizontal="center"/>
    </xf>
    <xf numFmtId="0" fontId="19" fillId="0" borderId="74" xfId="6" applyFont="1" applyBorder="1" applyAlignment="1">
      <alignment horizontal="center"/>
    </xf>
    <xf numFmtId="0" fontId="19" fillId="0" borderId="74" xfId="6" applyFont="1" applyBorder="1" applyAlignment="1">
      <alignment horizontal="center" wrapText="1"/>
    </xf>
    <xf numFmtId="0" fontId="19" fillId="0" borderId="77" xfId="6" applyFont="1" applyBorder="1" applyAlignment="1">
      <alignment horizontal="center"/>
    </xf>
    <xf numFmtId="0" fontId="19" fillId="0" borderId="19" xfId="6" applyFont="1" applyBorder="1" applyAlignment="1">
      <alignment horizontal="center" vertical="top" wrapText="1"/>
    </xf>
    <xf numFmtId="0" fontId="19" fillId="0" borderId="75" xfId="6" applyFont="1" applyBorder="1" applyAlignment="1">
      <alignment horizontal="center"/>
    </xf>
    <xf numFmtId="0" fontId="19" fillId="0" borderId="87" xfId="6" applyFont="1" applyBorder="1" applyAlignment="1">
      <alignment horizontal="center"/>
    </xf>
    <xf numFmtId="0" fontId="19" fillId="0" borderId="74" xfId="6" applyFont="1" applyBorder="1" applyAlignment="1">
      <alignment horizontal="center" vertical="center" wrapText="1"/>
    </xf>
    <xf numFmtId="0" fontId="19" fillId="0" borderId="74" xfId="6" applyFont="1" applyBorder="1" applyAlignment="1">
      <alignment horizontal="left"/>
    </xf>
    <xf numFmtId="0" fontId="19" fillId="16" borderId="35" xfId="6" applyFont="1" applyFill="1" applyBorder="1" applyAlignment="1">
      <alignment horizontal="left"/>
    </xf>
    <xf numFmtId="0" fontId="19" fillId="0" borderId="75" xfId="6" applyFont="1" applyBorder="1" applyAlignment="1">
      <alignment horizontal="left"/>
    </xf>
    <xf numFmtId="0" fontId="19" fillId="0" borderId="103" xfId="6" applyFont="1" applyBorder="1" applyAlignment="1">
      <alignment horizontal="left"/>
    </xf>
    <xf numFmtId="0" fontId="19" fillId="0" borderId="77" xfId="6" applyFont="1" applyBorder="1" applyAlignment="1">
      <alignment horizontal="left"/>
    </xf>
    <xf numFmtId="0" fontId="19" fillId="0" borderId="87" xfId="6" applyFont="1" applyBorder="1" applyAlignment="1">
      <alignment horizontal="left"/>
    </xf>
    <xf numFmtId="0" fontId="19" fillId="0" borderId="35" xfId="6" applyFont="1" applyBorder="1" applyAlignment="1">
      <alignment horizontal="left"/>
    </xf>
    <xf numFmtId="0" fontId="19" fillId="0" borderId="104" xfId="6" applyFont="1" applyBorder="1" applyAlignment="1">
      <alignment horizontal="left"/>
    </xf>
    <xf numFmtId="0" fontId="19" fillId="0" borderId="75" xfId="6" applyFont="1" applyBorder="1" applyAlignment="1">
      <alignment horizontal="left" vertical="center"/>
    </xf>
    <xf numFmtId="0" fontId="19" fillId="0" borderId="104" xfId="6" applyFont="1" applyBorder="1" applyAlignment="1">
      <alignment horizontal="left" vertical="center"/>
    </xf>
    <xf numFmtId="0" fontId="19" fillId="0" borderId="40" xfId="6" applyFont="1" applyBorder="1" applyAlignment="1">
      <alignment horizontal="left"/>
    </xf>
    <xf numFmtId="0" fontId="29" fillId="0" borderId="3" xfId="0" applyFont="1" applyFill="1" applyBorder="1" applyAlignment="1">
      <alignment vertical="center" wrapText="1"/>
    </xf>
    <xf numFmtId="0" fontId="62" fillId="0" borderId="105" xfId="2" applyFont="1" applyBorder="1" applyAlignment="1">
      <alignment horizontal="left" vertical="center" wrapText="1"/>
    </xf>
    <xf numFmtId="0" fontId="19" fillId="0" borderId="3" xfId="6" applyFont="1" applyBorder="1" applyAlignment="1">
      <alignment vertical="center"/>
    </xf>
    <xf numFmtId="0" fontId="19" fillId="0" borderId="39" xfId="6" applyFont="1" applyBorder="1" applyAlignment="1">
      <alignment horizontal="left" vertical="center"/>
    </xf>
    <xf numFmtId="0" fontId="19" fillId="0" borderId="19" xfId="6" applyFont="1" applyBorder="1" applyAlignment="1">
      <alignment horizontal="left"/>
    </xf>
    <xf numFmtId="0" fontId="18" fillId="0" borderId="1" xfId="6" applyFont="1" applyBorder="1" applyAlignment="1">
      <alignment horizontal="center" vertical="top" wrapText="1"/>
    </xf>
    <xf numFmtId="0" fontId="19" fillId="0" borderId="67" xfId="6" applyFont="1" applyBorder="1" applyAlignment="1">
      <alignment horizontal="left" vertical="center" wrapText="1"/>
    </xf>
    <xf numFmtId="0" fontId="29" fillId="0" borderId="68" xfId="0" applyFont="1" applyFill="1" applyBorder="1" applyAlignment="1">
      <alignment vertical="center" wrapText="1"/>
    </xf>
    <xf numFmtId="0" fontId="62" fillId="0" borderId="106" xfId="2" applyFont="1" applyBorder="1" applyAlignment="1">
      <alignment horizontal="left" vertical="center" wrapText="1"/>
    </xf>
    <xf numFmtId="0" fontId="19" fillId="0" borderId="68" xfId="6" applyFont="1" applyBorder="1"/>
    <xf numFmtId="41" fontId="19" fillId="0" borderId="68" xfId="5" applyFont="1" applyBorder="1" applyAlignment="1">
      <alignment horizontal="center" vertical="center"/>
    </xf>
    <xf numFmtId="0" fontId="19" fillId="0" borderId="67" xfId="6" applyFont="1" applyBorder="1" applyAlignment="1">
      <alignment horizontal="center"/>
    </xf>
    <xf numFmtId="0" fontId="19" fillId="0" borderId="68" xfId="6" applyFont="1" applyBorder="1" applyAlignment="1">
      <alignment vertical="center"/>
    </xf>
    <xf numFmtId="0" fontId="19" fillId="0" borderId="76" xfId="6" applyFont="1" applyBorder="1" applyAlignment="1">
      <alignment horizontal="left" vertical="center"/>
    </xf>
    <xf numFmtId="0" fontId="19" fillId="0" borderId="59" xfId="6" applyFont="1" applyBorder="1"/>
    <xf numFmtId="0" fontId="19" fillId="0" borderId="0" xfId="0" applyFont="1" applyAlignment="1">
      <alignment horizontal="center"/>
    </xf>
    <xf numFmtId="0" fontId="19" fillId="0" borderId="4" xfId="0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 wrapText="1"/>
    </xf>
    <xf numFmtId="0" fontId="19" fillId="0" borderId="0" xfId="0" applyFont="1" applyBorder="1" applyAlignment="1">
      <alignment horizontal="left" vertical="top" wrapText="1"/>
    </xf>
    <xf numFmtId="0" fontId="19" fillId="0" borderId="0" xfId="0" applyFont="1" applyFill="1" applyAlignment="1">
      <alignment horizontal="center" vertical="top" wrapText="1"/>
    </xf>
    <xf numFmtId="0" fontId="19" fillId="0" borderId="4" xfId="0" applyFont="1" applyBorder="1"/>
    <xf numFmtId="0" fontId="14" fillId="8" borderId="47" xfId="0" applyFont="1" applyFill="1" applyBorder="1" applyAlignment="1">
      <alignment horizontal="center" wrapText="1"/>
    </xf>
    <xf numFmtId="0" fontId="0" fillId="8" borderId="60" xfId="0" applyFill="1" applyBorder="1"/>
    <xf numFmtId="0" fontId="14" fillId="4" borderId="60" xfId="0" applyFont="1" applyFill="1" applyBorder="1"/>
    <xf numFmtId="0" fontId="0" fillId="10" borderId="60" xfId="0" applyFill="1" applyBorder="1"/>
    <xf numFmtId="0" fontId="54" fillId="11" borderId="60" xfId="0" applyFont="1" applyFill="1" applyBorder="1"/>
    <xf numFmtId="0" fontId="18" fillId="2" borderId="60" xfId="0" applyFont="1" applyFill="1" applyBorder="1"/>
    <xf numFmtId="0" fontId="19" fillId="0" borderId="61" xfId="0" applyFont="1" applyFill="1" applyBorder="1" applyAlignment="1">
      <alignment horizontal="center" vertical="center"/>
    </xf>
    <xf numFmtId="0" fontId="19" fillId="0" borderId="59" xfId="0" applyFont="1" applyFill="1" applyBorder="1" applyAlignment="1">
      <alignment horizontal="center" vertical="center"/>
    </xf>
    <xf numFmtId="0" fontId="19" fillId="0" borderId="59" xfId="0" applyFont="1" applyBorder="1"/>
    <xf numFmtId="0" fontId="18" fillId="0" borderId="2" xfId="0" applyFont="1" applyBorder="1"/>
    <xf numFmtId="0" fontId="19" fillId="0" borderId="2" xfId="0" applyFont="1" applyBorder="1"/>
    <xf numFmtId="0" fontId="19" fillId="0" borderId="2" xfId="0" applyFont="1" applyBorder="1" applyAlignment="1">
      <alignment vertical="center"/>
    </xf>
    <xf numFmtId="0" fontId="19" fillId="0" borderId="2" xfId="0" applyFont="1" applyFill="1" applyBorder="1"/>
    <xf numFmtId="0" fontId="18" fillId="0" borderId="2" xfId="0" applyFont="1" applyBorder="1" applyAlignment="1"/>
    <xf numFmtId="0" fontId="19" fillId="8" borderId="2" xfId="0" applyFont="1" applyFill="1" applyBorder="1"/>
    <xf numFmtId="0" fontId="19" fillId="0" borderId="6" xfId="0" applyFont="1" applyFill="1" applyBorder="1" applyAlignment="1">
      <alignment vertical="top" wrapText="1"/>
    </xf>
    <xf numFmtId="0" fontId="19" fillId="0" borderId="6" xfId="0" applyFont="1" applyBorder="1"/>
    <xf numFmtId="0" fontId="19" fillId="0" borderId="0" xfId="0" applyFont="1" applyFill="1" applyBorder="1" applyAlignment="1">
      <alignment horizontal="left" vertical="top" wrapText="1"/>
    </xf>
    <xf numFmtId="0" fontId="19" fillId="0" borderId="0" xfId="0" applyFont="1" applyFill="1" applyBorder="1" applyAlignment="1">
      <alignment horizontal="center" vertical="top" wrapText="1"/>
    </xf>
    <xf numFmtId="41" fontId="18" fillId="0" borderId="67" xfId="0" applyNumberFormat="1" applyFont="1" applyFill="1" applyBorder="1" applyAlignment="1">
      <alignment vertical="top" wrapText="1"/>
    </xf>
    <xf numFmtId="41" fontId="18" fillId="0" borderId="20" xfId="0" applyNumberFormat="1" applyFont="1" applyFill="1" applyBorder="1" applyAlignment="1">
      <alignment vertical="top" wrapText="1"/>
    </xf>
    <xf numFmtId="41" fontId="19" fillId="0" borderId="20" xfId="0" applyNumberFormat="1" applyFont="1" applyFill="1" applyBorder="1" applyAlignment="1">
      <alignment vertical="top" wrapText="1"/>
    </xf>
    <xf numFmtId="41" fontId="18" fillId="0" borderId="20" xfId="0" applyNumberFormat="1" applyFont="1" applyFill="1" applyBorder="1" applyAlignment="1">
      <alignment horizontal="right" vertical="top" wrapText="1"/>
    </xf>
    <xf numFmtId="41" fontId="19" fillId="0" borderId="20" xfId="0" applyNumberFormat="1" applyFont="1" applyFill="1" applyBorder="1" applyAlignment="1">
      <alignment horizontal="right" vertical="top" wrapText="1"/>
    </xf>
    <xf numFmtId="41" fontId="18" fillId="2" borderId="20" xfId="0" applyNumberFormat="1" applyFont="1" applyFill="1" applyBorder="1" applyAlignment="1">
      <alignment horizontal="right" vertical="center" wrapText="1"/>
    </xf>
    <xf numFmtId="41" fontId="18" fillId="8" borderId="20" xfId="0" applyNumberFormat="1" applyFont="1" applyFill="1" applyBorder="1" applyAlignment="1">
      <alignment horizontal="right" vertical="top" wrapText="1"/>
    </xf>
    <xf numFmtId="41" fontId="19" fillId="7" borderId="20" xfId="0" applyNumberFormat="1" applyFont="1" applyFill="1" applyBorder="1" applyAlignment="1">
      <alignment horizontal="right" vertical="top" wrapText="1"/>
    </xf>
    <xf numFmtId="41" fontId="18" fillId="8" borderId="20" xfId="0" applyNumberFormat="1" applyFont="1" applyFill="1" applyBorder="1" applyAlignment="1">
      <alignment horizontal="right" vertical="top"/>
    </xf>
    <xf numFmtId="41" fontId="19" fillId="8" borderId="20" xfId="0" applyNumberFormat="1" applyFont="1" applyFill="1" applyBorder="1" applyAlignment="1">
      <alignment horizontal="right" vertical="top" wrapText="1"/>
    </xf>
    <xf numFmtId="41" fontId="19" fillId="8" borderId="0" xfId="0" applyNumberFormat="1" applyFont="1" applyFill="1" applyBorder="1" applyAlignment="1">
      <alignment horizontal="right" vertical="top" wrapText="1"/>
    </xf>
    <xf numFmtId="41" fontId="18" fillId="11" borderId="20" xfId="0" applyNumberFormat="1" applyFont="1" applyFill="1" applyBorder="1" applyAlignment="1">
      <alignment horizontal="right" vertical="top" wrapText="1"/>
    </xf>
    <xf numFmtId="41" fontId="18" fillId="5" borderId="20" xfId="0" applyNumberFormat="1" applyFont="1" applyFill="1" applyBorder="1" applyAlignment="1">
      <alignment horizontal="right" vertical="top" wrapText="1"/>
    </xf>
    <xf numFmtId="41" fontId="19" fillId="5" borderId="20" xfId="0" applyNumberFormat="1" applyFont="1" applyFill="1" applyBorder="1" applyAlignment="1">
      <alignment horizontal="right" vertical="top" wrapText="1"/>
    </xf>
    <xf numFmtId="41" fontId="19" fillId="0" borderId="66" xfId="0" applyNumberFormat="1" applyFont="1" applyFill="1" applyBorder="1" applyAlignment="1">
      <alignment horizontal="right" vertical="top" wrapText="1"/>
    </xf>
    <xf numFmtId="41" fontId="19" fillId="0" borderId="12" xfId="0" applyNumberFormat="1" applyFont="1" applyFill="1" applyBorder="1" applyAlignment="1">
      <alignment horizontal="right" vertical="top" wrapText="1"/>
    </xf>
    <xf numFmtId="41" fontId="19" fillId="0" borderId="0" xfId="1" applyFont="1"/>
    <xf numFmtId="41" fontId="19" fillId="0" borderId="4" xfId="1" applyFont="1" applyFill="1" applyBorder="1" applyAlignment="1">
      <alignment horizontal="center" vertical="center"/>
    </xf>
    <xf numFmtId="41" fontId="19" fillId="0" borderId="0" xfId="1" applyFont="1" applyBorder="1"/>
    <xf numFmtId="41" fontId="19" fillId="0" borderId="0" xfId="1" applyFont="1" applyAlignment="1">
      <alignment horizontal="left"/>
    </xf>
    <xf numFmtId="41" fontId="18" fillId="7" borderId="0" xfId="1" applyFont="1" applyFill="1"/>
    <xf numFmtId="41" fontId="18" fillId="0" borderId="0" xfId="1" applyFont="1"/>
    <xf numFmtId="41" fontId="19" fillId="2" borderId="0" xfId="1" applyFont="1" applyFill="1"/>
    <xf numFmtId="41" fontId="19" fillId="0" borderId="0" xfId="1" applyFont="1" applyAlignment="1">
      <alignment horizontal="center"/>
    </xf>
    <xf numFmtId="41" fontId="64" fillId="14" borderId="0" xfId="1" applyFont="1" applyFill="1" applyBorder="1" applyAlignment="1">
      <alignment horizontal="center" vertical="center"/>
    </xf>
    <xf numFmtId="41" fontId="19" fillId="0" borderId="0" xfId="1" applyFont="1" applyFill="1" applyBorder="1" applyAlignment="1">
      <alignment horizontal="center" vertical="center"/>
    </xf>
    <xf numFmtId="41" fontId="18" fillId="0" borderId="0" xfId="1" applyFont="1" applyBorder="1"/>
    <xf numFmtId="41" fontId="19" fillId="0" borderId="2" xfId="1" applyFont="1" applyFill="1" applyBorder="1" applyAlignment="1">
      <alignment vertical="top" wrapText="1"/>
    </xf>
    <xf numFmtId="41" fontId="19" fillId="0" borderId="2" xfId="1" applyFont="1" applyFill="1" applyBorder="1" applyAlignment="1">
      <alignment horizontal="right" vertical="top" wrapText="1"/>
    </xf>
    <xf numFmtId="41" fontId="19" fillId="0" borderId="56" xfId="1" applyFont="1" applyBorder="1"/>
    <xf numFmtId="41" fontId="18" fillId="0" borderId="58" xfId="1" applyFont="1" applyBorder="1"/>
    <xf numFmtId="41" fontId="19" fillId="0" borderId="58" xfId="1" applyFont="1" applyBorder="1"/>
    <xf numFmtId="0" fontId="23" fillId="0" borderId="0" xfId="0" applyFont="1" applyBorder="1" applyAlignment="1">
      <alignment horizontal="center" vertical="center" wrapText="1"/>
    </xf>
    <xf numFmtId="0" fontId="37" fillId="12" borderId="0" xfId="0" applyFont="1" applyFill="1" applyAlignment="1">
      <alignment horizontal="center"/>
    </xf>
    <xf numFmtId="0" fontId="36" fillId="12" borderId="0" xfId="0" applyFont="1" applyFill="1" applyAlignment="1">
      <alignment horizontal="center"/>
    </xf>
    <xf numFmtId="49" fontId="50" fillId="0" borderId="0" xfId="0" applyNumberFormat="1" applyFont="1"/>
    <xf numFmtId="49" fontId="50" fillId="0" borderId="0" xfId="0" applyNumberFormat="1" applyFont="1" applyAlignment="1">
      <alignment horizontal="left" vertical="top"/>
    </xf>
    <xf numFmtId="49" fontId="22" fillId="0" borderId="0" xfId="0" applyNumberFormat="1" applyFont="1" applyAlignment="1">
      <alignment vertical="center"/>
    </xf>
    <xf numFmtId="49" fontId="59" fillId="0" borderId="80" xfId="15" quotePrefix="1" applyNumberFormat="1" applyFont="1" applyBorder="1" applyAlignment="1">
      <alignment horizontal="center" vertical="center"/>
    </xf>
    <xf numFmtId="49" fontId="59" fillId="0" borderId="2" xfId="15" quotePrefix="1" applyNumberFormat="1" applyFont="1" applyBorder="1" applyAlignment="1">
      <alignment horizontal="center" vertical="center"/>
    </xf>
    <xf numFmtId="49" fontId="59" fillId="0" borderId="6" xfId="15" quotePrefix="1" applyNumberFormat="1" applyFont="1" applyBorder="1" applyAlignment="1">
      <alignment horizontal="center" vertical="center"/>
    </xf>
    <xf numFmtId="49" fontId="50" fillId="0" borderId="35" xfId="6" applyNumberFormat="1" applyFont="1" applyBorder="1" applyAlignment="1">
      <alignment horizontal="center" vertical="center"/>
    </xf>
    <xf numFmtId="49" fontId="50" fillId="0" borderId="75" xfId="6" quotePrefix="1" applyNumberFormat="1" applyFont="1" applyBorder="1" applyAlignment="1">
      <alignment horizontal="center" vertical="center"/>
    </xf>
    <xf numFmtId="49" fontId="59" fillId="0" borderId="74" xfId="15" applyNumberFormat="1" applyFont="1" applyBorder="1" applyAlignment="1">
      <alignment horizontal="center" vertical="center"/>
    </xf>
    <xf numFmtId="49" fontId="59" fillId="0" borderId="5" xfId="15" quotePrefix="1" applyNumberFormat="1" applyFont="1" applyBorder="1" applyAlignment="1">
      <alignment horizontal="center" vertical="center"/>
    </xf>
    <xf numFmtId="49" fontId="50" fillId="0" borderId="75" xfId="0" quotePrefix="1" applyNumberFormat="1" applyFont="1" applyBorder="1" applyAlignment="1">
      <alignment horizontal="center"/>
    </xf>
    <xf numFmtId="49" fontId="50" fillId="0" borderId="74" xfId="0" applyNumberFormat="1" applyFont="1" applyBorder="1" applyAlignment="1">
      <alignment horizontal="center"/>
    </xf>
    <xf numFmtId="49" fontId="59" fillId="0" borderId="75" xfId="4" quotePrefix="1" applyNumberFormat="1" applyFont="1" applyBorder="1" applyAlignment="1">
      <alignment horizontal="center" vertical="center"/>
    </xf>
    <xf numFmtId="49" fontId="59" fillId="0" borderId="77" xfId="4" quotePrefix="1" applyNumberFormat="1" applyFont="1" applyBorder="1" applyAlignment="1">
      <alignment horizontal="center"/>
    </xf>
    <xf numFmtId="49" fontId="59" fillId="0" borderId="75" xfId="15" quotePrefix="1" applyNumberFormat="1" applyFont="1" applyBorder="1" applyAlignment="1">
      <alignment horizontal="center" vertical="center"/>
    </xf>
    <xf numFmtId="49" fontId="59" fillId="0" borderId="74" xfId="4" quotePrefix="1" applyNumberFormat="1" applyFont="1" applyBorder="1" applyAlignment="1">
      <alignment horizontal="center" vertical="center"/>
    </xf>
    <xf numFmtId="49" fontId="59" fillId="0" borderId="74" xfId="15" quotePrefix="1" applyNumberFormat="1" applyFont="1" applyBorder="1" applyAlignment="1">
      <alignment horizontal="center" vertical="center"/>
    </xf>
    <xf numFmtId="49" fontId="59" fillId="0" borderId="75" xfId="15" quotePrefix="1" applyNumberFormat="1" applyFont="1" applyBorder="1" applyAlignment="1">
      <alignment horizontal="center"/>
    </xf>
    <xf numFmtId="49" fontId="59" fillId="0" borderId="74" xfId="15" quotePrefix="1" applyNumberFormat="1" applyFont="1" applyBorder="1" applyAlignment="1">
      <alignment horizontal="center"/>
    </xf>
    <xf numFmtId="49" fontId="59" fillId="0" borderId="98" xfId="15" quotePrefix="1" applyNumberFormat="1" applyFont="1" applyBorder="1" applyAlignment="1">
      <alignment horizontal="center"/>
    </xf>
    <xf numFmtId="49" fontId="50" fillId="0" borderId="14" xfId="6" applyNumberFormat="1" applyFont="1" applyBorder="1" applyAlignment="1">
      <alignment horizontal="center" vertical="center"/>
    </xf>
    <xf numFmtId="49" fontId="50" fillId="0" borderId="0" xfId="6" applyNumberFormat="1" applyFont="1"/>
    <xf numFmtId="49" fontId="51" fillId="12" borderId="0" xfId="0" applyNumberFormat="1" applyFont="1" applyFill="1"/>
    <xf numFmtId="49" fontId="15" fillId="0" borderId="0" xfId="0" applyNumberFormat="1" applyFont="1"/>
    <xf numFmtId="49" fontId="59" fillId="0" borderId="77" xfId="15" quotePrefix="1" applyNumberFormat="1" applyFont="1" applyBorder="1" applyAlignment="1">
      <alignment horizontal="center"/>
    </xf>
    <xf numFmtId="0" fontId="59" fillId="0" borderId="64" xfId="15" quotePrefix="1" applyNumberFormat="1" applyFont="1" applyBorder="1" applyAlignment="1">
      <alignment horizontal="left"/>
    </xf>
    <xf numFmtId="0" fontId="59" fillId="0" borderId="65" xfId="15" quotePrefix="1" applyNumberFormat="1" applyFont="1" applyBorder="1" applyAlignment="1">
      <alignment horizontal="left"/>
    </xf>
    <xf numFmtId="0" fontId="59" fillId="0" borderId="6" xfId="15" applyNumberFormat="1" applyFont="1" applyBorder="1" applyAlignment="1">
      <alignment horizontal="center"/>
    </xf>
    <xf numFmtId="41" fontId="59" fillId="12" borderId="6" xfId="14" applyNumberFormat="1" applyFont="1" applyFill="1" applyBorder="1" applyAlignment="1">
      <alignment horizontal="left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50" fillId="0" borderId="0" xfId="0" applyFont="1" applyAlignment="1">
      <alignment horizontal="center"/>
    </xf>
    <xf numFmtId="0" fontId="19" fillId="0" borderId="0" xfId="0" applyFont="1" applyFill="1" applyAlignment="1">
      <alignment horizontal="center"/>
    </xf>
    <xf numFmtId="0" fontId="46" fillId="0" borderId="0" xfId="0" applyFont="1" applyBorder="1"/>
    <xf numFmtId="41" fontId="46" fillId="0" borderId="0" xfId="0" applyNumberFormat="1" applyFont="1" applyBorder="1"/>
    <xf numFmtId="165" fontId="50" fillId="0" borderId="0" xfId="3" applyNumberFormat="1" applyFont="1" applyBorder="1" applyAlignment="1">
      <alignment horizontal="right" vertical="center"/>
    </xf>
    <xf numFmtId="165" fontId="44" fillId="0" borderId="0" xfId="3" applyNumberFormat="1" applyFont="1" applyBorder="1" applyAlignment="1">
      <alignment horizontal="right" vertical="center"/>
    </xf>
    <xf numFmtId="165" fontId="44" fillId="0" borderId="0" xfId="3" applyNumberFormat="1" applyFont="1" applyBorder="1" applyAlignment="1">
      <alignment horizontal="center" vertical="center"/>
    </xf>
    <xf numFmtId="0" fontId="50" fillId="12" borderId="0" xfId="2" applyFont="1" applyFill="1" applyBorder="1" applyAlignment="1">
      <alignment horizontal="left" vertical="center"/>
    </xf>
    <xf numFmtId="0" fontId="50" fillId="0" borderId="0" xfId="2" applyFont="1" applyBorder="1" applyAlignment="1">
      <alignment horizontal="right" vertical="center"/>
    </xf>
    <xf numFmtId="37" fontId="50" fillId="0" borderId="0" xfId="2" applyNumberFormat="1" applyFont="1" applyBorder="1" applyAlignment="1">
      <alignment horizontal="center" vertical="center"/>
    </xf>
    <xf numFmtId="0" fontId="50" fillId="0" borderId="6" xfId="2" applyFont="1" applyBorder="1" applyAlignment="1">
      <alignment horizontal="right" vertical="center"/>
    </xf>
    <xf numFmtId="37" fontId="50" fillId="0" borderId="6" xfId="2" applyNumberFormat="1" applyFont="1" applyBorder="1" applyAlignment="1">
      <alignment horizontal="center" vertical="center"/>
    </xf>
    <xf numFmtId="37" fontId="50" fillId="0" borderId="6" xfId="2" applyNumberFormat="1" applyFont="1" applyBorder="1" applyAlignment="1">
      <alignment horizontal="right" vertical="center"/>
    </xf>
    <xf numFmtId="0" fontId="50" fillId="12" borderId="69" xfId="2" applyFont="1" applyFill="1" applyBorder="1" applyAlignment="1">
      <alignment horizontal="left" vertical="center"/>
    </xf>
    <xf numFmtId="165" fontId="50" fillId="0" borderId="58" xfId="3" applyNumberFormat="1" applyFont="1" applyBorder="1" applyAlignment="1">
      <alignment horizontal="left" vertical="center"/>
    </xf>
    <xf numFmtId="0" fontId="50" fillId="0" borderId="0" xfId="0" applyNumberFormat="1" applyFont="1" applyBorder="1"/>
    <xf numFmtId="0" fontId="50" fillId="0" borderId="0" xfId="0" applyFont="1" applyBorder="1"/>
    <xf numFmtId="0" fontId="50" fillId="0" borderId="0" xfId="0" applyNumberFormat="1" applyFont="1" applyBorder="1" applyAlignment="1">
      <alignment horizontal="left"/>
    </xf>
    <xf numFmtId="0" fontId="50" fillId="0" borderId="0" xfId="0" applyFont="1" applyBorder="1" applyAlignment="1">
      <alignment horizontal="left"/>
    </xf>
    <xf numFmtId="0" fontId="50" fillId="0" borderId="0" xfId="0" applyFont="1" applyBorder="1" applyAlignment="1">
      <alignment vertical="top"/>
    </xf>
    <xf numFmtId="0" fontId="15" fillId="0" borderId="0" xfId="0" applyFont="1" applyBorder="1" applyAlignment="1">
      <alignment horizontal="left"/>
    </xf>
    <xf numFmtId="0" fontId="50" fillId="0" borderId="0" xfId="0" applyNumberFormat="1" applyFont="1" applyBorder="1" applyAlignment="1">
      <alignment horizontal="left" vertical="top"/>
    </xf>
    <xf numFmtId="0" fontId="50" fillId="0" borderId="0" xfId="0" applyFont="1" applyBorder="1" applyAlignment="1"/>
    <xf numFmtId="49" fontId="50" fillId="0" borderId="0" xfId="0" applyNumberFormat="1" applyFont="1" applyBorder="1" applyAlignment="1">
      <alignment horizontal="left"/>
    </xf>
    <xf numFmtId="0" fontId="50" fillId="0" borderId="0" xfId="0" applyFont="1" applyBorder="1" applyAlignment="1">
      <alignment vertical="center"/>
    </xf>
    <xf numFmtId="0" fontId="50" fillId="0" borderId="0" xfId="0" applyFont="1" applyBorder="1" applyAlignment="1">
      <alignment horizontal="center" vertical="center"/>
    </xf>
    <xf numFmtId="0" fontId="50" fillId="0" borderId="0" xfId="3" applyNumberFormat="1" applyFont="1" applyBorder="1" applyAlignment="1">
      <alignment horizontal="left" vertical="center"/>
    </xf>
    <xf numFmtId="0" fontId="50" fillId="0" borderId="0" xfId="3" applyNumberFormat="1" applyFont="1" applyBorder="1" applyAlignment="1">
      <alignment vertical="center"/>
    </xf>
    <xf numFmtId="165" fontId="50" fillId="0" borderId="0" xfId="3" applyNumberFormat="1" applyFont="1" applyBorder="1" applyAlignment="1">
      <alignment horizontal="center" vertical="center"/>
    </xf>
    <xf numFmtId="37" fontId="50" fillId="0" borderId="0" xfId="2" applyNumberFormat="1" applyFont="1" applyBorder="1" applyAlignment="1">
      <alignment horizontal="right" vertical="center"/>
    </xf>
    <xf numFmtId="0" fontId="32" fillId="12" borderId="0" xfId="0" applyNumberFormat="1" applyFont="1" applyFill="1" applyBorder="1"/>
    <xf numFmtId="0" fontId="32" fillId="0" borderId="0" xfId="0" applyFont="1" applyBorder="1"/>
    <xf numFmtId="0" fontId="51" fillId="12" borderId="0" xfId="0" applyFont="1" applyFill="1" applyBorder="1" applyAlignment="1">
      <alignment horizontal="center"/>
    </xf>
    <xf numFmtId="0" fontId="48" fillId="12" borderId="0" xfId="0" applyFont="1" applyFill="1" applyBorder="1" applyAlignment="1"/>
    <xf numFmtId="0" fontId="51" fillId="12" borderId="0" xfId="0" applyNumberFormat="1" applyFont="1" applyFill="1" applyBorder="1"/>
    <xf numFmtId="0" fontId="51" fillId="12" borderId="0" xfId="0" applyFont="1" applyFill="1" applyBorder="1" applyAlignment="1"/>
    <xf numFmtId="0" fontId="51" fillId="12" borderId="0" xfId="0" applyFont="1" applyFill="1" applyBorder="1"/>
    <xf numFmtId="0" fontId="51" fillId="12" borderId="0" xfId="0" quotePrefix="1" applyFont="1" applyFill="1" applyBorder="1"/>
    <xf numFmtId="0" fontId="52" fillId="12" borderId="0" xfId="0" applyFont="1" applyFill="1" applyBorder="1" applyAlignment="1">
      <alignment horizontal="center"/>
    </xf>
    <xf numFmtId="0" fontId="49" fillId="12" borderId="0" xfId="0" applyFont="1" applyFill="1" applyBorder="1" applyAlignment="1"/>
    <xf numFmtId="0" fontId="74" fillId="10" borderId="0" xfId="0" applyFont="1" applyFill="1"/>
    <xf numFmtId="0" fontId="74" fillId="0" borderId="0" xfId="0" applyFont="1"/>
    <xf numFmtId="41" fontId="74" fillId="10" borderId="0" xfId="0" applyNumberFormat="1" applyFont="1" applyFill="1"/>
    <xf numFmtId="41" fontId="74" fillId="10" borderId="0" xfId="1" applyFont="1" applyFill="1"/>
    <xf numFmtId="0" fontId="75" fillId="8" borderId="4" xfId="0" applyFont="1" applyFill="1" applyBorder="1" applyAlignment="1">
      <alignment horizontal="center"/>
    </xf>
    <xf numFmtId="0" fontId="75" fillId="8" borderId="4" xfId="0" applyFont="1" applyFill="1" applyBorder="1"/>
    <xf numFmtId="41" fontId="75" fillId="0" borderId="4" xfId="0" applyNumberFormat="1" applyFont="1" applyBorder="1"/>
    <xf numFmtId="41" fontId="75" fillId="2" borderId="4" xfId="0" applyNumberFormat="1" applyFont="1" applyFill="1" applyBorder="1"/>
    <xf numFmtId="0" fontId="74" fillId="0" borderId="0" xfId="0" applyFont="1" applyFill="1"/>
    <xf numFmtId="0" fontId="74" fillId="2" borderId="0" xfId="0" applyFont="1" applyFill="1"/>
    <xf numFmtId="41" fontId="74" fillId="2" borderId="0" xfId="1" applyFont="1" applyFill="1"/>
    <xf numFmtId="165" fontId="74" fillId="0" borderId="0" xfId="0" applyNumberFormat="1" applyFont="1"/>
    <xf numFmtId="0" fontId="75" fillId="8" borderId="12" xfId="0" applyFont="1" applyFill="1" applyBorder="1" applyAlignment="1">
      <alignment horizontal="center"/>
    </xf>
    <xf numFmtId="0" fontId="75" fillId="0" borderId="12" xfId="0" applyFont="1" applyBorder="1"/>
    <xf numFmtId="0" fontId="75" fillId="2" borderId="12" xfId="0" applyFont="1" applyFill="1" applyBorder="1"/>
    <xf numFmtId="0" fontId="75" fillId="8" borderId="60" xfId="0" applyFont="1" applyFill="1" applyBorder="1" applyAlignment="1">
      <alignment horizontal="center"/>
    </xf>
    <xf numFmtId="41" fontId="75" fillId="0" borderId="60" xfId="0" applyNumberFormat="1" applyFont="1" applyBorder="1"/>
    <xf numFmtId="41" fontId="75" fillId="2" borderId="60" xfId="0" applyNumberFormat="1" applyFont="1" applyFill="1" applyBorder="1"/>
    <xf numFmtId="0" fontId="62" fillId="0" borderId="4" xfId="0" applyFont="1" applyBorder="1" applyAlignment="1">
      <alignment horizontal="center"/>
    </xf>
    <xf numFmtId="0" fontId="19" fillId="0" borderId="4" xfId="0" applyFont="1" applyFill="1" applyBorder="1"/>
    <xf numFmtId="0" fontId="19" fillId="2" borderId="4" xfId="0" applyFont="1" applyFill="1" applyBorder="1"/>
    <xf numFmtId="0" fontId="19" fillId="0" borderId="4" xfId="0" applyFont="1" applyFill="1" applyBorder="1" applyAlignment="1">
      <alignment horizontal="center"/>
    </xf>
    <xf numFmtId="0" fontId="74" fillId="0" borderId="0" xfId="6" applyFont="1" applyAlignment="1">
      <alignment horizontal="center" vertical="center"/>
    </xf>
    <xf numFmtId="0" fontId="74" fillId="0" borderId="0" xfId="6" applyFont="1"/>
    <xf numFmtId="0" fontId="74" fillId="0" borderId="0" xfId="6" applyFont="1" applyAlignment="1">
      <alignment horizontal="center"/>
    </xf>
    <xf numFmtId="0" fontId="74" fillId="0" borderId="0" xfId="6" applyFont="1" applyAlignment="1"/>
    <xf numFmtId="41" fontId="74" fillId="0" borderId="0" xfId="6" applyNumberFormat="1" applyFont="1" applyAlignment="1"/>
    <xf numFmtId="165" fontId="0" fillId="2" borderId="4" xfId="0" applyNumberFormat="1" applyFill="1" applyBorder="1"/>
    <xf numFmtId="41" fontId="19" fillId="2" borderId="2" xfId="0" applyNumberFormat="1" applyFont="1" applyFill="1" applyBorder="1" applyAlignment="1">
      <alignment horizontal="right" vertical="top" wrapText="1"/>
    </xf>
    <xf numFmtId="0" fontId="19" fillId="0" borderId="0" xfId="0" applyFont="1" applyAlignment="1">
      <alignment horizontal="center"/>
    </xf>
    <xf numFmtId="0" fontId="19" fillId="0" borderId="4" xfId="0" applyFont="1" applyFill="1" applyBorder="1" applyAlignment="1">
      <alignment horizontal="center" vertical="center"/>
    </xf>
    <xf numFmtId="0" fontId="19" fillId="0" borderId="0" xfId="0" applyFont="1" applyBorder="1" applyAlignment="1">
      <alignment horizontal="left" vertical="top" wrapText="1"/>
    </xf>
    <xf numFmtId="0" fontId="19" fillId="0" borderId="0" xfId="0" applyFont="1" applyFill="1" applyAlignment="1">
      <alignment horizontal="center" vertical="top" wrapText="1"/>
    </xf>
    <xf numFmtId="43" fontId="0" fillId="0" borderId="0" xfId="0" applyNumberFormat="1"/>
    <xf numFmtId="0" fontId="51" fillId="12" borderId="0" xfId="0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5" fontId="28" fillId="0" borderId="3" xfId="3" applyNumberFormat="1" applyFont="1" applyBorder="1" applyAlignment="1">
      <alignment horizontal="center" vertical="center"/>
    </xf>
    <xf numFmtId="165" fontId="28" fillId="0" borderId="6" xfId="3" applyNumberFormat="1" applyFont="1" applyBorder="1" applyAlignment="1">
      <alignment horizontal="center" vertical="center"/>
    </xf>
    <xf numFmtId="165" fontId="28" fillId="0" borderId="2" xfId="3" applyNumberFormat="1" applyFont="1" applyBorder="1" applyAlignment="1">
      <alignment horizontal="center" vertical="center"/>
    </xf>
    <xf numFmtId="165" fontId="28" fillId="0" borderId="0" xfId="3" applyNumberFormat="1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18" fillId="0" borderId="0" xfId="0" applyNumberFormat="1" applyFont="1"/>
    <xf numFmtId="0" fontId="14" fillId="8" borderId="4" xfId="0" applyFont="1" applyFill="1" applyBorder="1" applyAlignment="1">
      <alignment horizontal="center" vertical="center"/>
    </xf>
    <xf numFmtId="0" fontId="72" fillId="0" borderId="0" xfId="6" applyFont="1" applyAlignment="1">
      <alignment horizontal="center"/>
    </xf>
    <xf numFmtId="0" fontId="19" fillId="0" borderId="0" xfId="0" applyFont="1" applyFill="1" applyBorder="1"/>
    <xf numFmtId="164" fontId="74" fillId="0" borderId="0" xfId="6" applyNumberFormat="1" applyFont="1" applyFill="1" applyBorder="1"/>
    <xf numFmtId="164" fontId="76" fillId="0" borderId="0" xfId="6" applyNumberFormat="1" applyFont="1" applyFill="1" applyBorder="1"/>
    <xf numFmtId="164" fontId="72" fillId="0" borderId="0" xfId="6" applyNumberFormat="1" applyFont="1" applyFill="1" applyBorder="1"/>
    <xf numFmtId="0" fontId="72" fillId="0" borderId="0" xfId="6" applyFont="1" applyFill="1" applyBorder="1"/>
    <xf numFmtId="0" fontId="72" fillId="0" borderId="0" xfId="6" applyFont="1"/>
    <xf numFmtId="0" fontId="75" fillId="0" borderId="0" xfId="0" applyFont="1" applyAlignment="1"/>
    <xf numFmtId="0" fontId="74" fillId="0" borderId="0" xfId="6" applyFont="1" applyFill="1" applyBorder="1"/>
    <xf numFmtId="0" fontId="75" fillId="0" borderId="0" xfId="0" applyFont="1"/>
    <xf numFmtId="0" fontId="74" fillId="0" borderId="0" xfId="6" applyFont="1" applyAlignment="1">
      <alignment horizontal="left"/>
    </xf>
    <xf numFmtId="41" fontId="74" fillId="0" borderId="0" xfId="6" applyNumberFormat="1" applyFont="1" applyFill="1" applyBorder="1"/>
    <xf numFmtId="0" fontId="74" fillId="0" borderId="0" xfId="6" applyFont="1" applyBorder="1" applyAlignment="1">
      <alignment horizontal="center" vertical="center" wrapText="1"/>
    </xf>
    <xf numFmtId="0" fontId="74" fillId="0" borderId="41" xfId="6" applyFont="1" applyBorder="1" applyAlignment="1">
      <alignment horizontal="center" vertical="center" wrapText="1"/>
    </xf>
    <xf numFmtId="0" fontId="74" fillId="0" borderId="42" xfId="6" applyFont="1" applyBorder="1" applyAlignment="1">
      <alignment horizontal="center" vertical="center" wrapText="1"/>
    </xf>
    <xf numFmtId="0" fontId="74" fillId="0" borderId="43" xfId="6" applyFont="1" applyBorder="1" applyAlignment="1">
      <alignment horizontal="center" vertical="center" wrapText="1"/>
    </xf>
    <xf numFmtId="164" fontId="74" fillId="0" borderId="0" xfId="6" applyNumberFormat="1" applyFont="1" applyFill="1" applyBorder="1" applyAlignment="1">
      <alignment horizontal="center" vertical="center"/>
    </xf>
    <xf numFmtId="0" fontId="74" fillId="0" borderId="0" xfId="6" applyFont="1" applyFill="1" applyBorder="1" applyAlignment="1">
      <alignment horizontal="center" vertical="center"/>
    </xf>
    <xf numFmtId="0" fontId="77" fillId="0" borderId="24" xfId="6" applyFont="1" applyBorder="1" applyAlignment="1">
      <alignment horizontal="center" vertical="center"/>
    </xf>
    <xf numFmtId="0" fontId="77" fillId="0" borderId="41" xfId="6" applyFont="1" applyBorder="1" applyAlignment="1">
      <alignment horizontal="center" vertical="center"/>
    </xf>
    <xf numFmtId="0" fontId="77" fillId="0" borderId="45" xfId="6" applyFont="1" applyBorder="1" applyAlignment="1">
      <alignment horizontal="center" vertical="center"/>
    </xf>
    <xf numFmtId="0" fontId="77" fillId="0" borderId="44" xfId="6" applyFont="1" applyBorder="1" applyAlignment="1">
      <alignment horizontal="center" vertical="center"/>
    </xf>
    <xf numFmtId="0" fontId="77" fillId="0" borderId="0" xfId="6" applyFont="1" applyBorder="1" applyAlignment="1">
      <alignment horizontal="center" vertical="center"/>
    </xf>
    <xf numFmtId="0" fontId="77" fillId="0" borderId="0" xfId="6" applyFont="1" applyFill="1" applyBorder="1" applyAlignment="1">
      <alignment horizontal="center" vertical="center"/>
    </xf>
    <xf numFmtId="164" fontId="77" fillId="0" borderId="0" xfId="6" applyNumberFormat="1" applyFont="1" applyFill="1" applyBorder="1" applyAlignment="1">
      <alignment horizontal="center" vertical="center"/>
    </xf>
    <xf numFmtId="0" fontId="77" fillId="0" borderId="0" xfId="6" applyFont="1" applyAlignment="1">
      <alignment horizontal="center" vertical="center"/>
    </xf>
    <xf numFmtId="0" fontId="74" fillId="0" borderId="17" xfId="6" applyFont="1" applyBorder="1" applyAlignment="1">
      <alignment horizontal="center"/>
    </xf>
    <xf numFmtId="0" fontId="74" fillId="0" borderId="17" xfId="6" applyFont="1" applyBorder="1"/>
    <xf numFmtId="0" fontId="74" fillId="0" borderId="18" xfId="6" applyFont="1" applyBorder="1" applyAlignment="1">
      <alignment horizontal="center"/>
    </xf>
    <xf numFmtId="0" fontId="74" fillId="0" borderId="0" xfId="6" applyFont="1" applyBorder="1"/>
    <xf numFmtId="0" fontId="74" fillId="0" borderId="2" xfId="6" applyFont="1" applyBorder="1" applyAlignment="1">
      <alignment horizontal="center" vertical="center"/>
    </xf>
    <xf numFmtId="0" fontId="74" fillId="0" borderId="2" xfId="6" applyFont="1" applyBorder="1" applyAlignment="1">
      <alignment horizontal="center" vertical="center" wrapText="1"/>
    </xf>
    <xf numFmtId="41" fontId="74" fillId="0" borderId="2" xfId="5" applyFont="1" applyBorder="1" applyAlignment="1">
      <alignment vertical="center"/>
    </xf>
    <xf numFmtId="0" fontId="74" fillId="0" borderId="20" xfId="6" applyFont="1" applyBorder="1" applyAlignment="1">
      <alignment horizontal="center"/>
    </xf>
    <xf numFmtId="0" fontId="74" fillId="0" borderId="20" xfId="6" applyFont="1" applyBorder="1"/>
    <xf numFmtId="0" fontId="74" fillId="0" borderId="22" xfId="6" applyFont="1" applyBorder="1" applyAlignment="1">
      <alignment horizontal="center"/>
    </xf>
    <xf numFmtId="0" fontId="74" fillId="0" borderId="22" xfId="6" applyFont="1" applyBorder="1" applyAlignment="1">
      <alignment horizontal="center" wrapText="1"/>
    </xf>
    <xf numFmtId="0" fontId="74" fillId="0" borderId="2" xfId="6" applyFont="1" applyBorder="1" applyAlignment="1">
      <alignment horizontal="left" vertical="center"/>
    </xf>
    <xf numFmtId="0" fontId="74" fillId="0" borderId="22" xfId="6" applyFont="1" applyBorder="1" applyAlignment="1">
      <alignment horizontal="center" vertical="center" wrapText="1"/>
    </xf>
    <xf numFmtId="41" fontId="72" fillId="0" borderId="4" xfId="5" applyFont="1" applyBorder="1" applyAlignment="1">
      <alignment vertical="center"/>
    </xf>
    <xf numFmtId="0" fontId="74" fillId="0" borderId="4" xfId="6" applyFont="1" applyBorder="1"/>
    <xf numFmtId="0" fontId="74" fillId="0" borderId="12" xfId="6" applyFont="1" applyBorder="1"/>
    <xf numFmtId="0" fontId="74" fillId="0" borderId="48" xfId="6" applyFont="1" applyBorder="1" applyAlignment="1">
      <alignment horizontal="center"/>
    </xf>
    <xf numFmtId="0" fontId="74" fillId="0" borderId="5" xfId="6" applyFont="1" applyBorder="1" applyAlignment="1">
      <alignment horizontal="center" vertical="center"/>
    </xf>
    <xf numFmtId="0" fontId="74" fillId="0" borderId="5" xfId="6" applyFont="1" applyBorder="1" applyAlignment="1">
      <alignment horizontal="center" vertical="center" wrapText="1"/>
    </xf>
    <xf numFmtId="0" fontId="74" fillId="0" borderId="26" xfId="6" applyFont="1" applyBorder="1" applyAlignment="1">
      <alignment horizontal="center"/>
    </xf>
    <xf numFmtId="0" fontId="74" fillId="0" borderId="5" xfId="6" applyFont="1" applyBorder="1"/>
    <xf numFmtId="0" fontId="74" fillId="0" borderId="28" xfId="6" applyFont="1" applyBorder="1" applyAlignment="1">
      <alignment horizontal="center" wrapText="1"/>
    </xf>
    <xf numFmtId="0" fontId="74" fillId="0" borderId="100" xfId="2" applyFont="1" applyBorder="1" applyAlignment="1">
      <alignment horizontal="left" vertical="center" wrapText="1"/>
    </xf>
    <xf numFmtId="0" fontId="74" fillId="0" borderId="100" xfId="2" applyFont="1" applyBorder="1" applyAlignment="1">
      <alignment horizontal="center" vertical="center" wrapText="1"/>
    </xf>
    <xf numFmtId="0" fontId="74" fillId="0" borderId="100" xfId="6" applyFont="1" applyBorder="1" applyAlignment="1" applyProtection="1">
      <alignment horizontal="left" vertical="center" wrapText="1"/>
    </xf>
    <xf numFmtId="41" fontId="74" fillId="0" borderId="2" xfId="5" applyFont="1" applyBorder="1" applyAlignment="1">
      <alignment horizontal="center" vertical="center"/>
    </xf>
    <xf numFmtId="0" fontId="74" fillId="0" borderId="28" xfId="6" applyFont="1" applyBorder="1" applyAlignment="1">
      <alignment horizontal="center"/>
    </xf>
    <xf numFmtId="0" fontId="74" fillId="0" borderId="26" xfId="6" applyFont="1" applyBorder="1"/>
    <xf numFmtId="0" fontId="74" fillId="0" borderId="100" xfId="2" applyFont="1" applyFill="1" applyBorder="1" applyAlignment="1">
      <alignment horizontal="center" vertical="center" wrapText="1"/>
    </xf>
    <xf numFmtId="0" fontId="74" fillId="0" borderId="68" xfId="6" applyFont="1" applyBorder="1" applyAlignment="1">
      <alignment horizontal="center" vertical="center" wrapText="1"/>
    </xf>
    <xf numFmtId="0" fontId="74" fillId="0" borderId="68" xfId="6" applyFont="1" applyBorder="1" applyAlignment="1">
      <alignment vertical="center" wrapText="1"/>
    </xf>
    <xf numFmtId="0" fontId="74" fillId="0" borderId="68" xfId="6" applyFont="1" applyBorder="1" applyAlignment="1">
      <alignment horizontal="center" vertical="center"/>
    </xf>
    <xf numFmtId="0" fontId="74" fillId="0" borderId="68" xfId="6" applyFont="1" applyBorder="1" applyAlignment="1">
      <alignment horizontal="left" vertical="center"/>
    </xf>
    <xf numFmtId="41" fontId="74" fillId="0" borderId="68" xfId="5" applyFont="1" applyBorder="1" applyAlignment="1">
      <alignment vertical="center"/>
    </xf>
    <xf numFmtId="41" fontId="74" fillId="0" borderId="68" xfId="5" applyFont="1" applyBorder="1" applyAlignment="1">
      <alignment horizontal="center" vertical="center"/>
    </xf>
    <xf numFmtId="0" fontId="74" fillId="0" borderId="67" xfId="6" applyFont="1" applyBorder="1" applyAlignment="1">
      <alignment horizontal="center"/>
    </xf>
    <xf numFmtId="0" fontId="74" fillId="0" borderId="67" xfId="6" applyFont="1" applyBorder="1"/>
    <xf numFmtId="0" fontId="74" fillId="0" borderId="76" xfId="6" applyFont="1" applyBorder="1" applyAlignment="1">
      <alignment horizontal="center"/>
    </xf>
    <xf numFmtId="0" fontId="74" fillId="0" borderId="2" xfId="6" applyFont="1" applyBorder="1" applyAlignment="1">
      <alignment vertical="center" wrapText="1"/>
    </xf>
    <xf numFmtId="0" fontId="74" fillId="0" borderId="6" xfId="6" applyFont="1" applyBorder="1" applyAlignment="1">
      <alignment horizontal="left" vertical="center"/>
    </xf>
    <xf numFmtId="41" fontId="74" fillId="0" borderId="6" xfId="5" applyFont="1" applyBorder="1" applyAlignment="1">
      <alignment vertical="center"/>
    </xf>
    <xf numFmtId="41" fontId="72" fillId="0" borderId="4" xfId="5" applyFont="1" applyBorder="1" applyAlignment="1">
      <alignment horizontal="center" vertical="center"/>
    </xf>
    <xf numFmtId="0" fontId="74" fillId="0" borderId="68" xfId="6" applyFont="1" applyBorder="1" applyAlignment="1">
      <alignment horizontal="left" vertical="center" wrapText="1"/>
    </xf>
    <xf numFmtId="41" fontId="74" fillId="0" borderId="5" xfId="5" applyFont="1" applyBorder="1" applyAlignment="1">
      <alignment horizontal="center" vertical="center"/>
    </xf>
    <xf numFmtId="0" fontId="74" fillId="0" borderId="68" xfId="6" applyFont="1" applyBorder="1" applyAlignment="1">
      <alignment horizontal="center"/>
    </xf>
    <xf numFmtId="0" fontId="74" fillId="0" borderId="2" xfId="6" applyFont="1" applyBorder="1" applyAlignment="1">
      <alignment horizontal="center"/>
    </xf>
    <xf numFmtId="41" fontId="74" fillId="0" borderId="4" xfId="5" applyFont="1" applyBorder="1" applyAlignment="1">
      <alignment vertical="center"/>
    </xf>
    <xf numFmtId="41" fontId="72" fillId="0" borderId="42" xfId="6" applyNumberFormat="1" applyFont="1" applyBorder="1" applyAlignment="1">
      <alignment vertical="center"/>
    </xf>
    <xf numFmtId="0" fontId="74" fillId="0" borderId="43" xfId="6" applyFont="1" applyBorder="1"/>
    <xf numFmtId="0" fontId="74" fillId="0" borderId="52" xfId="6" applyFont="1" applyBorder="1" applyAlignment="1">
      <alignment horizontal="center"/>
    </xf>
    <xf numFmtId="0" fontId="72" fillId="0" borderId="0" xfId="6" applyFont="1" applyBorder="1" applyAlignment="1">
      <alignment horizontal="right" vertical="center"/>
    </xf>
    <xf numFmtId="41" fontId="74" fillId="0" borderId="0" xfId="6" applyNumberFormat="1" applyFont="1"/>
    <xf numFmtId="0" fontId="74" fillId="0" borderId="0" xfId="6" applyFont="1" applyBorder="1" applyAlignment="1">
      <alignment horizontal="center"/>
    </xf>
    <xf numFmtId="164" fontId="79" fillId="0" borderId="0" xfId="6" applyNumberFormat="1" applyFont="1" applyFill="1" applyBorder="1"/>
    <xf numFmtId="0" fontId="74" fillId="12" borderId="0" xfId="2" applyFont="1" applyFill="1" applyAlignment="1">
      <alignment horizontal="center" vertical="center"/>
    </xf>
    <xf numFmtId="0" fontId="74" fillId="0" borderId="0" xfId="2" applyFont="1" applyFill="1" applyBorder="1" applyAlignment="1">
      <alignment horizontal="center" vertical="center"/>
    </xf>
    <xf numFmtId="164" fontId="74" fillId="0" borderId="0" xfId="6" applyNumberFormat="1" applyFont="1" applyFill="1" applyBorder="1" applyAlignment="1">
      <alignment horizontal="center"/>
    </xf>
    <xf numFmtId="0" fontId="74" fillId="0" borderId="0" xfId="6" applyFont="1" applyFill="1" applyBorder="1" applyAlignment="1">
      <alignment horizontal="center"/>
    </xf>
    <xf numFmtId="0" fontId="77" fillId="0" borderId="0" xfId="6" applyFont="1"/>
    <xf numFmtId="164" fontId="74" fillId="0" borderId="0" xfId="6" applyNumberFormat="1" applyFont="1"/>
    <xf numFmtId="164" fontId="80" fillId="0" borderId="0" xfId="6" applyNumberFormat="1" applyFont="1" applyAlignment="1">
      <alignment vertical="center"/>
    </xf>
    <xf numFmtId="41" fontId="72" fillId="0" borderId="0" xfId="6" applyNumberFormat="1" applyFont="1" applyAlignment="1">
      <alignment vertical="center"/>
    </xf>
    <xf numFmtId="164" fontId="81" fillId="0" borderId="0" xfId="6" applyNumberFormat="1" applyFont="1" applyAlignment="1">
      <alignment vertical="center"/>
    </xf>
    <xf numFmtId="0" fontId="74" fillId="0" borderId="0" xfId="6" quotePrefix="1" applyFont="1"/>
    <xf numFmtId="41" fontId="18" fillId="0" borderId="0" xfId="0" applyNumberFormat="1" applyFont="1" applyBorder="1"/>
    <xf numFmtId="0" fontId="74" fillId="0" borderId="12" xfId="6" applyFont="1" applyBorder="1" applyAlignment="1">
      <alignment horizontal="center"/>
    </xf>
    <xf numFmtId="41" fontId="38" fillId="0" borderId="0" xfId="0" applyNumberFormat="1" applyFont="1"/>
    <xf numFmtId="0" fontId="63" fillId="0" borderId="0" xfId="0" applyFont="1"/>
    <xf numFmtId="0" fontId="38" fillId="0" borderId="0" xfId="0" applyFont="1"/>
    <xf numFmtId="41" fontId="63" fillId="0" borderId="0" xfId="0" applyNumberFormat="1" applyFont="1"/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74" fillId="0" borderId="76" xfId="6" applyFont="1" applyBorder="1" applyAlignment="1">
      <alignment horizontal="center" wrapText="1"/>
    </xf>
    <xf numFmtId="165" fontId="13" fillId="0" borderId="0" xfId="0" applyNumberFormat="1" applyFont="1"/>
    <xf numFmtId="0" fontId="22" fillId="0" borderId="74" xfId="0" applyFont="1" applyBorder="1" applyAlignment="1">
      <alignment horizontal="left" vertical="center"/>
    </xf>
    <xf numFmtId="0" fontId="22" fillId="0" borderId="6" xfId="2" applyFont="1" applyFill="1" applyBorder="1" applyAlignment="1">
      <alignment horizontal="right" vertical="center"/>
    </xf>
    <xf numFmtId="37" fontId="22" fillId="0" borderId="20" xfId="2" applyNumberFormat="1" applyFont="1" applyFill="1" applyBorder="1" applyAlignment="1">
      <alignment horizontal="right" vertical="center"/>
    </xf>
    <xf numFmtId="0" fontId="22" fillId="0" borderId="20" xfId="2" applyFont="1" applyBorder="1" applyAlignment="1">
      <alignment horizontal="left" vertical="center" wrapText="1"/>
    </xf>
    <xf numFmtId="0" fontId="23" fillId="0" borderId="74" xfId="0" applyFont="1" applyBorder="1" applyAlignment="1">
      <alignment horizontal="left" vertical="center"/>
    </xf>
    <xf numFmtId="0" fontId="23" fillId="0" borderId="20" xfId="2" applyFont="1" applyBorder="1" applyAlignment="1">
      <alignment horizontal="left" vertical="center" wrapText="1"/>
    </xf>
    <xf numFmtId="165" fontId="23" fillId="0" borderId="26" xfId="3" applyNumberFormat="1" applyFont="1" applyBorder="1" applyAlignment="1">
      <alignment vertical="center"/>
    </xf>
    <xf numFmtId="165" fontId="23" fillId="0" borderId="28" xfId="3" applyNumberFormat="1" applyFont="1" applyBorder="1" applyAlignment="1">
      <alignment vertical="center"/>
    </xf>
    <xf numFmtId="165" fontId="14" fillId="0" borderId="28" xfId="0" applyNumberFormat="1" applyFont="1" applyBorder="1"/>
    <xf numFmtId="165" fontId="23" fillId="0" borderId="12" xfId="3" applyNumberFormat="1" applyFont="1" applyBorder="1" applyAlignment="1">
      <alignment vertical="center"/>
    </xf>
    <xf numFmtId="165" fontId="23" fillId="0" borderId="48" xfId="3" applyNumberFormat="1" applyFont="1" applyBorder="1" applyAlignment="1">
      <alignment vertical="center"/>
    </xf>
    <xf numFmtId="0" fontId="23" fillId="0" borderId="21" xfId="2" applyFont="1" applyBorder="1" applyAlignment="1">
      <alignment horizontal="left" vertical="center" wrapText="1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9" fillId="0" borderId="0" xfId="20"/>
    <xf numFmtId="0" fontId="83" fillId="0" borderId="0" xfId="2" applyFont="1" applyBorder="1" applyAlignment="1">
      <alignment horizontal="left"/>
    </xf>
    <xf numFmtId="0" fontId="83" fillId="0" borderId="0" xfId="2" applyFont="1" applyBorder="1" applyAlignment="1">
      <alignment horizontal="center"/>
    </xf>
    <xf numFmtId="165" fontId="83" fillId="0" borderId="0" xfId="21" applyNumberFormat="1" applyFont="1" applyBorder="1" applyAlignment="1">
      <alignment horizontal="center"/>
    </xf>
    <xf numFmtId="0" fontId="84" fillId="0" borderId="0" xfId="20" applyFont="1" applyBorder="1"/>
    <xf numFmtId="0" fontId="9" fillId="0" borderId="0" xfId="20" applyBorder="1"/>
    <xf numFmtId="0" fontId="71" fillId="0" borderId="0" xfId="2" applyFont="1" applyBorder="1" applyAlignment="1">
      <alignment horizontal="left"/>
    </xf>
    <xf numFmtId="165" fontId="85" fillId="0" borderId="0" xfId="21" applyNumberFormat="1" applyFont="1"/>
    <xf numFmtId="165" fontId="71" fillId="0" borderId="0" xfId="21" applyNumberFormat="1" applyFont="1" applyBorder="1" applyAlignment="1">
      <alignment horizontal="left"/>
    </xf>
    <xf numFmtId="0" fontId="86" fillId="0" borderId="0" xfId="2" applyFont="1" applyBorder="1" applyAlignment="1">
      <alignment horizontal="center"/>
    </xf>
    <xf numFmtId="0" fontId="83" fillId="0" borderId="57" xfId="2" applyFont="1" applyBorder="1" applyAlignment="1">
      <alignment horizontal="left"/>
    </xf>
    <xf numFmtId="0" fontId="88" fillId="0" borderId="20" xfId="20" applyFont="1" applyBorder="1" applyAlignment="1">
      <alignment horizontal="left"/>
    </xf>
    <xf numFmtId="0" fontId="89" fillId="0" borderId="21" xfId="2" applyFont="1" applyBorder="1"/>
    <xf numFmtId="0" fontId="90" fillId="0" borderId="21" xfId="2" applyFont="1" applyBorder="1"/>
    <xf numFmtId="0" fontId="90" fillId="0" borderId="63" xfId="2" applyFont="1" applyBorder="1"/>
    <xf numFmtId="0" fontId="90" fillId="0" borderId="2" xfId="2" applyFont="1" applyBorder="1" applyAlignment="1">
      <alignment horizontal="center"/>
    </xf>
    <xf numFmtId="165" fontId="90" fillId="0" borderId="2" xfId="21" applyNumberFormat="1" applyFont="1" applyBorder="1" applyAlignment="1">
      <alignment horizontal="center"/>
    </xf>
    <xf numFmtId="41" fontId="89" fillId="0" borderId="2" xfId="22" applyFont="1" applyFill="1" applyBorder="1"/>
    <xf numFmtId="0" fontId="88" fillId="0" borderId="21" xfId="20" applyFont="1" applyBorder="1"/>
    <xf numFmtId="20" fontId="88" fillId="0" borderId="20" xfId="20" quotePrefix="1" applyNumberFormat="1" applyFont="1" applyBorder="1" applyAlignment="1">
      <alignment horizontal="left"/>
    </xf>
    <xf numFmtId="0" fontId="91" fillId="0" borderId="21" xfId="2" applyFont="1" applyBorder="1"/>
    <xf numFmtId="0" fontId="91" fillId="0" borderId="63" xfId="2" applyFont="1" applyBorder="1"/>
    <xf numFmtId="0" fontId="14" fillId="0" borderId="12" xfId="20" applyFont="1" applyBorder="1" applyAlignment="1">
      <alignment horizontal="left"/>
    </xf>
    <xf numFmtId="0" fontId="92" fillId="0" borderId="47" xfId="20" applyFont="1" applyBorder="1"/>
    <xf numFmtId="0" fontId="92" fillId="0" borderId="47" xfId="20" applyFont="1" applyBorder="1" applyAlignment="1">
      <alignment horizontal="center"/>
    </xf>
    <xf numFmtId="0" fontId="92" fillId="0" borderId="4" xfId="20" applyFont="1" applyBorder="1" applyAlignment="1"/>
    <xf numFmtId="165" fontId="92" fillId="0" borderId="4" xfId="21" applyNumberFormat="1" applyFont="1" applyBorder="1" applyAlignment="1">
      <alignment horizontal="center"/>
    </xf>
    <xf numFmtId="165" fontId="92" fillId="0" borderId="4" xfId="20" applyNumberFormat="1" applyFont="1" applyBorder="1"/>
    <xf numFmtId="0" fontId="88" fillId="0" borderId="26" xfId="20" applyFont="1" applyBorder="1" applyAlignment="1">
      <alignment horizontal="left"/>
    </xf>
    <xf numFmtId="0" fontId="89" fillId="0" borderId="27" xfId="2" applyFont="1" applyBorder="1"/>
    <xf numFmtId="0" fontId="90" fillId="0" borderId="27" xfId="2" applyFont="1" applyBorder="1"/>
    <xf numFmtId="0" fontId="90" fillId="0" borderId="62" xfId="2" applyFont="1" applyBorder="1"/>
    <xf numFmtId="0" fontId="90" fillId="0" borderId="5" xfId="2" applyFont="1" applyBorder="1" applyAlignment="1">
      <alignment horizontal="center"/>
    </xf>
    <xf numFmtId="165" fontId="90" fillId="0" borderId="5" xfId="21" applyNumberFormat="1" applyFont="1" applyBorder="1" applyAlignment="1">
      <alignment horizontal="center"/>
    </xf>
    <xf numFmtId="41" fontId="89" fillId="0" borderId="5" xfId="22" applyFont="1" applyFill="1" applyBorder="1"/>
    <xf numFmtId="0" fontId="88" fillId="0" borderId="0" xfId="20" applyFont="1"/>
    <xf numFmtId="0" fontId="89" fillId="0" borderId="69" xfId="2" applyFont="1" applyBorder="1"/>
    <xf numFmtId="0" fontId="90" fillId="0" borderId="69" xfId="2" applyFont="1" applyBorder="1"/>
    <xf numFmtId="41" fontId="89" fillId="0" borderId="3" xfId="22" applyFont="1" applyFill="1" applyBorder="1"/>
    <xf numFmtId="0" fontId="71" fillId="0" borderId="57" xfId="2" applyFont="1" applyBorder="1" applyAlignment="1">
      <alignment horizontal="left" vertical="center"/>
    </xf>
    <xf numFmtId="0" fontId="83" fillId="0" borderId="0" xfId="2" applyFont="1" applyBorder="1" applyAlignment="1">
      <alignment horizontal="center" vertical="center"/>
    </xf>
    <xf numFmtId="0" fontId="83" fillId="0" borderId="58" xfId="2" applyFont="1" applyBorder="1" applyAlignment="1">
      <alignment horizontal="center" vertical="center"/>
    </xf>
    <xf numFmtId="0" fontId="83" fillId="0" borderId="3" xfId="2" applyFont="1" applyBorder="1" applyAlignment="1">
      <alignment horizontal="center" vertical="center" wrapText="1"/>
    </xf>
    <xf numFmtId="0" fontId="88" fillId="0" borderId="64" xfId="20" applyFont="1" applyBorder="1" applyAlignment="1">
      <alignment horizontal="left"/>
    </xf>
    <xf numFmtId="0" fontId="90" fillId="0" borderId="65" xfId="2" applyFont="1" applyBorder="1"/>
    <xf numFmtId="41" fontId="89" fillId="0" borderId="6" xfId="22" applyFont="1" applyFill="1" applyBorder="1"/>
    <xf numFmtId="0" fontId="93" fillId="0" borderId="57" xfId="20" applyFont="1" applyBorder="1" applyAlignment="1">
      <alignment horizontal="left"/>
    </xf>
    <xf numFmtId="0" fontId="94" fillId="0" borderId="0" xfId="20" applyFont="1" applyBorder="1"/>
    <xf numFmtId="0" fontId="94" fillId="0" borderId="0" xfId="20" applyFont="1" applyBorder="1" applyAlignment="1">
      <alignment horizontal="center"/>
    </xf>
    <xf numFmtId="165" fontId="92" fillId="0" borderId="3" xfId="20" applyNumberFormat="1" applyFont="1" applyBorder="1"/>
    <xf numFmtId="0" fontId="95" fillId="0" borderId="0" xfId="20" applyFont="1" applyAlignment="1">
      <alignment horizontal="left"/>
    </xf>
    <xf numFmtId="0" fontId="95" fillId="0" borderId="0" xfId="20" applyFont="1"/>
    <xf numFmtId="0" fontId="95" fillId="0" borderId="0" xfId="20" applyFont="1" applyAlignment="1">
      <alignment horizontal="center"/>
    </xf>
    <xf numFmtId="165" fontId="95" fillId="0" borderId="0" xfId="21" applyNumberFormat="1" applyFont="1"/>
    <xf numFmtId="0" fontId="85" fillId="0" borderId="0" xfId="20" applyFont="1" applyAlignment="1">
      <alignment horizontal="left"/>
    </xf>
    <xf numFmtId="0" fontId="85" fillId="0" borderId="0" xfId="20" applyFont="1"/>
    <xf numFmtId="0" fontId="85" fillId="0" borderId="0" xfId="20" applyFont="1" applyAlignment="1">
      <alignment horizontal="center"/>
    </xf>
    <xf numFmtId="165" fontId="85" fillId="0" borderId="0" xfId="21" applyNumberFormat="1" applyFont="1" applyBorder="1"/>
    <xf numFmtId="165" fontId="71" fillId="0" borderId="0" xfId="21" applyNumberFormat="1" applyFont="1" applyBorder="1"/>
    <xf numFmtId="41" fontId="96" fillId="0" borderId="7" xfId="22" applyFont="1" applyFill="1" applyBorder="1"/>
    <xf numFmtId="0" fontId="97" fillId="0" borderId="36" xfId="20" applyFont="1" applyBorder="1" applyAlignment="1">
      <alignment horizontal="left"/>
    </xf>
    <xf numFmtId="165" fontId="98" fillId="0" borderId="7" xfId="21" applyNumberFormat="1" applyFont="1" applyBorder="1"/>
    <xf numFmtId="0" fontId="93" fillId="0" borderId="0" xfId="20" applyFont="1"/>
    <xf numFmtId="0" fontId="75" fillId="0" borderId="12" xfId="0" applyFont="1" applyFill="1" applyBorder="1"/>
    <xf numFmtId="0" fontId="62" fillId="0" borderId="100" xfId="6" applyFont="1" applyFill="1" applyBorder="1" applyAlignment="1" applyProtection="1">
      <alignment horizontal="center" vertical="center" wrapText="1"/>
    </xf>
    <xf numFmtId="41" fontId="75" fillId="0" borderId="60" xfId="0" applyNumberFormat="1" applyFont="1" applyFill="1" applyBorder="1"/>
    <xf numFmtId="41" fontId="75" fillId="0" borderId="4" xfId="0" applyNumberFormat="1" applyFont="1" applyFill="1" applyBorder="1"/>
    <xf numFmtId="43" fontId="18" fillId="0" borderId="0" xfId="0" applyNumberFormat="1" applyFont="1"/>
    <xf numFmtId="165" fontId="0" fillId="2" borderId="0" xfId="0" applyNumberFormat="1" applyFill="1"/>
    <xf numFmtId="41" fontId="6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center" vertical="top" wrapText="1"/>
    </xf>
    <xf numFmtId="41" fontId="74" fillId="0" borderId="0" xfId="1" applyFont="1" applyFill="1"/>
    <xf numFmtId="0" fontId="11" fillId="2" borderId="7" xfId="18" applyFont="1" applyFill="1" applyBorder="1" applyAlignment="1">
      <alignment horizontal="center" vertical="top"/>
    </xf>
    <xf numFmtId="0" fontId="11" fillId="2" borderId="4" xfId="2" quotePrefix="1" applyFont="1" applyFill="1" applyBorder="1" applyAlignment="1">
      <alignment horizontal="center" vertical="top"/>
    </xf>
    <xf numFmtId="0" fontId="11" fillId="2" borderId="4" xfId="0" applyFont="1" applyFill="1" applyBorder="1" applyAlignment="1">
      <alignment horizontal="center" vertical="top" wrapText="1"/>
    </xf>
    <xf numFmtId="0" fontId="19" fillId="2" borderId="12" xfId="18" applyFont="1" applyFill="1" applyBorder="1" applyAlignment="1">
      <alignment vertical="top" wrapText="1"/>
    </xf>
    <xf numFmtId="41" fontId="11" fillId="2" borderId="4" xfId="0" applyNumberFormat="1" applyFont="1" applyFill="1" applyBorder="1" applyAlignment="1">
      <alignment horizontal="right" vertical="top" wrapText="1"/>
    </xf>
    <xf numFmtId="0" fontId="64" fillId="2" borderId="4" xfId="0" applyFont="1" applyFill="1" applyBorder="1" applyAlignment="1">
      <alignment vertical="top" wrapText="1"/>
    </xf>
    <xf numFmtId="0" fontId="13" fillId="8" borderId="4" xfId="0" applyFont="1" applyFill="1" applyBorder="1" applyAlignment="1">
      <alignment horizontal="center" vertical="top" wrapText="1"/>
    </xf>
    <xf numFmtId="0" fontId="13" fillId="8" borderId="4" xfId="0" quotePrefix="1" applyFont="1" applyFill="1" applyBorder="1" applyAlignment="1">
      <alignment horizontal="center" vertical="top" wrapText="1"/>
    </xf>
    <xf numFmtId="0" fontId="13" fillId="8" borderId="4" xfId="0" applyFont="1" applyFill="1" applyBorder="1" applyAlignment="1">
      <alignment vertical="top" wrapText="1"/>
    </xf>
    <xf numFmtId="41" fontId="13" fillId="8" borderId="60" xfId="0" applyNumberFormat="1" applyFont="1" applyFill="1" applyBorder="1" applyAlignment="1">
      <alignment horizontal="right" vertical="top" wrapText="1"/>
    </xf>
    <xf numFmtId="0" fontId="65" fillId="8" borderId="4" xfId="0" applyFont="1" applyFill="1" applyBorder="1" applyAlignment="1">
      <alignment vertical="top" wrapText="1"/>
    </xf>
    <xf numFmtId="41" fontId="13" fillId="8" borderId="4" xfId="0" applyNumberFormat="1" applyFont="1" applyFill="1" applyBorder="1" applyAlignment="1">
      <alignment horizontal="right" vertical="top" wrapText="1"/>
    </xf>
    <xf numFmtId="0" fontId="11" fillId="2" borderId="4" xfId="2" applyFont="1" applyFill="1" applyBorder="1" applyAlignment="1">
      <alignment horizontal="center" vertical="top"/>
    </xf>
    <xf numFmtId="0" fontId="11" fillId="2" borderId="4" xfId="0" applyFont="1" applyFill="1" applyBorder="1" applyAlignment="1">
      <alignment vertical="top" wrapText="1"/>
    </xf>
    <xf numFmtId="41" fontId="11" fillId="2" borderId="60" xfId="0" applyNumberFormat="1" applyFont="1" applyFill="1" applyBorder="1" applyAlignment="1">
      <alignment horizontal="right" vertical="top" wrapText="1"/>
    </xf>
    <xf numFmtId="41" fontId="11" fillId="0" borderId="0" xfId="0" applyNumberFormat="1" applyFont="1" applyAlignment="1"/>
    <xf numFmtId="0" fontId="13" fillId="0" borderId="0" xfId="0" applyFont="1" applyAlignment="1"/>
    <xf numFmtId="0" fontId="18" fillId="0" borderId="2" xfId="18" applyFont="1" applyFill="1" applyBorder="1" applyAlignment="1">
      <alignment vertical="top"/>
    </xf>
    <xf numFmtId="0" fontId="13" fillId="0" borderId="0" xfId="0" applyFont="1" applyBorder="1"/>
    <xf numFmtId="41" fontId="13" fillId="0" borderId="0" xfId="0" applyNumberFormat="1" applyFont="1" applyBorder="1"/>
    <xf numFmtId="0" fontId="11" fillId="8" borderId="60" xfId="0" applyFont="1" applyFill="1" applyBorder="1" applyAlignment="1">
      <alignment horizontal="center" vertical="top" wrapText="1"/>
    </xf>
    <xf numFmtId="0" fontId="11" fillId="8" borderId="60" xfId="0" applyFont="1" applyFill="1" applyBorder="1" applyAlignment="1">
      <alignment vertical="top" wrapText="1"/>
    </xf>
    <xf numFmtId="41" fontId="11" fillId="8" borderId="60" xfId="0" applyNumberFormat="1" applyFont="1" applyFill="1" applyBorder="1" applyAlignment="1">
      <alignment horizontal="right" vertical="top" wrapText="1"/>
    </xf>
    <xf numFmtId="0" fontId="64" fillId="8" borderId="60" xfId="0" applyFont="1" applyFill="1" applyBorder="1" applyAlignment="1">
      <alignment vertical="top" wrapText="1"/>
    </xf>
    <xf numFmtId="0" fontId="19" fillId="0" borderId="4" xfId="0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 vertical="top" wrapText="1"/>
    </xf>
    <xf numFmtId="0" fontId="19" fillId="0" borderId="0" xfId="0" applyFont="1" applyFill="1" applyBorder="1" applyAlignment="1">
      <alignment horizontal="left" vertical="top"/>
    </xf>
    <xf numFmtId="0" fontId="19" fillId="0" borderId="0" xfId="0" applyFont="1" applyFill="1" applyBorder="1" applyAlignment="1">
      <alignment horizontal="center" vertical="top"/>
    </xf>
    <xf numFmtId="0" fontId="19" fillId="0" borderId="0" xfId="0" applyFont="1" applyFill="1" applyAlignment="1">
      <alignment vertical="top"/>
    </xf>
    <xf numFmtId="0" fontId="19" fillId="0" borderId="0" xfId="0" applyFont="1" applyFill="1" applyAlignment="1">
      <alignment horizontal="center" vertical="top"/>
    </xf>
    <xf numFmtId="0" fontId="19" fillId="0" borderId="0" xfId="0" applyFont="1" applyFill="1" applyAlignment="1">
      <alignment vertical="top" wrapText="1"/>
    </xf>
    <xf numFmtId="0" fontId="19" fillId="0" borderId="0" xfId="0" quotePrefix="1" applyFont="1" applyFill="1" applyAlignment="1">
      <alignment vertical="top"/>
    </xf>
    <xf numFmtId="41" fontId="67" fillId="0" borderId="0" xfId="4" applyNumberFormat="1" applyFont="1" applyFill="1" applyBorder="1" applyAlignment="1">
      <alignment horizontal="center"/>
    </xf>
    <xf numFmtId="41" fontId="67" fillId="0" borderId="0" xfId="0" applyNumberFormat="1" applyFont="1" applyFill="1" applyBorder="1"/>
    <xf numFmtId="0" fontId="66" fillId="0" borderId="0" xfId="0" applyFont="1" applyFill="1"/>
    <xf numFmtId="0" fontId="66" fillId="0" borderId="0" xfId="0" applyFont="1" applyFill="1" applyBorder="1"/>
    <xf numFmtId="41" fontId="18" fillId="2" borderId="2" xfId="0" applyNumberFormat="1" applyFont="1" applyFill="1" applyBorder="1" applyAlignment="1">
      <alignment horizontal="right" vertical="top" wrapText="1"/>
    </xf>
    <xf numFmtId="0" fontId="100" fillId="0" borderId="12" xfId="0" applyFont="1" applyBorder="1"/>
    <xf numFmtId="169" fontId="101" fillId="0" borderId="99" xfId="6" applyNumberFormat="1" applyFont="1" applyBorder="1" applyAlignment="1" applyProtection="1">
      <alignment horizontal="center" vertical="center" wrapText="1"/>
    </xf>
    <xf numFmtId="41" fontId="100" fillId="0" borderId="60" xfId="0" applyNumberFormat="1" applyFont="1" applyBorder="1"/>
    <xf numFmtId="41" fontId="100" fillId="0" borderId="4" xfId="0" applyNumberFormat="1" applyFont="1" applyBorder="1"/>
    <xf numFmtId="169" fontId="101" fillId="0" borderId="100" xfId="6" applyNumberFormat="1" applyFont="1" applyBorder="1" applyAlignment="1" applyProtection="1">
      <alignment horizontal="center" vertical="center" wrapText="1"/>
    </xf>
    <xf numFmtId="0" fontId="101" fillId="0" borderId="100" xfId="6" applyFont="1" applyBorder="1" applyAlignment="1" applyProtection="1">
      <alignment horizontal="center" vertical="center" wrapText="1"/>
    </xf>
    <xf numFmtId="169" fontId="102" fillId="0" borderId="86" xfId="6" applyNumberFormat="1" applyFont="1" applyBorder="1" applyAlignment="1" applyProtection="1">
      <alignment horizontal="center" vertical="center" wrapText="1"/>
    </xf>
    <xf numFmtId="0" fontId="72" fillId="2" borderId="0" xfId="0" applyFont="1" applyFill="1"/>
    <xf numFmtId="0" fontId="18" fillId="0" borderId="0" xfId="0" applyFont="1" applyFill="1" applyBorder="1"/>
    <xf numFmtId="41" fontId="72" fillId="2" borderId="0" xfId="1" applyFont="1" applyFill="1"/>
    <xf numFmtId="0" fontId="45" fillId="0" borderId="0" xfId="0" applyFont="1" applyFill="1"/>
    <xf numFmtId="165" fontId="45" fillId="0" borderId="0" xfId="3" applyNumberFormat="1" applyFont="1" applyFill="1"/>
    <xf numFmtId="165" fontId="19" fillId="0" borderId="0" xfId="3" applyNumberFormat="1" applyFont="1" applyFill="1"/>
    <xf numFmtId="37" fontId="32" fillId="0" borderId="2" xfId="8" applyNumberFormat="1" applyFont="1" applyFill="1" applyBorder="1" applyAlignment="1">
      <alignment horizontal="right" vertical="center"/>
    </xf>
    <xf numFmtId="0" fontId="12" fillId="0" borderId="0" xfId="23" applyNumberFormat="1" applyFont="1" applyFill="1" applyAlignment="1">
      <alignment vertical="center"/>
    </xf>
    <xf numFmtId="49" fontId="12" fillId="0" borderId="0" xfId="23" applyNumberFormat="1" applyFont="1" applyFill="1" applyAlignment="1">
      <alignment vertical="center"/>
    </xf>
    <xf numFmtId="0" fontId="12" fillId="0" borderId="0" xfId="23" applyNumberFormat="1" applyFont="1" applyFill="1" applyAlignment="1">
      <alignment horizontal="left" vertical="center"/>
    </xf>
    <xf numFmtId="166" fontId="12" fillId="0" borderId="0" xfId="23" applyFont="1" applyFill="1" applyAlignment="1">
      <alignment vertical="center"/>
    </xf>
    <xf numFmtId="0" fontId="12" fillId="0" borderId="57" xfId="24" applyNumberFormat="1" applyFont="1" applyFill="1" applyBorder="1" applyAlignment="1">
      <alignment horizontal="left" vertical="center"/>
    </xf>
    <xf numFmtId="0" fontId="12" fillId="0" borderId="0" xfId="24" applyNumberFormat="1" applyFont="1" applyFill="1" applyBorder="1" applyAlignment="1">
      <alignment horizontal="center" vertical="center"/>
    </xf>
    <xf numFmtId="49" fontId="12" fillId="0" borderId="0" xfId="24" applyNumberFormat="1" applyFont="1" applyFill="1" applyBorder="1" applyAlignment="1">
      <alignment horizontal="center" vertical="center"/>
    </xf>
    <xf numFmtId="0" fontId="105" fillId="0" borderId="0" xfId="23" applyNumberFormat="1" applyFont="1" applyFill="1" applyBorder="1" applyAlignment="1">
      <alignment horizontal="center" vertical="center"/>
    </xf>
    <xf numFmtId="166" fontId="105" fillId="0" borderId="58" xfId="23" applyFont="1" applyFill="1" applyBorder="1" applyAlignment="1">
      <alignment horizontal="center" vertical="center"/>
    </xf>
    <xf numFmtId="0" fontId="12" fillId="0" borderId="57" xfId="23" applyNumberFormat="1" applyFont="1" applyFill="1" applyBorder="1" applyAlignment="1">
      <alignment horizontal="left" vertical="center"/>
    </xf>
    <xf numFmtId="0" fontId="12" fillId="0" borderId="0" xfId="24" applyNumberFormat="1" applyFont="1" applyFill="1" applyBorder="1" applyAlignment="1">
      <alignment horizontal="left" vertical="center"/>
    </xf>
    <xf numFmtId="0" fontId="12" fillId="0" borderId="0" xfId="23" applyNumberFormat="1" applyFont="1" applyFill="1" applyBorder="1" applyAlignment="1">
      <alignment vertical="center"/>
    </xf>
    <xf numFmtId="166" fontId="12" fillId="0" borderId="58" xfId="23" applyFont="1" applyFill="1" applyBorder="1" applyAlignment="1">
      <alignment vertical="center"/>
    </xf>
    <xf numFmtId="0" fontId="12" fillId="0" borderId="36" xfId="24" applyNumberFormat="1" applyFont="1" applyFill="1" applyBorder="1" applyAlignment="1">
      <alignment horizontal="left" vertical="center"/>
    </xf>
    <xf numFmtId="0" fontId="12" fillId="0" borderId="37" xfId="24" applyNumberFormat="1" applyFont="1" applyFill="1" applyBorder="1" applyAlignment="1">
      <alignment horizontal="center" vertical="center"/>
    </xf>
    <xf numFmtId="49" fontId="12" fillId="0" borderId="37" xfId="24" applyNumberFormat="1" applyFont="1" applyFill="1" applyBorder="1" applyAlignment="1">
      <alignment horizontal="left" vertical="center"/>
    </xf>
    <xf numFmtId="0" fontId="12" fillId="0" borderId="37" xfId="24" applyNumberFormat="1" applyFont="1" applyFill="1" applyBorder="1" applyAlignment="1">
      <alignment horizontal="left" vertical="center"/>
    </xf>
    <xf numFmtId="166" fontId="12" fillId="0" borderId="37" xfId="24" applyFont="1" applyFill="1" applyBorder="1" applyAlignment="1">
      <alignment horizontal="center" vertical="center"/>
    </xf>
    <xf numFmtId="166" fontId="12" fillId="0" borderId="37" xfId="23" applyFont="1" applyFill="1" applyBorder="1" applyAlignment="1">
      <alignment vertical="center"/>
    </xf>
    <xf numFmtId="166" fontId="12" fillId="0" borderId="38" xfId="23" applyFont="1" applyFill="1" applyBorder="1" applyAlignment="1">
      <alignment vertical="center"/>
    </xf>
    <xf numFmtId="166" fontId="106" fillId="0" borderId="4" xfId="23" applyFont="1" applyFill="1" applyBorder="1" applyAlignment="1">
      <alignment horizontal="center" vertical="center"/>
    </xf>
    <xf numFmtId="166" fontId="106" fillId="0" borderId="12" xfId="23" applyFont="1" applyFill="1" applyBorder="1" applyAlignment="1">
      <alignment horizontal="center" vertical="center"/>
    </xf>
    <xf numFmtId="166" fontId="106" fillId="0" borderId="32" xfId="23" applyFont="1" applyFill="1" applyBorder="1" applyAlignment="1">
      <alignment vertical="center"/>
    </xf>
    <xf numFmtId="166" fontId="106" fillId="0" borderId="32" xfId="23" applyFont="1" applyFill="1" applyBorder="1" applyAlignment="1">
      <alignment horizontal="center" vertical="center"/>
    </xf>
    <xf numFmtId="166" fontId="106" fillId="0" borderId="4" xfId="23" applyFont="1" applyFill="1" applyBorder="1" applyAlignment="1">
      <alignment horizontal="center" vertical="center" wrapText="1"/>
    </xf>
    <xf numFmtId="166" fontId="106" fillId="0" borderId="12" xfId="23" applyFont="1" applyFill="1" applyBorder="1" applyAlignment="1">
      <alignment horizontal="center" vertical="center" wrapText="1"/>
    </xf>
    <xf numFmtId="0" fontId="107" fillId="0" borderId="12" xfId="23" applyNumberFormat="1" applyFont="1" applyFill="1" applyBorder="1" applyAlignment="1">
      <alignment horizontal="center" vertical="center"/>
    </xf>
    <xf numFmtId="0" fontId="106" fillId="0" borderId="4" xfId="23" applyNumberFormat="1" applyFont="1" applyFill="1" applyBorder="1" applyAlignment="1">
      <alignment horizontal="center" vertical="center"/>
    </xf>
    <xf numFmtId="0" fontId="106" fillId="0" borderId="20" xfId="23" applyNumberFormat="1" applyFont="1" applyFill="1" applyBorder="1" applyAlignment="1">
      <alignment horizontal="center" vertical="center"/>
    </xf>
    <xf numFmtId="0" fontId="106" fillId="0" borderId="21" xfId="23" applyNumberFormat="1" applyFont="1" applyFill="1" applyBorder="1" applyAlignment="1">
      <alignment horizontal="center" vertical="center"/>
    </xf>
    <xf numFmtId="0" fontId="106" fillId="0" borderId="63" xfId="23" applyNumberFormat="1" applyFont="1" applyFill="1" applyBorder="1" applyAlignment="1">
      <alignment horizontal="center" vertical="center"/>
    </xf>
    <xf numFmtId="49" fontId="106" fillId="0" borderId="21" xfId="23" applyNumberFormat="1" applyFont="1" applyFill="1" applyBorder="1" applyAlignment="1">
      <alignment horizontal="center" vertical="center"/>
    </xf>
    <xf numFmtId="41" fontId="108" fillId="0" borderId="2" xfId="23" applyNumberFormat="1" applyFont="1" applyFill="1" applyBorder="1" applyAlignment="1">
      <alignment vertical="center"/>
    </xf>
    <xf numFmtId="0" fontId="108" fillId="0" borderId="20" xfId="23" applyNumberFormat="1" applyFont="1" applyFill="1" applyBorder="1" applyAlignment="1">
      <alignment horizontal="center" vertical="center"/>
    </xf>
    <xf numFmtId="0" fontId="108" fillId="0" borderId="21" xfId="23" applyNumberFormat="1" applyFont="1" applyFill="1" applyBorder="1" applyAlignment="1">
      <alignment horizontal="center" vertical="center"/>
    </xf>
    <xf numFmtId="0" fontId="108" fillId="0" borderId="63" xfId="23" applyNumberFormat="1" applyFont="1" applyFill="1" applyBorder="1" applyAlignment="1">
      <alignment horizontal="center" vertical="center"/>
    </xf>
    <xf numFmtId="49" fontId="108" fillId="0" borderId="21" xfId="23" applyNumberFormat="1" applyFont="1" applyFill="1" applyBorder="1" applyAlignment="1">
      <alignment horizontal="center" vertical="center"/>
    </xf>
    <xf numFmtId="0" fontId="108" fillId="0" borderId="20" xfId="27" quotePrefix="1" applyNumberFormat="1" applyFont="1" applyFill="1" applyBorder="1" applyAlignment="1">
      <alignment horizontal="left" vertical="center"/>
    </xf>
    <xf numFmtId="0" fontId="106" fillId="0" borderId="20" xfId="27" quotePrefix="1" applyNumberFormat="1" applyFont="1" applyFill="1" applyBorder="1" applyAlignment="1">
      <alignment horizontal="left" vertical="center"/>
    </xf>
    <xf numFmtId="166" fontId="104" fillId="0" borderId="0" xfId="23" applyFont="1" applyFill="1" applyAlignment="1">
      <alignment vertical="center"/>
    </xf>
    <xf numFmtId="41" fontId="108" fillId="0" borderId="2" xfId="26" applyNumberFormat="1" applyFont="1" applyFill="1" applyBorder="1" applyAlignment="1">
      <alignment vertical="center"/>
    </xf>
    <xf numFmtId="0" fontId="108" fillId="0" borderId="66" xfId="27" applyNumberFormat="1" applyFont="1" applyFill="1" applyBorder="1" applyAlignment="1">
      <alignment horizontal="center" vertical="center"/>
    </xf>
    <xf numFmtId="0" fontId="108" fillId="0" borderId="107" xfId="27" applyNumberFormat="1" applyFont="1" applyFill="1" applyBorder="1" applyAlignment="1">
      <alignment horizontal="center" vertical="center"/>
    </xf>
    <xf numFmtId="0" fontId="108" fillId="0" borderId="85" xfId="27" applyNumberFormat="1" applyFont="1" applyFill="1" applyBorder="1" applyAlignment="1">
      <alignment horizontal="center" vertical="center"/>
    </xf>
    <xf numFmtId="49" fontId="108" fillId="0" borderId="107" xfId="27" applyNumberFormat="1" applyFont="1" applyFill="1" applyBorder="1" applyAlignment="1">
      <alignment horizontal="center" vertical="center"/>
    </xf>
    <xf numFmtId="0" fontId="108" fillId="0" borderId="64" xfId="27" quotePrefix="1" applyNumberFormat="1" applyFont="1" applyFill="1" applyBorder="1" applyAlignment="1">
      <alignment horizontal="left" vertical="center"/>
    </xf>
    <xf numFmtId="41" fontId="108" fillId="0" borderId="6" xfId="26" applyNumberFormat="1" applyFont="1" applyFill="1" applyBorder="1" applyAlignment="1">
      <alignment vertical="center"/>
    </xf>
    <xf numFmtId="0" fontId="110" fillId="0" borderId="61" xfId="23" applyNumberFormat="1" applyFont="1" applyFill="1" applyBorder="1" applyAlignment="1">
      <alignment vertical="center"/>
    </xf>
    <xf numFmtId="0" fontId="110" fillId="0" borderId="59" xfId="23" applyNumberFormat="1" applyFont="1" applyFill="1" applyBorder="1" applyAlignment="1">
      <alignment vertical="center"/>
    </xf>
    <xf numFmtId="49" fontId="110" fillId="0" borderId="59" xfId="23" applyNumberFormat="1" applyFont="1" applyFill="1" applyBorder="1" applyAlignment="1">
      <alignment vertical="center"/>
    </xf>
    <xf numFmtId="166" fontId="110" fillId="0" borderId="59" xfId="23" applyFont="1" applyFill="1" applyBorder="1" applyAlignment="1">
      <alignment vertical="center"/>
    </xf>
    <xf numFmtId="166" fontId="110" fillId="0" borderId="56" xfId="23" applyFont="1" applyFill="1" applyBorder="1" applyAlignment="1">
      <alignment vertical="center"/>
    </xf>
    <xf numFmtId="166" fontId="110" fillId="0" borderId="0" xfId="23" applyFont="1" applyFill="1" applyAlignment="1">
      <alignment vertical="center"/>
    </xf>
    <xf numFmtId="166" fontId="62" fillId="0" borderId="57" xfId="23" applyFont="1" applyFill="1" applyBorder="1" applyAlignment="1">
      <alignment vertical="center"/>
    </xf>
    <xf numFmtId="166" fontId="62" fillId="0" borderId="0" xfId="23" applyFont="1" applyFill="1" applyBorder="1" applyAlignment="1">
      <alignment vertical="center"/>
    </xf>
    <xf numFmtId="49" fontId="62" fillId="0" borderId="0" xfId="23" applyNumberFormat="1" applyFont="1" applyFill="1" applyBorder="1" applyAlignment="1">
      <alignment vertical="center"/>
    </xf>
    <xf numFmtId="166" fontId="62" fillId="0" borderId="58" xfId="23" applyFont="1" applyFill="1" applyBorder="1" applyAlignment="1">
      <alignment vertical="center"/>
    </xf>
    <xf numFmtId="166" fontId="62" fillId="0" borderId="0" xfId="23" applyFont="1" applyFill="1" applyAlignment="1">
      <alignment vertical="center"/>
    </xf>
    <xf numFmtId="166" fontId="62" fillId="0" borderId="0" xfId="23" applyFont="1" applyFill="1" applyBorder="1" applyAlignment="1">
      <alignment horizontal="center" vertical="center"/>
    </xf>
    <xf numFmtId="166" fontId="62" fillId="0" borderId="58" xfId="23" applyFont="1" applyFill="1" applyBorder="1" applyAlignment="1">
      <alignment horizontal="center" vertical="center"/>
    </xf>
    <xf numFmtId="166" fontId="62" fillId="0" borderId="57" xfId="23" applyFont="1" applyFill="1" applyBorder="1" applyAlignment="1">
      <alignment horizontal="center" vertical="center"/>
    </xf>
    <xf numFmtId="49" fontId="62" fillId="0" borderId="0" xfId="23" applyNumberFormat="1" applyFont="1" applyFill="1" applyBorder="1" applyAlignment="1">
      <alignment horizontal="center" vertical="center"/>
    </xf>
    <xf numFmtId="0" fontId="62" fillId="0" borderId="57" xfId="23" applyNumberFormat="1" applyFont="1" applyFill="1" applyBorder="1" applyAlignment="1">
      <alignment vertical="center"/>
    </xf>
    <xf numFmtId="0" fontId="62" fillId="0" borderId="0" xfId="23" applyNumberFormat="1" applyFont="1" applyFill="1" applyBorder="1" applyAlignment="1">
      <alignment vertical="center"/>
    </xf>
    <xf numFmtId="166" fontId="111" fillId="0" borderId="57" xfId="23" applyFont="1" applyFill="1" applyBorder="1" applyAlignment="1">
      <alignment vertical="center"/>
    </xf>
    <xf numFmtId="166" fontId="111" fillId="0" borderId="0" xfId="23" applyFont="1" applyFill="1" applyBorder="1" applyAlignment="1">
      <alignment vertical="center"/>
    </xf>
    <xf numFmtId="49" fontId="111" fillId="0" borderId="0" xfId="23" applyNumberFormat="1" applyFont="1" applyFill="1" applyBorder="1" applyAlignment="1">
      <alignment vertical="center"/>
    </xf>
    <xf numFmtId="166" fontId="12" fillId="0" borderId="0" xfId="23" applyFont="1" applyFill="1" applyBorder="1" applyAlignment="1">
      <alignment horizontal="center" vertical="center"/>
    </xf>
    <xf numFmtId="166" fontId="105" fillId="0" borderId="0" xfId="23" applyFont="1" applyFill="1" applyBorder="1" applyAlignment="1">
      <alignment vertical="center"/>
    </xf>
    <xf numFmtId="166" fontId="105" fillId="0" borderId="58" xfId="23" applyFont="1" applyFill="1" applyBorder="1" applyAlignment="1">
      <alignment vertical="center"/>
    </xf>
    <xf numFmtId="0" fontId="12" fillId="0" borderId="36" xfId="23" applyNumberFormat="1" applyFont="1" applyFill="1" applyBorder="1" applyAlignment="1">
      <alignment vertical="center"/>
    </xf>
    <xf numFmtId="0" fontId="12" fillId="0" borderId="37" xfId="23" applyNumberFormat="1" applyFont="1" applyFill="1" applyBorder="1" applyAlignment="1">
      <alignment vertical="center"/>
    </xf>
    <xf numFmtId="49" fontId="12" fillId="0" borderId="37" xfId="23" applyNumberFormat="1" applyFont="1" applyFill="1" applyBorder="1" applyAlignment="1">
      <alignment vertical="center"/>
    </xf>
    <xf numFmtId="0" fontId="12" fillId="0" borderId="9" xfId="23" applyNumberFormat="1" applyFont="1" applyFill="1" applyBorder="1" applyAlignment="1">
      <alignment vertical="center"/>
    </xf>
    <xf numFmtId="0" fontId="12" fillId="0" borderId="59" xfId="23" applyNumberFormat="1" applyFont="1" applyFill="1" applyBorder="1" applyAlignment="1">
      <alignment vertical="center"/>
    </xf>
    <xf numFmtId="0" fontId="12" fillId="12" borderId="0" xfId="23" applyNumberFormat="1" applyFont="1" applyFill="1" applyAlignment="1">
      <alignment vertical="center"/>
    </xf>
    <xf numFmtId="166" fontId="12" fillId="12" borderId="0" xfId="23" applyFont="1" applyFill="1" applyAlignment="1">
      <alignment vertical="center"/>
    </xf>
    <xf numFmtId="41" fontId="108" fillId="12" borderId="0" xfId="23" applyNumberFormat="1" applyFont="1" applyFill="1" applyAlignment="1">
      <alignment vertical="center"/>
    </xf>
    <xf numFmtId="0" fontId="12" fillId="12" borderId="0" xfId="24" applyNumberFormat="1" applyFont="1" applyFill="1" applyBorder="1" applyAlignment="1">
      <alignment horizontal="center" vertical="center"/>
    </xf>
    <xf numFmtId="0" fontId="105" fillId="12" borderId="0" xfId="23" applyNumberFormat="1" applyFont="1" applyFill="1" applyBorder="1" applyAlignment="1">
      <alignment horizontal="center" vertical="center"/>
    </xf>
    <xf numFmtId="166" fontId="105" fillId="12" borderId="58" xfId="23" applyFont="1" applyFill="1" applyBorder="1" applyAlignment="1">
      <alignment horizontal="center" vertical="center"/>
    </xf>
    <xf numFmtId="0" fontId="12" fillId="12" borderId="0" xfId="23" applyNumberFormat="1" applyFont="1" applyFill="1" applyBorder="1" applyAlignment="1">
      <alignment vertical="center"/>
    </xf>
    <xf numFmtId="166" fontId="12" fillId="12" borderId="58" xfId="23" applyFont="1" applyFill="1" applyBorder="1" applyAlignment="1">
      <alignment vertical="center"/>
    </xf>
    <xf numFmtId="166" fontId="12" fillId="12" borderId="37" xfId="24" applyFont="1" applyFill="1" applyBorder="1" applyAlignment="1">
      <alignment horizontal="center" vertical="center"/>
    </xf>
    <xf numFmtId="166" fontId="12" fillId="12" borderId="37" xfId="23" applyFont="1" applyFill="1" applyBorder="1" applyAlignment="1">
      <alignment vertical="center"/>
    </xf>
    <xf numFmtId="166" fontId="12" fillId="12" borderId="38" xfId="23" applyFont="1" applyFill="1" applyBorder="1" applyAlignment="1">
      <alignment vertical="center"/>
    </xf>
    <xf numFmtId="166" fontId="106" fillId="12" borderId="4" xfId="23" applyFont="1" applyFill="1" applyBorder="1" applyAlignment="1">
      <alignment horizontal="center" vertical="center"/>
    </xf>
    <xf numFmtId="166" fontId="106" fillId="12" borderId="3" xfId="23" applyFont="1" applyFill="1" applyBorder="1" applyAlignment="1">
      <alignment vertical="center"/>
    </xf>
    <xf numFmtId="166" fontId="105" fillId="12" borderId="3" xfId="23" applyFont="1" applyFill="1" applyBorder="1" applyAlignment="1">
      <alignment horizontal="center" vertical="center"/>
    </xf>
    <xf numFmtId="166" fontId="106" fillId="12" borderId="4" xfId="23" applyFont="1" applyFill="1" applyBorder="1" applyAlignment="1">
      <alignment horizontal="center" vertical="center" wrapText="1"/>
    </xf>
    <xf numFmtId="0" fontId="107" fillId="12" borderId="12" xfId="23" applyNumberFormat="1" applyFont="1" applyFill="1" applyBorder="1" applyAlignment="1">
      <alignment horizontal="center" vertical="center"/>
    </xf>
    <xf numFmtId="0" fontId="106" fillId="12" borderId="4" xfId="23" applyNumberFormat="1" applyFont="1" applyFill="1" applyBorder="1" applyAlignment="1">
      <alignment horizontal="center" vertical="center"/>
    </xf>
    <xf numFmtId="0" fontId="106" fillId="12" borderId="67" xfId="23" applyNumberFormat="1" applyFont="1" applyFill="1" applyBorder="1" applyAlignment="1">
      <alignment horizontal="center" vertical="center"/>
    </xf>
    <xf numFmtId="0" fontId="106" fillId="12" borderId="71" xfId="23" applyNumberFormat="1" applyFont="1" applyFill="1" applyBorder="1" applyAlignment="1">
      <alignment horizontal="center" vertical="center"/>
    </xf>
    <xf numFmtId="41" fontId="106" fillId="12" borderId="68" xfId="23" applyNumberFormat="1" applyFont="1" applyFill="1" applyBorder="1" applyAlignment="1">
      <alignment horizontal="center" vertical="center"/>
    </xf>
    <xf numFmtId="0" fontId="108" fillId="12" borderId="68" xfId="23" applyNumberFormat="1" applyFont="1" applyFill="1" applyBorder="1" applyAlignment="1">
      <alignment horizontal="center" vertical="center"/>
    </xf>
    <xf numFmtId="41" fontId="106" fillId="12" borderId="1" xfId="23" applyNumberFormat="1" applyFont="1" applyFill="1" applyBorder="1" applyAlignment="1">
      <alignment horizontal="center" vertical="center"/>
    </xf>
    <xf numFmtId="166" fontId="104" fillId="12" borderId="0" xfId="23" applyFont="1" applyFill="1" applyAlignment="1">
      <alignment vertical="center"/>
    </xf>
    <xf numFmtId="0" fontId="106" fillId="12" borderId="20" xfId="23" applyNumberFormat="1" applyFont="1" applyFill="1" applyBorder="1" applyAlignment="1">
      <alignment horizontal="center" vertical="center"/>
    </xf>
    <xf numFmtId="0" fontId="106" fillId="12" borderId="21" xfId="23" applyNumberFormat="1" applyFont="1" applyFill="1" applyBorder="1" applyAlignment="1">
      <alignment horizontal="center" vertical="center"/>
    </xf>
    <xf numFmtId="41" fontId="106" fillId="12" borderId="2" xfId="23" applyNumberFormat="1" applyFont="1" applyFill="1" applyBorder="1" applyAlignment="1">
      <alignment horizontal="center" vertical="center"/>
    </xf>
    <xf numFmtId="0" fontId="108" fillId="12" borderId="2" xfId="23" applyNumberFormat="1" applyFont="1" applyFill="1" applyBorder="1" applyAlignment="1">
      <alignment horizontal="center" vertical="center"/>
    </xf>
    <xf numFmtId="41" fontId="107" fillId="12" borderId="2" xfId="23" applyNumberFormat="1" applyFont="1" applyFill="1" applyBorder="1" applyAlignment="1">
      <alignment horizontal="center" vertical="center"/>
    </xf>
    <xf numFmtId="41" fontId="108" fillId="12" borderId="2" xfId="23" applyNumberFormat="1" applyFont="1" applyFill="1" applyBorder="1" applyAlignment="1">
      <alignment horizontal="center" vertical="center"/>
    </xf>
    <xf numFmtId="0" fontId="108" fillId="12" borderId="20" xfId="23" applyNumberFormat="1" applyFont="1" applyFill="1" applyBorder="1" applyAlignment="1">
      <alignment horizontal="center" vertical="center"/>
    </xf>
    <xf numFmtId="0" fontId="108" fillId="12" borderId="21" xfId="23" applyNumberFormat="1" applyFont="1" applyFill="1" applyBorder="1" applyAlignment="1">
      <alignment horizontal="center" vertical="center"/>
    </xf>
    <xf numFmtId="0" fontId="108" fillId="12" borderId="63" xfId="23" applyNumberFormat="1" applyFont="1" applyFill="1" applyBorder="1" applyAlignment="1">
      <alignment horizontal="center" vertical="center"/>
    </xf>
    <xf numFmtId="41" fontId="108" fillId="12" borderId="5" xfId="23" applyNumberFormat="1" applyFont="1" applyFill="1" applyBorder="1" applyAlignment="1">
      <alignment horizontal="center" vertical="center"/>
    </xf>
    <xf numFmtId="41" fontId="106" fillId="12" borderId="5" xfId="23" applyNumberFormat="1" applyFont="1" applyFill="1" applyBorder="1" applyAlignment="1">
      <alignment horizontal="center" vertical="center"/>
    </xf>
    <xf numFmtId="41" fontId="106" fillId="12" borderId="0" xfId="23" applyNumberFormat="1" applyFont="1" applyFill="1" applyAlignment="1">
      <alignment vertical="center"/>
    </xf>
    <xf numFmtId="41" fontId="108" fillId="12" borderId="2" xfId="27" applyNumberFormat="1" applyFont="1" applyFill="1" applyBorder="1" applyAlignment="1">
      <alignment vertical="center"/>
    </xf>
    <xf numFmtId="0" fontId="107" fillId="12" borderId="36" xfId="23" applyNumberFormat="1" applyFont="1" applyFill="1" applyBorder="1" applyAlignment="1">
      <alignment horizontal="center" vertical="center"/>
    </xf>
    <xf numFmtId="0" fontId="107" fillId="12" borderId="37" xfId="23" applyNumberFormat="1" applyFont="1" applyFill="1" applyBorder="1" applyAlignment="1">
      <alignment horizontal="center" vertical="center"/>
    </xf>
    <xf numFmtId="0" fontId="107" fillId="12" borderId="57" xfId="23" applyNumberFormat="1" applyFont="1" applyFill="1" applyBorder="1" applyAlignment="1">
      <alignment horizontal="center" vertical="center"/>
    </xf>
    <xf numFmtId="41" fontId="108" fillId="12" borderId="57" xfId="23" applyNumberFormat="1" applyFont="1" applyFill="1" applyBorder="1" applyAlignment="1">
      <alignment horizontal="center" vertical="center"/>
    </xf>
    <xf numFmtId="0" fontId="108" fillId="12" borderId="57" xfId="23" applyNumberFormat="1" applyFont="1" applyFill="1" applyBorder="1" applyAlignment="1">
      <alignment horizontal="center" vertical="center"/>
    </xf>
    <xf numFmtId="41" fontId="106" fillId="12" borderId="3" xfId="23" applyNumberFormat="1" applyFont="1" applyFill="1" applyBorder="1" applyAlignment="1">
      <alignment horizontal="center" vertical="center"/>
    </xf>
    <xf numFmtId="0" fontId="106" fillId="12" borderId="67" xfId="23" applyNumberFormat="1" applyFont="1" applyFill="1" applyBorder="1" applyAlignment="1">
      <alignment horizontal="left" vertical="center"/>
    </xf>
    <xf numFmtId="41" fontId="108" fillId="12" borderId="68" xfId="23" applyNumberFormat="1" applyFont="1" applyFill="1" applyBorder="1" applyAlignment="1">
      <alignment vertical="center"/>
    </xf>
    <xf numFmtId="41" fontId="108" fillId="12" borderId="2" xfId="26" applyNumberFormat="1" applyFont="1" applyFill="1" applyBorder="1" applyAlignment="1">
      <alignment vertical="center"/>
    </xf>
    <xf numFmtId="49" fontId="108" fillId="12" borderId="21" xfId="23" applyNumberFormat="1" applyFont="1" applyFill="1" applyBorder="1" applyAlignment="1">
      <alignment horizontal="center" vertical="center"/>
    </xf>
    <xf numFmtId="0" fontId="108" fillId="12" borderId="20" xfId="27" quotePrefix="1" applyNumberFormat="1" applyFont="1" applyFill="1" applyBorder="1" applyAlignment="1">
      <alignment horizontal="left" vertical="center"/>
    </xf>
    <xf numFmtId="0" fontId="106" fillId="12" borderId="20" xfId="27" quotePrefix="1" applyNumberFormat="1" applyFont="1" applyFill="1" applyBorder="1" applyAlignment="1">
      <alignment horizontal="left" vertical="center"/>
    </xf>
    <xf numFmtId="41" fontId="108" fillId="12" borderId="20" xfId="23" applyNumberFormat="1" applyFont="1" applyFill="1" applyBorder="1" applyAlignment="1">
      <alignment vertical="center"/>
    </xf>
    <xf numFmtId="0" fontId="108" fillId="12" borderId="64" xfId="27" quotePrefix="1" applyNumberFormat="1" applyFont="1" applyFill="1" applyBorder="1" applyAlignment="1">
      <alignment horizontal="left" vertical="center"/>
    </xf>
    <xf numFmtId="41" fontId="108" fillId="12" borderId="64" xfId="26" applyNumberFormat="1" applyFont="1" applyFill="1" applyBorder="1" applyAlignment="1">
      <alignment vertical="center"/>
    </xf>
    <xf numFmtId="41" fontId="108" fillId="12" borderId="6" xfId="26" applyNumberFormat="1" applyFont="1" applyFill="1" applyBorder="1" applyAlignment="1">
      <alignment vertical="center"/>
    </xf>
    <xf numFmtId="41" fontId="106" fillId="12" borderId="60" xfId="23" applyNumberFormat="1" applyFont="1" applyFill="1" applyBorder="1" applyAlignment="1">
      <alignment vertical="center"/>
    </xf>
    <xf numFmtId="166" fontId="110" fillId="12" borderId="59" xfId="23" applyFont="1" applyFill="1" applyBorder="1" applyAlignment="1">
      <alignment vertical="center"/>
    </xf>
    <xf numFmtId="166" fontId="110" fillId="12" borderId="56" xfId="23" applyFont="1" applyFill="1" applyBorder="1" applyAlignment="1">
      <alignment vertical="center"/>
    </xf>
    <xf numFmtId="166" fontId="110" fillId="12" borderId="0" xfId="23" applyFont="1" applyFill="1" applyAlignment="1">
      <alignment vertical="center"/>
    </xf>
    <xf numFmtId="166" fontId="62" fillId="12" borderId="0" xfId="23" applyFont="1" applyFill="1" applyBorder="1" applyAlignment="1">
      <alignment vertical="center"/>
    </xf>
    <xf numFmtId="166" fontId="62" fillId="12" borderId="58" xfId="23" applyFont="1" applyFill="1" applyBorder="1" applyAlignment="1">
      <alignment vertical="center"/>
    </xf>
    <xf numFmtId="166" fontId="62" fillId="12" borderId="0" xfId="23" applyFont="1" applyFill="1" applyAlignment="1">
      <alignment vertical="center"/>
    </xf>
    <xf numFmtId="41" fontId="62" fillId="12" borderId="0" xfId="23" applyNumberFormat="1" applyFont="1" applyFill="1" applyAlignment="1">
      <alignment vertical="center"/>
    </xf>
    <xf numFmtId="166" fontId="62" fillId="12" borderId="0" xfId="23" applyFont="1" applyFill="1" applyBorder="1" applyAlignment="1">
      <alignment horizontal="center" vertical="center"/>
    </xf>
    <xf numFmtId="166" fontId="62" fillId="12" borderId="58" xfId="23" applyFont="1" applyFill="1" applyBorder="1" applyAlignment="1">
      <alignment horizontal="center" vertical="center"/>
    </xf>
    <xf numFmtId="166" fontId="101" fillId="12" borderId="0" xfId="23" applyFont="1" applyFill="1" applyBorder="1" applyAlignment="1">
      <alignment vertical="center"/>
    </xf>
    <xf numFmtId="166" fontId="101" fillId="12" borderId="58" xfId="23" applyFont="1" applyFill="1" applyBorder="1" applyAlignment="1">
      <alignment vertical="center"/>
    </xf>
    <xf numFmtId="166" fontId="62" fillId="12" borderId="37" xfId="23" applyFont="1" applyFill="1" applyBorder="1" applyAlignment="1">
      <alignment vertical="center"/>
    </xf>
    <xf numFmtId="166" fontId="62" fillId="12" borderId="38" xfId="23" applyFont="1" applyFill="1" applyBorder="1" applyAlignment="1">
      <alignment vertical="center"/>
    </xf>
    <xf numFmtId="0" fontId="108" fillId="12" borderId="67" xfId="23" applyNumberFormat="1" applyFont="1" applyFill="1" applyBorder="1" applyAlignment="1">
      <alignment horizontal="center" vertical="center"/>
    </xf>
    <xf numFmtId="0" fontId="109" fillId="12" borderId="36" xfId="23" applyNumberFormat="1" applyFont="1" applyFill="1" applyBorder="1" applyAlignment="1">
      <alignment horizontal="center" vertical="center"/>
    </xf>
    <xf numFmtId="0" fontId="109" fillId="12" borderId="37" xfId="23" applyNumberFormat="1" applyFont="1" applyFill="1" applyBorder="1" applyAlignment="1">
      <alignment horizontal="center" vertical="center"/>
    </xf>
    <xf numFmtId="0" fontId="109" fillId="12" borderId="38" xfId="23" applyNumberFormat="1" applyFont="1" applyFill="1" applyBorder="1" applyAlignment="1">
      <alignment horizontal="center" vertical="center"/>
    </xf>
    <xf numFmtId="0" fontId="108" fillId="12" borderId="67" xfId="23" applyNumberFormat="1" applyFont="1" applyFill="1" applyBorder="1" applyAlignment="1">
      <alignment horizontal="left" vertical="center"/>
    </xf>
    <xf numFmtId="41" fontId="101" fillId="0" borderId="2" xfId="0" applyNumberFormat="1" applyFont="1" applyFill="1" applyBorder="1" applyAlignment="1">
      <alignment horizontal="right" vertical="center" wrapText="1"/>
    </xf>
    <xf numFmtId="41" fontId="101" fillId="0" borderId="2" xfId="0" applyNumberFormat="1" applyFont="1" applyFill="1" applyBorder="1" applyAlignment="1">
      <alignment horizontal="right" vertical="top" wrapText="1"/>
    </xf>
    <xf numFmtId="41" fontId="62" fillId="0" borderId="2" xfId="0" applyNumberFormat="1" applyFont="1" applyFill="1" applyBorder="1" applyAlignment="1">
      <alignment horizontal="right" vertical="top" wrapText="1"/>
    </xf>
    <xf numFmtId="39" fontId="108" fillId="12" borderId="67" xfId="23" applyNumberFormat="1" applyFont="1" applyFill="1" applyBorder="1" applyAlignment="1">
      <alignment horizontal="center" vertical="center"/>
    </xf>
    <xf numFmtId="0" fontId="108" fillId="12" borderId="0" xfId="23" applyNumberFormat="1" applyFont="1" applyFill="1" applyAlignment="1">
      <alignment vertical="center"/>
    </xf>
    <xf numFmtId="49" fontId="108" fillId="12" borderId="0" xfId="23" applyNumberFormat="1" applyFont="1" applyFill="1" applyAlignment="1">
      <alignment vertical="center"/>
    </xf>
    <xf numFmtId="0" fontId="108" fillId="12" borderId="0" xfId="23" applyNumberFormat="1" applyFont="1" applyFill="1" applyAlignment="1">
      <alignment horizontal="left" vertical="center"/>
    </xf>
    <xf numFmtId="166" fontId="108" fillId="12" borderId="0" xfId="23" applyFont="1" applyFill="1" applyAlignment="1">
      <alignment vertical="center"/>
    </xf>
    <xf numFmtId="0" fontId="108" fillId="12" borderId="57" xfId="24" applyNumberFormat="1" applyFont="1" applyFill="1" applyBorder="1" applyAlignment="1">
      <alignment horizontal="left" vertical="center"/>
    </xf>
    <xf numFmtId="0" fontId="108" fillId="12" borderId="0" xfId="24" applyNumberFormat="1" applyFont="1" applyFill="1" applyBorder="1" applyAlignment="1">
      <alignment horizontal="center" vertical="center"/>
    </xf>
    <xf numFmtId="49" fontId="108" fillId="12" borderId="0" xfId="24" applyNumberFormat="1" applyFont="1" applyFill="1" applyBorder="1" applyAlignment="1">
      <alignment horizontal="center" vertical="center"/>
    </xf>
    <xf numFmtId="0" fontId="108" fillId="12" borderId="0" xfId="23" applyNumberFormat="1" applyFont="1" applyFill="1" applyBorder="1" applyAlignment="1">
      <alignment horizontal="left" vertical="center"/>
    </xf>
    <xf numFmtId="0" fontId="106" fillId="12" borderId="0" xfId="23" applyNumberFormat="1" applyFont="1" applyFill="1" applyBorder="1" applyAlignment="1">
      <alignment horizontal="center" vertical="center"/>
    </xf>
    <xf numFmtId="0" fontId="108" fillId="12" borderId="57" xfId="23" applyNumberFormat="1" applyFont="1" applyFill="1" applyBorder="1" applyAlignment="1">
      <alignment horizontal="left" vertical="center"/>
    </xf>
    <xf numFmtId="0" fontId="108" fillId="12" borderId="0" xfId="24" applyNumberFormat="1" applyFont="1" applyFill="1" applyBorder="1" applyAlignment="1">
      <alignment horizontal="left" vertical="center"/>
    </xf>
    <xf numFmtId="0" fontId="108" fillId="12" borderId="36" xfId="24" applyNumberFormat="1" applyFont="1" applyFill="1" applyBorder="1" applyAlignment="1">
      <alignment horizontal="left" vertical="center"/>
    </xf>
    <xf numFmtId="0" fontId="108" fillId="12" borderId="37" xfId="24" applyNumberFormat="1" applyFont="1" applyFill="1" applyBorder="1" applyAlignment="1">
      <alignment horizontal="center" vertical="center"/>
    </xf>
    <xf numFmtId="49" fontId="108" fillId="12" borderId="37" xfId="24" applyNumberFormat="1" applyFont="1" applyFill="1" applyBorder="1" applyAlignment="1">
      <alignment horizontal="left" vertical="center"/>
    </xf>
    <xf numFmtId="0" fontId="108" fillId="12" borderId="37" xfId="24" applyNumberFormat="1" applyFont="1" applyFill="1" applyBorder="1" applyAlignment="1">
      <alignment horizontal="left" vertical="center"/>
    </xf>
    <xf numFmtId="166" fontId="108" fillId="12" borderId="37" xfId="24" applyFont="1" applyFill="1" applyBorder="1" applyAlignment="1">
      <alignment horizontal="center" vertical="center"/>
    </xf>
    <xf numFmtId="0" fontId="108" fillId="12" borderId="67" xfId="23" applyNumberFormat="1" applyFont="1" applyFill="1" applyBorder="1" applyAlignment="1">
      <alignment horizontal="left" vertical="center" wrapText="1"/>
    </xf>
    <xf numFmtId="0" fontId="106" fillId="12" borderId="68" xfId="23" applyNumberFormat="1" applyFont="1" applyFill="1" applyBorder="1" applyAlignment="1">
      <alignment horizontal="left" vertical="center"/>
    </xf>
    <xf numFmtId="0" fontId="106" fillId="0" borderId="2" xfId="0" applyFont="1" applyFill="1" applyBorder="1" applyAlignment="1">
      <alignment horizontal="center" vertical="center" wrapText="1"/>
    </xf>
    <xf numFmtId="0" fontId="106" fillId="0" borderId="2" xfId="0" applyFont="1" applyFill="1" applyBorder="1" applyAlignment="1">
      <alignment vertical="center" wrapText="1"/>
    </xf>
    <xf numFmtId="41" fontId="106" fillId="0" borderId="2" xfId="0" applyNumberFormat="1" applyFont="1" applyFill="1" applyBorder="1" applyAlignment="1">
      <alignment horizontal="right" vertical="center" wrapText="1"/>
    </xf>
    <xf numFmtId="0" fontId="106" fillId="0" borderId="2" xfId="0" applyFont="1" applyFill="1" applyBorder="1" applyAlignment="1">
      <alignment horizontal="center" vertical="top" wrapText="1"/>
    </xf>
    <xf numFmtId="0" fontId="106" fillId="0" borderId="2" xfId="0" quotePrefix="1" applyFont="1" applyFill="1" applyBorder="1" applyAlignment="1">
      <alignment horizontal="center" vertical="top" wrapText="1"/>
    </xf>
    <xf numFmtId="0" fontId="106" fillId="0" borderId="2" xfId="0" applyFont="1" applyFill="1" applyBorder="1" applyAlignment="1">
      <alignment vertical="top" wrapText="1"/>
    </xf>
    <xf numFmtId="41" fontId="106" fillId="0" borderId="2" xfId="0" applyNumberFormat="1" applyFont="1" applyFill="1" applyBorder="1" applyAlignment="1">
      <alignment horizontal="right" vertical="top" wrapText="1"/>
    </xf>
    <xf numFmtId="0" fontId="108" fillId="0" borderId="2" xfId="0" applyFont="1" applyFill="1" applyBorder="1" applyAlignment="1">
      <alignment horizontal="center" vertical="top" wrapText="1"/>
    </xf>
    <xf numFmtId="0" fontId="108" fillId="0" borderId="2" xfId="0" quotePrefix="1" applyFont="1" applyFill="1" applyBorder="1" applyAlignment="1">
      <alignment horizontal="center" vertical="top" wrapText="1"/>
    </xf>
    <xf numFmtId="0" fontId="108" fillId="0" borderId="2" xfId="0" applyFont="1" applyFill="1" applyBorder="1" applyAlignment="1">
      <alignment vertical="top" wrapText="1"/>
    </xf>
    <xf numFmtId="41" fontId="108" fillId="0" borderId="2" xfId="0" applyNumberFormat="1" applyFont="1" applyFill="1" applyBorder="1" applyAlignment="1">
      <alignment horizontal="right" vertical="top" wrapText="1"/>
    </xf>
    <xf numFmtId="0" fontId="108" fillId="0" borderId="2" xfId="0" quotePrefix="1" applyFont="1" applyFill="1" applyBorder="1" applyAlignment="1">
      <alignment horizontal="left" vertical="top" wrapText="1"/>
    </xf>
    <xf numFmtId="0" fontId="108" fillId="0" borderId="2" xfId="0" applyFont="1" applyFill="1" applyBorder="1" applyAlignment="1">
      <alignment vertical="top"/>
    </xf>
    <xf numFmtId="0" fontId="106" fillId="0" borderId="2" xfId="0" applyFont="1" applyFill="1" applyBorder="1" applyAlignment="1">
      <alignment horizontal="center" vertical="top"/>
    </xf>
    <xf numFmtId="0" fontId="106" fillId="0" borderId="2" xfId="0" quotePrefix="1" applyFont="1" applyFill="1" applyBorder="1" applyAlignment="1">
      <alignment horizontal="center" vertical="top"/>
    </xf>
    <xf numFmtId="0" fontId="106" fillId="0" borderId="20" xfId="2" applyFont="1" applyFill="1" applyBorder="1" applyAlignment="1">
      <alignment vertical="top" wrapText="1"/>
    </xf>
    <xf numFmtId="41" fontId="106" fillId="0" borderId="2" xfId="0" applyNumberFormat="1" applyFont="1" applyFill="1" applyBorder="1" applyAlignment="1">
      <alignment horizontal="right" vertical="top"/>
    </xf>
    <xf numFmtId="0" fontId="108" fillId="0" borderId="2" xfId="18" applyFont="1" applyFill="1" applyBorder="1" applyAlignment="1">
      <alignment horizontal="center" vertical="top"/>
    </xf>
    <xf numFmtId="0" fontId="108" fillId="0" borderId="2" xfId="2" quotePrefix="1" applyFont="1" applyFill="1" applyBorder="1" applyAlignment="1">
      <alignment horizontal="center" vertical="top"/>
    </xf>
    <xf numFmtId="0" fontId="108" fillId="0" borderId="2" xfId="18" applyFont="1" applyFill="1" applyBorder="1" applyAlignment="1">
      <alignment vertical="top" wrapText="1"/>
    </xf>
    <xf numFmtId="0" fontId="108" fillId="0" borderId="2" xfId="18" quotePrefix="1" applyFont="1" applyFill="1" applyBorder="1" applyAlignment="1">
      <alignment horizontal="center" vertical="top"/>
    </xf>
    <xf numFmtId="0" fontId="106" fillId="0" borderId="2" xfId="18" applyFont="1" applyFill="1" applyBorder="1" applyAlignment="1">
      <alignment horizontal="center" vertical="top"/>
    </xf>
    <xf numFmtId="0" fontId="106" fillId="0" borderId="2" xfId="2" quotePrefix="1" applyFont="1" applyFill="1" applyBorder="1" applyAlignment="1">
      <alignment horizontal="center" vertical="top"/>
    </xf>
    <xf numFmtId="0" fontId="106" fillId="0" borderId="2" xfId="18" applyFont="1" applyFill="1" applyBorder="1" applyAlignment="1">
      <alignment vertical="top"/>
    </xf>
    <xf numFmtId="0" fontId="106" fillId="0" borderId="20" xfId="18" applyFont="1" applyFill="1" applyBorder="1" applyAlignment="1">
      <alignment vertical="top"/>
    </xf>
    <xf numFmtId="0" fontId="106" fillId="0" borderId="2" xfId="18" quotePrefix="1" applyFont="1" applyFill="1" applyBorder="1" applyAlignment="1">
      <alignment horizontal="center" vertical="top"/>
    </xf>
    <xf numFmtId="0" fontId="106" fillId="0" borderId="2" xfId="2" applyFont="1" applyFill="1" applyBorder="1" applyAlignment="1">
      <alignment vertical="top"/>
    </xf>
    <xf numFmtId="0" fontId="108" fillId="0" borderId="2" xfId="18" applyFont="1" applyFill="1" applyBorder="1" applyAlignment="1">
      <alignment vertical="top"/>
    </xf>
    <xf numFmtId="0" fontId="106" fillId="0" borderId="2" xfId="0" quotePrefix="1" applyFont="1" applyFill="1" applyBorder="1" applyAlignment="1">
      <alignment horizontal="center" vertical="center" wrapText="1"/>
    </xf>
    <xf numFmtId="0" fontId="108" fillId="0" borderId="2" xfId="0" applyFont="1" applyFill="1" applyBorder="1" applyAlignment="1">
      <alignment horizontal="center" vertical="center" wrapText="1"/>
    </xf>
    <xf numFmtId="0" fontId="108" fillId="0" borderId="2" xfId="2" applyFont="1" applyFill="1" applyBorder="1" applyAlignment="1">
      <alignment horizontal="center" vertical="top"/>
    </xf>
    <xf numFmtId="0" fontId="106" fillId="0" borderId="2" xfId="2" applyFont="1" applyFill="1" applyBorder="1" applyAlignment="1">
      <alignment horizontal="center" vertical="top"/>
    </xf>
    <xf numFmtId="0" fontId="108" fillId="0" borderId="0" xfId="0" applyFont="1" applyFill="1" applyAlignment="1">
      <alignment wrapText="1"/>
    </xf>
    <xf numFmtId="0" fontId="108" fillId="0" borderId="0" xfId="0" applyFont="1"/>
    <xf numFmtId="0" fontId="106" fillId="0" borderId="2" xfId="18" applyFont="1" applyFill="1" applyBorder="1" applyAlignment="1">
      <alignment horizontal="left" vertical="top" wrapText="1"/>
    </xf>
    <xf numFmtId="0" fontId="106" fillId="0" borderId="2" xfId="18" applyFont="1" applyFill="1" applyBorder="1" applyAlignment="1">
      <alignment vertical="top" wrapText="1"/>
    </xf>
    <xf numFmtId="0" fontId="108" fillId="0" borderId="20" xfId="18" applyFont="1" applyFill="1" applyBorder="1" applyAlignment="1">
      <alignment horizontal="left" vertical="top" wrapText="1"/>
    </xf>
    <xf numFmtId="0" fontId="106" fillId="0" borderId="20" xfId="18" applyFont="1" applyFill="1" applyBorder="1" applyAlignment="1">
      <alignment horizontal="left" vertical="top" wrapText="1"/>
    </xf>
    <xf numFmtId="0" fontId="112" fillId="0" borderId="2" xfId="2" applyFont="1" applyFill="1" applyBorder="1" applyAlignment="1">
      <alignment horizontal="center" vertical="top"/>
    </xf>
    <xf numFmtId="0" fontId="112" fillId="0" borderId="2" xfId="2" quotePrefix="1" applyFont="1" applyFill="1" applyBorder="1" applyAlignment="1">
      <alignment horizontal="center" vertical="top"/>
    </xf>
    <xf numFmtId="0" fontId="112" fillId="0" borderId="2" xfId="0" applyFont="1" applyFill="1" applyBorder="1" applyAlignment="1">
      <alignment horizontal="center" vertical="top" wrapText="1"/>
    </xf>
    <xf numFmtId="0" fontId="112" fillId="0" borderId="20" xfId="18" applyFont="1" applyFill="1" applyBorder="1" applyAlignment="1">
      <alignment horizontal="left" vertical="top" wrapText="1"/>
    </xf>
    <xf numFmtId="41" fontId="112" fillId="0" borderId="2" xfId="0" applyNumberFormat="1" applyFont="1" applyFill="1" applyBorder="1" applyAlignment="1">
      <alignment horizontal="right" vertical="top" wrapText="1"/>
    </xf>
    <xf numFmtId="0" fontId="108" fillId="0" borderId="20" xfId="18" applyFont="1" applyFill="1" applyBorder="1" applyAlignment="1">
      <alignment vertical="top"/>
    </xf>
    <xf numFmtId="0" fontId="108" fillId="0" borderId="20" xfId="0" applyFont="1" applyFill="1" applyBorder="1" applyAlignment="1">
      <alignment vertical="top" wrapText="1"/>
    </xf>
    <xf numFmtId="0" fontId="106" fillId="0" borderId="20" xfId="0" applyFont="1" applyFill="1" applyBorder="1" applyAlignment="1">
      <alignment vertical="top" wrapText="1"/>
    </xf>
    <xf numFmtId="0" fontId="108" fillId="0" borderId="2" xfId="2" applyFont="1" applyFill="1" applyBorder="1" applyAlignment="1">
      <alignment horizontal="center" vertical="center"/>
    </xf>
    <xf numFmtId="0" fontId="108" fillId="0" borderId="2" xfId="2" quotePrefix="1" applyFont="1" applyFill="1" applyBorder="1" applyAlignment="1">
      <alignment horizontal="center" vertical="center"/>
    </xf>
    <xf numFmtId="0" fontId="108" fillId="0" borderId="20" xfId="18" applyFont="1" applyFill="1" applyBorder="1" applyAlignment="1">
      <alignment horizontal="left" vertical="center" wrapText="1"/>
    </xf>
    <xf numFmtId="0" fontId="108" fillId="0" borderId="2" xfId="0" applyFont="1" applyFill="1" applyBorder="1" applyAlignment="1">
      <alignment horizontal="left" vertical="top" wrapText="1"/>
    </xf>
    <xf numFmtId="0" fontId="108" fillId="12" borderId="61" xfId="23" applyNumberFormat="1" applyFont="1" applyFill="1" applyBorder="1" applyAlignment="1">
      <alignment vertical="center"/>
    </xf>
    <xf numFmtId="0" fontId="108" fillId="12" borderId="59" xfId="23" applyNumberFormat="1" applyFont="1" applyFill="1" applyBorder="1" applyAlignment="1">
      <alignment vertical="center"/>
    </xf>
    <xf numFmtId="49" fontId="108" fillId="12" borderId="59" xfId="23" applyNumberFormat="1" applyFont="1" applyFill="1" applyBorder="1" applyAlignment="1">
      <alignment vertical="center"/>
    </xf>
    <xf numFmtId="166" fontId="108" fillId="12" borderId="59" xfId="23" applyFont="1" applyFill="1" applyBorder="1" applyAlignment="1">
      <alignment vertical="center"/>
    </xf>
    <xf numFmtId="166" fontId="108" fillId="12" borderId="57" xfId="23" applyFont="1" applyFill="1" applyBorder="1" applyAlignment="1">
      <alignment vertical="center"/>
    </xf>
    <xf numFmtId="166" fontId="108" fillId="12" borderId="0" xfId="23" applyFont="1" applyFill="1" applyBorder="1" applyAlignment="1">
      <alignment vertical="center"/>
    </xf>
    <xf numFmtId="49" fontId="108" fillId="12" borderId="0" xfId="23" applyNumberFormat="1" applyFont="1" applyFill="1" applyBorder="1" applyAlignment="1">
      <alignment vertical="center"/>
    </xf>
    <xf numFmtId="166" fontId="108" fillId="12" borderId="0" xfId="23" applyFont="1" applyFill="1" applyBorder="1" applyAlignment="1">
      <alignment horizontal="center" vertical="center"/>
    </xf>
    <xf numFmtId="166" fontId="108" fillId="12" borderId="57" xfId="23" applyFont="1" applyFill="1" applyBorder="1" applyAlignment="1">
      <alignment horizontal="center" vertical="center"/>
    </xf>
    <xf numFmtId="49" fontId="108" fillId="12" borderId="0" xfId="23" applyNumberFormat="1" applyFont="1" applyFill="1" applyBorder="1" applyAlignment="1">
      <alignment horizontal="center" vertical="center"/>
    </xf>
    <xf numFmtId="0" fontId="108" fillId="12" borderId="57" xfId="23" applyNumberFormat="1" applyFont="1" applyFill="1" applyBorder="1" applyAlignment="1">
      <alignment vertical="center"/>
    </xf>
    <xf numFmtId="0" fontId="108" fillId="12" borderId="0" xfId="23" applyNumberFormat="1" applyFont="1" applyFill="1" applyBorder="1" applyAlignment="1">
      <alignment vertical="center"/>
    </xf>
    <xf numFmtId="166" fontId="113" fillId="12" borderId="57" xfId="23" applyFont="1" applyFill="1" applyBorder="1" applyAlignment="1">
      <alignment vertical="center"/>
    </xf>
    <xf numFmtId="166" fontId="113" fillId="12" borderId="0" xfId="23" applyFont="1" applyFill="1" applyBorder="1" applyAlignment="1">
      <alignment vertical="center"/>
    </xf>
    <xf numFmtId="166" fontId="114" fillId="12" borderId="0" xfId="23" applyFont="1" applyFill="1" applyBorder="1" applyAlignment="1">
      <alignment vertical="center"/>
    </xf>
    <xf numFmtId="49" fontId="114" fillId="12" borderId="0" xfId="23" applyNumberFormat="1" applyFont="1" applyFill="1" applyBorder="1" applyAlignment="1">
      <alignment vertical="center"/>
    </xf>
    <xf numFmtId="0" fontId="108" fillId="12" borderId="36" xfId="23" applyNumberFormat="1" applyFont="1" applyFill="1" applyBorder="1" applyAlignment="1">
      <alignment vertical="center"/>
    </xf>
    <xf numFmtId="0" fontId="108" fillId="12" borderId="37" xfId="23" applyNumberFormat="1" applyFont="1" applyFill="1" applyBorder="1" applyAlignment="1">
      <alignment vertical="center"/>
    </xf>
    <xf numFmtId="49" fontId="108" fillId="12" borderId="37" xfId="23" applyNumberFormat="1" applyFont="1" applyFill="1" applyBorder="1" applyAlignment="1">
      <alignment vertical="center"/>
    </xf>
    <xf numFmtId="166" fontId="108" fillId="12" borderId="37" xfId="23" applyFont="1" applyFill="1" applyBorder="1" applyAlignment="1">
      <alignment vertical="center"/>
    </xf>
    <xf numFmtId="0" fontId="108" fillId="12" borderId="9" xfId="23" applyNumberFormat="1" applyFont="1" applyFill="1" applyBorder="1" applyAlignment="1">
      <alignment vertical="center"/>
    </xf>
    <xf numFmtId="41" fontId="106" fillId="0" borderId="2" xfId="26" applyNumberFormat="1" applyFont="1" applyFill="1" applyBorder="1" applyAlignment="1">
      <alignment vertical="center"/>
    </xf>
    <xf numFmtId="166" fontId="12" fillId="0" borderId="0" xfId="23" applyFont="1" applyFill="1" applyAlignment="1">
      <alignment horizontal="center" vertical="center"/>
    </xf>
    <xf numFmtId="166" fontId="62" fillId="0" borderId="0" xfId="23" applyFont="1" applyFill="1" applyAlignment="1">
      <alignment horizontal="center" vertical="center"/>
    </xf>
    <xf numFmtId="0" fontId="107" fillId="0" borderId="12" xfId="23" applyNumberFormat="1" applyFont="1" applyFill="1" applyBorder="1" applyAlignment="1">
      <alignment horizontal="center" vertical="center"/>
    </xf>
    <xf numFmtId="41" fontId="106" fillId="0" borderId="2" xfId="0" applyNumberFormat="1" applyFont="1" applyFill="1" applyBorder="1" applyAlignment="1">
      <alignment horizontal="center" vertical="center" wrapText="1"/>
    </xf>
    <xf numFmtId="41" fontId="106" fillId="0" borderId="2" xfId="0" applyNumberFormat="1" applyFont="1" applyFill="1" applyBorder="1" applyAlignment="1">
      <alignment horizontal="center" vertical="top" wrapText="1"/>
    </xf>
    <xf numFmtId="41" fontId="108" fillId="0" borderId="2" xfId="0" applyNumberFormat="1" applyFont="1" applyFill="1" applyBorder="1" applyAlignment="1">
      <alignment horizontal="center" vertical="top" wrapText="1"/>
    </xf>
    <xf numFmtId="41" fontId="106" fillId="0" borderId="2" xfId="0" applyNumberFormat="1" applyFont="1" applyFill="1" applyBorder="1" applyAlignment="1">
      <alignment horizontal="center" vertical="top"/>
    </xf>
    <xf numFmtId="41" fontId="112" fillId="0" borderId="2" xfId="0" applyNumberFormat="1" applyFont="1" applyFill="1" applyBorder="1" applyAlignment="1">
      <alignment horizontal="center" vertical="top" wrapText="1"/>
    </xf>
    <xf numFmtId="41" fontId="62" fillId="0" borderId="2" xfId="0" applyNumberFormat="1" applyFont="1" applyFill="1" applyBorder="1" applyAlignment="1">
      <alignment horizontal="center" vertical="top" wrapText="1"/>
    </xf>
    <xf numFmtId="41" fontId="101" fillId="0" borderId="2" xfId="0" applyNumberFormat="1" applyFont="1" applyFill="1" applyBorder="1" applyAlignment="1">
      <alignment horizontal="center" vertical="top" wrapText="1"/>
    </xf>
    <xf numFmtId="166" fontId="108" fillId="0" borderId="0" xfId="23" applyFont="1" applyFill="1" applyAlignment="1">
      <alignment vertical="center"/>
    </xf>
    <xf numFmtId="166" fontId="106" fillId="0" borderId="0" xfId="23" applyFont="1" applyFill="1" applyAlignment="1">
      <alignment vertical="center"/>
    </xf>
    <xf numFmtId="0" fontId="112" fillId="0" borderId="2" xfId="0" quotePrefix="1" applyFont="1" applyFill="1" applyBorder="1" applyAlignment="1">
      <alignment horizontal="center" vertical="top" wrapText="1"/>
    </xf>
    <xf numFmtId="0" fontId="112" fillId="0" borderId="2" xfId="0" applyFont="1" applyFill="1" applyBorder="1" applyAlignment="1">
      <alignment vertical="top" wrapText="1"/>
    </xf>
    <xf numFmtId="166" fontId="112" fillId="0" borderId="0" xfId="23" applyFont="1" applyFill="1" applyAlignment="1">
      <alignment vertical="center"/>
    </xf>
    <xf numFmtId="166" fontId="115" fillId="0" borderId="0" xfId="23" applyFont="1" applyFill="1" applyAlignment="1">
      <alignment vertical="center"/>
    </xf>
    <xf numFmtId="165" fontId="108" fillId="0" borderId="2" xfId="0" applyNumberFormat="1" applyFont="1" applyFill="1" applyBorder="1" applyAlignment="1">
      <alignment horizontal="right" vertical="top" wrapText="1"/>
    </xf>
    <xf numFmtId="166" fontId="62" fillId="0" borderId="0" xfId="23" applyFont="1" applyFill="1" applyBorder="1" applyAlignment="1">
      <alignment horizontal="center" vertical="center"/>
    </xf>
    <xf numFmtId="166" fontId="12" fillId="0" borderId="0" xfId="23" applyFont="1" applyFill="1" applyBorder="1" applyAlignment="1">
      <alignment vertical="center"/>
    </xf>
    <xf numFmtId="166" fontId="110" fillId="0" borderId="0" xfId="23" applyFont="1" applyFill="1" applyBorder="1" applyAlignment="1">
      <alignment horizontal="center" vertical="center"/>
    </xf>
    <xf numFmtId="41" fontId="62" fillId="0" borderId="6" xfId="0" applyNumberFormat="1" applyFont="1" applyFill="1" applyBorder="1" applyAlignment="1">
      <alignment horizontal="right" vertical="top" wrapText="1"/>
    </xf>
    <xf numFmtId="41" fontId="62" fillId="0" borderId="6" xfId="0" applyNumberFormat="1" applyFont="1" applyFill="1" applyBorder="1" applyAlignment="1">
      <alignment horizontal="center" vertical="top" wrapText="1"/>
    </xf>
    <xf numFmtId="41" fontId="104" fillId="0" borderId="4" xfId="0" applyNumberFormat="1" applyFont="1" applyFill="1" applyBorder="1" applyAlignment="1">
      <alignment horizontal="right" vertical="top" wrapText="1"/>
    </xf>
    <xf numFmtId="41" fontId="106" fillId="0" borderId="4" xfId="23" applyNumberFormat="1" applyFont="1" applyFill="1" applyBorder="1" applyAlignment="1">
      <alignment vertical="center"/>
    </xf>
    <xf numFmtId="166" fontId="101" fillId="0" borderId="0" xfId="23" applyFont="1" applyFill="1" applyBorder="1" applyAlignment="1">
      <alignment vertical="center"/>
    </xf>
    <xf numFmtId="166" fontId="101" fillId="0" borderId="0" xfId="23" applyFont="1" applyFill="1" applyBorder="1" applyAlignment="1">
      <alignment horizontal="center" vertical="center"/>
    </xf>
    <xf numFmtId="165" fontId="50" fillId="0" borderId="65" xfId="3" applyNumberFormat="1" applyFont="1" applyFill="1" applyBorder="1" applyAlignment="1">
      <alignment horizontal="left" vertical="center"/>
    </xf>
    <xf numFmtId="165" fontId="50" fillId="0" borderId="2" xfId="3" applyNumberFormat="1" applyFont="1" applyFill="1" applyBorder="1" applyAlignment="1">
      <alignment horizontal="right" vertical="center"/>
    </xf>
    <xf numFmtId="165" fontId="50" fillId="0" borderId="20" xfId="3" applyNumberFormat="1" applyFont="1" applyFill="1" applyBorder="1" applyAlignment="1">
      <alignment vertical="center"/>
    </xf>
    <xf numFmtId="165" fontId="50" fillId="0" borderId="63" xfId="3" applyNumberFormat="1" applyFont="1" applyFill="1" applyBorder="1" applyAlignment="1">
      <alignment horizontal="left" vertical="center"/>
    </xf>
    <xf numFmtId="165" fontId="50" fillId="0" borderId="2" xfId="3" applyNumberFormat="1" applyFont="1" applyFill="1" applyBorder="1" applyAlignment="1">
      <alignment vertical="center"/>
    </xf>
    <xf numFmtId="165" fontId="50" fillId="0" borderId="85" xfId="3" applyNumberFormat="1" applyFont="1" applyFill="1" applyBorder="1" applyAlignment="1">
      <alignment horizontal="left" vertical="center"/>
    </xf>
    <xf numFmtId="165" fontId="50" fillId="0" borderId="82" xfId="3" applyNumberFormat="1" applyFont="1" applyFill="1" applyBorder="1" applyAlignment="1">
      <alignment vertical="center"/>
    </xf>
    <xf numFmtId="165" fontId="50" fillId="0" borderId="82" xfId="3" applyNumberFormat="1" applyFont="1" applyFill="1" applyBorder="1" applyAlignment="1">
      <alignment horizontal="left" vertical="center"/>
    </xf>
    <xf numFmtId="0" fontId="50" fillId="0" borderId="0" xfId="0" applyFont="1" applyFill="1" applyAlignment="1">
      <alignment horizontal="center"/>
    </xf>
    <xf numFmtId="0" fontId="50" fillId="0" borderId="0" xfId="0" applyFont="1" applyFill="1"/>
    <xf numFmtId="0" fontId="15" fillId="0" borderId="0" xfId="0" applyFont="1" applyFill="1" applyAlignment="1">
      <alignment horizontal="left"/>
    </xf>
    <xf numFmtId="0" fontId="50" fillId="0" borderId="0" xfId="0" applyFont="1" applyFill="1" applyAlignment="1">
      <alignment horizontal="left"/>
    </xf>
    <xf numFmtId="0" fontId="15" fillId="0" borderId="0" xfId="0" applyFont="1" applyFill="1"/>
    <xf numFmtId="0" fontId="50" fillId="0" borderId="0" xfId="0" applyFont="1" applyFill="1" applyAlignment="1"/>
    <xf numFmtId="49" fontId="50" fillId="0" borderId="0" xfId="0" applyNumberFormat="1" applyFont="1" applyFill="1" applyAlignment="1">
      <alignment horizontal="center"/>
    </xf>
    <xf numFmtId="165" fontId="32" fillId="0" borderId="4" xfId="3" applyNumberFormat="1" applyFont="1" applyFill="1" applyBorder="1" applyAlignment="1">
      <alignment vertical="center"/>
    </xf>
    <xf numFmtId="41" fontId="32" fillId="0" borderId="4" xfId="3" applyNumberFormat="1" applyFont="1" applyFill="1" applyBorder="1" applyAlignment="1">
      <alignment vertical="center"/>
    </xf>
    <xf numFmtId="165" fontId="44" fillId="0" borderId="4" xfId="3" applyNumberFormat="1" applyFont="1" applyFill="1" applyBorder="1" applyAlignment="1">
      <alignment horizontal="center" vertical="center"/>
    </xf>
    <xf numFmtId="0" fontId="48" fillId="0" borderId="0" xfId="0" applyFont="1" applyFill="1" applyAlignment="1"/>
    <xf numFmtId="0" fontId="51" fillId="0" borderId="0" xfId="0" applyFont="1" applyFill="1" applyAlignment="1">
      <alignment horizontal="center"/>
    </xf>
    <xf numFmtId="0" fontId="51" fillId="0" borderId="0" xfId="0" quotePrefix="1" applyFont="1" applyFill="1"/>
    <xf numFmtId="0" fontId="51" fillId="0" borderId="0" xfId="0" applyFont="1" applyFill="1"/>
    <xf numFmtId="0" fontId="46" fillId="0" borderId="0" xfId="0" applyFont="1" applyFill="1"/>
    <xf numFmtId="0" fontId="52" fillId="0" borderId="0" xfId="0" applyFont="1" applyFill="1" applyAlignment="1">
      <alignment horizontal="center"/>
    </xf>
    <xf numFmtId="0" fontId="49" fillId="0" borderId="0" xfId="0" applyFont="1" applyFill="1" applyAlignment="1"/>
    <xf numFmtId="166" fontId="57" fillId="0" borderId="0" xfId="7" applyFont="1" applyFill="1" applyAlignment="1">
      <alignment horizontal="center" vertical="center"/>
    </xf>
    <xf numFmtId="166" fontId="57" fillId="0" borderId="0" xfId="7" applyFont="1" applyFill="1" applyBorder="1" applyAlignment="1">
      <alignment horizontal="center" vertical="center"/>
    </xf>
    <xf numFmtId="166" fontId="57" fillId="0" borderId="0" xfId="7" applyFont="1" applyFill="1" applyBorder="1" applyAlignment="1">
      <alignment vertical="center"/>
    </xf>
    <xf numFmtId="41" fontId="58" fillId="0" borderId="0" xfId="1" applyFont="1" applyFill="1" applyBorder="1" applyAlignment="1">
      <alignment horizontal="center" vertical="center"/>
    </xf>
    <xf numFmtId="0" fontId="46" fillId="0" borderId="0" xfId="0" applyFont="1" applyFill="1" applyAlignment="1">
      <alignment horizontal="center"/>
    </xf>
    <xf numFmtId="165" fontId="50" fillId="0" borderId="69" xfId="3" applyNumberFormat="1" applyFont="1" applyBorder="1" applyAlignment="1">
      <alignment vertical="center"/>
    </xf>
    <xf numFmtId="0" fontId="7" fillId="0" borderId="4" xfId="0" applyFont="1" applyBorder="1"/>
    <xf numFmtId="43" fontId="50" fillId="0" borderId="4" xfId="3" applyNumberFormat="1" applyFont="1" applyBorder="1" applyAlignment="1">
      <alignment vertical="center"/>
    </xf>
    <xf numFmtId="0" fontId="14" fillId="0" borderId="4" xfId="0" applyFont="1" applyBorder="1" applyAlignment="1">
      <alignment horizontal="center"/>
    </xf>
    <xf numFmtId="9" fontId="14" fillId="0" borderId="4" xfId="0" applyNumberFormat="1" applyFont="1" applyBorder="1" applyAlignment="1">
      <alignment horizontal="center"/>
    </xf>
    <xf numFmtId="0" fontId="0" fillId="17" borderId="0" xfId="0" applyFill="1" applyAlignment="1">
      <alignment vertical="center"/>
    </xf>
    <xf numFmtId="0" fontId="120" fillId="17" borderId="0" xfId="0" applyFont="1" applyFill="1" applyBorder="1" applyAlignment="1">
      <alignment horizontal="left" vertical="center" wrapText="1"/>
    </xf>
    <xf numFmtId="0" fontId="0" fillId="12" borderId="0" xfId="0" applyFill="1" applyAlignment="1">
      <alignment vertical="center"/>
    </xf>
    <xf numFmtId="0" fontId="0" fillId="18" borderId="0" xfId="0" applyFill="1" applyAlignment="1">
      <alignment vertical="center"/>
    </xf>
    <xf numFmtId="0" fontId="7" fillId="18" borderId="0" xfId="0" applyFont="1" applyFill="1" applyAlignment="1">
      <alignment vertical="center"/>
    </xf>
    <xf numFmtId="41" fontId="120" fillId="12" borderId="0" xfId="0" applyNumberFormat="1" applyFont="1" applyFill="1" applyBorder="1" applyAlignment="1">
      <alignment horizontal="left" vertical="center" wrapText="1"/>
    </xf>
    <xf numFmtId="0" fontId="7" fillId="12" borderId="0" xfId="0" applyFont="1" applyFill="1" applyAlignment="1">
      <alignment vertical="center"/>
    </xf>
    <xf numFmtId="9" fontId="67" fillId="20" borderId="113" xfId="0" applyNumberFormat="1" applyFont="1" applyFill="1" applyBorder="1" applyAlignment="1">
      <alignment vertical="center"/>
    </xf>
    <xf numFmtId="0" fontId="124" fillId="21" borderId="88" xfId="0" applyFont="1" applyFill="1" applyBorder="1" applyAlignment="1">
      <alignment vertical="center"/>
    </xf>
    <xf numFmtId="0" fontId="125" fillId="21" borderId="0" xfId="0" applyFont="1" applyFill="1" applyBorder="1" applyAlignment="1">
      <alignment horizontal="center" vertical="center"/>
    </xf>
    <xf numFmtId="0" fontId="53" fillId="23" borderId="4" xfId="0" applyFont="1" applyFill="1" applyBorder="1" applyAlignment="1">
      <alignment horizontal="left" vertical="center"/>
    </xf>
    <xf numFmtId="0" fontId="53" fillId="23" borderId="7" xfId="0" applyFont="1" applyFill="1" applyBorder="1" applyAlignment="1">
      <alignment vertical="center"/>
    </xf>
    <xf numFmtId="164" fontId="53" fillId="23" borderId="7" xfId="0" applyNumberFormat="1" applyFont="1" applyFill="1" applyBorder="1" applyAlignment="1">
      <alignment vertical="center"/>
    </xf>
    <xf numFmtId="0" fontId="127" fillId="23" borderId="4" xfId="0" applyFont="1" applyFill="1" applyBorder="1" applyAlignment="1">
      <alignment horizontal="left" vertical="center"/>
    </xf>
    <xf numFmtId="0" fontId="0" fillId="12" borderId="0" xfId="0" applyFill="1" applyBorder="1" applyAlignment="1">
      <alignment vertical="center"/>
    </xf>
    <xf numFmtId="41" fontId="130" fillId="26" borderId="115" xfId="0" applyNumberFormat="1" applyFont="1" applyFill="1" applyBorder="1" applyAlignment="1">
      <alignment vertical="center"/>
    </xf>
    <xf numFmtId="0" fontId="0" fillId="12" borderId="0" xfId="0" applyFill="1" applyAlignment="1">
      <alignment horizontal="center" vertical="center"/>
    </xf>
    <xf numFmtId="41" fontId="0" fillId="12" borderId="0" xfId="0" applyNumberFormat="1" applyFill="1" applyAlignment="1">
      <alignment vertical="center"/>
    </xf>
    <xf numFmtId="0" fontId="0" fillId="17" borderId="0" xfId="0" applyFill="1" applyBorder="1" applyAlignment="1">
      <alignment vertical="center"/>
    </xf>
    <xf numFmtId="0" fontId="0" fillId="17" borderId="0" xfId="0" applyFill="1" applyAlignment="1">
      <alignment horizontal="center" vertical="center"/>
    </xf>
    <xf numFmtId="0" fontId="7" fillId="27" borderId="0" xfId="0" applyFont="1" applyFill="1" applyAlignment="1">
      <alignment vertical="center"/>
    </xf>
    <xf numFmtId="0" fontId="0" fillId="27" borderId="0" xfId="0" applyFill="1" applyAlignment="1">
      <alignment vertical="center"/>
    </xf>
    <xf numFmtId="41" fontId="131" fillId="12" borderId="0" xfId="0" applyNumberFormat="1" applyFont="1" applyFill="1" applyAlignment="1">
      <alignment vertical="center"/>
    </xf>
    <xf numFmtId="0" fontId="43" fillId="17" borderId="0" xfId="30" applyFont="1" applyFill="1" applyAlignment="1">
      <alignment vertical="center"/>
    </xf>
    <xf numFmtId="0" fontId="43" fillId="12" borderId="0" xfId="30" applyFont="1" applyFill="1" applyBorder="1" applyAlignment="1">
      <alignment vertical="center"/>
    </xf>
    <xf numFmtId="0" fontId="43" fillId="12" borderId="0" xfId="30" applyFont="1" applyFill="1" applyAlignment="1">
      <alignment vertical="center"/>
    </xf>
    <xf numFmtId="0" fontId="43" fillId="18" borderId="0" xfId="30" applyFont="1" applyFill="1" applyAlignment="1">
      <alignment vertical="center"/>
    </xf>
    <xf numFmtId="0" fontId="43" fillId="12" borderId="3" xfId="30" applyFont="1" applyFill="1" applyBorder="1" applyAlignment="1">
      <alignment vertical="center" wrapText="1"/>
    </xf>
    <xf numFmtId="0" fontId="43" fillId="29" borderId="4" xfId="30" applyFont="1" applyFill="1" applyBorder="1" applyAlignment="1">
      <alignment vertical="center"/>
    </xf>
    <xf numFmtId="164" fontId="133" fillId="29" borderId="4" xfId="30" applyNumberFormat="1" applyFont="1" applyFill="1" applyBorder="1" applyAlignment="1">
      <alignment vertical="center"/>
    </xf>
    <xf numFmtId="0" fontId="43" fillId="12" borderId="1" xfId="30" applyFont="1" applyFill="1" applyBorder="1" applyAlignment="1">
      <alignment horizontal="left" vertical="center" wrapText="1"/>
    </xf>
    <xf numFmtId="0" fontId="33" fillId="12" borderId="4" xfId="30" applyFont="1" applyFill="1" applyBorder="1" applyAlignment="1">
      <alignment horizontal="left" vertical="center" wrapText="1"/>
    </xf>
    <xf numFmtId="0" fontId="42" fillId="12" borderId="4" xfId="0" applyFont="1" applyFill="1" applyBorder="1" applyAlignment="1">
      <alignment horizontal="left" vertical="center"/>
    </xf>
    <xf numFmtId="0" fontId="120" fillId="12" borderId="4" xfId="0" applyFont="1" applyFill="1" applyBorder="1" applyAlignment="1">
      <alignment horizontal="left" vertical="center" wrapText="1"/>
    </xf>
    <xf numFmtId="41" fontId="126" fillId="21" borderId="0" xfId="1" applyFont="1" applyFill="1" applyBorder="1" applyAlignment="1">
      <alignment vertical="center" wrapText="1"/>
    </xf>
    <xf numFmtId="0" fontId="7" fillId="30" borderId="0" xfId="0" applyFont="1" applyFill="1" applyAlignment="1">
      <alignment vertical="center"/>
    </xf>
    <xf numFmtId="0" fontId="7" fillId="30" borderId="88" xfId="0" applyFont="1" applyFill="1" applyBorder="1" applyAlignment="1">
      <alignment vertical="center"/>
    </xf>
    <xf numFmtId="0" fontId="7" fillId="30" borderId="0" xfId="0" applyFont="1" applyFill="1" applyBorder="1" applyAlignment="1">
      <alignment vertical="center"/>
    </xf>
    <xf numFmtId="0" fontId="0" fillId="30" borderId="0" xfId="0" applyFill="1" applyBorder="1" applyAlignment="1">
      <alignment vertical="center"/>
    </xf>
    <xf numFmtId="0" fontId="14" fillId="9" borderId="4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 wrapText="1"/>
    </xf>
    <xf numFmtId="9" fontId="0" fillId="12" borderId="0" xfId="4" applyFont="1" applyFill="1" applyAlignment="1">
      <alignment vertical="center"/>
    </xf>
    <xf numFmtId="0" fontId="0" fillId="12" borderId="4" xfId="0" applyFill="1" applyBorder="1" applyAlignment="1">
      <alignment vertical="center"/>
    </xf>
    <xf numFmtId="41" fontId="0" fillId="12" borderId="4" xfId="0" applyNumberFormat="1" applyFill="1" applyBorder="1" applyAlignment="1">
      <alignment vertical="center"/>
    </xf>
    <xf numFmtId="41" fontId="0" fillId="12" borderId="4" xfId="1" applyFont="1" applyFill="1" applyBorder="1" applyAlignment="1">
      <alignment vertical="center"/>
    </xf>
    <xf numFmtId="0" fontId="7" fillId="30" borderId="116" xfId="0" applyFont="1" applyFill="1" applyBorder="1" applyAlignment="1">
      <alignment vertical="center"/>
    </xf>
    <xf numFmtId="165" fontId="0" fillId="12" borderId="4" xfId="0" applyNumberFormat="1" applyFill="1" applyBorder="1" applyAlignment="1">
      <alignment vertical="center"/>
    </xf>
    <xf numFmtId="164" fontId="67" fillId="20" borderId="91" xfId="1" applyNumberFormat="1" applyFont="1" applyFill="1" applyBorder="1" applyAlignment="1">
      <alignment vertical="center"/>
    </xf>
    <xf numFmtId="164" fontId="67" fillId="20" borderId="53" xfId="1" applyNumberFormat="1" applyFont="1" applyFill="1" applyBorder="1" applyAlignment="1">
      <alignment vertical="center"/>
    </xf>
    <xf numFmtId="164" fontId="123" fillId="20" borderId="95" xfId="1" applyNumberFormat="1" applyFont="1" applyFill="1" applyBorder="1" applyAlignment="1">
      <alignment vertical="center"/>
    </xf>
    <xf numFmtId="0" fontId="53" fillId="23" borderId="7" xfId="0" applyFont="1" applyFill="1" applyBorder="1" applyAlignment="1">
      <alignment horizontal="left" vertical="center"/>
    </xf>
    <xf numFmtId="0" fontId="127" fillId="23" borderId="7" xfId="0" applyFont="1" applyFill="1" applyBorder="1" applyAlignment="1">
      <alignment horizontal="left" vertical="center"/>
    </xf>
    <xf numFmtId="41" fontId="131" fillId="12" borderId="0" xfId="1" applyFont="1" applyFill="1" applyAlignment="1">
      <alignment vertical="center"/>
    </xf>
    <xf numFmtId="171" fontId="0" fillId="12" borderId="0" xfId="4" applyNumberFormat="1" applyFont="1" applyFill="1" applyAlignment="1">
      <alignment vertical="center"/>
    </xf>
    <xf numFmtId="0" fontId="53" fillId="23" borderId="4" xfId="0" applyFont="1" applyFill="1" applyBorder="1" applyAlignment="1">
      <alignment vertical="center"/>
    </xf>
    <xf numFmtId="41" fontId="131" fillId="28" borderId="0" xfId="1" applyFont="1" applyFill="1" applyAlignment="1">
      <alignment vertical="center"/>
    </xf>
    <xf numFmtId="0" fontId="127" fillId="23" borderId="4" xfId="30" applyNumberFormat="1" applyFont="1" applyFill="1" applyBorder="1" applyAlignment="1">
      <alignment horizontal="left" vertical="center"/>
    </xf>
    <xf numFmtId="0" fontId="0" fillId="12" borderId="8" xfId="0" applyFill="1" applyBorder="1" applyAlignment="1">
      <alignment vertical="center"/>
    </xf>
    <xf numFmtId="0" fontId="0" fillId="12" borderId="13" xfId="0" applyFill="1" applyBorder="1" applyAlignment="1">
      <alignment vertical="center"/>
    </xf>
    <xf numFmtId="0" fontId="0" fillId="12" borderId="9" xfId="0" applyFill="1" applyBorder="1" applyAlignment="1">
      <alignment vertical="center"/>
    </xf>
    <xf numFmtId="0" fontId="0" fillId="12" borderId="10" xfId="0" applyFill="1" applyBorder="1" applyAlignment="1">
      <alignment vertical="center"/>
    </xf>
    <xf numFmtId="0" fontId="43" fillId="12" borderId="58" xfId="30" applyFont="1" applyFill="1" applyBorder="1" applyAlignment="1">
      <alignment vertical="center"/>
    </xf>
    <xf numFmtId="0" fontId="132" fillId="12" borderId="4" xfId="30" applyFont="1" applyFill="1" applyBorder="1" applyAlignment="1">
      <alignment horizontal="left" vertical="center" wrapText="1"/>
    </xf>
    <xf numFmtId="0" fontId="33" fillId="12" borderId="4" xfId="0" applyFont="1" applyFill="1" applyBorder="1" applyAlignment="1">
      <alignment horizontal="left" vertical="center"/>
    </xf>
    <xf numFmtId="164" fontId="43" fillId="12" borderId="4" xfId="0" applyNumberFormat="1" applyFont="1" applyFill="1" applyBorder="1" applyAlignment="1">
      <alignment horizontal="left" vertical="center" wrapText="1"/>
    </xf>
    <xf numFmtId="41" fontId="43" fillId="12" borderId="88" xfId="1" applyFont="1" applyFill="1" applyBorder="1" applyAlignment="1">
      <alignment vertical="center"/>
    </xf>
    <xf numFmtId="0" fontId="43" fillId="12" borderId="23" xfId="30" applyFont="1" applyFill="1" applyBorder="1" applyAlignment="1">
      <alignment vertical="center"/>
    </xf>
    <xf numFmtId="165" fontId="43" fillId="12" borderId="88" xfId="30" applyNumberFormat="1" applyFont="1" applyFill="1" applyBorder="1" applyAlignment="1">
      <alignment vertical="center"/>
    </xf>
    <xf numFmtId="41" fontId="43" fillId="12" borderId="0" xfId="1" applyFont="1" applyFill="1" applyBorder="1" applyAlignment="1">
      <alignment vertical="center"/>
    </xf>
    <xf numFmtId="41" fontId="43" fillId="12" borderId="89" xfId="30" applyNumberFormat="1" applyFont="1" applyFill="1" applyBorder="1" applyAlignment="1">
      <alignment vertical="center"/>
    </xf>
    <xf numFmtId="0" fontId="53" fillId="23" borderId="4" xfId="0" quotePrefix="1" applyFont="1" applyFill="1" applyBorder="1" applyAlignment="1">
      <alignment horizontal="right" vertical="center"/>
    </xf>
    <xf numFmtId="41" fontId="53" fillId="23" borderId="4" xfId="0" applyNumberFormat="1" applyFont="1" applyFill="1" applyBorder="1" applyAlignment="1">
      <alignment vertical="center"/>
    </xf>
    <xf numFmtId="41" fontId="43" fillId="12" borderId="88" xfId="30" applyNumberFormat="1" applyFont="1" applyFill="1" applyBorder="1" applyAlignment="1">
      <alignment vertical="center"/>
    </xf>
    <xf numFmtId="164" fontId="67" fillId="20" borderId="30" xfId="1" applyNumberFormat="1" applyFont="1" applyFill="1" applyBorder="1" applyAlignment="1">
      <alignment vertical="center"/>
    </xf>
    <xf numFmtId="164" fontId="67" fillId="20" borderId="45" xfId="1" applyNumberFormat="1" applyFont="1" applyFill="1" applyBorder="1" applyAlignment="1">
      <alignment vertical="center"/>
    </xf>
    <xf numFmtId="9" fontId="43" fillId="12" borderId="0" xfId="30" applyNumberFormat="1" applyFont="1" applyFill="1" applyAlignment="1">
      <alignment vertical="center"/>
    </xf>
    <xf numFmtId="0" fontId="53" fillId="23" borderId="4" xfId="0" applyFont="1" applyFill="1" applyBorder="1" applyAlignment="1">
      <alignment horizontal="center" vertical="center"/>
    </xf>
    <xf numFmtId="41" fontId="43" fillId="12" borderId="119" xfId="1" applyFont="1" applyFill="1" applyBorder="1" applyAlignment="1">
      <alignment vertical="center"/>
    </xf>
    <xf numFmtId="0" fontId="43" fillId="12" borderId="120" xfId="30" applyFont="1" applyFill="1" applyBorder="1" applyAlignment="1">
      <alignment vertical="center"/>
    </xf>
    <xf numFmtId="41" fontId="43" fillId="12" borderId="119" xfId="30" applyNumberFormat="1" applyFont="1" applyFill="1" applyBorder="1" applyAlignment="1">
      <alignment vertical="center"/>
    </xf>
    <xf numFmtId="41" fontId="43" fillId="12" borderId="37" xfId="1" applyFont="1" applyFill="1" applyBorder="1" applyAlignment="1">
      <alignment vertical="center"/>
    </xf>
    <xf numFmtId="41" fontId="43" fillId="12" borderId="121" xfId="30" applyNumberFormat="1" applyFont="1" applyFill="1" applyBorder="1" applyAlignment="1">
      <alignment vertical="center"/>
    </xf>
    <xf numFmtId="171" fontId="128" fillId="34" borderId="57" xfId="4" applyNumberFormat="1" applyFont="1" applyFill="1" applyBorder="1" applyAlignment="1">
      <alignment horizontal="center" vertical="center"/>
    </xf>
    <xf numFmtId="0" fontId="43" fillId="12" borderId="88" xfId="30" applyFont="1" applyFill="1" applyBorder="1" applyAlignment="1">
      <alignment vertical="center"/>
    </xf>
    <xf numFmtId="41" fontId="53" fillId="23" borderId="4" xfId="1" applyFont="1" applyFill="1" applyBorder="1" applyAlignment="1">
      <alignment vertical="center"/>
    </xf>
    <xf numFmtId="0" fontId="43" fillId="12" borderId="93" xfId="30" applyFont="1" applyFill="1" applyBorder="1" applyAlignment="1">
      <alignment vertical="center"/>
    </xf>
    <xf numFmtId="0" fontId="43" fillId="12" borderId="11" xfId="30" applyFont="1" applyFill="1" applyBorder="1" applyAlignment="1">
      <alignment vertical="center"/>
    </xf>
    <xf numFmtId="0" fontId="43" fillId="12" borderId="72" xfId="30" applyFont="1" applyFill="1" applyBorder="1" applyAlignment="1">
      <alignment vertical="center"/>
    </xf>
    <xf numFmtId="0" fontId="43" fillId="12" borderId="90" xfId="30" applyFont="1" applyFill="1" applyBorder="1" applyAlignment="1">
      <alignment vertical="center"/>
    </xf>
    <xf numFmtId="174" fontId="43" fillId="12" borderId="0" xfId="30" applyNumberFormat="1" applyFont="1" applyFill="1" applyAlignment="1">
      <alignment vertical="center"/>
    </xf>
    <xf numFmtId="171" fontId="128" fillId="34" borderId="0" xfId="4" applyNumberFormat="1" applyFont="1" applyFill="1" applyBorder="1" applyAlignment="1">
      <alignment vertical="center"/>
    </xf>
    <xf numFmtId="0" fontId="43" fillId="12" borderId="0" xfId="30" applyFont="1" applyFill="1" applyBorder="1" applyAlignment="1">
      <alignment horizontal="center" vertical="center"/>
    </xf>
    <xf numFmtId="0" fontId="134" fillId="12" borderId="4" xfId="0" applyFont="1" applyFill="1" applyBorder="1" applyAlignment="1">
      <alignment horizontal="left" vertical="center" wrapText="1"/>
    </xf>
    <xf numFmtId="41" fontId="135" fillId="12" borderId="4" xfId="0" applyNumberFormat="1" applyFont="1" applyFill="1" applyBorder="1" applyAlignment="1">
      <alignment horizontal="left" vertical="center" wrapText="1"/>
    </xf>
    <xf numFmtId="0" fontId="7" fillId="34" borderId="7" xfId="0" applyFont="1" applyFill="1" applyBorder="1" applyAlignment="1">
      <alignment horizontal="center" vertical="center"/>
    </xf>
    <xf numFmtId="0" fontId="7" fillId="34" borderId="7" xfId="30" applyFont="1" applyFill="1" applyBorder="1" applyAlignment="1">
      <alignment vertical="center"/>
    </xf>
    <xf numFmtId="41" fontId="7" fillId="34" borderId="7" xfId="1" applyFont="1" applyFill="1" applyBorder="1" applyAlignment="1">
      <alignment vertical="center"/>
    </xf>
    <xf numFmtId="0" fontId="14" fillId="34" borderId="7" xfId="30" applyFont="1" applyFill="1" applyBorder="1" applyAlignment="1">
      <alignment vertical="center"/>
    </xf>
    <xf numFmtId="0" fontId="43" fillId="12" borderId="3" xfId="30" applyFont="1" applyFill="1" applyBorder="1" applyAlignment="1">
      <alignment vertical="center"/>
    </xf>
    <xf numFmtId="0" fontId="43" fillId="12" borderId="4" xfId="30" applyFont="1" applyFill="1" applyBorder="1" applyAlignment="1">
      <alignment vertical="center"/>
    </xf>
    <xf numFmtId="41" fontId="43" fillId="12" borderId="0" xfId="30" applyNumberFormat="1" applyFont="1" applyFill="1" applyAlignment="1">
      <alignment vertical="center"/>
    </xf>
    <xf numFmtId="0" fontId="33" fillId="12" borderId="4" xfId="30" applyFont="1" applyFill="1" applyBorder="1" applyAlignment="1">
      <alignment horizontal="left" vertical="center"/>
    </xf>
    <xf numFmtId="164" fontId="120" fillId="12" borderId="4" xfId="0" applyNumberFormat="1" applyFont="1" applyFill="1" applyBorder="1" applyAlignment="1">
      <alignment horizontal="left" vertical="center" wrapText="1"/>
    </xf>
    <xf numFmtId="0" fontId="7" fillId="34" borderId="4" xfId="0" applyFont="1" applyFill="1" applyBorder="1" applyAlignment="1">
      <alignment horizontal="left" vertical="center"/>
    </xf>
    <xf numFmtId="0" fontId="7" fillId="34" borderId="4" xfId="30" applyFont="1" applyFill="1" applyBorder="1" applyAlignment="1">
      <alignment vertical="center"/>
    </xf>
    <xf numFmtId="0" fontId="7" fillId="34" borderId="14" xfId="30" applyFont="1" applyFill="1" applyBorder="1" applyAlignment="1">
      <alignment horizontal="center" vertical="center"/>
    </xf>
    <xf numFmtId="0" fontId="142" fillId="34" borderId="15" xfId="30" applyFont="1" applyFill="1" applyBorder="1" applyAlignment="1">
      <alignment horizontal="center" vertical="center"/>
    </xf>
    <xf numFmtId="0" fontId="7" fillId="34" borderId="15" xfId="30" applyFont="1" applyFill="1" applyBorder="1" applyAlignment="1">
      <alignment horizontal="center" vertical="center"/>
    </xf>
    <xf numFmtId="0" fontId="14" fillId="34" borderId="95" xfId="30" applyFont="1" applyFill="1" applyBorder="1" applyAlignment="1">
      <alignment horizontal="center" vertical="center"/>
    </xf>
    <xf numFmtId="0" fontId="7" fillId="34" borderId="7" xfId="30" applyFont="1" applyFill="1" applyBorder="1" applyAlignment="1">
      <alignment horizontal="left" vertical="center"/>
    </xf>
    <xf numFmtId="164" fontId="7" fillId="34" borderId="7" xfId="30" applyNumberFormat="1" applyFont="1" applyFill="1" applyBorder="1" applyAlignment="1">
      <alignment vertical="center"/>
    </xf>
    <xf numFmtId="9" fontId="128" fillId="34" borderId="58" xfId="4" applyFont="1" applyFill="1" applyBorder="1" applyAlignment="1">
      <alignment vertical="center"/>
    </xf>
    <xf numFmtId="0" fontId="121" fillId="19" borderId="110" xfId="0" applyFont="1" applyFill="1" applyBorder="1" applyAlignment="1">
      <alignment horizontal="center" vertical="center"/>
    </xf>
    <xf numFmtId="0" fontId="122" fillId="19" borderId="111" xfId="0" applyFont="1" applyFill="1" applyBorder="1" applyAlignment="1">
      <alignment horizontal="center" vertical="center"/>
    </xf>
    <xf numFmtId="0" fontId="122" fillId="19" borderId="112" xfId="0" applyFont="1" applyFill="1" applyBorder="1" applyAlignment="1">
      <alignment horizontal="center" vertical="center"/>
    </xf>
    <xf numFmtId="0" fontId="43" fillId="12" borderId="4" xfId="30" applyFont="1" applyFill="1" applyBorder="1" applyAlignment="1">
      <alignment vertical="center" wrapText="1"/>
    </xf>
    <xf numFmtId="0" fontId="43" fillId="12" borderId="4" xfId="0" applyFont="1" applyFill="1" applyBorder="1" applyAlignment="1">
      <alignment horizontal="left" vertical="center" wrapText="1"/>
    </xf>
    <xf numFmtId="164" fontId="134" fillId="12" borderId="4" xfId="1" applyNumberFormat="1" applyFont="1" applyFill="1" applyBorder="1" applyAlignment="1">
      <alignment horizontal="left" vertical="center" wrapText="1"/>
    </xf>
    <xf numFmtId="0" fontId="14" fillId="34" borderId="4" xfId="30" applyFont="1" applyFill="1" applyBorder="1" applyAlignment="1">
      <alignment vertical="center"/>
    </xf>
    <xf numFmtId="164" fontId="135" fillId="12" borderId="4" xfId="0" applyNumberFormat="1" applyFont="1" applyFill="1" applyBorder="1" applyAlignment="1">
      <alignment horizontal="left" vertical="center" wrapText="1"/>
    </xf>
    <xf numFmtId="0" fontId="7" fillId="34" borderId="7" xfId="0" applyFont="1" applyFill="1" applyBorder="1" applyAlignment="1">
      <alignment vertical="center"/>
    </xf>
    <xf numFmtId="164" fontId="7" fillId="34" borderId="7" xfId="0" applyNumberFormat="1" applyFont="1" applyFill="1" applyBorder="1" applyAlignment="1">
      <alignment vertical="center"/>
    </xf>
    <xf numFmtId="0" fontId="14" fillId="34" borderId="7" xfId="0" applyFont="1" applyFill="1" applyBorder="1" applyAlignment="1">
      <alignment vertical="center"/>
    </xf>
    <xf numFmtId="0" fontId="7" fillId="34" borderId="4" xfId="30" applyFont="1" applyFill="1" applyBorder="1" applyAlignment="1">
      <alignment horizontal="left" vertical="center"/>
    </xf>
    <xf numFmtId="0" fontId="14" fillId="34" borderId="4" xfId="0" applyFont="1" applyFill="1" applyBorder="1" applyAlignment="1">
      <alignment vertical="center"/>
    </xf>
    <xf numFmtId="164" fontId="7" fillId="34" borderId="7" xfId="1" applyNumberFormat="1" applyFont="1" applyFill="1" applyBorder="1" applyAlignment="1">
      <alignment vertical="center"/>
    </xf>
    <xf numFmtId="0" fontId="43" fillId="12" borderId="1" xfId="30" applyFont="1" applyFill="1" applyBorder="1" applyAlignment="1">
      <alignment horizontal="center" vertical="center" wrapText="1"/>
    </xf>
    <xf numFmtId="0" fontId="43" fillId="12" borderId="4" xfId="30" applyFont="1" applyFill="1" applyBorder="1" applyAlignment="1">
      <alignment horizontal="right" vertical="center"/>
    </xf>
    <xf numFmtId="164" fontId="42" fillId="12" borderId="4" xfId="0" applyNumberFormat="1" applyFont="1" applyFill="1" applyBorder="1" applyAlignment="1">
      <alignment horizontal="left" vertical="center"/>
    </xf>
    <xf numFmtId="0" fontId="7" fillId="34" borderId="4" xfId="0" quotePrefix="1" applyFont="1" applyFill="1" applyBorder="1" applyAlignment="1">
      <alignment horizontal="right" vertical="center"/>
    </xf>
    <xf numFmtId="164" fontId="7" fillId="34" borderId="4" xfId="30" applyNumberFormat="1" applyFont="1" applyFill="1" applyBorder="1" applyAlignment="1">
      <alignment vertical="center"/>
    </xf>
    <xf numFmtId="0" fontId="7" fillId="34" borderId="1" xfId="0" quotePrefix="1" applyFont="1" applyFill="1" applyBorder="1" applyAlignment="1">
      <alignment horizontal="right" vertical="center"/>
    </xf>
    <xf numFmtId="0" fontId="7" fillId="34" borderId="1" xfId="30" applyFont="1" applyFill="1" applyBorder="1" applyAlignment="1">
      <alignment vertical="center"/>
    </xf>
    <xf numFmtId="0" fontId="14" fillId="34" borderId="1" xfId="30" applyFont="1" applyFill="1" applyBorder="1" applyAlignment="1">
      <alignment vertical="center"/>
    </xf>
    <xf numFmtId="164" fontId="14" fillId="34" borderId="7" xfId="30" applyNumberFormat="1" applyFont="1" applyFill="1" applyBorder="1" applyAlignment="1">
      <alignment vertical="center"/>
    </xf>
    <xf numFmtId="9" fontId="67" fillId="20" borderId="88" xfId="0" applyNumberFormat="1" applyFont="1" applyFill="1" applyBorder="1" applyAlignment="1">
      <alignment vertical="center"/>
    </xf>
    <xf numFmtId="41" fontId="67" fillId="20" borderId="58" xfId="1" applyFont="1" applyFill="1" applyBorder="1" applyAlignment="1">
      <alignment horizontal="center" vertical="center"/>
    </xf>
    <xf numFmtId="41" fontId="67" fillId="20" borderId="3" xfId="1" applyFont="1" applyFill="1" applyBorder="1" applyAlignment="1">
      <alignment vertical="center"/>
    </xf>
    <xf numFmtId="41" fontId="67" fillId="20" borderId="57" xfId="1" applyFont="1" applyFill="1" applyBorder="1" applyAlignment="1">
      <alignment vertical="center"/>
    </xf>
    <xf numFmtId="41" fontId="67" fillId="20" borderId="89" xfId="1" applyFont="1" applyFill="1" applyBorder="1" applyAlignment="1">
      <alignment vertical="center"/>
    </xf>
    <xf numFmtId="0" fontId="131" fillId="28" borderId="0" xfId="0" applyNumberFormat="1" applyFont="1" applyFill="1" applyAlignment="1">
      <alignment vertical="center"/>
    </xf>
    <xf numFmtId="0" fontId="7" fillId="12" borderId="4" xfId="0" applyFont="1" applyFill="1" applyBorder="1" applyAlignment="1">
      <alignment vertical="center"/>
    </xf>
    <xf numFmtId="164" fontId="7" fillId="12" borderId="4" xfId="0" applyNumberFormat="1" applyFont="1" applyFill="1" applyBorder="1" applyAlignment="1">
      <alignment vertical="center"/>
    </xf>
    <xf numFmtId="0" fontId="50" fillId="12" borderId="4" xfId="0" applyFont="1" applyFill="1" applyBorder="1" applyAlignment="1">
      <alignment vertical="center"/>
    </xf>
    <xf numFmtId="164" fontId="50" fillId="12" borderId="4" xfId="0" applyNumberFormat="1" applyFont="1" applyFill="1" applyBorder="1" applyAlignment="1">
      <alignment vertical="center"/>
    </xf>
    <xf numFmtId="0" fontId="44" fillId="12" borderId="4" xfId="0" applyFont="1" applyFill="1" applyBorder="1" applyAlignment="1">
      <alignment vertical="center"/>
    </xf>
    <xf numFmtId="0" fontId="143" fillId="12" borderId="4" xfId="0" applyFont="1" applyFill="1" applyBorder="1" applyAlignment="1">
      <alignment vertical="center"/>
    </xf>
    <xf numFmtId="41" fontId="43" fillId="12" borderId="4" xfId="1" applyFont="1" applyFill="1" applyBorder="1" applyAlignment="1">
      <alignment horizontal="left" vertical="center" wrapText="1"/>
    </xf>
    <xf numFmtId="0" fontId="50" fillId="12" borderId="0" xfId="30" applyFont="1" applyFill="1" applyAlignment="1">
      <alignment vertical="center"/>
    </xf>
    <xf numFmtId="41" fontId="50" fillId="12" borderId="0" xfId="1" applyFont="1" applyFill="1" applyAlignment="1">
      <alignment vertical="center"/>
    </xf>
    <xf numFmtId="41" fontId="7" fillId="12" borderId="0" xfId="0" applyNumberFormat="1" applyFont="1" applyFill="1" applyAlignment="1">
      <alignment vertical="center"/>
    </xf>
    <xf numFmtId="41" fontId="43" fillId="12" borderId="4" xfId="1" applyFont="1" applyFill="1" applyBorder="1" applyAlignment="1">
      <alignment horizontal="right" vertical="center"/>
    </xf>
    <xf numFmtId="0" fontId="43" fillId="12" borderId="3" xfId="30" applyFont="1" applyFill="1" applyBorder="1" applyAlignment="1">
      <alignment horizontal="left" vertical="center" wrapText="1"/>
    </xf>
    <xf numFmtId="0" fontId="43" fillId="12" borderId="7" xfId="30" applyFont="1" applyFill="1" applyBorder="1" applyAlignment="1">
      <alignment horizontal="left" vertical="center" wrapText="1"/>
    </xf>
    <xf numFmtId="41" fontId="50" fillId="12" borderId="0" xfId="30" applyNumberFormat="1" applyFont="1" applyFill="1" applyAlignment="1">
      <alignment vertical="center"/>
    </xf>
    <xf numFmtId="0" fontId="43" fillId="12" borderId="4" xfId="30" applyFont="1" applyFill="1" applyBorder="1" applyAlignment="1">
      <alignment horizontal="left" vertical="center" wrapText="1"/>
    </xf>
    <xf numFmtId="41" fontId="120" fillId="12" borderId="4" xfId="0" applyNumberFormat="1" applyFont="1" applyFill="1" applyBorder="1" applyAlignment="1">
      <alignment horizontal="left" vertical="center" wrapText="1"/>
    </xf>
    <xf numFmtId="0" fontId="131" fillId="28" borderId="0" xfId="1" applyNumberFormat="1" applyFont="1" applyFill="1" applyAlignment="1">
      <alignment vertical="center"/>
    </xf>
    <xf numFmtId="41" fontId="134" fillId="12" borderId="4" xfId="0" applyNumberFormat="1" applyFont="1" applyFill="1" applyBorder="1" applyAlignment="1">
      <alignment horizontal="left" vertical="center" wrapText="1"/>
    </xf>
    <xf numFmtId="41" fontId="42" fillId="12" borderId="4" xfId="1" applyFont="1" applyFill="1" applyBorder="1" applyAlignment="1">
      <alignment horizontal="left" vertical="center"/>
    </xf>
    <xf numFmtId="174" fontId="50" fillId="12" borderId="0" xfId="30" applyNumberFormat="1" applyFont="1" applyFill="1" applyAlignment="1">
      <alignment vertical="center"/>
    </xf>
    <xf numFmtId="37" fontId="43" fillId="12" borderId="4" xfId="0" applyNumberFormat="1" applyFont="1" applyFill="1" applyBorder="1" applyAlignment="1">
      <alignment horizontal="left" vertical="center" wrapText="1"/>
    </xf>
    <xf numFmtId="41" fontId="134" fillId="12" borderId="4" xfId="1" applyFont="1" applyFill="1" applyBorder="1" applyAlignment="1">
      <alignment horizontal="left" vertical="center" wrapText="1"/>
    </xf>
    <xf numFmtId="41" fontId="43" fillId="12" borderId="4" xfId="30" applyNumberFormat="1" applyFont="1" applyFill="1" applyBorder="1" applyAlignment="1">
      <alignment horizontal="right" vertical="center"/>
    </xf>
    <xf numFmtId="164" fontId="133" fillId="12" borderId="0" xfId="30" applyNumberFormat="1" applyFont="1" applyFill="1" applyBorder="1" applyAlignment="1">
      <alignment vertical="center"/>
    </xf>
    <xf numFmtId="0" fontId="14" fillId="25" borderId="14" xfId="0" applyFont="1" applyFill="1" applyBorder="1" applyAlignment="1">
      <alignment vertical="center"/>
    </xf>
    <xf numFmtId="0" fontId="0" fillId="25" borderId="15" xfId="0" applyFill="1" applyBorder="1" applyAlignment="1">
      <alignment horizontal="center" vertical="center"/>
    </xf>
    <xf numFmtId="41" fontId="120" fillId="25" borderId="15" xfId="1" applyFont="1" applyFill="1" applyBorder="1" applyAlignment="1">
      <alignment vertical="center" wrapText="1"/>
    </xf>
    <xf numFmtId="0" fontId="132" fillId="29" borderId="4" xfId="30" applyFont="1" applyFill="1" applyBorder="1" applyAlignment="1">
      <alignment horizontal="left" vertical="center" wrapText="1"/>
    </xf>
    <xf numFmtId="0" fontId="33" fillId="29" borderId="4" xfId="0" applyFont="1" applyFill="1" applyBorder="1" applyAlignment="1">
      <alignment horizontal="left" vertical="center"/>
    </xf>
    <xf numFmtId="164" fontId="43" fillId="29" borderId="4" xfId="0" applyNumberFormat="1" applyFont="1" applyFill="1" applyBorder="1" applyAlignment="1">
      <alignment horizontal="left" vertical="center" wrapText="1"/>
    </xf>
    <xf numFmtId="164" fontId="43" fillId="12" borderId="4" xfId="30" applyNumberFormat="1" applyFont="1" applyFill="1" applyBorder="1" applyAlignment="1">
      <alignment horizontal="left" vertical="center"/>
    </xf>
    <xf numFmtId="41" fontId="33" fillId="12" borderId="4" xfId="30" applyNumberFormat="1" applyFont="1" applyFill="1" applyBorder="1" applyAlignment="1">
      <alignment horizontal="left" vertical="center"/>
    </xf>
    <xf numFmtId="165" fontId="50" fillId="0" borderId="0" xfId="3" applyNumberFormat="1" applyFont="1" applyBorder="1" applyAlignment="1">
      <alignment horizontal="right" vertical="center"/>
    </xf>
    <xf numFmtId="0" fontId="33" fillId="2" borderId="4" xfId="0" applyFont="1" applyFill="1" applyBorder="1" applyAlignment="1">
      <alignment horizontal="left" vertical="center"/>
    </xf>
    <xf numFmtId="9" fontId="18" fillId="0" borderId="0" xfId="4" applyFont="1"/>
    <xf numFmtId="41" fontId="67" fillId="0" borderId="0" xfId="0" applyNumberFormat="1" applyFont="1" applyFill="1" applyBorder="1" applyAlignment="1">
      <alignment horizontal="center"/>
    </xf>
    <xf numFmtId="164" fontId="19" fillId="0" borderId="12" xfId="0" applyNumberFormat="1" applyFont="1" applyFill="1" applyBorder="1" applyAlignment="1">
      <alignment horizontal="center" vertical="center"/>
    </xf>
    <xf numFmtId="170" fontId="18" fillId="2" borderId="4" xfId="0" applyNumberFormat="1" applyFont="1" applyFill="1" applyBorder="1" applyAlignment="1">
      <alignment horizontal="left"/>
    </xf>
    <xf numFmtId="0" fontId="19" fillId="7" borderId="4" xfId="0" applyFont="1" applyFill="1" applyBorder="1"/>
    <xf numFmtId="41" fontId="19" fillId="7" borderId="4" xfId="0" applyNumberFormat="1" applyFont="1" applyFill="1" applyBorder="1"/>
    <xf numFmtId="9" fontId="18" fillId="7" borderId="4" xfId="4" applyFont="1" applyFill="1" applyBorder="1"/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4" fontId="66" fillId="0" borderId="0" xfId="0" applyNumberFormat="1" applyFont="1"/>
    <xf numFmtId="168" fontId="0" fillId="0" borderId="0" xfId="0" applyNumberFormat="1" applyFont="1"/>
    <xf numFmtId="0" fontId="14" fillId="0" borderId="0" xfId="0" applyFont="1"/>
    <xf numFmtId="165" fontId="44" fillId="0" borderId="12" xfId="3" applyNumberFormat="1" applyFont="1" applyBorder="1" applyAlignment="1">
      <alignment vertical="center"/>
    </xf>
    <xf numFmtId="41" fontId="15" fillId="0" borderId="0" xfId="0" applyNumberFormat="1" applyFont="1"/>
    <xf numFmtId="0" fontId="6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49" fontId="50" fillId="0" borderId="58" xfId="0" applyNumberFormat="1" applyFont="1" applyBorder="1" applyAlignment="1">
      <alignment horizontal="center"/>
    </xf>
    <xf numFmtId="0" fontId="50" fillId="0" borderId="57" xfId="0" applyFont="1" applyBorder="1"/>
    <xf numFmtId="0" fontId="50" fillId="0" borderId="58" xfId="0" applyFont="1" applyBorder="1"/>
    <xf numFmtId="41" fontId="50" fillId="0" borderId="3" xfId="14" applyNumberFormat="1" applyFont="1" applyBorder="1" applyAlignment="1">
      <alignment horizontal="center"/>
    </xf>
    <xf numFmtId="41" fontId="50" fillId="0" borderId="39" xfId="6" applyNumberFormat="1" applyFont="1" applyBorder="1" applyAlignment="1">
      <alignment vertical="center"/>
    </xf>
    <xf numFmtId="165" fontId="0" fillId="0" borderId="0" xfId="3" applyNumberFormat="1" applyFont="1"/>
    <xf numFmtId="165" fontId="0" fillId="0" borderId="4" xfId="3" applyNumberFormat="1" applyFont="1" applyBorder="1"/>
    <xf numFmtId="165" fontId="14" fillId="0" borderId="4" xfId="3" applyNumberFormat="1" applyFont="1" applyBorder="1" applyAlignment="1">
      <alignment horizontal="center"/>
    </xf>
    <xf numFmtId="165" fontId="0" fillId="2" borderId="4" xfId="3" applyNumberFormat="1" applyFont="1" applyFill="1" applyBorder="1"/>
    <xf numFmtId="0" fontId="144" fillId="0" borderId="4" xfId="0" applyFont="1" applyBorder="1"/>
    <xf numFmtId="41" fontId="19" fillId="0" borderId="0" xfId="0" applyNumberFormat="1" applyFont="1" applyBorder="1"/>
    <xf numFmtId="41" fontId="54" fillId="0" borderId="0" xfId="0" applyNumberFormat="1" applyFont="1" applyFill="1" applyBorder="1" applyAlignment="1">
      <alignment horizontal="center"/>
    </xf>
    <xf numFmtId="0" fontId="88" fillId="0" borderId="20" xfId="20" quotePrefix="1" applyFont="1" applyBorder="1" applyAlignment="1">
      <alignment horizontal="left"/>
    </xf>
    <xf numFmtId="0" fontId="88" fillId="0" borderId="57" xfId="20" quotePrefix="1" applyFont="1" applyBorder="1" applyAlignment="1">
      <alignment horizontal="left"/>
    </xf>
    <xf numFmtId="165" fontId="50" fillId="0" borderId="4" xfId="3" applyNumberFormat="1" applyFont="1" applyFill="1" applyBorder="1" applyAlignment="1">
      <alignment vertical="center"/>
    </xf>
    <xf numFmtId="0" fontId="90" fillId="0" borderId="2" xfId="2" applyFont="1" applyFill="1" applyBorder="1" applyAlignment="1">
      <alignment horizontal="center"/>
    </xf>
    <xf numFmtId="165" fontId="90" fillId="0" borderId="2" xfId="21" applyNumberFormat="1" applyFont="1" applyFill="1" applyBorder="1" applyAlignment="1">
      <alignment horizontal="center"/>
    </xf>
    <xf numFmtId="0" fontId="92" fillId="0" borderId="4" xfId="20" applyFont="1" applyFill="1" applyBorder="1" applyAlignment="1"/>
    <xf numFmtId="0" fontId="92" fillId="0" borderId="47" xfId="20" applyFont="1" applyFill="1" applyBorder="1" applyAlignment="1">
      <alignment horizontal="center"/>
    </xf>
    <xf numFmtId="165" fontId="92" fillId="0" borderId="4" xfId="21" applyNumberFormat="1" applyFont="1" applyFill="1" applyBorder="1" applyAlignment="1">
      <alignment horizontal="center"/>
    </xf>
    <xf numFmtId="165" fontId="92" fillId="0" borderId="4" xfId="20" applyNumberFormat="1" applyFont="1" applyFill="1" applyBorder="1"/>
    <xf numFmtId="49" fontId="90" fillId="0" borderId="2" xfId="2" applyNumberFormat="1" applyFont="1" applyFill="1" applyBorder="1" applyAlignment="1">
      <alignment horizontal="center"/>
    </xf>
    <xf numFmtId="0" fontId="90" fillId="0" borderId="5" xfId="2" applyFont="1" applyFill="1" applyBorder="1" applyAlignment="1">
      <alignment horizontal="center"/>
    </xf>
    <xf numFmtId="165" fontId="90" fillId="0" borderId="5" xfId="21" applyNumberFormat="1" applyFont="1" applyFill="1" applyBorder="1" applyAlignment="1">
      <alignment horizontal="center"/>
    </xf>
    <xf numFmtId="0" fontId="90" fillId="0" borderId="26" xfId="2" applyFont="1" applyFill="1" applyBorder="1" applyAlignment="1">
      <alignment horizontal="center"/>
    </xf>
    <xf numFmtId="165" fontId="90" fillId="0" borderId="62" xfId="21" applyNumberFormat="1" applyFont="1" applyFill="1" applyBorder="1" applyAlignment="1">
      <alignment horizontal="center"/>
    </xf>
    <xf numFmtId="0" fontId="90" fillId="0" borderId="20" xfId="2" applyFont="1" applyFill="1" applyBorder="1" applyAlignment="1">
      <alignment horizontal="center"/>
    </xf>
    <xf numFmtId="165" fontId="90" fillId="0" borderId="63" xfId="21" applyNumberFormat="1" applyFont="1" applyFill="1" applyBorder="1" applyAlignment="1">
      <alignment horizontal="center"/>
    </xf>
    <xf numFmtId="0" fontId="90" fillId="0" borderId="64" xfId="2" applyFont="1" applyFill="1" applyBorder="1" applyAlignment="1">
      <alignment horizontal="center"/>
    </xf>
    <xf numFmtId="0" fontId="90" fillId="0" borderId="6" xfId="2" applyFont="1" applyFill="1" applyBorder="1" applyAlignment="1">
      <alignment horizontal="center"/>
    </xf>
    <xf numFmtId="165" fontId="90" fillId="0" borderId="65" xfId="21" applyNumberFormat="1" applyFont="1" applyFill="1" applyBorder="1" applyAlignment="1">
      <alignment horizontal="center"/>
    </xf>
    <xf numFmtId="0" fontId="83" fillId="0" borderId="3" xfId="2" applyFont="1" applyFill="1" applyBorder="1" applyAlignment="1">
      <alignment horizontal="center" vertical="center"/>
    </xf>
    <xf numFmtId="0" fontId="83" fillId="0" borderId="3" xfId="2" applyFont="1" applyFill="1" applyBorder="1" applyAlignment="1">
      <alignment horizontal="center" vertical="center" wrapText="1"/>
    </xf>
    <xf numFmtId="165" fontId="90" fillId="0" borderId="6" xfId="21" applyNumberFormat="1" applyFont="1" applyFill="1" applyBorder="1" applyAlignment="1">
      <alignment horizontal="center"/>
    </xf>
    <xf numFmtId="0" fontId="94" fillId="0" borderId="3" xfId="20" applyFont="1" applyFill="1" applyBorder="1" applyAlignment="1"/>
    <xf numFmtId="0" fontId="94" fillId="0" borderId="0" xfId="20" applyFont="1" applyFill="1" applyBorder="1" applyAlignment="1">
      <alignment horizontal="center"/>
    </xf>
    <xf numFmtId="165" fontId="92" fillId="0" borderId="3" xfId="21" applyNumberFormat="1" applyFont="1" applyFill="1" applyBorder="1" applyAlignment="1">
      <alignment horizontal="center"/>
    </xf>
    <xf numFmtId="165" fontId="92" fillId="0" borderId="3" xfId="20" applyNumberFormat="1" applyFont="1" applyFill="1" applyBorder="1"/>
    <xf numFmtId="0" fontId="74" fillId="0" borderId="0" xfId="6" applyNumberFormat="1" applyFont="1" applyFill="1" applyBorder="1"/>
    <xf numFmtId="165" fontId="145" fillId="2" borderId="4" xfId="0" applyNumberFormat="1" applyFont="1" applyFill="1" applyBorder="1"/>
    <xf numFmtId="0" fontId="74" fillId="0" borderId="61" xfId="6" applyFont="1" applyBorder="1"/>
    <xf numFmtId="0" fontId="74" fillId="0" borderId="123" xfId="6" applyFont="1" applyBorder="1" applyAlignment="1">
      <alignment horizontal="center"/>
    </xf>
    <xf numFmtId="0" fontId="74" fillId="0" borderId="5" xfId="6" applyFont="1" applyBorder="1" applyAlignment="1">
      <alignment horizontal="left" vertical="center"/>
    </xf>
    <xf numFmtId="41" fontId="74" fillId="0" borderId="5" xfId="5" applyFont="1" applyBorder="1" applyAlignment="1">
      <alignment horizontal="right" vertical="center"/>
    </xf>
    <xf numFmtId="0" fontId="74" fillId="0" borderId="5" xfId="6" applyFont="1" applyBorder="1" applyAlignment="1">
      <alignment horizontal="center"/>
    </xf>
    <xf numFmtId="0" fontId="72" fillId="0" borderId="4" xfId="6" applyFont="1" applyBorder="1" applyAlignment="1">
      <alignment horizontal="right" vertical="center"/>
    </xf>
    <xf numFmtId="0" fontId="22" fillId="12" borderId="0" xfId="2" applyFont="1" applyFill="1" applyBorder="1" applyAlignment="1">
      <alignment horizontal="left" vertical="center"/>
    </xf>
    <xf numFmtId="165" fontId="22" fillId="0" borderId="0" xfId="3" applyNumberFormat="1" applyFont="1" applyBorder="1" applyAlignment="1">
      <alignment horizontal="left" vertical="center"/>
    </xf>
    <xf numFmtId="0" fontId="22" fillId="0" borderId="0" xfId="2" applyFont="1" applyBorder="1" applyAlignment="1">
      <alignment horizontal="left" vertical="center"/>
    </xf>
    <xf numFmtId="165" fontId="22" fillId="0" borderId="39" xfId="3" applyNumberFormat="1" applyFont="1" applyBorder="1" applyAlignment="1">
      <alignment vertical="center"/>
    </xf>
    <xf numFmtId="0" fontId="22" fillId="0" borderId="0" xfId="0" applyNumberFormat="1" applyFont="1"/>
    <xf numFmtId="0" fontId="22" fillId="0" borderId="0" xfId="0" applyFont="1"/>
    <xf numFmtId="0" fontId="22" fillId="0" borderId="0" xfId="0" applyNumberFormat="1" applyFont="1" applyAlignment="1">
      <alignment horizontal="left"/>
    </xf>
    <xf numFmtId="0" fontId="28" fillId="0" borderId="0" xfId="0" applyFont="1" applyAlignment="1">
      <alignment horizontal="left"/>
    </xf>
    <xf numFmtId="0" fontId="22" fillId="0" borderId="0" xfId="0" applyNumberFormat="1" applyFont="1" applyAlignment="1">
      <alignment horizontal="left" vertical="top"/>
    </xf>
    <xf numFmtId="49" fontId="22" fillId="0" borderId="0" xfId="0" applyNumberFormat="1" applyFont="1" applyAlignment="1">
      <alignment horizontal="left"/>
    </xf>
    <xf numFmtId="0" fontId="22" fillId="0" borderId="7" xfId="2" applyFont="1" applyFill="1" applyBorder="1" applyAlignment="1">
      <alignment horizontal="right" vertical="center"/>
    </xf>
    <xf numFmtId="0" fontId="22" fillId="12" borderId="20" xfId="2" applyFont="1" applyFill="1" applyBorder="1" applyAlignment="1">
      <alignment horizontal="left" vertical="center"/>
    </xf>
    <xf numFmtId="165" fontId="22" fillId="0" borderId="21" xfId="3" applyNumberFormat="1" applyFont="1" applyBorder="1" applyAlignment="1">
      <alignment horizontal="left" vertical="center"/>
    </xf>
    <xf numFmtId="165" fontId="22" fillId="0" borderId="0" xfId="3" applyNumberFormat="1" applyFont="1" applyBorder="1" applyAlignment="1">
      <alignment horizontal="right" vertical="center"/>
    </xf>
    <xf numFmtId="165" fontId="22" fillId="0" borderId="0" xfId="3" applyNumberFormat="1" applyFont="1" applyBorder="1" applyAlignment="1">
      <alignment vertical="center"/>
    </xf>
    <xf numFmtId="0" fontId="22" fillId="0" borderId="74" xfId="3" quotePrefix="1" applyNumberFormat="1" applyFont="1" applyBorder="1" applyAlignment="1">
      <alignment horizontal="center" vertical="center"/>
    </xf>
    <xf numFmtId="0" fontId="22" fillId="12" borderId="21" xfId="3" applyNumberFormat="1" applyFont="1" applyFill="1" applyBorder="1" applyAlignment="1">
      <alignment horizontal="left" vertical="center"/>
    </xf>
    <xf numFmtId="175" fontId="22" fillId="0" borderId="2" xfId="3" applyNumberFormat="1" applyFont="1" applyBorder="1" applyAlignment="1">
      <alignment horizontal="right" vertical="center"/>
    </xf>
    <xf numFmtId="165" fontId="22" fillId="0" borderId="69" xfId="3" applyNumberFormat="1" applyFont="1" applyBorder="1" applyAlignment="1">
      <alignment horizontal="left" vertical="center"/>
    </xf>
    <xf numFmtId="0" fontId="22" fillId="0" borderId="74" xfId="3" applyNumberFormat="1" applyFont="1" applyBorder="1" applyAlignment="1">
      <alignment horizontal="center" vertical="center"/>
    </xf>
    <xf numFmtId="165" fontId="22" fillId="0" borderId="50" xfId="3" applyNumberFormat="1" applyFont="1" applyBorder="1" applyAlignment="1">
      <alignment horizontal="right" vertical="center"/>
    </xf>
    <xf numFmtId="165" fontId="22" fillId="0" borderId="51" xfId="3" applyNumberFormat="1" applyFont="1" applyBorder="1" applyAlignment="1">
      <alignment horizontal="right" vertical="center"/>
    </xf>
    <xf numFmtId="165" fontId="22" fillId="0" borderId="43" xfId="3" applyNumberFormat="1" applyFont="1" applyBorder="1" applyAlignment="1">
      <alignment vertical="center"/>
    </xf>
    <xf numFmtId="165" fontId="22" fillId="0" borderId="52" xfId="3" applyNumberFormat="1" applyFont="1" applyBorder="1" applyAlignment="1">
      <alignment vertical="center"/>
    </xf>
    <xf numFmtId="0" fontId="22" fillId="0" borderId="68" xfId="2" applyFont="1" applyFill="1" applyBorder="1" applyAlignment="1">
      <alignment horizontal="right" vertical="center"/>
    </xf>
    <xf numFmtId="0" fontId="22" fillId="0" borderId="3" xfId="2" applyFont="1" applyFill="1" applyBorder="1" applyAlignment="1">
      <alignment horizontal="right" vertical="center"/>
    </xf>
    <xf numFmtId="37" fontId="24" fillId="0" borderId="68" xfId="2" applyNumberFormat="1" applyFont="1" applyFill="1" applyBorder="1" applyAlignment="1">
      <alignment horizontal="right" vertical="center"/>
    </xf>
    <xf numFmtId="0" fontId="22" fillId="0" borderId="82" xfId="3" applyNumberFormat="1" applyFont="1" applyBorder="1" applyAlignment="1">
      <alignment horizontal="right" vertical="center"/>
    </xf>
    <xf numFmtId="175" fontId="22" fillId="0" borderId="82" xfId="3" applyNumberFormat="1" applyFont="1" applyBorder="1" applyAlignment="1">
      <alignment horizontal="right" vertical="center"/>
    </xf>
    <xf numFmtId="165" fontId="28" fillId="0" borderId="0" xfId="0" applyNumberFormat="1" applyFont="1" applyBorder="1" applyAlignment="1">
      <alignment horizontal="left"/>
    </xf>
    <xf numFmtId="0" fontId="22" fillId="0" borderId="7" xfId="0" quotePrefix="1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176" fontId="22" fillId="0" borderId="2" xfId="0" quotePrefix="1" applyNumberFormat="1" applyFont="1" applyBorder="1" applyAlignment="1">
      <alignment horizontal="center" vertical="center"/>
    </xf>
    <xf numFmtId="165" fontId="22" fillId="0" borderId="2" xfId="3" applyNumberFormat="1" applyFont="1" applyBorder="1" applyAlignment="1">
      <alignment horizontal="left" vertical="top"/>
    </xf>
    <xf numFmtId="165" fontId="28" fillId="0" borderId="2" xfId="0" applyNumberFormat="1" applyFont="1" applyBorder="1" applyAlignment="1">
      <alignment horizontal="left"/>
    </xf>
    <xf numFmtId="165" fontId="22" fillId="0" borderId="0" xfId="0" applyNumberFormat="1" applyFont="1" applyBorder="1" applyAlignment="1">
      <alignment vertical="top"/>
    </xf>
    <xf numFmtId="0" fontId="28" fillId="0" borderId="67" xfId="0" applyFont="1" applyBorder="1"/>
    <xf numFmtId="0" fontId="28" fillId="0" borderId="76" xfId="0" applyFont="1" applyBorder="1"/>
    <xf numFmtId="0" fontId="26" fillId="0" borderId="0" xfId="0" applyFont="1"/>
    <xf numFmtId="41" fontId="28" fillId="0" borderId="26" xfId="1" applyFont="1" applyBorder="1"/>
    <xf numFmtId="0" fontId="28" fillId="0" borderId="28" xfId="0" applyFont="1" applyBorder="1"/>
    <xf numFmtId="165" fontId="28" fillId="0" borderId="0" xfId="0" applyNumberFormat="1" applyFont="1"/>
    <xf numFmtId="41" fontId="28" fillId="0" borderId="2" xfId="1" applyFont="1" applyBorder="1"/>
    <xf numFmtId="165" fontId="28" fillId="0" borderId="69" xfId="0" applyNumberFormat="1" applyFont="1" applyBorder="1"/>
    <xf numFmtId="0" fontId="22" fillId="0" borderId="103" xfId="0" applyFont="1" applyBorder="1" applyAlignment="1">
      <alignment horizontal="center" vertical="center"/>
    </xf>
    <xf numFmtId="0" fontId="22" fillId="0" borderId="67" xfId="2" applyFont="1" applyBorder="1" applyAlignment="1">
      <alignment horizontal="left" vertical="center"/>
    </xf>
    <xf numFmtId="165" fontId="22" fillId="0" borderId="68" xfId="3" applyNumberFormat="1" applyFont="1" applyBorder="1" applyAlignment="1">
      <alignment vertical="center"/>
    </xf>
    <xf numFmtId="165" fontId="22" fillId="0" borderId="68" xfId="3" applyNumberFormat="1" applyFont="1" applyBorder="1" applyAlignment="1">
      <alignment horizontal="left" vertical="center"/>
    </xf>
    <xf numFmtId="165" fontId="22" fillId="0" borderId="67" xfId="3" applyNumberFormat="1" applyFont="1" applyBorder="1" applyAlignment="1">
      <alignment vertical="center"/>
    </xf>
    <xf numFmtId="0" fontId="22" fillId="0" borderId="68" xfId="0" applyFont="1" applyBorder="1" applyAlignment="1">
      <alignment horizontal="center" vertical="center"/>
    </xf>
    <xf numFmtId="0" fontId="22" fillId="12" borderId="71" xfId="2" applyFont="1" applyFill="1" applyBorder="1" applyAlignment="1">
      <alignment horizontal="left" vertical="center"/>
    </xf>
    <xf numFmtId="0" fontId="22" fillId="0" borderId="68" xfId="2" applyFont="1" applyBorder="1" applyAlignment="1">
      <alignment horizontal="left" vertical="center"/>
    </xf>
    <xf numFmtId="165" fontId="22" fillId="0" borderId="76" xfId="3" applyNumberFormat="1" applyFont="1" applyBorder="1" applyAlignment="1">
      <alignment vertical="center"/>
    </xf>
    <xf numFmtId="0" fontId="22" fillId="0" borderId="75" xfId="3" quotePrefix="1" applyNumberFormat="1" applyFont="1" applyBorder="1" applyAlignment="1">
      <alignment horizontal="center" vertical="center"/>
    </xf>
    <xf numFmtId="0" fontId="22" fillId="12" borderId="27" xfId="3" applyNumberFormat="1" applyFont="1" applyFill="1" applyBorder="1" applyAlignment="1">
      <alignment horizontal="left" vertical="center"/>
    </xf>
    <xf numFmtId="0" fontId="22" fillId="0" borderId="5" xfId="3" applyNumberFormat="1" applyFont="1" applyBorder="1" applyAlignment="1">
      <alignment horizontal="right" vertical="center"/>
    </xf>
    <xf numFmtId="175" fontId="22" fillId="0" borderId="5" xfId="3" applyNumberFormat="1" applyFont="1" applyBorder="1" applyAlignment="1">
      <alignment horizontal="right" vertical="center"/>
    </xf>
    <xf numFmtId="0" fontId="22" fillId="0" borderId="103" xfId="3" applyNumberFormat="1" applyFont="1" applyBorder="1" applyAlignment="1">
      <alignment horizontal="center" vertical="center"/>
    </xf>
    <xf numFmtId="0" fontId="22" fillId="12" borderId="71" xfId="3" applyNumberFormat="1" applyFont="1" applyFill="1" applyBorder="1" applyAlignment="1">
      <alignment horizontal="left" vertical="center"/>
    </xf>
    <xf numFmtId="165" fontId="22" fillId="0" borderId="71" xfId="3" applyNumberFormat="1" applyFont="1" applyBorder="1" applyAlignment="1">
      <alignment horizontal="left" vertical="center"/>
    </xf>
    <xf numFmtId="0" fontId="28" fillId="0" borderId="68" xfId="0" applyNumberFormat="1" applyFont="1" applyBorder="1"/>
    <xf numFmtId="0" fontId="28" fillId="0" borderId="71" xfId="0" applyNumberFormat="1" applyFont="1" applyBorder="1" applyAlignment="1">
      <alignment horizontal="left"/>
    </xf>
    <xf numFmtId="175" fontId="24" fillId="0" borderId="68" xfId="0" applyNumberFormat="1" applyFont="1" applyBorder="1"/>
    <xf numFmtId="0" fontId="24" fillId="12" borderId="0" xfId="2" applyFont="1" applyFill="1" applyBorder="1" applyAlignment="1">
      <alignment horizontal="left" vertical="center"/>
    </xf>
    <xf numFmtId="165" fontId="28" fillId="0" borderId="0" xfId="0" applyNumberFormat="1" applyFont="1" applyBorder="1" applyAlignment="1">
      <alignment vertical="top"/>
    </xf>
    <xf numFmtId="0" fontId="22" fillId="12" borderId="26" xfId="2" applyFont="1" applyFill="1" applyBorder="1" applyAlignment="1">
      <alignment horizontal="left" vertical="center"/>
    </xf>
    <xf numFmtId="165" fontId="22" fillId="0" borderId="27" xfId="3" applyNumberFormat="1" applyFont="1" applyBorder="1" applyAlignment="1">
      <alignment horizontal="left" vertical="center"/>
    </xf>
    <xf numFmtId="165" fontId="28" fillId="0" borderId="27" xfId="0" applyNumberFormat="1" applyFont="1" applyBorder="1" applyAlignment="1">
      <alignment horizontal="left"/>
    </xf>
    <xf numFmtId="37" fontId="22" fillId="0" borderId="5" xfId="2" applyNumberFormat="1" applyFont="1" applyFill="1" applyBorder="1" applyAlignment="1">
      <alignment horizontal="right" vertical="center"/>
    </xf>
    <xf numFmtId="37" fontId="22" fillId="0" borderId="7" xfId="2" applyNumberFormat="1" applyFont="1" applyFill="1" applyBorder="1" applyAlignment="1">
      <alignment horizontal="right" vertical="center"/>
    </xf>
    <xf numFmtId="37" fontId="22" fillId="12" borderId="2" xfId="2" applyNumberFormat="1" applyFont="1" applyFill="1" applyBorder="1" applyAlignment="1">
      <alignment horizontal="right" vertical="center"/>
    </xf>
    <xf numFmtId="165" fontId="22" fillId="12" borderId="6" xfId="3" applyNumberFormat="1" applyFont="1" applyFill="1" applyBorder="1" applyAlignment="1">
      <alignment horizontal="right"/>
    </xf>
    <xf numFmtId="0" fontId="22" fillId="12" borderId="2" xfId="2" applyFont="1" applyFill="1" applyBorder="1" applyAlignment="1">
      <alignment horizontal="right"/>
    </xf>
    <xf numFmtId="0" fontId="22" fillId="12" borderId="5" xfId="2" applyFont="1" applyFill="1" applyBorder="1" applyAlignment="1">
      <alignment horizontal="right"/>
    </xf>
    <xf numFmtId="0" fontId="22" fillId="12" borderId="7" xfId="2" applyFont="1" applyFill="1" applyBorder="1" applyAlignment="1">
      <alignment horizontal="right"/>
    </xf>
    <xf numFmtId="37" fontId="22" fillId="0" borderId="3" xfId="2" applyNumberFormat="1" applyFont="1" applyFill="1" applyBorder="1" applyAlignment="1">
      <alignment horizontal="right" vertical="center"/>
    </xf>
    <xf numFmtId="165" fontId="22" fillId="0" borderId="2" xfId="3" applyNumberFormat="1" applyFont="1" applyBorder="1" applyAlignment="1">
      <alignment vertical="center"/>
    </xf>
    <xf numFmtId="165" fontId="22" fillId="0" borderId="0" xfId="3" applyNumberFormat="1" applyFont="1" applyBorder="1" applyAlignment="1">
      <alignment horizontal="center" vertical="center"/>
    </xf>
    <xf numFmtId="165" fontId="22" fillId="0" borderId="1" xfId="3" applyNumberFormat="1" applyFont="1" applyBorder="1" applyAlignment="1">
      <alignment vertical="center"/>
    </xf>
    <xf numFmtId="165" fontId="22" fillId="0" borderId="1" xfId="3" applyNumberFormat="1" applyFont="1" applyBorder="1" applyAlignment="1">
      <alignment horizontal="left" vertical="center"/>
    </xf>
    <xf numFmtId="0" fontId="22" fillId="0" borderId="7" xfId="2" applyFont="1" applyBorder="1" applyAlignment="1">
      <alignment horizontal="left" vertical="center"/>
    </xf>
    <xf numFmtId="0" fontId="22" fillId="0" borderId="2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72" fillId="0" borderId="19" xfId="6" applyFont="1" applyBorder="1" applyAlignment="1">
      <alignment horizontal="center" vertical="top"/>
    </xf>
    <xf numFmtId="0" fontId="72" fillId="0" borderId="3" xfId="6" applyFont="1" applyBorder="1" applyAlignment="1">
      <alignment horizontal="left" vertical="top" wrapText="1"/>
    </xf>
    <xf numFmtId="165" fontId="23" fillId="0" borderId="96" xfId="3" applyNumberFormat="1" applyFont="1" applyBorder="1" applyAlignment="1">
      <alignment horizontal="right" vertical="center"/>
    </xf>
    <xf numFmtId="165" fontId="23" fillId="0" borderId="43" xfId="3" applyNumberFormat="1" applyFont="1" applyBorder="1" applyAlignment="1">
      <alignment vertical="center"/>
    </xf>
    <xf numFmtId="165" fontId="23" fillId="0" borderId="52" xfId="3" applyNumberFormat="1" applyFont="1" applyBorder="1" applyAlignment="1">
      <alignment vertical="center"/>
    </xf>
    <xf numFmtId="0" fontId="19" fillId="0" borderId="0" xfId="0" applyFont="1" applyFill="1" applyBorder="1" applyAlignment="1">
      <alignment horizontal="left" vertical="top" wrapText="1"/>
    </xf>
    <xf numFmtId="0" fontId="19" fillId="0" borderId="4" xfId="0" applyFont="1" applyFill="1" applyBorder="1" applyAlignment="1">
      <alignment horizontal="center" vertical="center"/>
    </xf>
    <xf numFmtId="0" fontId="19" fillId="0" borderId="0" xfId="0" applyFont="1" applyFill="1" applyAlignment="1">
      <alignment horizontal="left" vertical="top" wrapText="1"/>
    </xf>
    <xf numFmtId="0" fontId="19" fillId="0" borderId="0" xfId="0" applyFont="1" applyFill="1" applyAlignment="1">
      <alignment horizontal="center"/>
    </xf>
    <xf numFmtId="165" fontId="50" fillId="0" borderId="4" xfId="3" applyNumberFormat="1" applyFont="1" applyBorder="1" applyAlignment="1">
      <alignment horizontal="right" vertical="center"/>
    </xf>
    <xf numFmtId="165" fontId="50" fillId="0" borderId="0" xfId="0" applyNumberFormat="1" applyFont="1" applyBorder="1" applyAlignment="1">
      <alignment vertical="top"/>
    </xf>
    <xf numFmtId="0" fontId="51" fillId="12" borderId="0" xfId="0" applyFont="1" applyFill="1" applyAlignment="1">
      <alignment horizontal="center"/>
    </xf>
    <xf numFmtId="0" fontId="44" fillId="0" borderId="0" xfId="0" applyFont="1" applyAlignment="1">
      <alignment horizontal="center"/>
    </xf>
    <xf numFmtId="0" fontId="52" fillId="12" borderId="0" xfId="0" applyFont="1" applyFill="1" applyAlignment="1">
      <alignment horizontal="center"/>
    </xf>
    <xf numFmtId="0" fontId="50" fillId="0" borderId="0" xfId="0" applyFont="1" applyBorder="1" applyAlignment="1">
      <alignment horizontal="left" vertical="top"/>
    </xf>
    <xf numFmtId="0" fontId="23" fillId="0" borderId="0" xfId="0" applyFont="1" applyBorder="1" applyAlignment="1">
      <alignment horizontal="center" vertical="center" wrapText="1"/>
    </xf>
    <xf numFmtId="0" fontId="84" fillId="0" borderId="0" xfId="20" applyFont="1" applyBorder="1" applyAlignment="1">
      <alignment horizontal="left" vertical="center" wrapText="1"/>
    </xf>
    <xf numFmtId="0" fontId="19" fillId="0" borderId="60" xfId="0" applyFont="1" applyFill="1" applyBorder="1" applyAlignment="1">
      <alignment horizontal="center" vertical="center"/>
    </xf>
    <xf numFmtId="0" fontId="5" fillId="0" borderId="0" xfId="0" applyFont="1"/>
    <xf numFmtId="164" fontId="15" fillId="0" borderId="4" xfId="0" applyNumberFormat="1" applyFont="1" applyFill="1" applyBorder="1"/>
    <xf numFmtId="0" fontId="15" fillId="0" borderId="4" xfId="0" applyFont="1" applyFill="1" applyBorder="1"/>
    <xf numFmtId="0" fontId="14" fillId="0" borderId="4" xfId="0" applyFont="1" applyBorder="1"/>
    <xf numFmtId="165" fontId="14" fillId="0" borderId="4" xfId="0" applyNumberFormat="1" applyFont="1" applyFill="1" applyBorder="1"/>
    <xf numFmtId="164" fontId="14" fillId="0" borderId="4" xfId="0" applyNumberFormat="1" applyFont="1" applyFill="1" applyBorder="1"/>
    <xf numFmtId="0" fontId="14" fillId="0" borderId="0" xfId="0" applyFont="1" applyBorder="1"/>
    <xf numFmtId="0" fontId="14" fillId="0" borderId="4" xfId="0" applyFont="1" applyFill="1" applyBorder="1"/>
    <xf numFmtId="0" fontId="50" fillId="0" borderId="4" xfId="0" applyNumberFormat="1" applyFont="1" applyFill="1" applyBorder="1" applyAlignment="1">
      <alignment horizontal="center" vertical="center"/>
    </xf>
    <xf numFmtId="165" fontId="50" fillId="0" borderId="4" xfId="3" applyNumberFormat="1" applyFont="1" applyFill="1" applyBorder="1" applyAlignment="1">
      <alignment horizontal="left" vertical="center"/>
    </xf>
    <xf numFmtId="165" fontId="50" fillId="0" borderId="4" xfId="3" applyNumberFormat="1" applyFont="1" applyFill="1" applyBorder="1" applyAlignment="1">
      <alignment horizontal="right" vertical="center"/>
    </xf>
    <xf numFmtId="165" fontId="15" fillId="0" borderId="4" xfId="0" applyNumberFormat="1" applyFont="1" applyBorder="1"/>
    <xf numFmtId="165" fontId="14" fillId="0" borderId="4" xfId="0" applyNumberFormat="1" applyFont="1" applyBorder="1"/>
    <xf numFmtId="165" fontId="44" fillId="0" borderId="4" xfId="3" applyNumberFormat="1" applyFont="1" applyFill="1" applyBorder="1" applyAlignment="1">
      <alignment vertical="center"/>
    </xf>
    <xf numFmtId="0" fontId="146" fillId="0" borderId="0" xfId="3" quotePrefix="1" applyNumberFormat="1" applyFont="1" applyBorder="1" applyAlignment="1">
      <alignment horizontal="left" vertical="center"/>
    </xf>
    <xf numFmtId="165" fontId="44" fillId="0" borderId="0" xfId="3" applyNumberFormat="1" applyFont="1" applyBorder="1" applyAlignment="1">
      <alignment horizontal="left" vertical="center"/>
    </xf>
    <xf numFmtId="165" fontId="44" fillId="0" borderId="0" xfId="3" applyNumberFormat="1" applyFont="1" applyBorder="1" applyAlignment="1">
      <alignment vertical="center"/>
    </xf>
    <xf numFmtId="0" fontId="19" fillId="0" borderId="0" xfId="0" applyFont="1" applyFill="1" applyBorder="1" applyAlignment="1">
      <alignment horizontal="left" vertical="top" wrapText="1"/>
    </xf>
    <xf numFmtId="0" fontId="19" fillId="0" borderId="0" xfId="0" applyFont="1" applyFill="1" applyAlignment="1">
      <alignment horizontal="left" vertical="top" wrapText="1"/>
    </xf>
    <xf numFmtId="0" fontId="19" fillId="0" borderId="0" xfId="0" applyFont="1" applyFill="1" applyAlignment="1">
      <alignment horizontal="center"/>
    </xf>
    <xf numFmtId="0" fontId="51" fillId="12" borderId="0" xfId="0" applyFont="1" applyFill="1" applyAlignment="1">
      <alignment horizontal="center"/>
    </xf>
    <xf numFmtId="165" fontId="50" fillId="0" borderId="0" xfId="0" applyNumberFormat="1" applyFont="1" applyBorder="1" applyAlignment="1">
      <alignment vertical="top"/>
    </xf>
    <xf numFmtId="165" fontId="15" fillId="0" borderId="0" xfId="0" applyNumberFormat="1" applyFont="1" applyFill="1"/>
    <xf numFmtId="0" fontId="147" fillId="0" borderId="0" xfId="0" applyFont="1" applyFill="1" applyBorder="1"/>
    <xf numFmtId="165" fontId="14" fillId="0" borderId="0" xfId="0" applyNumberFormat="1" applyFont="1" applyFill="1" applyBorder="1"/>
    <xf numFmtId="0" fontId="14" fillId="0" borderId="0" xfId="0" applyFont="1" applyFill="1" applyBorder="1"/>
    <xf numFmtId="0" fontId="14" fillId="0" borderId="0" xfId="0" applyFont="1" applyFill="1"/>
    <xf numFmtId="0" fontId="51" fillId="0" borderId="0" xfId="3" quotePrefix="1" applyNumberFormat="1" applyFont="1" applyFill="1" applyBorder="1" applyAlignment="1">
      <alignment horizontal="left" vertical="center"/>
    </xf>
    <xf numFmtId="165" fontId="50" fillId="0" borderId="0" xfId="3" applyNumberFormat="1" applyFont="1" applyFill="1" applyBorder="1" applyAlignment="1">
      <alignment horizontal="left" vertical="center"/>
    </xf>
    <xf numFmtId="0" fontId="146" fillId="0" borderId="0" xfId="3" quotePrefix="1" applyNumberFormat="1" applyFont="1" applyFill="1" applyBorder="1" applyAlignment="1">
      <alignment horizontal="left" vertical="center"/>
    </xf>
    <xf numFmtId="165" fontId="44" fillId="0" borderId="0" xfId="3" applyNumberFormat="1" applyFont="1" applyFill="1" applyBorder="1" applyAlignment="1">
      <alignment horizontal="left" vertical="center"/>
    </xf>
    <xf numFmtId="165" fontId="44" fillId="0" borderId="0" xfId="3" applyNumberFormat="1" applyFont="1" applyFill="1" applyBorder="1" applyAlignment="1">
      <alignment vertical="center"/>
    </xf>
    <xf numFmtId="0" fontId="4" fillId="0" borderId="0" xfId="0" applyFont="1"/>
    <xf numFmtId="0" fontId="15" fillId="0" borderId="0" xfId="0" applyFont="1" applyAlignment="1">
      <alignment horizontal="center"/>
    </xf>
    <xf numFmtId="0" fontId="32" fillId="12" borderId="4" xfId="0" applyNumberFormat="1" applyFont="1" applyFill="1" applyBorder="1" applyAlignment="1">
      <alignment horizontal="center" vertical="center"/>
    </xf>
    <xf numFmtId="165" fontId="32" fillId="0" borderId="4" xfId="3" applyNumberFormat="1" applyFont="1" applyFill="1" applyBorder="1" applyAlignment="1">
      <alignment horizontal="center" vertical="center"/>
    </xf>
    <xf numFmtId="0" fontId="46" fillId="0" borderId="4" xfId="0" applyFont="1" applyFill="1" applyBorder="1"/>
    <xf numFmtId="165" fontId="32" fillId="0" borderId="4" xfId="3" applyNumberFormat="1" applyFont="1" applyBorder="1" applyAlignment="1">
      <alignment horizontal="center" vertical="center"/>
    </xf>
    <xf numFmtId="0" fontId="32" fillId="0" borderId="4" xfId="0" applyNumberFormat="1" applyFont="1" applyFill="1" applyBorder="1" applyAlignment="1">
      <alignment horizontal="center" vertical="center"/>
    </xf>
    <xf numFmtId="37" fontId="32" fillId="0" borderId="4" xfId="2" applyNumberFormat="1" applyFont="1" applyFill="1" applyBorder="1" applyAlignment="1">
      <alignment horizontal="center" vertical="center"/>
    </xf>
    <xf numFmtId="37" fontId="32" fillId="0" borderId="4" xfId="8" applyNumberFormat="1" applyFont="1" applyFill="1" applyBorder="1" applyAlignment="1">
      <alignment horizontal="right" vertical="center"/>
    </xf>
    <xf numFmtId="0" fontId="71" fillId="0" borderId="4" xfId="2" applyFont="1" applyFill="1" applyBorder="1" applyAlignment="1">
      <alignment horizontal="center"/>
    </xf>
    <xf numFmtId="165" fontId="71" fillId="0" borderId="4" xfId="3" applyNumberFormat="1" applyFont="1" applyFill="1" applyBorder="1" applyAlignment="1">
      <alignment horizontal="center"/>
    </xf>
    <xf numFmtId="0" fontId="32" fillId="12" borderId="4" xfId="2" applyNumberFormat="1" applyFont="1" applyFill="1" applyBorder="1" applyAlignment="1">
      <alignment horizontal="center" vertical="center"/>
    </xf>
    <xf numFmtId="41" fontId="46" fillId="0" borderId="4" xfId="1" applyFont="1" applyFill="1" applyBorder="1" applyAlignment="1">
      <alignment horizontal="center" vertical="center" wrapText="1"/>
    </xf>
    <xf numFmtId="165" fontId="32" fillId="0" borderId="4" xfId="3" applyNumberFormat="1" applyFont="1" applyFill="1" applyBorder="1" applyAlignment="1">
      <alignment horizontal="right" vertical="center"/>
    </xf>
    <xf numFmtId="0" fontId="32" fillId="12" borderId="4" xfId="0" quotePrefix="1" applyNumberFormat="1" applyFont="1" applyFill="1" applyBorder="1" applyAlignment="1">
      <alignment horizontal="center" vertical="center"/>
    </xf>
    <xf numFmtId="41" fontId="31" fillId="0" borderId="4" xfId="2" applyNumberFormat="1" applyFont="1" applyFill="1" applyBorder="1" applyAlignment="1">
      <alignment vertical="center"/>
    </xf>
    <xf numFmtId="0" fontId="31" fillId="0" borderId="4" xfId="2" applyFont="1" applyFill="1" applyBorder="1" applyAlignment="1">
      <alignment horizontal="center" vertical="center"/>
    </xf>
    <xf numFmtId="0" fontId="32" fillId="12" borderId="124" xfId="0" applyNumberFormat="1" applyFont="1" applyFill="1" applyBorder="1" applyAlignment="1">
      <alignment horizontal="center" vertical="center"/>
    </xf>
    <xf numFmtId="37" fontId="32" fillId="0" borderId="124" xfId="2" applyNumberFormat="1" applyFont="1" applyFill="1" applyBorder="1" applyAlignment="1">
      <alignment horizontal="center" vertical="center"/>
    </xf>
    <xf numFmtId="37" fontId="32" fillId="0" borderId="124" xfId="8" applyNumberFormat="1" applyFont="1" applyFill="1" applyBorder="1" applyAlignment="1">
      <alignment horizontal="right" vertical="center"/>
    </xf>
    <xf numFmtId="165" fontId="32" fillId="0" borderId="124" xfId="3" applyNumberFormat="1" applyFont="1" applyFill="1" applyBorder="1" applyAlignment="1">
      <alignment vertical="center"/>
    </xf>
    <xf numFmtId="0" fontId="32" fillId="12" borderId="86" xfId="0" applyNumberFormat="1" applyFont="1" applyFill="1" applyBorder="1" applyAlignment="1">
      <alignment horizontal="center" vertical="center"/>
    </xf>
    <xf numFmtId="37" fontId="32" fillId="0" borderId="86" xfId="2" applyNumberFormat="1" applyFont="1" applyFill="1" applyBorder="1" applyAlignment="1">
      <alignment horizontal="center" vertical="center"/>
    </xf>
    <xf numFmtId="37" fontId="32" fillId="0" borderId="86" xfId="8" applyNumberFormat="1" applyFont="1" applyFill="1" applyBorder="1" applyAlignment="1">
      <alignment horizontal="right" vertical="center"/>
    </xf>
    <xf numFmtId="165" fontId="32" fillId="0" borderId="86" xfId="3" applyNumberFormat="1" applyFont="1" applyFill="1" applyBorder="1" applyAlignment="1">
      <alignment vertical="center"/>
    </xf>
    <xf numFmtId="0" fontId="32" fillId="12" borderId="125" xfId="0" applyNumberFormat="1" applyFont="1" applyFill="1" applyBorder="1" applyAlignment="1">
      <alignment horizontal="center" vertical="center"/>
    </xf>
    <xf numFmtId="37" fontId="32" fillId="0" borderId="125" xfId="2" applyNumberFormat="1" applyFont="1" applyFill="1" applyBorder="1" applyAlignment="1">
      <alignment horizontal="center" vertical="center"/>
    </xf>
    <xf numFmtId="37" fontId="32" fillId="0" borderId="125" xfId="8" applyNumberFormat="1" applyFont="1" applyFill="1" applyBorder="1" applyAlignment="1">
      <alignment horizontal="right" vertical="center"/>
    </xf>
    <xf numFmtId="165" fontId="32" fillId="0" borderId="125" xfId="3" applyNumberFormat="1" applyFont="1" applyFill="1" applyBorder="1" applyAlignment="1">
      <alignment vertical="center"/>
    </xf>
    <xf numFmtId="0" fontId="32" fillId="0" borderId="106" xfId="0" applyNumberFormat="1" applyFont="1" applyFill="1" applyBorder="1" applyAlignment="1">
      <alignment horizontal="center" vertical="center"/>
    </xf>
    <xf numFmtId="0" fontId="71" fillId="0" borderId="106" xfId="2" applyFont="1" applyFill="1" applyBorder="1" applyAlignment="1">
      <alignment horizontal="center"/>
    </xf>
    <xf numFmtId="165" fontId="71" fillId="0" borderId="106" xfId="3" applyNumberFormat="1" applyFont="1" applyFill="1" applyBorder="1" applyAlignment="1">
      <alignment horizontal="center"/>
    </xf>
    <xf numFmtId="165" fontId="32" fillId="0" borderId="106" xfId="3" applyNumberFormat="1" applyFont="1" applyFill="1" applyBorder="1" applyAlignment="1">
      <alignment vertical="center"/>
    </xf>
    <xf numFmtId="0" fontId="32" fillId="0" borderId="100" xfId="0" applyNumberFormat="1" applyFont="1" applyFill="1" applyBorder="1" applyAlignment="1">
      <alignment horizontal="center" vertical="center"/>
    </xf>
    <xf numFmtId="0" fontId="71" fillId="0" borderId="100" xfId="2" applyFont="1" applyFill="1" applyBorder="1" applyAlignment="1">
      <alignment horizontal="center"/>
    </xf>
    <xf numFmtId="165" fontId="71" fillId="0" borderId="100" xfId="3" applyNumberFormat="1" applyFont="1" applyFill="1" applyBorder="1" applyAlignment="1">
      <alignment horizontal="center"/>
    </xf>
    <xf numFmtId="165" fontId="32" fillId="0" borderId="100" xfId="3" applyNumberFormat="1" applyFont="1" applyFill="1" applyBorder="1" applyAlignment="1">
      <alignment vertical="center"/>
    </xf>
    <xf numFmtId="0" fontId="32" fillId="0" borderId="126" xfId="0" applyNumberFormat="1" applyFont="1" applyFill="1" applyBorder="1" applyAlignment="1">
      <alignment horizontal="center" vertical="center"/>
    </xf>
    <xf numFmtId="0" fontId="71" fillId="0" borderId="126" xfId="2" applyFont="1" applyFill="1" applyBorder="1" applyAlignment="1">
      <alignment horizontal="center"/>
    </xf>
    <xf numFmtId="165" fontId="71" fillId="0" borderId="126" xfId="3" applyNumberFormat="1" applyFont="1" applyFill="1" applyBorder="1" applyAlignment="1">
      <alignment horizontal="center"/>
    </xf>
    <xf numFmtId="165" fontId="32" fillId="0" borderId="126" xfId="3" applyNumberFormat="1" applyFont="1" applyFill="1" applyBorder="1" applyAlignment="1">
      <alignment vertical="center"/>
    </xf>
    <xf numFmtId="0" fontId="32" fillId="12" borderId="124" xfId="2" applyNumberFormat="1" applyFont="1" applyFill="1" applyBorder="1" applyAlignment="1">
      <alignment horizontal="center" vertical="center"/>
    </xf>
    <xf numFmtId="41" fontId="46" fillId="0" borderId="124" xfId="1" applyFont="1" applyFill="1" applyBorder="1" applyAlignment="1">
      <alignment horizontal="center" vertical="center" wrapText="1"/>
    </xf>
    <xf numFmtId="0" fontId="32" fillId="12" borderId="86" xfId="2" applyNumberFormat="1" applyFont="1" applyFill="1" applyBorder="1" applyAlignment="1">
      <alignment horizontal="center" vertical="center"/>
    </xf>
    <xf numFmtId="41" fontId="46" fillId="0" borderId="86" xfId="1" applyFont="1" applyFill="1" applyBorder="1" applyAlignment="1">
      <alignment horizontal="center" vertical="center" wrapText="1"/>
    </xf>
    <xf numFmtId="0" fontId="32" fillId="12" borderId="125" xfId="2" applyNumberFormat="1" applyFont="1" applyFill="1" applyBorder="1" applyAlignment="1">
      <alignment horizontal="center" vertical="center"/>
    </xf>
    <xf numFmtId="41" fontId="46" fillId="0" borderId="125" xfId="1" applyFont="1" applyFill="1" applyBorder="1" applyAlignment="1">
      <alignment horizontal="center" vertical="center" wrapText="1"/>
    </xf>
    <xf numFmtId="165" fontId="50" fillId="0" borderId="124" xfId="3" applyNumberFormat="1" applyFont="1" applyFill="1" applyBorder="1" applyAlignment="1">
      <alignment horizontal="center" vertical="center"/>
    </xf>
    <xf numFmtId="165" fontId="32" fillId="0" borderId="124" xfId="3" applyNumberFormat="1" applyFont="1" applyFill="1" applyBorder="1" applyAlignment="1">
      <alignment horizontal="right" vertical="center"/>
    </xf>
    <xf numFmtId="165" fontId="50" fillId="0" borderId="124" xfId="3" applyNumberFormat="1" applyFont="1" applyFill="1" applyBorder="1" applyAlignment="1">
      <alignment vertical="center"/>
    </xf>
    <xf numFmtId="41" fontId="32" fillId="0" borderId="124" xfId="3" applyNumberFormat="1" applyFont="1" applyFill="1" applyBorder="1" applyAlignment="1">
      <alignment vertical="center"/>
    </xf>
    <xf numFmtId="165" fontId="50" fillId="0" borderId="86" xfId="3" applyNumberFormat="1" applyFont="1" applyFill="1" applyBorder="1" applyAlignment="1">
      <alignment horizontal="center" vertical="center"/>
    </xf>
    <xf numFmtId="165" fontId="32" fillId="0" borderId="86" xfId="3" applyNumberFormat="1" applyFont="1" applyFill="1" applyBorder="1" applyAlignment="1">
      <alignment horizontal="right" vertical="center"/>
    </xf>
    <xf numFmtId="165" fontId="50" fillId="0" borderId="86" xfId="3" applyNumberFormat="1" applyFont="1" applyFill="1" applyBorder="1" applyAlignment="1">
      <alignment vertical="center"/>
    </xf>
    <xf numFmtId="41" fontId="32" fillId="0" borderId="86" xfId="3" applyNumberFormat="1" applyFont="1" applyFill="1" applyBorder="1" applyAlignment="1">
      <alignment vertical="center"/>
    </xf>
    <xf numFmtId="165" fontId="50" fillId="0" borderId="125" xfId="3" applyNumberFormat="1" applyFont="1" applyFill="1" applyBorder="1" applyAlignment="1">
      <alignment horizontal="center" vertical="center"/>
    </xf>
    <xf numFmtId="165" fontId="32" fillId="0" borderId="125" xfId="3" applyNumberFormat="1" applyFont="1" applyFill="1" applyBorder="1" applyAlignment="1">
      <alignment horizontal="right" vertical="center"/>
    </xf>
    <xf numFmtId="165" fontId="50" fillId="0" borderId="125" xfId="3" applyNumberFormat="1" applyFont="1" applyFill="1" applyBorder="1" applyAlignment="1">
      <alignment vertical="center"/>
    </xf>
    <xf numFmtId="41" fontId="32" fillId="0" borderId="125" xfId="3" applyNumberFormat="1" applyFont="1" applyFill="1" applyBorder="1" applyAlignment="1">
      <alignment vertical="center"/>
    </xf>
    <xf numFmtId="0" fontId="32" fillId="12" borderId="106" xfId="0" applyNumberFormat="1" applyFont="1" applyFill="1" applyBorder="1" applyAlignment="1">
      <alignment horizontal="center" vertical="center"/>
    </xf>
    <xf numFmtId="165" fontId="32" fillId="0" borderId="106" xfId="3" applyNumberFormat="1" applyFont="1" applyFill="1" applyBorder="1" applyAlignment="1">
      <alignment horizontal="center" vertical="center"/>
    </xf>
    <xf numFmtId="0" fontId="32" fillId="12" borderId="100" xfId="0" quotePrefix="1" applyNumberFormat="1" applyFont="1" applyFill="1" applyBorder="1" applyAlignment="1">
      <alignment horizontal="center" vertical="center"/>
    </xf>
    <xf numFmtId="41" fontId="31" fillId="0" borderId="100" xfId="2" applyNumberFormat="1" applyFont="1" applyFill="1" applyBorder="1" applyAlignment="1">
      <alignment vertical="center"/>
    </xf>
    <xf numFmtId="0" fontId="31" fillId="0" borderId="100" xfId="2" applyFont="1" applyFill="1" applyBorder="1" applyAlignment="1">
      <alignment horizontal="center" vertical="center"/>
    </xf>
    <xf numFmtId="37" fontId="32" fillId="0" borderId="100" xfId="8" applyNumberFormat="1" applyFont="1" applyFill="1" applyBorder="1" applyAlignment="1">
      <alignment horizontal="right" vertical="center"/>
    </xf>
    <xf numFmtId="0" fontId="32" fillId="12" borderId="124" xfId="0" quotePrefix="1" applyNumberFormat="1" applyFont="1" applyFill="1" applyBorder="1" applyAlignment="1">
      <alignment horizontal="center" vertical="center"/>
    </xf>
    <xf numFmtId="0" fontId="71" fillId="0" borderId="124" xfId="2" applyFont="1" applyFill="1" applyBorder="1" applyAlignment="1">
      <alignment horizontal="center"/>
    </xf>
    <xf numFmtId="165" fontId="71" fillId="0" borderId="124" xfId="3" applyNumberFormat="1" applyFont="1" applyFill="1" applyBorder="1" applyAlignment="1">
      <alignment horizontal="center"/>
    </xf>
    <xf numFmtId="0" fontId="32" fillId="12" borderId="86" xfId="0" quotePrefix="1" applyNumberFormat="1" applyFont="1" applyFill="1" applyBorder="1" applyAlignment="1">
      <alignment horizontal="center" vertical="center"/>
    </xf>
    <xf numFmtId="0" fontId="71" fillId="0" borderId="86" xfId="2" applyFont="1" applyFill="1" applyBorder="1" applyAlignment="1">
      <alignment horizontal="center"/>
    </xf>
    <xf numFmtId="165" fontId="71" fillId="0" borderId="86" xfId="3" applyNumberFormat="1" applyFont="1" applyFill="1" applyBorder="1" applyAlignment="1">
      <alignment horizontal="center"/>
    </xf>
    <xf numFmtId="0" fontId="32" fillId="12" borderId="125" xfId="0" quotePrefix="1" applyNumberFormat="1" applyFont="1" applyFill="1" applyBorder="1" applyAlignment="1">
      <alignment horizontal="center" vertical="center"/>
    </xf>
    <xf numFmtId="0" fontId="71" fillId="0" borderId="125" xfId="2" applyFont="1" applyFill="1" applyBorder="1" applyAlignment="1">
      <alignment horizontal="center"/>
    </xf>
    <xf numFmtId="165" fontId="71" fillId="0" borderId="125" xfId="3" applyNumberFormat="1" applyFont="1" applyFill="1" applyBorder="1" applyAlignment="1">
      <alignment horizontal="center"/>
    </xf>
    <xf numFmtId="0" fontId="46" fillId="0" borderId="0" xfId="0" applyFont="1" applyAlignment="1">
      <alignment horizontal="center"/>
    </xf>
    <xf numFmtId="165" fontId="47" fillId="0" borderId="4" xfId="3" applyNumberFormat="1" applyFont="1" applyFill="1" applyBorder="1" applyAlignment="1">
      <alignment vertical="center"/>
    </xf>
    <xf numFmtId="0" fontId="148" fillId="0" borderId="4" xfId="0" applyFont="1" applyBorder="1"/>
    <xf numFmtId="37" fontId="47" fillId="0" borderId="4" xfId="8" applyNumberFormat="1" applyFont="1" applyBorder="1" applyAlignment="1">
      <alignment horizontal="right" vertical="center"/>
    </xf>
    <xf numFmtId="165" fontId="148" fillId="0" borderId="4" xfId="0" applyNumberFormat="1" applyFont="1" applyBorder="1"/>
    <xf numFmtId="0" fontId="148" fillId="0" borderId="0" xfId="0" applyFont="1"/>
    <xf numFmtId="41" fontId="47" fillId="0" borderId="4" xfId="3" applyNumberFormat="1" applyFont="1" applyFill="1" applyBorder="1" applyAlignment="1">
      <alignment vertical="center"/>
    </xf>
    <xf numFmtId="0" fontId="148" fillId="0" borderId="0" xfId="0" applyFont="1" applyBorder="1"/>
    <xf numFmtId="41" fontId="148" fillId="0" borderId="4" xfId="0" applyNumberFormat="1" applyFont="1" applyBorder="1"/>
    <xf numFmtId="41" fontId="148" fillId="0" borderId="0" xfId="0" applyNumberFormat="1" applyFont="1" applyBorder="1"/>
    <xf numFmtId="0" fontId="50" fillId="0" borderId="0" xfId="0" applyNumberFormat="1" applyFont="1" applyAlignment="1">
      <alignment horizontal="center"/>
    </xf>
    <xf numFmtId="0" fontId="50" fillId="0" borderId="0" xfId="0" applyNumberFormat="1" applyFont="1" applyAlignment="1">
      <alignment horizontal="center" vertical="top"/>
    </xf>
    <xf numFmtId="0" fontId="46" fillId="12" borderId="0" xfId="0" applyFont="1" applyFill="1" applyAlignment="1">
      <alignment horizontal="center"/>
    </xf>
    <xf numFmtId="165" fontId="32" fillId="0" borderId="124" xfId="3" quotePrefix="1" applyNumberFormat="1" applyFont="1" applyBorder="1" applyAlignment="1">
      <alignment horizontal="center" vertical="center"/>
    </xf>
    <xf numFmtId="165" fontId="32" fillId="0" borderId="86" xfId="3" quotePrefix="1" applyNumberFormat="1" applyFont="1" applyBorder="1" applyAlignment="1">
      <alignment horizontal="center" vertical="center"/>
    </xf>
    <xf numFmtId="165" fontId="32" fillId="0" borderId="125" xfId="3" quotePrefix="1" applyNumberFormat="1" applyFont="1" applyBorder="1" applyAlignment="1">
      <alignment horizontal="center" vertical="center"/>
    </xf>
    <xf numFmtId="165" fontId="32" fillId="0" borderId="4" xfId="3" quotePrefix="1" applyNumberFormat="1" applyFont="1" applyBorder="1" applyAlignment="1">
      <alignment horizontal="center" vertical="center"/>
    </xf>
    <xf numFmtId="0" fontId="51" fillId="12" borderId="0" xfId="0" applyNumberFormat="1" applyFont="1" applyFill="1" applyAlignment="1">
      <alignment horizontal="center"/>
    </xf>
    <xf numFmtId="0" fontId="57" fillId="12" borderId="0" xfId="7" applyNumberFormat="1" applyFont="1" applyFill="1" applyAlignment="1">
      <alignment horizontal="center" vertical="center"/>
    </xf>
    <xf numFmtId="0" fontId="46" fillId="12" borderId="0" xfId="0" applyFont="1" applyFill="1" applyBorder="1" applyAlignment="1">
      <alignment horizontal="center"/>
    </xf>
    <xf numFmtId="0" fontId="50" fillId="0" borderId="4" xfId="2" applyFont="1" applyBorder="1" applyAlignment="1">
      <alignment horizontal="center" vertical="center"/>
    </xf>
    <xf numFmtId="0" fontId="50" fillId="0" borderId="106" xfId="0" applyNumberFormat="1" applyFont="1" applyBorder="1" applyAlignment="1">
      <alignment horizontal="center" vertical="center"/>
    </xf>
    <xf numFmtId="165" fontId="50" fillId="0" borderId="106" xfId="3" applyNumberFormat="1" applyFont="1" applyBorder="1" applyAlignment="1">
      <alignment horizontal="left" vertical="center"/>
    </xf>
    <xf numFmtId="0" fontId="50" fillId="0" borderId="106" xfId="2" applyFont="1" applyBorder="1" applyAlignment="1">
      <alignment horizontal="center" vertical="center"/>
    </xf>
    <xf numFmtId="37" fontId="50" fillId="0" borderId="106" xfId="2" applyNumberFormat="1" applyFont="1" applyBorder="1" applyAlignment="1">
      <alignment horizontal="center" vertical="center"/>
    </xf>
    <xf numFmtId="37" fontId="50" fillId="0" borderId="106" xfId="2" applyNumberFormat="1" applyFont="1" applyBorder="1" applyAlignment="1">
      <alignment horizontal="right" vertical="center"/>
    </xf>
    <xf numFmtId="165" fontId="50" fillId="0" borderId="106" xfId="3" applyNumberFormat="1" applyFont="1" applyBorder="1" applyAlignment="1">
      <alignment vertical="center"/>
    </xf>
    <xf numFmtId="0" fontId="50" fillId="0" borderId="100" xfId="0" applyNumberFormat="1" applyFont="1" applyBorder="1" applyAlignment="1">
      <alignment horizontal="center" vertical="center"/>
    </xf>
    <xf numFmtId="165" fontId="50" fillId="0" borderId="100" xfId="3" applyNumberFormat="1" applyFont="1" applyBorder="1" applyAlignment="1">
      <alignment horizontal="left" vertical="center"/>
    </xf>
    <xf numFmtId="0" fontId="50" fillId="0" borderId="100" xfId="2" applyFont="1" applyBorder="1" applyAlignment="1">
      <alignment horizontal="center" vertical="center"/>
    </xf>
    <xf numFmtId="37" fontId="50" fillId="0" borderId="100" xfId="2" applyNumberFormat="1" applyFont="1" applyBorder="1" applyAlignment="1">
      <alignment horizontal="center" vertical="center"/>
    </xf>
    <xf numFmtId="37" fontId="50" fillId="0" borderId="100" xfId="2" applyNumberFormat="1" applyFont="1" applyBorder="1" applyAlignment="1">
      <alignment horizontal="right" vertical="center"/>
    </xf>
    <xf numFmtId="165" fontId="50" fillId="0" borderId="100" xfId="3" applyNumberFormat="1" applyFont="1" applyBorder="1" applyAlignment="1">
      <alignment vertical="center"/>
    </xf>
    <xf numFmtId="0" fontId="50" fillId="0" borderId="126" xfId="0" applyNumberFormat="1" applyFont="1" applyBorder="1" applyAlignment="1">
      <alignment horizontal="center" vertical="center"/>
    </xf>
    <xf numFmtId="165" fontId="50" fillId="0" borderId="126" xfId="3" applyNumberFormat="1" applyFont="1" applyBorder="1" applyAlignment="1">
      <alignment horizontal="left" vertical="center"/>
    </xf>
    <xf numFmtId="0" fontId="50" fillId="0" borderId="126" xfId="2" applyFont="1" applyBorder="1" applyAlignment="1">
      <alignment horizontal="center" vertical="center"/>
    </xf>
    <xf numFmtId="37" fontId="50" fillId="0" borderId="126" xfId="2" applyNumberFormat="1" applyFont="1" applyBorder="1" applyAlignment="1">
      <alignment horizontal="center" vertical="center"/>
    </xf>
    <xf numFmtId="37" fontId="50" fillId="0" borderId="126" xfId="2" applyNumberFormat="1" applyFont="1" applyBorder="1" applyAlignment="1">
      <alignment horizontal="right" vertical="center"/>
    </xf>
    <xf numFmtId="165" fontId="50" fillId="0" borderId="126" xfId="3" applyNumberFormat="1" applyFont="1" applyBorder="1" applyAlignment="1">
      <alignment vertical="center"/>
    </xf>
    <xf numFmtId="165" fontId="50" fillId="0" borderId="106" xfId="3" applyNumberFormat="1" applyFont="1" applyBorder="1" applyAlignment="1">
      <alignment horizontal="center" vertical="center"/>
    </xf>
    <xf numFmtId="165" fontId="50" fillId="0" borderId="100" xfId="3" applyNumberFormat="1" applyFont="1" applyBorder="1" applyAlignment="1">
      <alignment horizontal="center" vertical="center"/>
    </xf>
    <xf numFmtId="41" fontId="44" fillId="0" borderId="4" xfId="3" applyNumberFormat="1" applyFont="1" applyBorder="1" applyAlignment="1">
      <alignment vertical="center"/>
    </xf>
    <xf numFmtId="0" fontId="15" fillId="0" borderId="4" xfId="0" applyFont="1" applyBorder="1" applyAlignment="1">
      <alignment horizontal="center"/>
    </xf>
    <xf numFmtId="41" fontId="44" fillId="0" borderId="4" xfId="3" applyNumberFormat="1" applyFont="1" applyBorder="1" applyAlignment="1">
      <alignment horizontal="center" vertical="center"/>
    </xf>
    <xf numFmtId="0" fontId="48" fillId="12" borderId="0" xfId="0" applyFont="1" applyFill="1" applyAlignment="1">
      <alignment horizontal="center"/>
    </xf>
    <xf numFmtId="0" fontId="49" fillId="12" borderId="0" xfId="0" applyFont="1" applyFill="1" applyAlignment="1">
      <alignment horizontal="center"/>
    </xf>
    <xf numFmtId="165" fontId="50" fillId="0" borderId="106" xfId="3" applyNumberFormat="1" applyFont="1" applyBorder="1" applyAlignment="1">
      <alignment horizontal="right" vertical="center"/>
    </xf>
    <xf numFmtId="0" fontId="15" fillId="0" borderId="106" xfId="0" applyFont="1" applyBorder="1"/>
    <xf numFmtId="0" fontId="15" fillId="0" borderId="106" xfId="0" applyFont="1" applyBorder="1" applyAlignment="1">
      <alignment horizontal="center"/>
    </xf>
    <xf numFmtId="37" fontId="50" fillId="0" borderId="100" xfId="2" applyNumberFormat="1" applyFont="1" applyBorder="1" applyAlignment="1">
      <alignment horizontal="left" vertical="center"/>
    </xf>
    <xf numFmtId="37" fontId="50" fillId="0" borderId="100" xfId="8" applyNumberFormat="1" applyFont="1" applyBorder="1" applyAlignment="1">
      <alignment horizontal="right" vertical="center"/>
    </xf>
    <xf numFmtId="165" fontId="15" fillId="0" borderId="100" xfId="0" applyNumberFormat="1" applyFont="1" applyBorder="1"/>
    <xf numFmtId="37" fontId="50" fillId="0" borderId="126" xfId="2" applyNumberFormat="1" applyFont="1" applyBorder="1" applyAlignment="1">
      <alignment horizontal="left" vertical="center"/>
    </xf>
    <xf numFmtId="37" fontId="50" fillId="0" borderId="126" xfId="8" applyNumberFormat="1" applyFont="1" applyBorder="1" applyAlignment="1">
      <alignment horizontal="right" vertical="center"/>
    </xf>
    <xf numFmtId="165" fontId="50" fillId="0" borderId="126" xfId="3" applyNumberFormat="1" applyFont="1" applyBorder="1" applyAlignment="1">
      <alignment horizontal="center" vertical="center"/>
    </xf>
    <xf numFmtId="165" fontId="15" fillId="0" borderId="126" xfId="0" applyNumberFormat="1" applyFont="1" applyBorder="1"/>
    <xf numFmtId="165" fontId="15" fillId="0" borderId="106" xfId="0" applyNumberFormat="1" applyFont="1" applyBorder="1"/>
    <xf numFmtId="165" fontId="50" fillId="0" borderId="100" xfId="3" applyNumberFormat="1" applyFont="1" applyBorder="1" applyAlignment="1">
      <alignment horizontal="right" vertical="center"/>
    </xf>
    <xf numFmtId="0" fontId="15" fillId="0" borderId="126" xfId="0" applyFont="1" applyBorder="1"/>
    <xf numFmtId="0" fontId="15" fillId="0" borderId="126" xfId="0" applyFont="1" applyBorder="1" applyAlignment="1">
      <alignment horizontal="center"/>
    </xf>
    <xf numFmtId="41" fontId="50" fillId="0" borderId="106" xfId="2" applyNumberFormat="1" applyFont="1" applyFill="1" applyBorder="1" applyAlignment="1">
      <alignment horizontal="center" vertical="center"/>
    </xf>
    <xf numFmtId="0" fontId="50" fillId="0" borderId="106" xfId="2" applyFont="1" applyFill="1" applyBorder="1" applyAlignment="1">
      <alignment horizontal="left" vertical="center"/>
    </xf>
    <xf numFmtId="37" fontId="50" fillId="0" borderId="106" xfId="8" applyNumberFormat="1" applyFont="1" applyFill="1" applyBorder="1" applyAlignment="1">
      <alignment horizontal="right" vertical="center"/>
    </xf>
    <xf numFmtId="165" fontId="50" fillId="0" borderId="106" xfId="3" applyNumberFormat="1" applyFont="1" applyFill="1" applyBorder="1" applyAlignment="1">
      <alignment vertical="center"/>
    </xf>
    <xf numFmtId="41" fontId="50" fillId="12" borderId="126" xfId="2" applyNumberFormat="1" applyFont="1" applyFill="1" applyBorder="1" applyAlignment="1">
      <alignment horizontal="center" vertical="center"/>
    </xf>
    <xf numFmtId="0" fontId="50" fillId="12" borderId="126" xfId="2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50" fillId="0" borderId="106" xfId="3" applyNumberFormat="1" applyFont="1" applyBorder="1" applyAlignment="1">
      <alignment horizontal="center" vertical="center"/>
    </xf>
    <xf numFmtId="0" fontId="50" fillId="0" borderId="106" xfId="3" applyNumberFormat="1" applyFont="1" applyBorder="1" applyAlignment="1">
      <alignment horizontal="left" vertical="center"/>
    </xf>
    <xf numFmtId="0" fontId="50" fillId="0" borderId="100" xfId="3" applyNumberFormat="1" applyFont="1" applyBorder="1" applyAlignment="1">
      <alignment horizontal="center" vertical="center"/>
    </xf>
    <xf numFmtId="0" fontId="50" fillId="0" borderId="100" xfId="3" applyNumberFormat="1" applyFont="1" applyBorder="1" applyAlignment="1">
      <alignment horizontal="left" vertical="center"/>
    </xf>
    <xf numFmtId="165" fontId="23" fillId="0" borderId="0" xfId="3" applyNumberFormat="1" applyFont="1" applyBorder="1" applyAlignment="1">
      <alignment horizontal="center" vertical="center"/>
    </xf>
    <xf numFmtId="0" fontId="22" fillId="12" borderId="4" xfId="2" applyFont="1" applyFill="1" applyBorder="1" applyAlignment="1">
      <alignment horizontal="center" vertical="center" wrapText="1"/>
    </xf>
    <xf numFmtId="0" fontId="22" fillId="12" borderId="4" xfId="2" applyFont="1" applyFill="1" applyBorder="1" applyAlignment="1">
      <alignment horizontal="left" vertical="center" wrapText="1"/>
    </xf>
    <xf numFmtId="41" fontId="22" fillId="12" borderId="4" xfId="1" applyFont="1" applyFill="1" applyBorder="1" applyAlignment="1">
      <alignment horizontal="center" vertical="center" wrapText="1"/>
    </xf>
    <xf numFmtId="165" fontId="23" fillId="0" borderId="4" xfId="3" applyNumberFormat="1" applyFont="1" applyBorder="1" applyAlignment="1">
      <alignment horizontal="right" vertical="center"/>
    </xf>
    <xf numFmtId="165" fontId="23" fillId="0" borderId="4" xfId="3" applyNumberFormat="1" applyFont="1" applyBorder="1" applyAlignment="1">
      <alignment horizontal="center" vertical="center"/>
    </xf>
    <xf numFmtId="0" fontId="22" fillId="0" borderId="106" xfId="0" applyFont="1" applyBorder="1" applyAlignment="1">
      <alignment horizontal="center" vertical="center"/>
    </xf>
    <xf numFmtId="0" fontId="22" fillId="12" borderId="106" xfId="2" applyFont="1" applyFill="1" applyBorder="1" applyAlignment="1">
      <alignment horizontal="center" vertical="center" wrapText="1"/>
    </xf>
    <xf numFmtId="0" fontId="22" fillId="12" borderId="106" xfId="2" applyFont="1" applyFill="1" applyBorder="1" applyAlignment="1">
      <alignment horizontal="left" vertical="center" wrapText="1"/>
    </xf>
    <xf numFmtId="41" fontId="22" fillId="12" borderId="106" xfId="1" applyFont="1" applyFill="1" applyBorder="1" applyAlignment="1">
      <alignment horizontal="center" vertical="center" wrapText="1"/>
    </xf>
    <xf numFmtId="165" fontId="22" fillId="0" borderId="106" xfId="3" applyNumberFormat="1" applyFont="1" applyBorder="1" applyAlignment="1">
      <alignment vertical="center"/>
    </xf>
    <xf numFmtId="0" fontId="0" fillId="0" borderId="106" xfId="0" applyBorder="1"/>
    <xf numFmtId="165" fontId="0" fillId="0" borderId="106" xfId="0" applyNumberFormat="1" applyBorder="1"/>
    <xf numFmtId="0" fontId="22" fillId="0" borderId="126" xfId="0" applyFont="1" applyBorder="1" applyAlignment="1">
      <alignment horizontal="center" vertical="center"/>
    </xf>
    <xf numFmtId="0" fontId="22" fillId="12" borderId="126" xfId="2" applyFont="1" applyFill="1" applyBorder="1" applyAlignment="1">
      <alignment horizontal="center" vertical="center" wrapText="1"/>
    </xf>
    <xf numFmtId="0" fontId="22" fillId="12" borderId="126" xfId="2" applyFont="1" applyFill="1" applyBorder="1" applyAlignment="1">
      <alignment horizontal="left" vertical="center" wrapText="1"/>
    </xf>
    <xf numFmtId="41" fontId="22" fillId="12" borderId="126" xfId="1" applyFont="1" applyFill="1" applyBorder="1" applyAlignment="1">
      <alignment horizontal="center" vertical="center" wrapText="1"/>
    </xf>
    <xf numFmtId="165" fontId="22" fillId="0" borderId="126" xfId="3" applyNumberFormat="1" applyFont="1" applyBorder="1" applyAlignment="1">
      <alignment vertical="center"/>
    </xf>
    <xf numFmtId="0" fontId="0" fillId="0" borderId="126" xfId="0" applyBorder="1"/>
    <xf numFmtId="165" fontId="0" fillId="0" borderId="126" xfId="0" applyNumberFormat="1" applyBorder="1"/>
    <xf numFmtId="0" fontId="66" fillId="0" borderId="4" xfId="0" applyFont="1" applyBorder="1"/>
    <xf numFmtId="165" fontId="23" fillId="0" borderId="4" xfId="3" applyNumberFormat="1" applyFont="1" applyBorder="1" applyAlignment="1">
      <alignment vertical="center"/>
    </xf>
    <xf numFmtId="165" fontId="66" fillId="0" borderId="4" xfId="0" applyNumberFormat="1" applyFont="1" applyBorder="1"/>
    <xf numFmtId="165" fontId="23" fillId="0" borderId="0" xfId="3" applyNumberFormat="1" applyFont="1" applyBorder="1" applyAlignment="1">
      <alignment vertical="center"/>
    </xf>
    <xf numFmtId="165" fontId="23" fillId="0" borderId="21" xfId="3" applyNumberFormat="1" applyFont="1" applyBorder="1" applyAlignment="1">
      <alignment vertical="center"/>
    </xf>
    <xf numFmtId="0" fontId="23" fillId="0" borderId="74" xfId="0" applyFont="1" applyBorder="1" applyAlignment="1">
      <alignment horizontal="center" vertical="center"/>
    </xf>
    <xf numFmtId="0" fontId="23" fillId="12" borderId="21" xfId="2" applyFont="1" applyFill="1" applyBorder="1" applyAlignment="1">
      <alignment horizontal="left" vertical="center"/>
    </xf>
    <xf numFmtId="165" fontId="23" fillId="0" borderId="65" xfId="3" applyNumberFormat="1" applyFont="1" applyBorder="1" applyAlignment="1">
      <alignment horizontal="left" vertical="center"/>
    </xf>
    <xf numFmtId="0" fontId="23" fillId="12" borderId="2" xfId="2" applyFont="1" applyFill="1" applyBorder="1" applyAlignment="1">
      <alignment horizontal="center" vertical="center" wrapText="1"/>
    </xf>
    <xf numFmtId="0" fontId="23" fillId="12" borderId="63" xfId="2" applyFont="1" applyFill="1" applyBorder="1" applyAlignment="1">
      <alignment horizontal="left" vertical="center" wrapText="1"/>
    </xf>
    <xf numFmtId="41" fontId="23" fillId="12" borderId="2" xfId="1" applyFont="1" applyFill="1" applyBorder="1" applyAlignment="1">
      <alignment horizontal="center" vertical="center" wrapText="1"/>
    </xf>
    <xf numFmtId="0" fontId="23" fillId="0" borderId="20" xfId="2" quotePrefix="1" applyFont="1" applyBorder="1" applyAlignment="1">
      <alignment horizontal="left" vertical="center"/>
    </xf>
    <xf numFmtId="165" fontId="23" fillId="0" borderId="20" xfId="3" applyNumberFormat="1" applyFont="1" applyBorder="1" applyAlignment="1">
      <alignment vertical="center"/>
    </xf>
    <xf numFmtId="0" fontId="66" fillId="0" borderId="76" xfId="0" applyFont="1" applyBorder="1"/>
    <xf numFmtId="165" fontId="22" fillId="0" borderId="106" xfId="3" applyNumberFormat="1" applyFont="1" applyBorder="1" applyAlignment="1">
      <alignment horizontal="left" vertical="center"/>
    </xf>
    <xf numFmtId="0" fontId="22" fillId="0" borderId="126" xfId="2" applyFont="1" applyFill="1" applyBorder="1" applyAlignment="1">
      <alignment horizontal="right" vertical="center"/>
    </xf>
    <xf numFmtId="0" fontId="22" fillId="0" borderId="126" xfId="2" applyFont="1" applyBorder="1" applyAlignment="1">
      <alignment horizontal="left" vertical="center"/>
    </xf>
    <xf numFmtId="37" fontId="22" fillId="0" borderId="126" xfId="2" applyNumberFormat="1" applyFont="1" applyFill="1" applyBorder="1" applyAlignment="1">
      <alignment horizontal="right" vertical="center"/>
    </xf>
    <xf numFmtId="165" fontId="22" fillId="0" borderId="106" xfId="3" applyNumberFormat="1" applyFont="1" applyBorder="1" applyAlignment="1">
      <alignment horizontal="right" vertical="center"/>
    </xf>
    <xf numFmtId="0" fontId="22" fillId="0" borderId="4" xfId="0" applyFont="1" applyBorder="1" applyAlignment="1">
      <alignment horizontal="center"/>
    </xf>
    <xf numFmtId="165" fontId="22" fillId="0" borderId="4" xfId="3" applyNumberFormat="1" applyFont="1" applyBorder="1" applyAlignment="1"/>
    <xf numFmtId="165" fontId="22" fillId="0" borderId="4" xfId="3" applyNumberFormat="1" applyFont="1" applyBorder="1" applyAlignment="1">
      <alignment horizontal="left"/>
    </xf>
    <xf numFmtId="0" fontId="0" fillId="0" borderId="4" xfId="0" applyBorder="1" applyAlignment="1"/>
    <xf numFmtId="0" fontId="22" fillId="0" borderId="4" xfId="2" applyFont="1" applyFill="1" applyBorder="1" applyAlignment="1">
      <alignment horizontal="right"/>
    </xf>
    <xf numFmtId="0" fontId="22" fillId="0" borderId="4" xfId="2" applyFont="1" applyBorder="1" applyAlignment="1">
      <alignment horizontal="left"/>
    </xf>
    <xf numFmtId="37" fontId="24" fillId="0" borderId="4" xfId="2" applyNumberFormat="1" applyFont="1" applyFill="1" applyBorder="1" applyAlignment="1">
      <alignment horizontal="right"/>
    </xf>
    <xf numFmtId="37" fontId="22" fillId="0" borderId="4" xfId="2" applyNumberFormat="1" applyFont="1" applyFill="1" applyBorder="1" applyAlignment="1">
      <alignment horizontal="right"/>
    </xf>
    <xf numFmtId="41" fontId="0" fillId="0" borderId="4" xfId="1" applyFont="1" applyBorder="1" applyAlignment="1"/>
    <xf numFmtId="0" fontId="22" fillId="0" borderId="4" xfId="0" applyFont="1" applyFill="1" applyBorder="1" applyAlignment="1">
      <alignment horizontal="center"/>
    </xf>
    <xf numFmtId="165" fontId="23" fillId="0" borderId="4" xfId="3" applyNumberFormat="1" applyFont="1" applyBorder="1" applyAlignment="1">
      <alignment horizontal="center"/>
    </xf>
    <xf numFmtId="165" fontId="23" fillId="0" borderId="4" xfId="3" applyNumberFormat="1" applyFont="1" applyBorder="1" applyAlignment="1"/>
    <xf numFmtId="0" fontId="66" fillId="0" borderId="4" xfId="0" applyFont="1" applyBorder="1" applyAlignment="1"/>
    <xf numFmtId="165" fontId="66" fillId="0" borderId="4" xfId="0" applyNumberFormat="1" applyFont="1" applyBorder="1" applyAlignment="1"/>
    <xf numFmtId="0" fontId="44" fillId="0" borderId="4" xfId="0" applyNumberFormat="1" applyFont="1" applyBorder="1" applyAlignment="1">
      <alignment horizontal="center" vertical="center"/>
    </xf>
    <xf numFmtId="165" fontId="44" fillId="0" borderId="4" xfId="3" applyNumberFormat="1" applyFont="1" applyBorder="1" applyAlignment="1">
      <alignment horizontal="left" vertical="center"/>
    </xf>
    <xf numFmtId="0" fontId="44" fillId="0" borderId="4" xfId="2" applyFont="1" applyBorder="1" applyAlignment="1">
      <alignment horizontal="center" vertical="center"/>
    </xf>
    <xf numFmtId="37" fontId="44" fillId="0" borderId="4" xfId="2" applyNumberFormat="1" applyFont="1" applyBorder="1" applyAlignment="1">
      <alignment horizontal="left" vertical="center"/>
    </xf>
    <xf numFmtId="37" fontId="44" fillId="0" borderId="4" xfId="2" applyNumberFormat="1" applyFont="1" applyBorder="1" applyAlignment="1">
      <alignment horizontal="right" vertical="center"/>
    </xf>
    <xf numFmtId="0" fontId="50" fillId="0" borderId="126" xfId="3" applyNumberFormat="1" applyFont="1" applyBorder="1" applyAlignment="1">
      <alignment horizontal="center" vertical="center"/>
    </xf>
    <xf numFmtId="0" fontId="50" fillId="0" borderId="126" xfId="3" applyNumberFormat="1" applyFont="1" applyBorder="1" applyAlignment="1">
      <alignment horizontal="left" vertical="center"/>
    </xf>
    <xf numFmtId="0" fontId="50" fillId="0" borderId="100" xfId="0" quotePrefix="1" applyNumberFormat="1" applyFont="1" applyBorder="1" applyAlignment="1">
      <alignment horizontal="center" vertical="center"/>
    </xf>
    <xf numFmtId="0" fontId="50" fillId="0" borderId="126" xfId="0" quotePrefix="1" applyNumberFormat="1" applyFont="1" applyBorder="1" applyAlignment="1">
      <alignment horizontal="center" vertical="center"/>
    </xf>
    <xf numFmtId="0" fontId="83" fillId="0" borderId="7" xfId="2" applyFont="1" applyBorder="1" applyAlignment="1">
      <alignment horizontal="center" vertical="center"/>
    </xf>
    <xf numFmtId="0" fontId="83" fillId="0" borderId="37" xfId="2" applyFont="1" applyBorder="1" applyAlignment="1">
      <alignment horizontal="center" vertical="center"/>
    </xf>
    <xf numFmtId="0" fontId="83" fillId="0" borderId="7" xfId="2" applyFont="1" applyBorder="1" applyAlignment="1">
      <alignment horizontal="center" vertical="center" wrapText="1"/>
    </xf>
    <xf numFmtId="0" fontId="93" fillId="0" borderId="4" xfId="20" applyFont="1" applyBorder="1"/>
    <xf numFmtId="41" fontId="93" fillId="0" borderId="4" xfId="20" applyNumberFormat="1" applyFont="1" applyBorder="1"/>
    <xf numFmtId="165" fontId="98" fillId="0" borderId="4" xfId="21" applyNumberFormat="1" applyFont="1" applyBorder="1"/>
    <xf numFmtId="41" fontId="96" fillId="0" borderId="4" xfId="22" applyFont="1" applyFill="1" applyBorder="1"/>
    <xf numFmtId="41" fontId="88" fillId="0" borderId="21" xfId="20" applyNumberFormat="1" applyFont="1" applyBorder="1"/>
    <xf numFmtId="0" fontId="3" fillId="0" borderId="0" xfId="0" applyFont="1" applyAlignment="1">
      <alignment horizontal="left"/>
    </xf>
    <xf numFmtId="0" fontId="18" fillId="2" borderId="4" xfId="0" applyFont="1" applyFill="1" applyBorder="1" applyAlignment="1"/>
    <xf numFmtId="165" fontId="18" fillId="2" borderId="4" xfId="3" applyNumberFormat="1" applyFont="1" applyFill="1" applyBorder="1"/>
    <xf numFmtId="165" fontId="18" fillId="2" borderId="4" xfId="3" applyNumberFormat="1" applyFont="1" applyFill="1" applyBorder="1" applyAlignment="1"/>
    <xf numFmtId="0" fontId="18" fillId="0" borderId="106" xfId="0" applyFont="1" applyFill="1" applyBorder="1" applyAlignment="1">
      <alignment horizontal="center" vertical="top" wrapText="1"/>
    </xf>
    <xf numFmtId="0" fontId="18" fillId="0" borderId="106" xfId="0" applyFont="1" applyFill="1" applyBorder="1" applyAlignment="1">
      <alignment vertical="top" wrapText="1"/>
    </xf>
    <xf numFmtId="41" fontId="18" fillId="0" borderId="106" xfId="0" applyNumberFormat="1" applyFont="1" applyFill="1" applyBorder="1" applyAlignment="1">
      <alignment vertical="top" wrapText="1"/>
    </xf>
    <xf numFmtId="0" fontId="18" fillId="0" borderId="100" xfId="0" applyFont="1" applyFill="1" applyBorder="1" applyAlignment="1">
      <alignment horizontal="center" vertical="top" wrapText="1"/>
    </xf>
    <xf numFmtId="0" fontId="18" fillId="0" borderId="100" xfId="0" applyFont="1" applyFill="1" applyBorder="1" applyAlignment="1">
      <alignment vertical="top" wrapText="1"/>
    </xf>
    <xf numFmtId="41" fontId="18" fillId="0" borderId="100" xfId="0" applyNumberFormat="1" applyFont="1" applyFill="1" applyBorder="1" applyAlignment="1">
      <alignment vertical="top" wrapText="1"/>
    </xf>
    <xf numFmtId="0" fontId="19" fillId="0" borderId="100" xfId="0" applyFont="1" applyFill="1" applyBorder="1" applyAlignment="1">
      <alignment horizontal="center" vertical="top" wrapText="1"/>
    </xf>
    <xf numFmtId="0" fontId="19" fillId="0" borderId="100" xfId="0" applyFont="1" applyFill="1" applyBorder="1" applyAlignment="1">
      <alignment vertical="top" wrapText="1"/>
    </xf>
    <xf numFmtId="41" fontId="19" fillId="0" borderId="100" xfId="0" applyNumberFormat="1" applyFont="1" applyFill="1" applyBorder="1" applyAlignment="1">
      <alignment vertical="top" wrapText="1"/>
    </xf>
    <xf numFmtId="41" fontId="18" fillId="0" borderId="100" xfId="0" applyNumberFormat="1" applyFont="1" applyFill="1" applyBorder="1" applyAlignment="1">
      <alignment horizontal="right" vertical="top" wrapText="1"/>
    </xf>
    <xf numFmtId="41" fontId="19" fillId="0" borderId="100" xfId="0" applyNumberFormat="1" applyFont="1" applyFill="1" applyBorder="1" applyAlignment="1">
      <alignment horizontal="right" vertical="top" wrapText="1"/>
    </xf>
    <xf numFmtId="0" fontId="19" fillId="0" borderId="126" xfId="0" applyFont="1" applyFill="1" applyBorder="1" applyAlignment="1">
      <alignment horizontal="center" vertical="top" wrapText="1"/>
    </xf>
    <xf numFmtId="0" fontId="19" fillId="0" borderId="126" xfId="0" applyFont="1" applyFill="1" applyBorder="1" applyAlignment="1">
      <alignment vertical="top" wrapText="1"/>
    </xf>
    <xf numFmtId="41" fontId="19" fillId="0" borderId="126" xfId="0" applyNumberFormat="1" applyFont="1" applyFill="1" applyBorder="1" applyAlignment="1">
      <alignment horizontal="right" vertical="top" wrapText="1"/>
    </xf>
    <xf numFmtId="41" fontId="18" fillId="0" borderId="126" xfId="0" applyNumberFormat="1" applyFont="1" applyFill="1" applyBorder="1" applyAlignment="1">
      <alignment vertical="top" wrapText="1"/>
    </xf>
    <xf numFmtId="0" fontId="18" fillId="0" borderId="4" xfId="0" applyFont="1" applyFill="1" applyBorder="1" applyAlignment="1">
      <alignment horizontal="center" vertical="top" wrapText="1"/>
    </xf>
    <xf numFmtId="41" fontId="18" fillId="0" borderId="4" xfId="0" applyNumberFormat="1" applyFont="1" applyFill="1" applyBorder="1" applyAlignment="1">
      <alignment horizontal="right" vertical="top" wrapText="1"/>
    </xf>
    <xf numFmtId="41" fontId="18" fillId="0" borderId="4" xfId="0" applyNumberFormat="1" applyFont="1" applyFill="1" applyBorder="1" applyAlignment="1">
      <alignment vertical="top" wrapText="1"/>
    </xf>
    <xf numFmtId="0" fontId="19" fillId="0" borderId="106" xfId="0" applyFont="1" applyFill="1" applyBorder="1" applyAlignment="1">
      <alignment horizontal="center" vertical="top" wrapText="1"/>
    </xf>
    <xf numFmtId="0" fontId="19" fillId="0" borderId="106" xfId="0" applyFont="1" applyFill="1" applyBorder="1" applyAlignment="1">
      <alignment vertical="top" wrapText="1"/>
    </xf>
    <xf numFmtId="41" fontId="19" fillId="0" borderId="106" xfId="0" applyNumberFormat="1" applyFont="1" applyFill="1" applyBorder="1" applyAlignment="1">
      <alignment horizontal="right" vertical="top" wrapText="1"/>
    </xf>
    <xf numFmtId="0" fontId="18" fillId="0" borderId="100" xfId="0" applyFont="1" applyFill="1" applyBorder="1" applyAlignment="1">
      <alignment horizontal="center" vertical="center" wrapText="1"/>
    </xf>
    <xf numFmtId="0" fontId="18" fillId="0" borderId="100" xfId="0" applyFont="1" applyFill="1" applyBorder="1" applyAlignment="1">
      <alignment vertical="center" wrapText="1"/>
    </xf>
    <xf numFmtId="41" fontId="18" fillId="0" borderId="100" xfId="0" applyNumberFormat="1" applyFont="1" applyFill="1" applyBorder="1" applyAlignment="1">
      <alignment horizontal="right" vertical="center" wrapText="1"/>
    </xf>
    <xf numFmtId="0" fontId="18" fillId="0" borderId="100" xfId="0" quotePrefix="1" applyFont="1" applyFill="1" applyBorder="1" applyAlignment="1">
      <alignment horizontal="center" vertical="top" wrapText="1"/>
    </xf>
    <xf numFmtId="0" fontId="19" fillId="0" borderId="100" xfId="0" quotePrefix="1" applyFont="1" applyFill="1" applyBorder="1" applyAlignment="1">
      <alignment horizontal="center" vertical="top" wrapText="1"/>
    </xf>
    <xf numFmtId="0" fontId="19" fillId="0" borderId="100" xfId="0" quotePrefix="1" applyFont="1" applyFill="1" applyBorder="1" applyAlignment="1">
      <alignment horizontal="left" vertical="top" wrapText="1"/>
    </xf>
    <xf numFmtId="0" fontId="19" fillId="0" borderId="100" xfId="0" applyFont="1" applyFill="1" applyBorder="1" applyAlignment="1">
      <alignment vertical="top"/>
    </xf>
    <xf numFmtId="41" fontId="19" fillId="0" borderId="100" xfId="0" applyNumberFormat="1" applyFont="1" applyFill="1" applyBorder="1" applyAlignment="1">
      <alignment horizontal="right" vertical="center" wrapText="1"/>
    </xf>
    <xf numFmtId="0" fontId="19" fillId="0" borderId="100" xfId="0" applyFont="1" applyFill="1" applyBorder="1" applyAlignment="1">
      <alignment vertical="center" wrapText="1"/>
    </xf>
    <xf numFmtId="0" fontId="18" fillId="0" borderId="100" xfId="0" applyFont="1" applyFill="1" applyBorder="1" applyAlignment="1">
      <alignment horizontal="center" vertical="top"/>
    </xf>
    <xf numFmtId="0" fontId="18" fillId="0" borderId="100" xfId="0" quotePrefix="1" applyFont="1" applyFill="1" applyBorder="1" applyAlignment="1">
      <alignment horizontal="center" vertical="top"/>
    </xf>
    <xf numFmtId="0" fontId="18" fillId="0" borderId="100" xfId="2" applyFont="1" applyFill="1" applyBorder="1" applyAlignment="1">
      <alignment vertical="top" wrapText="1"/>
    </xf>
    <xf numFmtId="0" fontId="18" fillId="0" borderId="100" xfId="0" applyFont="1" applyFill="1" applyBorder="1" applyAlignment="1">
      <alignment vertical="top"/>
    </xf>
    <xf numFmtId="41" fontId="18" fillId="0" borderId="100" xfId="0" applyNumberFormat="1" applyFont="1" applyFill="1" applyBorder="1" applyAlignment="1">
      <alignment horizontal="right" vertical="top"/>
    </xf>
    <xf numFmtId="0" fontId="18" fillId="0" borderId="100" xfId="18" applyFont="1" applyFill="1" applyBorder="1" applyAlignment="1">
      <alignment horizontal="center" vertical="top"/>
    </xf>
    <xf numFmtId="0" fontId="18" fillId="0" borderId="100" xfId="2" quotePrefix="1" applyFont="1" applyFill="1" applyBorder="1" applyAlignment="1">
      <alignment horizontal="center" vertical="top"/>
    </xf>
    <xf numFmtId="0" fontId="18" fillId="0" borderId="100" xfId="18" applyFont="1" applyFill="1" applyBorder="1" applyAlignment="1">
      <alignment vertical="top" wrapText="1"/>
    </xf>
    <xf numFmtId="0" fontId="19" fillId="0" borderId="100" xfId="18" applyFont="1" applyFill="1" applyBorder="1" applyAlignment="1">
      <alignment horizontal="center" vertical="top"/>
    </xf>
    <xf numFmtId="0" fontId="19" fillId="0" borderId="100" xfId="2" quotePrefix="1" applyFont="1" applyFill="1" applyBorder="1" applyAlignment="1">
      <alignment horizontal="center" vertical="top"/>
    </xf>
    <xf numFmtId="0" fontId="19" fillId="0" borderId="100" xfId="18" quotePrefix="1" applyFont="1" applyFill="1" applyBorder="1" applyAlignment="1">
      <alignment horizontal="center" vertical="top"/>
    </xf>
    <xf numFmtId="0" fontId="50" fillId="0" borderId="100" xfId="3" applyNumberFormat="1" applyFont="1" applyFill="1" applyBorder="1" applyAlignment="1">
      <alignment horizontal="left" vertical="center"/>
    </xf>
    <xf numFmtId="0" fontId="18" fillId="0" borderId="100" xfId="18" applyFont="1" applyFill="1" applyBorder="1" applyAlignment="1">
      <alignment vertical="top"/>
    </xf>
    <xf numFmtId="0" fontId="18" fillId="0" borderId="100" xfId="18" applyFont="1" applyFill="1" applyBorder="1" applyAlignment="1">
      <alignment horizontal="center" vertical="top" wrapText="1"/>
    </xf>
    <xf numFmtId="0" fontId="19" fillId="0" borderId="100" xfId="18" applyFont="1" applyFill="1" applyBorder="1" applyAlignment="1">
      <alignment horizontal="center" vertical="top" wrapText="1"/>
    </xf>
    <xf numFmtId="0" fontId="19" fillId="14" borderId="100" xfId="18" applyFont="1" applyFill="1" applyBorder="1" applyAlignment="1">
      <alignment horizontal="center" vertical="top"/>
    </xf>
    <xf numFmtId="0" fontId="19" fillId="14" borderId="100" xfId="2" quotePrefix="1" applyFont="1" applyFill="1" applyBorder="1" applyAlignment="1">
      <alignment horizontal="center" vertical="top"/>
    </xf>
    <xf numFmtId="0" fontId="19" fillId="14" borderId="100" xfId="0" applyFont="1" applyFill="1" applyBorder="1" applyAlignment="1">
      <alignment horizontal="center" vertical="top" wrapText="1"/>
    </xf>
    <xf numFmtId="0" fontId="18" fillId="0" borderId="100" xfId="18" quotePrefix="1" applyFont="1" applyFill="1" applyBorder="1" applyAlignment="1">
      <alignment horizontal="center" vertical="top"/>
    </xf>
    <xf numFmtId="0" fontId="18" fillId="0" borderId="100" xfId="2" applyFont="1" applyFill="1" applyBorder="1" applyAlignment="1">
      <alignment vertical="top"/>
    </xf>
    <xf numFmtId="0" fontId="18" fillId="0" borderId="100" xfId="0" quotePrefix="1" applyFont="1" applyFill="1" applyBorder="1" applyAlignment="1">
      <alignment horizontal="center" vertical="center" wrapText="1"/>
    </xf>
    <xf numFmtId="0" fontId="19" fillId="0" borderId="100" xfId="0" applyFont="1" applyFill="1" applyBorder="1" applyAlignment="1">
      <alignment horizontal="center" vertical="center" wrapText="1"/>
    </xf>
    <xf numFmtId="0" fontId="19" fillId="0" borderId="100" xfId="2" applyFont="1" applyFill="1" applyBorder="1" applyAlignment="1">
      <alignment horizontal="center" vertical="top"/>
    </xf>
    <xf numFmtId="0" fontId="19" fillId="0" borderId="100" xfId="18" applyFont="1" applyFill="1" applyBorder="1" applyAlignment="1">
      <alignment vertical="top" wrapText="1"/>
    </xf>
    <xf numFmtId="0" fontId="18" fillId="0" borderId="100" xfId="2" applyFont="1" applyFill="1" applyBorder="1" applyAlignment="1">
      <alignment horizontal="center" vertical="top"/>
    </xf>
    <xf numFmtId="0" fontId="19" fillId="0" borderId="100" xfId="0" applyFont="1" applyFill="1" applyBorder="1" applyAlignment="1">
      <alignment wrapText="1"/>
    </xf>
    <xf numFmtId="0" fontId="19" fillId="0" borderId="100" xfId="0" applyFont="1" applyBorder="1"/>
    <xf numFmtId="0" fontId="19" fillId="0" borderId="100" xfId="18" applyFont="1" applyFill="1" applyBorder="1" applyAlignment="1">
      <alignment vertical="top"/>
    </xf>
    <xf numFmtId="0" fontId="19" fillId="0" borderId="100" xfId="18" applyFont="1" applyFill="1" applyBorder="1" applyAlignment="1">
      <alignment horizontal="left" vertical="top" wrapText="1"/>
    </xf>
    <xf numFmtId="0" fontId="41" fillId="0" borderId="100" xfId="2" applyFont="1" applyFill="1" applyBorder="1" applyAlignment="1">
      <alignment horizontal="center" vertical="top"/>
    </xf>
    <xf numFmtId="0" fontId="41" fillId="0" borderId="100" xfId="2" quotePrefix="1" applyFont="1" applyFill="1" applyBorder="1" applyAlignment="1">
      <alignment horizontal="center" vertical="top"/>
    </xf>
    <xf numFmtId="0" fontId="41" fillId="0" borderId="100" xfId="0" applyFont="1" applyFill="1" applyBorder="1" applyAlignment="1">
      <alignment horizontal="center" vertical="top" wrapText="1"/>
    </xf>
    <xf numFmtId="0" fontId="41" fillId="0" borderId="100" xfId="18" applyFont="1" applyFill="1" applyBorder="1" applyAlignment="1">
      <alignment horizontal="left" vertical="top" wrapText="1"/>
    </xf>
    <xf numFmtId="0" fontId="41" fillId="0" borderId="100" xfId="0" applyFont="1" applyFill="1" applyBorder="1" applyAlignment="1">
      <alignment vertical="top" wrapText="1"/>
    </xf>
    <xf numFmtId="41" fontId="41" fillId="0" borderId="100" xfId="0" applyNumberFormat="1" applyFont="1" applyFill="1" applyBorder="1" applyAlignment="1">
      <alignment horizontal="right" vertical="top" wrapText="1"/>
    </xf>
    <xf numFmtId="0" fontId="18" fillId="0" borderId="100" xfId="18" applyFont="1" applyFill="1" applyBorder="1" applyAlignment="1">
      <alignment horizontal="left" vertical="top" wrapText="1"/>
    </xf>
    <xf numFmtId="0" fontId="19" fillId="0" borderId="100" xfId="0" applyFont="1" applyFill="1" applyBorder="1" applyAlignment="1">
      <alignment horizontal="left" vertical="top" wrapText="1"/>
    </xf>
    <xf numFmtId="0" fontId="19" fillId="4" borderId="100" xfId="0" applyFont="1" applyFill="1" applyBorder="1" applyAlignment="1">
      <alignment horizontal="center" vertical="top" wrapText="1"/>
    </xf>
    <xf numFmtId="0" fontId="18" fillId="4" borderId="100" xfId="0" applyFont="1" applyFill="1" applyBorder="1" applyAlignment="1">
      <alignment vertical="top" wrapText="1"/>
    </xf>
    <xf numFmtId="0" fontId="19" fillId="4" borderId="100" xfId="0" applyFont="1" applyFill="1" applyBorder="1" applyAlignment="1">
      <alignment vertical="top" wrapText="1"/>
    </xf>
    <xf numFmtId="41" fontId="18" fillId="4" borderId="100" xfId="0" applyNumberFormat="1" applyFont="1" applyFill="1" applyBorder="1" applyAlignment="1">
      <alignment horizontal="right" vertical="top" wrapText="1"/>
    </xf>
    <xf numFmtId="41" fontId="19" fillId="0" borderId="100" xfId="0" applyNumberFormat="1" applyFont="1" applyBorder="1"/>
    <xf numFmtId="167" fontId="19" fillId="0" borderId="100" xfId="0" applyNumberFormat="1" applyFont="1" applyFill="1" applyBorder="1" applyAlignment="1">
      <alignment horizontal="right" vertical="top" wrapText="1"/>
    </xf>
    <xf numFmtId="0" fontId="19" fillId="0" borderId="100" xfId="0" applyFont="1" applyFill="1" applyBorder="1" applyAlignment="1">
      <alignment horizontal="left" vertical="top"/>
    </xf>
    <xf numFmtId="0" fontId="18" fillId="0" borderId="126" xfId="0" applyFont="1" applyFill="1" applyBorder="1" applyAlignment="1">
      <alignment vertical="top" wrapText="1"/>
    </xf>
    <xf numFmtId="167" fontId="19" fillId="0" borderId="126" xfId="0" applyNumberFormat="1" applyFont="1" applyFill="1" applyBorder="1" applyAlignment="1">
      <alignment horizontal="right" vertical="top" wrapText="1"/>
    </xf>
    <xf numFmtId="37" fontId="46" fillId="10" borderId="86" xfId="2" applyNumberFormat="1" applyFont="1" applyFill="1" applyBorder="1" applyAlignment="1">
      <alignment horizontal="center" vertical="center"/>
    </xf>
    <xf numFmtId="37" fontId="32" fillId="10" borderId="86" xfId="2" applyNumberFormat="1" applyFont="1" applyFill="1" applyBorder="1" applyAlignment="1">
      <alignment horizontal="center" vertical="center"/>
    </xf>
    <xf numFmtId="165" fontId="148" fillId="0" borderId="0" xfId="0" applyNumberFormat="1" applyFont="1" applyBorder="1"/>
    <xf numFmtId="0" fontId="32" fillId="10" borderId="4" xfId="0" applyNumberFormat="1" applyFont="1" applyFill="1" applyBorder="1" applyAlignment="1">
      <alignment horizontal="center" vertical="center"/>
    </xf>
    <xf numFmtId="165" fontId="32" fillId="10" borderId="4" xfId="3" applyNumberFormat="1" applyFont="1" applyFill="1" applyBorder="1" applyAlignment="1">
      <alignment horizontal="center" vertical="center"/>
    </xf>
    <xf numFmtId="165" fontId="32" fillId="10" borderId="4" xfId="3" applyNumberFormat="1" applyFont="1" applyFill="1" applyBorder="1" applyAlignment="1">
      <alignment vertical="center"/>
    </xf>
    <xf numFmtId="0" fontId="22" fillId="0" borderId="4" xfId="2" applyFont="1" applyFill="1" applyBorder="1" applyAlignment="1">
      <alignment horizontal="right" vertical="center"/>
    </xf>
    <xf numFmtId="37" fontId="22" fillId="0" borderId="4" xfId="2" applyNumberFormat="1" applyFont="1" applyFill="1" applyBorder="1" applyAlignment="1">
      <alignment horizontal="right" vertical="center"/>
    </xf>
    <xf numFmtId="0" fontId="50" fillId="0" borderId="4" xfId="0" applyFont="1" applyBorder="1" applyAlignment="1">
      <alignment horizontal="center" vertical="center"/>
    </xf>
    <xf numFmtId="0" fontId="50" fillId="0" borderId="4" xfId="3" applyNumberFormat="1" applyFont="1" applyBorder="1" applyAlignment="1">
      <alignment vertical="center"/>
    </xf>
    <xf numFmtId="0" fontId="50" fillId="0" borderId="4" xfId="2" applyFont="1" applyBorder="1" applyAlignment="1">
      <alignment horizontal="right" vertical="center"/>
    </xf>
    <xf numFmtId="37" fontId="50" fillId="0" borderId="4" xfId="2" applyNumberFormat="1" applyFont="1" applyBorder="1" applyAlignment="1">
      <alignment horizontal="center" vertical="center"/>
    </xf>
    <xf numFmtId="0" fontId="19" fillId="0" borderId="0" xfId="0" applyFont="1" applyFill="1" applyAlignment="1">
      <alignment vertical="center"/>
    </xf>
    <xf numFmtId="164" fontId="0" fillId="0" borderId="0" xfId="0" applyNumberFormat="1" applyFill="1"/>
    <xf numFmtId="0" fontId="14" fillId="0" borderId="0" xfId="0" applyFont="1" applyAlignment="1">
      <alignment horizontal="center" vertical="center" wrapText="1"/>
    </xf>
    <xf numFmtId="0" fontId="102" fillId="0" borderId="4" xfId="0" applyFont="1" applyBorder="1" applyAlignment="1">
      <alignment horizontal="center" vertical="center" wrapText="1"/>
    </xf>
    <xf numFmtId="165" fontId="102" fillId="0" borderId="4" xfId="3" applyNumberFormat="1" applyFont="1" applyBorder="1" applyAlignment="1">
      <alignment horizontal="center" vertical="center" wrapText="1"/>
    </xf>
    <xf numFmtId="0" fontId="102" fillId="0" borderId="4" xfId="0" applyFont="1" applyBorder="1" applyAlignment="1">
      <alignment horizontal="center"/>
    </xf>
    <xf numFmtId="0" fontId="102" fillId="0" borderId="4" xfId="0" applyFont="1" applyBorder="1"/>
    <xf numFmtId="165" fontId="102" fillId="0" borderId="4" xfId="3" applyNumberFormat="1" applyFont="1" applyBorder="1"/>
    <xf numFmtId="0" fontId="102" fillId="0" borderId="4" xfId="0" applyFont="1" applyFill="1" applyBorder="1"/>
    <xf numFmtId="0" fontId="102" fillId="0" borderId="4" xfId="0" applyFont="1" applyFill="1" applyBorder="1" applyAlignment="1">
      <alignment horizontal="center"/>
    </xf>
    <xf numFmtId="165" fontId="102" fillId="0" borderId="4" xfId="3" applyNumberFormat="1" applyFont="1" applyFill="1" applyBorder="1"/>
    <xf numFmtId="0" fontId="73" fillId="0" borderId="106" xfId="0" applyFont="1" applyBorder="1" applyAlignment="1">
      <alignment horizontal="center"/>
    </xf>
    <xf numFmtId="0" fontId="73" fillId="0" borderId="106" xfId="0" applyFont="1" applyBorder="1"/>
    <xf numFmtId="165" fontId="73" fillId="0" borderId="106" xfId="3" applyNumberFormat="1" applyFont="1" applyBorder="1"/>
    <xf numFmtId="0" fontId="73" fillId="0" borderId="100" xfId="0" applyFont="1" applyBorder="1" applyAlignment="1">
      <alignment horizontal="center"/>
    </xf>
    <xf numFmtId="0" fontId="73" fillId="0" borderId="100" xfId="0" applyFont="1" applyBorder="1"/>
    <xf numFmtId="165" fontId="73" fillId="0" borderId="100" xfId="3" applyNumberFormat="1" applyFont="1" applyBorder="1"/>
    <xf numFmtId="0" fontId="73" fillId="0" borderId="126" xfId="0" applyFont="1" applyBorder="1" applyAlignment="1">
      <alignment horizontal="center"/>
    </xf>
    <xf numFmtId="0" fontId="73" fillId="0" borderId="126" xfId="0" applyFont="1" applyBorder="1"/>
    <xf numFmtId="165" fontId="73" fillId="0" borderId="126" xfId="3" applyNumberFormat="1" applyFont="1" applyBorder="1"/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50" fillId="0" borderId="0" xfId="0" applyFont="1" applyBorder="1" applyAlignment="1">
      <alignment horizontal="left" vertical="top"/>
    </xf>
    <xf numFmtId="0" fontId="51" fillId="0" borderId="0" xfId="0" applyFont="1" applyFill="1" applyAlignment="1">
      <alignment horizontal="center"/>
    </xf>
    <xf numFmtId="0" fontId="71" fillId="2" borderId="4" xfId="2" applyFont="1" applyFill="1" applyBorder="1" applyAlignment="1">
      <alignment horizontal="center"/>
    </xf>
    <xf numFmtId="165" fontId="71" fillId="2" borderId="4" xfId="3" applyNumberFormat="1" applyFont="1" applyFill="1" applyBorder="1" applyAlignment="1">
      <alignment horizontal="center"/>
    </xf>
    <xf numFmtId="165" fontId="32" fillId="2" borderId="4" xfId="3" applyNumberFormat="1" applyFont="1" applyFill="1" applyBorder="1" applyAlignment="1">
      <alignment vertical="center"/>
    </xf>
    <xf numFmtId="0" fontId="73" fillId="0" borderId="7" xfId="0" applyFont="1" applyBorder="1" applyAlignment="1">
      <alignment horizontal="center"/>
    </xf>
    <xf numFmtId="0" fontId="73" fillId="0" borderId="7" xfId="0" applyFont="1" applyBorder="1"/>
    <xf numFmtId="165" fontId="73" fillId="0" borderId="7" xfId="3" applyNumberFormat="1" applyFont="1" applyBorder="1"/>
    <xf numFmtId="41" fontId="47" fillId="2" borderId="4" xfId="3" applyNumberFormat="1" applyFont="1" applyFill="1" applyBorder="1" applyAlignment="1">
      <alignment vertical="center"/>
    </xf>
    <xf numFmtId="43" fontId="18" fillId="0" borderId="0" xfId="3" applyFont="1"/>
    <xf numFmtId="43" fontId="19" fillId="0" borderId="0" xfId="3" applyFont="1"/>
    <xf numFmtId="0" fontId="150" fillId="0" borderId="100" xfId="0" applyFont="1" applyBorder="1" applyAlignment="1">
      <alignment horizontal="center"/>
    </xf>
    <xf numFmtId="0" fontId="150" fillId="0" borderId="126" xfId="0" applyFont="1" applyBorder="1"/>
    <xf numFmtId="0" fontId="150" fillId="0" borderId="126" xfId="0" applyFont="1" applyBorder="1" applyAlignment="1">
      <alignment horizontal="center"/>
    </xf>
    <xf numFmtId="165" fontId="150" fillId="0" borderId="126" xfId="3" applyNumberFormat="1" applyFont="1" applyBorder="1"/>
    <xf numFmtId="0" fontId="151" fillId="0" borderId="0" xfId="0" applyFont="1"/>
    <xf numFmtId="43" fontId="0" fillId="0" borderId="0" xfId="3" applyFont="1"/>
    <xf numFmtId="165" fontId="144" fillId="0" borderId="0" xfId="0" applyNumberFormat="1" applyFont="1"/>
    <xf numFmtId="165" fontId="151" fillId="0" borderId="0" xfId="3" applyNumberFormat="1" applyFont="1"/>
    <xf numFmtId="41" fontId="19" fillId="0" borderId="0" xfId="0" applyNumberFormat="1" applyFont="1" applyFill="1" applyBorder="1"/>
    <xf numFmtId="0" fontId="99" fillId="0" borderId="0" xfId="6" applyFont="1" applyAlignment="1">
      <alignment horizontal="center"/>
    </xf>
    <xf numFmtId="0" fontId="74" fillId="0" borderId="0" xfId="6" applyFont="1" applyAlignment="1">
      <alignment horizontal="center"/>
    </xf>
    <xf numFmtId="0" fontId="74" fillId="0" borderId="41" xfId="6" applyFont="1" applyBorder="1" applyAlignment="1">
      <alignment horizontal="center" vertical="center" wrapText="1"/>
    </xf>
    <xf numFmtId="0" fontId="74" fillId="0" borderId="42" xfId="6" applyFont="1" applyBorder="1" applyAlignment="1">
      <alignment horizontal="center" vertical="center" wrapText="1"/>
    </xf>
    <xf numFmtId="165" fontId="51" fillId="0" borderId="0" xfId="0" applyNumberFormat="1" applyFont="1" applyFill="1"/>
    <xf numFmtId="41" fontId="19" fillId="0" borderId="0" xfId="0" applyNumberFormat="1" applyFont="1" applyAlignment="1">
      <alignment vertical="center"/>
    </xf>
    <xf numFmtId="165" fontId="50" fillId="0" borderId="0" xfId="0" applyNumberFormat="1" applyFont="1" applyBorder="1" applyAlignment="1">
      <alignment vertical="top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165" fontId="22" fillId="0" borderId="50" xfId="3" applyNumberFormat="1" applyFont="1" applyBorder="1" applyAlignment="1">
      <alignment horizontal="right" vertical="center"/>
    </xf>
    <xf numFmtId="165" fontId="22" fillId="0" borderId="51" xfId="3" applyNumberFormat="1" applyFont="1" applyBorder="1" applyAlignment="1">
      <alignment horizontal="right" vertical="center"/>
    </xf>
    <xf numFmtId="0" fontId="74" fillId="0" borderId="126" xfId="6" applyFont="1" applyBorder="1" applyAlignment="1">
      <alignment vertical="center"/>
    </xf>
    <xf numFmtId="165" fontId="74" fillId="0" borderId="126" xfId="3" applyNumberFormat="1" applyFont="1" applyBorder="1" applyAlignment="1">
      <alignment vertical="center"/>
    </xf>
    <xf numFmtId="0" fontId="74" fillId="0" borderId="106" xfId="6" applyFont="1" applyBorder="1" applyAlignment="1">
      <alignment horizontal="center" vertical="top"/>
    </xf>
    <xf numFmtId="0" fontId="74" fillId="0" borderId="100" xfId="6" applyFont="1" applyBorder="1" applyAlignment="1">
      <alignment horizontal="center" vertical="top"/>
    </xf>
    <xf numFmtId="0" fontId="72" fillId="0" borderId="0" xfId="6" applyFont="1" applyBorder="1" applyAlignment="1">
      <alignment horizontal="center" vertical="center"/>
    </xf>
    <xf numFmtId="0" fontId="74" fillId="0" borderId="126" xfId="6" applyFont="1" applyBorder="1" applyAlignment="1">
      <alignment horizontal="center" vertical="center"/>
    </xf>
    <xf numFmtId="0" fontId="74" fillId="0" borderId="4" xfId="6" applyFont="1" applyBorder="1" applyAlignment="1">
      <alignment horizontal="center"/>
    </xf>
    <xf numFmtId="0" fontId="74" fillId="0" borderId="42" xfId="6" applyFont="1" applyBorder="1" applyAlignment="1">
      <alignment horizontal="center"/>
    </xf>
    <xf numFmtId="0" fontId="74" fillId="0" borderId="139" xfId="6" applyFont="1" applyFill="1" applyBorder="1" applyAlignment="1">
      <alignment horizontal="center" vertical="center" wrapText="1"/>
    </xf>
    <xf numFmtId="0" fontId="74" fillId="0" borderId="139" xfId="6" applyFont="1" applyFill="1" applyBorder="1" applyAlignment="1">
      <alignment vertical="center" wrapText="1"/>
    </xf>
    <xf numFmtId="0" fontId="74" fillId="0" borderId="139" xfId="6" applyFont="1" applyBorder="1" applyAlignment="1">
      <alignment horizontal="center" vertical="center"/>
    </xf>
    <xf numFmtId="0" fontId="74" fillId="0" borderId="139" xfId="6" applyFont="1" applyBorder="1" applyAlignment="1">
      <alignment horizontal="center" vertical="center" wrapText="1"/>
    </xf>
    <xf numFmtId="0" fontId="74" fillId="0" borderId="139" xfId="6" applyFont="1" applyBorder="1" applyAlignment="1">
      <alignment horizontal="left" vertical="center" wrapText="1"/>
    </xf>
    <xf numFmtId="41" fontId="74" fillId="0" borderId="139" xfId="5" applyFont="1" applyBorder="1" applyAlignment="1">
      <alignment vertical="center"/>
    </xf>
    <xf numFmtId="0" fontId="74" fillId="0" borderId="100" xfId="6" applyFont="1" applyFill="1" applyBorder="1" applyAlignment="1">
      <alignment horizontal="center" vertical="center" wrapText="1"/>
    </xf>
    <xf numFmtId="0" fontId="74" fillId="0" borderId="100" xfId="6" applyFont="1" applyFill="1" applyBorder="1" applyAlignment="1">
      <alignment vertical="center" wrapText="1"/>
    </xf>
    <xf numFmtId="0" fontId="74" fillId="0" borderId="100" xfId="6" applyFont="1" applyBorder="1" applyAlignment="1">
      <alignment horizontal="center" vertical="center"/>
    </xf>
    <xf numFmtId="0" fontId="74" fillId="0" borderId="100" xfId="6" applyFont="1" applyBorder="1" applyAlignment="1">
      <alignment horizontal="left" vertical="center" wrapText="1"/>
    </xf>
    <xf numFmtId="0" fontId="74" fillId="0" borderId="100" xfId="6" applyFont="1" applyBorder="1" applyAlignment="1">
      <alignment horizontal="center" vertical="center" wrapText="1"/>
    </xf>
    <xf numFmtId="41" fontId="74" fillId="0" borderId="100" xfId="5" applyFont="1" applyBorder="1" applyAlignment="1">
      <alignment vertical="center"/>
    </xf>
    <xf numFmtId="0" fontId="74" fillId="0" borderId="100" xfId="6" applyFont="1" applyBorder="1" applyAlignment="1">
      <alignment horizontal="left" vertical="center"/>
    </xf>
    <xf numFmtId="0" fontId="74" fillId="0" borderId="126" xfId="6" applyFont="1" applyFill="1" applyBorder="1" applyAlignment="1">
      <alignment horizontal="center" vertical="center" wrapText="1"/>
    </xf>
    <xf numFmtId="0" fontId="74" fillId="0" borderId="126" xfId="6" applyFont="1" applyFill="1" applyBorder="1" applyAlignment="1">
      <alignment vertical="center" wrapText="1"/>
    </xf>
    <xf numFmtId="0" fontId="74" fillId="0" borderId="126" xfId="6" applyFont="1" applyBorder="1" applyAlignment="1">
      <alignment horizontal="left" vertical="center"/>
    </xf>
    <xf numFmtId="0" fontId="74" fillId="0" borderId="126" xfId="6" applyFont="1" applyBorder="1" applyAlignment="1">
      <alignment horizontal="center" vertical="center" wrapText="1"/>
    </xf>
    <xf numFmtId="41" fontId="74" fillId="0" borderId="126" xfId="5" applyFont="1" applyBorder="1" applyAlignment="1">
      <alignment vertical="center"/>
    </xf>
    <xf numFmtId="0" fontId="78" fillId="0" borderId="106" xfId="0" applyFont="1" applyFill="1" applyBorder="1" applyAlignment="1">
      <alignment vertical="center" wrapText="1"/>
    </xf>
    <xf numFmtId="0" fontId="74" fillId="0" borderId="106" xfId="6" applyFont="1" applyBorder="1" applyAlignment="1">
      <alignment horizontal="center" vertical="center"/>
    </xf>
    <xf numFmtId="0" fontId="74" fillId="0" borderId="106" xfId="6" applyFont="1" applyBorder="1" applyAlignment="1">
      <alignment horizontal="left" vertical="center" wrapText="1"/>
    </xf>
    <xf numFmtId="0" fontId="74" fillId="0" borderId="106" xfId="6" applyFont="1" applyBorder="1" applyAlignment="1">
      <alignment horizontal="center" vertical="center" wrapText="1"/>
    </xf>
    <xf numFmtId="41" fontId="74" fillId="0" borderId="106" xfId="5" applyFont="1" applyBorder="1" applyAlignment="1">
      <alignment vertical="center"/>
    </xf>
    <xf numFmtId="0" fontId="78" fillId="0" borderId="100" xfId="0" applyFont="1" applyFill="1" applyBorder="1" applyAlignment="1">
      <alignment vertical="center" wrapText="1"/>
    </xf>
    <xf numFmtId="0" fontId="75" fillId="0" borderId="100" xfId="2" applyFont="1" applyBorder="1" applyAlignment="1">
      <alignment vertical="center" wrapText="1"/>
    </xf>
    <xf numFmtId="0" fontId="75" fillId="0" borderId="100" xfId="2" applyFont="1" applyBorder="1" applyAlignment="1">
      <alignment horizontal="center" vertical="center" wrapText="1"/>
    </xf>
    <xf numFmtId="41" fontId="74" fillId="0" borderId="100" xfId="6" applyNumberFormat="1" applyFont="1" applyBorder="1" applyAlignment="1">
      <alignment horizontal="center" vertical="center" wrapText="1"/>
    </xf>
    <xf numFmtId="169" fontId="74" fillId="0" borderId="100" xfId="6" applyNumberFormat="1" applyFont="1" applyBorder="1" applyAlignment="1">
      <alignment horizontal="center" vertical="center"/>
    </xf>
    <xf numFmtId="41" fontId="74" fillId="0" borderId="100" xfId="5" applyFont="1" applyBorder="1" applyAlignment="1">
      <alignment horizontal="center" vertical="center"/>
    </xf>
    <xf numFmtId="0" fontId="74" fillId="0" borderId="126" xfId="6" applyFont="1" applyBorder="1" applyAlignment="1">
      <alignment horizontal="center" vertical="top"/>
    </xf>
    <xf numFmtId="0" fontId="74" fillId="0" borderId="124" xfId="6" applyFont="1" applyBorder="1" applyAlignment="1">
      <alignment horizontal="center" vertical="center"/>
    </xf>
    <xf numFmtId="0" fontId="74" fillId="0" borderId="124" xfId="6" applyFont="1" applyBorder="1" applyAlignment="1">
      <alignment vertical="center"/>
    </xf>
    <xf numFmtId="0" fontId="74" fillId="0" borderId="124" xfId="6" applyFont="1" applyBorder="1" applyAlignment="1">
      <alignment horizontal="right" vertical="center"/>
    </xf>
    <xf numFmtId="0" fontId="72" fillId="0" borderId="124" xfId="6" applyFont="1" applyBorder="1" applyAlignment="1">
      <alignment horizontal="right" vertical="center"/>
    </xf>
    <xf numFmtId="41" fontId="74" fillId="0" borderId="124" xfId="5" applyFont="1" applyBorder="1" applyAlignment="1">
      <alignment horizontal="center" vertical="center"/>
    </xf>
    <xf numFmtId="0" fontId="74" fillId="0" borderId="125" xfId="6" applyFont="1" applyBorder="1" applyAlignment="1">
      <alignment horizontal="center" vertical="center"/>
    </xf>
    <xf numFmtId="0" fontId="74" fillId="0" borderId="125" xfId="6" applyFont="1" applyBorder="1" applyAlignment="1">
      <alignment horizontal="left" vertical="center" wrapText="1"/>
    </xf>
    <xf numFmtId="0" fontId="74" fillId="0" borderId="125" xfId="6" applyFont="1" applyBorder="1" applyAlignment="1">
      <alignment horizontal="right" vertical="center"/>
    </xf>
    <xf numFmtId="0" fontId="72" fillId="0" borderId="125" xfId="6" applyFont="1" applyBorder="1" applyAlignment="1">
      <alignment horizontal="right" vertical="center"/>
    </xf>
    <xf numFmtId="41" fontId="74" fillId="0" borderId="125" xfId="5" applyFont="1" applyBorder="1" applyAlignment="1">
      <alignment horizontal="center" vertical="center"/>
    </xf>
    <xf numFmtId="41" fontId="19" fillId="0" borderId="0" xfId="0" applyNumberFormat="1" applyFont="1" applyFill="1"/>
    <xf numFmtId="41" fontId="0" fillId="0" borderId="0" xfId="0" applyNumberFormat="1" applyFill="1"/>
    <xf numFmtId="0" fontId="54" fillId="0" borderId="0" xfId="0" applyFont="1" applyFill="1"/>
    <xf numFmtId="165" fontId="0" fillId="0" borderId="0" xfId="0" applyNumberFormat="1" applyFill="1"/>
    <xf numFmtId="0" fontId="19" fillId="0" borderId="63" xfId="0" applyFont="1" applyFill="1" applyBorder="1" applyAlignment="1">
      <alignment horizontal="center" vertical="top" wrapText="1"/>
    </xf>
    <xf numFmtId="0" fontId="18" fillId="0" borderId="2" xfId="2" applyFont="1" applyFill="1" applyBorder="1" applyAlignment="1">
      <alignment horizontal="center" vertical="top"/>
    </xf>
    <xf numFmtId="0" fontId="18" fillId="0" borderId="2" xfId="2" quotePrefix="1" applyFont="1" applyFill="1" applyBorder="1" applyAlignment="1">
      <alignment horizontal="center" vertical="top"/>
    </xf>
    <xf numFmtId="0" fontId="18" fillId="0" borderId="63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/>
    </xf>
    <xf numFmtId="0" fontId="2" fillId="0" borderId="0" xfId="0" applyFont="1"/>
    <xf numFmtId="0" fontId="152" fillId="0" borderId="103" xfId="0" applyFont="1" applyBorder="1" applyAlignment="1">
      <alignment horizontal="center" vertical="center"/>
    </xf>
    <xf numFmtId="0" fontId="152" fillId="0" borderId="67" xfId="2" applyFont="1" applyBorder="1" applyAlignment="1">
      <alignment horizontal="left" vertical="center"/>
    </xf>
    <xf numFmtId="165" fontId="152" fillId="0" borderId="70" xfId="3" applyNumberFormat="1" applyFont="1" applyBorder="1" applyAlignment="1">
      <alignment horizontal="left" vertical="center"/>
    </xf>
    <xf numFmtId="165" fontId="152" fillId="0" borderId="68" xfId="3" applyNumberFormat="1" applyFont="1" applyBorder="1" applyAlignment="1">
      <alignment vertical="center"/>
    </xf>
    <xf numFmtId="165" fontId="152" fillId="0" borderId="68" xfId="3" applyNumberFormat="1" applyFont="1" applyBorder="1" applyAlignment="1">
      <alignment horizontal="left" vertical="center"/>
    </xf>
    <xf numFmtId="165" fontId="152" fillId="0" borderId="67" xfId="3" applyNumberFormat="1" applyFont="1" applyBorder="1" applyAlignment="1">
      <alignment vertical="center"/>
    </xf>
    <xf numFmtId="0" fontId="152" fillId="0" borderId="67" xfId="0" applyFont="1" applyBorder="1"/>
    <xf numFmtId="0" fontId="152" fillId="0" borderId="76" xfId="0" applyFont="1" applyBorder="1"/>
    <xf numFmtId="0" fontId="152" fillId="0" borderId="75" xfId="0" applyFont="1" applyBorder="1" applyAlignment="1">
      <alignment horizontal="center" vertical="center"/>
    </xf>
    <xf numFmtId="0" fontId="152" fillId="0" borderId="27" xfId="2" applyFont="1" applyBorder="1" applyAlignment="1">
      <alignment horizontal="left" vertical="center"/>
    </xf>
    <xf numFmtId="165" fontId="152" fillId="0" borderId="58" xfId="3" applyNumberFormat="1" applyFont="1" applyBorder="1" applyAlignment="1">
      <alignment horizontal="left" vertical="center"/>
    </xf>
    <xf numFmtId="165" fontId="152" fillId="0" borderId="2" xfId="3" applyNumberFormat="1" applyFont="1" applyBorder="1" applyAlignment="1">
      <alignment vertical="center"/>
    </xf>
    <xf numFmtId="165" fontId="152" fillId="0" borderId="3" xfId="3" applyNumberFormat="1" applyFont="1" applyBorder="1" applyAlignment="1">
      <alignment horizontal="left" vertical="center"/>
    </xf>
    <xf numFmtId="165" fontId="152" fillId="0" borderId="26" xfId="3" applyNumberFormat="1" applyFont="1" applyBorder="1" applyAlignment="1">
      <alignment vertical="center"/>
    </xf>
    <xf numFmtId="41" fontId="152" fillId="0" borderId="26" xfId="1" applyFont="1" applyBorder="1"/>
    <xf numFmtId="0" fontId="152" fillId="0" borderId="28" xfId="0" applyFont="1" applyBorder="1"/>
    <xf numFmtId="0" fontId="152" fillId="0" borderId="74" xfId="0" applyFont="1" applyBorder="1" applyAlignment="1">
      <alignment horizontal="center" vertical="center"/>
    </xf>
    <xf numFmtId="165" fontId="152" fillId="0" borderId="3" xfId="3" applyNumberFormat="1" applyFont="1" applyBorder="1" applyAlignment="1">
      <alignment vertical="center"/>
    </xf>
    <xf numFmtId="0" fontId="152" fillId="0" borderId="21" xfId="2" applyFont="1" applyBorder="1" applyAlignment="1">
      <alignment horizontal="left" vertical="center"/>
    </xf>
    <xf numFmtId="165" fontId="152" fillId="0" borderId="65" xfId="3" applyNumberFormat="1" applyFont="1" applyBorder="1" applyAlignment="1">
      <alignment horizontal="left" vertical="center"/>
    </xf>
    <xf numFmtId="0" fontId="152" fillId="12" borderId="2" xfId="2" applyFont="1" applyFill="1" applyBorder="1" applyAlignment="1">
      <alignment horizontal="right"/>
    </xf>
    <xf numFmtId="165" fontId="152" fillId="0" borderId="2" xfId="3" applyNumberFormat="1" applyFont="1" applyBorder="1" applyAlignment="1">
      <alignment horizontal="left" vertical="top"/>
    </xf>
    <xf numFmtId="165" fontId="152" fillId="0" borderId="20" xfId="3" applyNumberFormat="1" applyFont="1" applyBorder="1" applyAlignment="1">
      <alignment vertical="center"/>
    </xf>
    <xf numFmtId="0" fontId="152" fillId="12" borderId="20" xfId="2" applyFont="1" applyFill="1" applyBorder="1" applyAlignment="1">
      <alignment horizontal="left" vertical="center"/>
    </xf>
    <xf numFmtId="165" fontId="152" fillId="0" borderId="63" xfId="3" applyNumberFormat="1" applyFont="1" applyBorder="1" applyAlignment="1">
      <alignment horizontal="left" vertical="center"/>
    </xf>
    <xf numFmtId="165" fontId="152" fillId="0" borderId="2" xfId="0" applyNumberFormat="1" applyFont="1" applyBorder="1" applyAlignment="1">
      <alignment horizontal="left"/>
    </xf>
    <xf numFmtId="37" fontId="152" fillId="0" borderId="2" xfId="2" applyNumberFormat="1" applyFont="1" applyFill="1" applyBorder="1" applyAlignment="1">
      <alignment horizontal="right" vertical="center"/>
    </xf>
    <xf numFmtId="41" fontId="152" fillId="0" borderId="2" xfId="1" applyFont="1" applyBorder="1"/>
    <xf numFmtId="165" fontId="152" fillId="0" borderId="22" xfId="3" applyNumberFormat="1" applyFont="1" applyBorder="1" applyAlignment="1">
      <alignment vertical="center"/>
    </xf>
    <xf numFmtId="165" fontId="152" fillId="0" borderId="21" xfId="3" applyNumberFormat="1" applyFont="1" applyBorder="1" applyAlignment="1">
      <alignment horizontal="left" vertical="center"/>
    </xf>
    <xf numFmtId="165" fontId="152" fillId="0" borderId="0" xfId="0" applyNumberFormat="1" applyFont="1" applyBorder="1" applyAlignment="1">
      <alignment horizontal="left"/>
    </xf>
    <xf numFmtId="0" fontId="152" fillId="12" borderId="26" xfId="2" applyFont="1" applyFill="1" applyBorder="1" applyAlignment="1">
      <alignment horizontal="left" vertical="center"/>
    </xf>
    <xf numFmtId="165" fontId="152" fillId="0" borderId="27" xfId="3" applyNumberFormat="1" applyFont="1" applyBorder="1" applyAlignment="1">
      <alignment horizontal="left" vertical="center"/>
    </xf>
    <xf numFmtId="0" fontId="152" fillId="12" borderId="5" xfId="2" applyFont="1" applyFill="1" applyBorder="1" applyAlignment="1">
      <alignment horizontal="right"/>
    </xf>
    <xf numFmtId="165" fontId="152" fillId="0" borderId="27" xfId="0" applyNumberFormat="1" applyFont="1" applyBorder="1" applyAlignment="1">
      <alignment horizontal="left"/>
    </xf>
    <xf numFmtId="37" fontId="152" fillId="0" borderId="5" xfId="2" applyNumberFormat="1" applyFont="1" applyFill="1" applyBorder="1" applyAlignment="1">
      <alignment horizontal="right" vertical="center"/>
    </xf>
    <xf numFmtId="0" fontId="152" fillId="12" borderId="0" xfId="2" applyFont="1" applyFill="1" applyBorder="1" applyAlignment="1">
      <alignment horizontal="left" vertical="center"/>
    </xf>
    <xf numFmtId="165" fontId="152" fillId="0" borderId="0" xfId="3" applyNumberFormat="1" applyFont="1" applyBorder="1" applyAlignment="1">
      <alignment horizontal="left" vertical="center"/>
    </xf>
    <xf numFmtId="0" fontId="152" fillId="12" borderId="7" xfId="2" applyFont="1" applyFill="1" applyBorder="1" applyAlignment="1">
      <alignment horizontal="right"/>
    </xf>
    <xf numFmtId="165" fontId="152" fillId="0" borderId="0" xfId="0" applyNumberFormat="1" applyFont="1" applyBorder="1" applyAlignment="1">
      <alignment vertical="top"/>
    </xf>
    <xf numFmtId="37" fontId="152" fillId="0" borderId="7" xfId="2" applyNumberFormat="1" applyFont="1" applyFill="1" applyBorder="1" applyAlignment="1">
      <alignment horizontal="right" vertical="center"/>
    </xf>
    <xf numFmtId="165" fontId="152" fillId="0" borderId="12" xfId="3" applyNumberFormat="1" applyFont="1" applyBorder="1" applyAlignment="1">
      <alignment vertical="center"/>
    </xf>
    <xf numFmtId="165" fontId="152" fillId="0" borderId="48" xfId="3" applyNumberFormat="1" applyFont="1" applyBorder="1" applyAlignment="1">
      <alignment vertical="center"/>
    </xf>
    <xf numFmtId="0" fontId="152" fillId="0" borderId="103" xfId="3" applyNumberFormat="1" applyFont="1" applyBorder="1" applyAlignment="1">
      <alignment horizontal="center" vertical="center"/>
    </xf>
    <xf numFmtId="0" fontId="152" fillId="12" borderId="71" xfId="3" applyNumberFormat="1" applyFont="1" applyFill="1" applyBorder="1" applyAlignment="1">
      <alignment horizontal="left" vertical="center"/>
    </xf>
    <xf numFmtId="165" fontId="152" fillId="0" borderId="71" xfId="3" applyNumberFormat="1" applyFont="1" applyBorder="1" applyAlignment="1">
      <alignment horizontal="left" vertical="center"/>
    </xf>
    <xf numFmtId="0" fontId="152" fillId="0" borderId="68" xfId="0" applyNumberFormat="1" applyFont="1" applyBorder="1"/>
    <xf numFmtId="0" fontId="152" fillId="0" borderId="71" xfId="0" applyNumberFormat="1" applyFont="1" applyBorder="1" applyAlignment="1">
      <alignment horizontal="left"/>
    </xf>
    <xf numFmtId="175" fontId="153" fillId="0" borderId="68" xfId="0" applyNumberFormat="1" applyFont="1" applyBorder="1"/>
    <xf numFmtId="165" fontId="152" fillId="0" borderId="76" xfId="3" applyNumberFormat="1" applyFont="1" applyBorder="1" applyAlignment="1">
      <alignment vertical="center"/>
    </xf>
    <xf numFmtId="0" fontId="152" fillId="0" borderId="0" xfId="0" applyFont="1"/>
    <xf numFmtId="0" fontId="152" fillId="0" borderId="75" xfId="3" quotePrefix="1" applyNumberFormat="1" applyFont="1" applyBorder="1" applyAlignment="1">
      <alignment horizontal="center" vertical="center"/>
    </xf>
    <xf numFmtId="0" fontId="152" fillId="12" borderId="27" xfId="3" applyNumberFormat="1" applyFont="1" applyFill="1" applyBorder="1" applyAlignment="1">
      <alignment horizontal="left" vertical="center"/>
    </xf>
    <xf numFmtId="0" fontId="152" fillId="0" borderId="5" xfId="3" applyNumberFormat="1" applyFont="1" applyBorder="1" applyAlignment="1">
      <alignment horizontal="right" vertical="center"/>
    </xf>
    <xf numFmtId="165" fontId="152" fillId="0" borderId="69" xfId="0" applyNumberFormat="1" applyFont="1" applyBorder="1"/>
    <xf numFmtId="175" fontId="152" fillId="0" borderId="5" xfId="3" applyNumberFormat="1" applyFont="1" applyBorder="1" applyAlignment="1">
      <alignment horizontal="right" vertical="center"/>
    </xf>
    <xf numFmtId="165" fontId="152" fillId="0" borderId="28" xfId="3" applyNumberFormat="1" applyFont="1" applyBorder="1" applyAlignment="1">
      <alignment vertical="center"/>
    </xf>
    <xf numFmtId="0" fontId="152" fillId="0" borderId="74" xfId="3" quotePrefix="1" applyNumberFormat="1" applyFont="1" applyBorder="1" applyAlignment="1">
      <alignment horizontal="center" vertical="center"/>
    </xf>
    <xf numFmtId="0" fontId="152" fillId="12" borderId="21" xfId="3" applyNumberFormat="1" applyFont="1" applyFill="1" applyBorder="1" applyAlignment="1">
      <alignment horizontal="left" vertical="center"/>
    </xf>
    <xf numFmtId="165" fontId="152" fillId="0" borderId="69" xfId="3" applyNumberFormat="1" applyFont="1" applyBorder="1" applyAlignment="1">
      <alignment horizontal="left" vertical="center"/>
    </xf>
    <xf numFmtId="175" fontId="152" fillId="0" borderId="2" xfId="3" applyNumberFormat="1" applyFont="1" applyBorder="1" applyAlignment="1">
      <alignment horizontal="right" vertical="center"/>
    </xf>
    <xf numFmtId="43" fontId="28" fillId="0" borderId="0" xfId="3" applyFont="1"/>
    <xf numFmtId="43" fontId="14" fillId="0" borderId="4" xfId="0" applyNumberFormat="1" applyFont="1" applyBorder="1"/>
    <xf numFmtId="43" fontId="28" fillId="0" borderId="0" xfId="0" applyNumberFormat="1" applyFont="1"/>
    <xf numFmtId="41" fontId="18" fillId="0" borderId="0" xfId="0" applyNumberFormat="1" applyFont="1" applyFill="1"/>
    <xf numFmtId="0" fontId="154" fillId="0" borderId="0" xfId="0" applyFont="1" applyFill="1" applyAlignment="1">
      <alignment horizontal="left" vertical="top" wrapText="1"/>
    </xf>
    <xf numFmtId="0" fontId="154" fillId="0" borderId="0" xfId="0" applyFont="1" applyFill="1" applyAlignment="1">
      <alignment horizontal="center" vertical="top" wrapText="1"/>
    </xf>
    <xf numFmtId="0" fontId="154" fillId="0" borderId="0" xfId="0" applyFont="1" applyFill="1"/>
    <xf numFmtId="0" fontId="99" fillId="0" borderId="0" xfId="6" applyFont="1" applyAlignment="1">
      <alignment horizontal="center"/>
    </xf>
    <xf numFmtId="0" fontId="74" fillId="0" borderId="0" xfId="6" applyFont="1" applyAlignment="1">
      <alignment horizontal="center"/>
    </xf>
    <xf numFmtId="0" fontId="72" fillId="0" borderId="0" xfId="6" applyFont="1" applyAlignment="1">
      <alignment horizontal="center"/>
    </xf>
    <xf numFmtId="0" fontId="74" fillId="0" borderId="30" xfId="6" applyFont="1" applyBorder="1" applyAlignment="1">
      <alignment horizontal="center" vertical="center" wrapText="1"/>
    </xf>
    <xf numFmtId="0" fontId="74" fillId="0" borderId="41" xfId="6" applyFont="1" applyBorder="1" applyAlignment="1">
      <alignment horizontal="center" vertical="center" wrapText="1"/>
    </xf>
    <xf numFmtId="0" fontId="74" fillId="0" borderId="4" xfId="6" applyFont="1" applyBorder="1" applyAlignment="1">
      <alignment horizontal="center" vertical="center" wrapText="1"/>
    </xf>
    <xf numFmtId="0" fontId="74" fillId="0" borderId="42" xfId="6" applyFont="1" applyBorder="1" applyAlignment="1">
      <alignment horizontal="center" vertical="center" wrapText="1"/>
    </xf>
    <xf numFmtId="0" fontId="72" fillId="0" borderId="47" xfId="6" applyFont="1" applyBorder="1" applyAlignment="1">
      <alignment horizontal="right" vertical="center"/>
    </xf>
    <xf numFmtId="0" fontId="74" fillId="0" borderId="47" xfId="6" applyFont="1" applyBorder="1" applyAlignment="1">
      <alignment horizontal="right" vertical="center"/>
    </xf>
    <xf numFmtId="0" fontId="72" fillId="0" borderId="51" xfId="6" applyFont="1" applyBorder="1" applyAlignment="1">
      <alignment horizontal="right" vertical="center"/>
    </xf>
    <xf numFmtId="0" fontId="72" fillId="0" borderId="19" xfId="6" applyFont="1" applyBorder="1" applyAlignment="1">
      <alignment horizontal="center" vertical="top"/>
    </xf>
    <xf numFmtId="0" fontId="72" fillId="0" borderId="3" xfId="6" applyFont="1" applyBorder="1" applyAlignment="1">
      <alignment horizontal="left" vertical="top" wrapText="1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50" fillId="0" borderId="0" xfId="0" applyFont="1" applyBorder="1" applyAlignment="1">
      <alignment horizontal="left" vertical="top"/>
    </xf>
    <xf numFmtId="0" fontId="51" fillId="0" borderId="0" xfId="0" applyFont="1" applyFill="1" applyAlignment="1">
      <alignment horizontal="center"/>
    </xf>
    <xf numFmtId="165" fontId="32" fillId="0" borderId="7" xfId="3" quotePrefix="1" applyNumberFormat="1" applyFont="1" applyBorder="1" applyAlignment="1">
      <alignment horizontal="center" vertical="center"/>
    </xf>
    <xf numFmtId="0" fontId="32" fillId="12" borderId="36" xfId="2" applyFont="1" applyFill="1" applyBorder="1" applyAlignment="1">
      <alignment horizontal="left" vertical="center"/>
    </xf>
    <xf numFmtId="0" fontId="32" fillId="12" borderId="38" xfId="2" applyFont="1" applyFill="1" applyBorder="1" applyAlignment="1">
      <alignment horizontal="left" vertical="center"/>
    </xf>
    <xf numFmtId="165" fontId="50" fillId="0" borderId="7" xfId="3" applyNumberFormat="1" applyFont="1" applyFill="1" applyBorder="1" applyAlignment="1">
      <alignment horizontal="center" vertical="center"/>
    </xf>
    <xf numFmtId="165" fontId="32" fillId="0" borderId="7" xfId="3" applyNumberFormat="1" applyFont="1" applyFill="1" applyBorder="1" applyAlignment="1">
      <alignment horizontal="right" vertical="center"/>
    </xf>
    <xf numFmtId="165" fontId="50" fillId="0" borderId="7" xfId="3" applyNumberFormat="1" applyFont="1" applyFill="1" applyBorder="1" applyAlignment="1">
      <alignment vertical="center"/>
    </xf>
    <xf numFmtId="165" fontId="32" fillId="0" borderId="7" xfId="3" applyNumberFormat="1" applyFont="1" applyFill="1" applyBorder="1" applyAlignment="1">
      <alignment vertical="center"/>
    </xf>
    <xf numFmtId="41" fontId="32" fillId="0" borderId="7" xfId="3" applyNumberFormat="1" applyFont="1" applyFill="1" applyBorder="1" applyAlignment="1">
      <alignment vertical="center"/>
    </xf>
    <xf numFmtId="165" fontId="50" fillId="0" borderId="3" xfId="3" applyNumberFormat="1" applyFont="1" applyFill="1" applyBorder="1" applyAlignment="1">
      <alignment vertical="center"/>
    </xf>
    <xf numFmtId="0" fontId="74" fillId="0" borderId="57" xfId="6" applyFont="1" applyBorder="1" applyAlignment="1">
      <alignment horizontal="center" vertical="center" wrapText="1"/>
    </xf>
    <xf numFmtId="0" fontId="74" fillId="0" borderId="6" xfId="6" applyFont="1" applyBorder="1" applyAlignment="1">
      <alignment horizontal="center" vertical="center" wrapText="1"/>
    </xf>
    <xf numFmtId="0" fontId="74" fillId="0" borderId="100" xfId="6" applyFont="1" applyBorder="1" applyAlignment="1">
      <alignment vertical="center" wrapText="1"/>
    </xf>
    <xf numFmtId="0" fontId="74" fillId="0" borderId="126" xfId="6" applyFont="1" applyBorder="1" applyAlignment="1">
      <alignment vertical="center" wrapText="1"/>
    </xf>
    <xf numFmtId="0" fontId="74" fillId="0" borderId="106" xfId="6" applyFont="1" applyBorder="1" applyAlignment="1">
      <alignment vertical="center" wrapText="1"/>
    </xf>
    <xf numFmtId="0" fontId="72" fillId="0" borderId="47" xfId="6" applyFont="1" applyBorder="1" applyAlignment="1">
      <alignment horizontal="center" vertical="center"/>
    </xf>
    <xf numFmtId="0" fontId="72" fillId="0" borderId="4" xfId="6" applyFont="1" applyBorder="1" applyAlignment="1">
      <alignment horizontal="center" vertical="center"/>
    </xf>
    <xf numFmtId="0" fontId="74" fillId="0" borderId="47" xfId="6" applyFont="1" applyBorder="1" applyAlignment="1">
      <alignment horizontal="center" vertical="center"/>
    </xf>
    <xf numFmtId="0" fontId="72" fillId="0" borderId="51" xfId="6" applyFont="1" applyBorder="1" applyAlignment="1">
      <alignment horizontal="center" vertical="center"/>
    </xf>
    <xf numFmtId="41" fontId="74" fillId="0" borderId="0" xfId="6" applyNumberFormat="1" applyFont="1" applyAlignment="1">
      <alignment horizontal="center"/>
    </xf>
    <xf numFmtId="41" fontId="74" fillId="0" borderId="106" xfId="6" applyNumberFormat="1" applyFont="1" applyBorder="1" applyAlignment="1">
      <alignment horizontal="center" vertical="center" wrapText="1"/>
    </xf>
    <xf numFmtId="41" fontId="74" fillId="0" borderId="68" xfId="6" applyNumberFormat="1" applyFont="1" applyBorder="1" applyAlignment="1">
      <alignment horizontal="center" vertical="center" wrapText="1"/>
    </xf>
    <xf numFmtId="41" fontId="74" fillId="0" borderId="5" xfId="6" applyNumberFormat="1" applyFont="1" applyBorder="1" applyAlignment="1">
      <alignment horizontal="center" vertical="center"/>
    </xf>
    <xf numFmtId="41" fontId="74" fillId="0" borderId="124" xfId="6" applyNumberFormat="1" applyFont="1" applyBorder="1" applyAlignment="1">
      <alignment horizontal="center" vertical="center"/>
    </xf>
    <xf numFmtId="41" fontId="74" fillId="0" borderId="125" xfId="6" applyNumberFormat="1" applyFont="1" applyBorder="1" applyAlignment="1">
      <alignment horizontal="center" vertical="center"/>
    </xf>
    <xf numFmtId="41" fontId="74" fillId="0" borderId="139" xfId="6" applyNumberFormat="1" applyFont="1" applyBorder="1" applyAlignment="1">
      <alignment horizontal="center" vertical="center" wrapText="1"/>
    </xf>
    <xf numFmtId="0" fontId="74" fillId="0" borderId="0" xfId="6" applyFont="1" applyAlignment="1">
      <alignment horizontal="right" vertical="center"/>
    </xf>
    <xf numFmtId="41" fontId="72" fillId="0" borderId="4" xfId="31" applyFont="1" applyBorder="1" applyAlignment="1">
      <alignment vertical="center"/>
    </xf>
    <xf numFmtId="0" fontId="74" fillId="0" borderId="106" xfId="6" applyFont="1" applyBorder="1" applyAlignment="1">
      <alignment horizontal="right" vertical="top"/>
    </xf>
    <xf numFmtId="0" fontId="74" fillId="0" borderId="100" xfId="6" applyFont="1" applyBorder="1" applyAlignment="1">
      <alignment horizontal="right" vertical="top"/>
    </xf>
    <xf numFmtId="0" fontId="74" fillId="0" borderId="100" xfId="6" quotePrefix="1" applyFont="1" applyBorder="1" applyAlignment="1">
      <alignment horizontal="right" vertical="top"/>
    </xf>
    <xf numFmtId="41" fontId="72" fillId="0" borderId="4" xfId="31" applyFont="1" applyBorder="1" applyAlignment="1">
      <alignment horizontal="center" vertical="center"/>
    </xf>
    <xf numFmtId="0" fontId="74" fillId="0" borderId="4" xfId="6" applyFont="1" applyBorder="1" applyAlignment="1">
      <alignment horizontal="right" vertical="center"/>
    </xf>
    <xf numFmtId="0" fontId="74" fillId="0" borderId="4" xfId="6" applyFont="1" applyBorder="1" applyAlignment="1">
      <alignment horizontal="center" vertical="center"/>
    </xf>
    <xf numFmtId="41" fontId="74" fillId="0" borderId="4" xfId="31" applyFont="1" applyBorder="1" applyAlignment="1">
      <alignment vertical="center"/>
    </xf>
    <xf numFmtId="0" fontId="77" fillId="0" borderId="0" xfId="6" applyFont="1" applyAlignment="1">
      <alignment horizontal="right" vertical="center"/>
    </xf>
    <xf numFmtId="165" fontId="148" fillId="0" borderId="0" xfId="0" applyNumberFormat="1" applyFont="1"/>
    <xf numFmtId="0" fontId="77" fillId="0" borderId="4" xfId="6" applyFont="1" applyBorder="1" applyAlignment="1">
      <alignment horizontal="center" vertical="center"/>
    </xf>
    <xf numFmtId="0" fontId="77" fillId="0" borderId="4" xfId="6" applyFont="1" applyBorder="1" applyAlignment="1">
      <alignment horizontal="right" vertical="center"/>
    </xf>
    <xf numFmtId="41" fontId="74" fillId="0" borderId="4" xfId="31" applyFont="1" applyBorder="1" applyAlignment="1">
      <alignment horizontal="right" vertical="center"/>
    </xf>
    <xf numFmtId="41" fontId="72" fillId="0" borderId="4" xfId="6" applyNumberFormat="1" applyFont="1" applyBorder="1" applyAlignment="1">
      <alignment vertical="center"/>
    </xf>
    <xf numFmtId="0" fontId="74" fillId="0" borderId="106" xfId="6" applyFont="1" applyFill="1" applyBorder="1" applyAlignment="1">
      <alignment horizontal="right" vertical="center" wrapText="1"/>
    </xf>
    <xf numFmtId="0" fontId="74" fillId="0" borderId="106" xfId="6" applyFont="1" applyFill="1" applyBorder="1" applyAlignment="1">
      <alignment vertical="center" wrapText="1"/>
    </xf>
    <xf numFmtId="41" fontId="74" fillId="0" borderId="106" xfId="31" applyFont="1" applyBorder="1" applyAlignment="1">
      <alignment vertical="center"/>
    </xf>
    <xf numFmtId="0" fontId="74" fillId="0" borderId="106" xfId="6" applyFont="1" applyBorder="1" applyAlignment="1">
      <alignment horizontal="center"/>
    </xf>
    <xf numFmtId="0" fontId="74" fillId="0" borderId="106" xfId="6" applyFont="1" applyBorder="1"/>
    <xf numFmtId="0" fontId="155" fillId="0" borderId="106" xfId="6" applyFont="1" applyBorder="1" applyAlignment="1">
      <alignment horizontal="center"/>
    </xf>
    <xf numFmtId="0" fontId="74" fillId="0" borderId="100" xfId="6" applyFont="1" applyFill="1" applyBorder="1" applyAlignment="1">
      <alignment horizontal="right" vertical="center" wrapText="1"/>
    </xf>
    <xf numFmtId="41" fontId="74" fillId="0" borderId="100" xfId="31" applyFont="1" applyBorder="1" applyAlignment="1">
      <alignment vertical="center"/>
    </xf>
    <xf numFmtId="0" fontId="74" fillId="0" borderId="100" xfId="6" applyFont="1" applyBorder="1" applyAlignment="1">
      <alignment horizontal="center"/>
    </xf>
    <xf numFmtId="0" fontId="74" fillId="0" borderId="100" xfId="6" applyFont="1" applyBorder="1"/>
    <xf numFmtId="0" fontId="155" fillId="0" borderId="100" xfId="6" applyFont="1" applyBorder="1" applyAlignment="1">
      <alignment horizontal="center"/>
    </xf>
    <xf numFmtId="0" fontId="74" fillId="0" borderId="100" xfId="6" applyFont="1" applyBorder="1" applyAlignment="1">
      <alignment horizontal="center" wrapText="1"/>
    </xf>
    <xf numFmtId="0" fontId="155" fillId="0" borderId="100" xfId="6" applyFont="1" applyBorder="1" applyAlignment="1">
      <alignment horizontal="center" wrapText="1"/>
    </xf>
    <xf numFmtId="0" fontId="74" fillId="0" borderId="100" xfId="6" applyFont="1" applyFill="1" applyBorder="1" applyAlignment="1">
      <alignment horizontal="center" vertical="center"/>
    </xf>
    <xf numFmtId="0" fontId="74" fillId="0" borderId="100" xfId="6" applyFont="1" applyFill="1" applyBorder="1" applyAlignment="1">
      <alignment horizontal="left" vertical="center" wrapText="1"/>
    </xf>
    <xf numFmtId="41" fontId="74" fillId="0" borderId="100" xfId="31" applyFont="1" applyFill="1" applyBorder="1" applyAlignment="1">
      <alignment vertical="center"/>
    </xf>
    <xf numFmtId="0" fontId="74" fillId="0" borderId="100" xfId="6" applyFont="1" applyFill="1" applyBorder="1" applyAlignment="1">
      <alignment horizontal="center"/>
    </xf>
    <xf numFmtId="0" fontId="74" fillId="0" borderId="100" xfId="6" applyFont="1" applyFill="1" applyBorder="1"/>
    <xf numFmtId="0" fontId="74" fillId="0" borderId="100" xfId="6" applyFont="1" applyFill="1" applyBorder="1" applyAlignment="1">
      <alignment horizontal="center" wrapText="1"/>
    </xf>
    <xf numFmtId="0" fontId="155" fillId="0" borderId="100" xfId="6" applyFont="1" applyFill="1" applyBorder="1" applyAlignment="1">
      <alignment horizontal="center" wrapText="1"/>
    </xf>
    <xf numFmtId="0" fontId="155" fillId="0" borderId="100" xfId="6" applyFont="1" applyBorder="1" applyAlignment="1">
      <alignment horizontal="center" vertical="center" wrapText="1"/>
    </xf>
    <xf numFmtId="0" fontId="74" fillId="0" borderId="126" xfId="6" applyFont="1" applyFill="1" applyBorder="1" applyAlignment="1">
      <alignment horizontal="right" vertical="center" wrapText="1"/>
    </xf>
    <xf numFmtId="41" fontId="74" fillId="0" borderId="126" xfId="31" applyFont="1" applyBorder="1" applyAlignment="1">
      <alignment vertical="center"/>
    </xf>
    <xf numFmtId="0" fontId="74" fillId="0" borderId="126" xfId="6" applyFont="1" applyBorder="1" applyAlignment="1">
      <alignment horizontal="center"/>
    </xf>
    <xf numFmtId="0" fontId="74" fillId="0" borderId="126" xfId="6" applyFont="1" applyBorder="1"/>
    <xf numFmtId="0" fontId="155" fillId="0" borderId="126" xfId="6" applyFont="1" applyBorder="1" applyAlignment="1">
      <alignment horizontal="center" vertical="center" wrapText="1"/>
    </xf>
    <xf numFmtId="0" fontId="74" fillId="0" borderId="106" xfId="6" applyFont="1" applyBorder="1" applyAlignment="1">
      <alignment horizontal="center" wrapText="1"/>
    </xf>
    <xf numFmtId="0" fontId="155" fillId="0" borderId="106" xfId="6" applyFont="1" applyBorder="1" applyAlignment="1">
      <alignment horizontal="center" vertical="center" wrapText="1"/>
    </xf>
    <xf numFmtId="41" fontId="74" fillId="0" borderId="100" xfId="31" applyFont="1" applyBorder="1" applyAlignment="1">
      <alignment horizontal="center" vertical="center"/>
    </xf>
    <xf numFmtId="0" fontId="72" fillId="0" borderId="100" xfId="6" applyFont="1" applyBorder="1" applyAlignment="1">
      <alignment horizontal="center" vertical="top"/>
    </xf>
    <xf numFmtId="0" fontId="72" fillId="0" borderId="100" xfId="6" applyFont="1" applyBorder="1" applyAlignment="1">
      <alignment horizontal="center" vertical="top" wrapText="1"/>
    </xf>
    <xf numFmtId="0" fontId="72" fillId="0" borderId="126" xfId="6" applyFont="1" applyBorder="1" applyAlignment="1">
      <alignment horizontal="right" vertical="center"/>
    </xf>
    <xf numFmtId="0" fontId="72" fillId="0" borderId="126" xfId="6" applyFont="1" applyBorder="1" applyAlignment="1">
      <alignment horizontal="center" vertical="center"/>
    </xf>
    <xf numFmtId="41" fontId="72" fillId="0" borderId="126" xfId="31" applyFont="1" applyBorder="1" applyAlignment="1">
      <alignment vertical="center"/>
    </xf>
    <xf numFmtId="0" fontId="74" fillId="0" borderId="106" xfId="6" applyFont="1" applyBorder="1" applyAlignment="1">
      <alignment horizontal="right" vertical="center" wrapText="1"/>
    </xf>
    <xf numFmtId="0" fontId="74" fillId="0" borderId="106" xfId="6" applyFont="1" applyBorder="1" applyAlignment="1">
      <alignment horizontal="left" vertical="center"/>
    </xf>
    <xf numFmtId="41" fontId="74" fillId="0" borderId="106" xfId="31" applyFont="1" applyBorder="1" applyAlignment="1">
      <alignment horizontal="center" vertical="center"/>
    </xf>
    <xf numFmtId="0" fontId="74" fillId="0" borderId="100" xfId="6" applyFont="1" applyBorder="1" applyAlignment="1">
      <alignment horizontal="right" vertical="center" wrapText="1"/>
    </xf>
    <xf numFmtId="0" fontId="74" fillId="0" borderId="126" xfId="6" applyFont="1" applyBorder="1" applyAlignment="1">
      <alignment horizontal="right" vertical="center" wrapText="1"/>
    </xf>
    <xf numFmtId="41" fontId="74" fillId="0" borderId="126" xfId="31" applyFont="1" applyBorder="1" applyAlignment="1">
      <alignment horizontal="center" vertical="center"/>
    </xf>
    <xf numFmtId="0" fontId="74" fillId="0" borderId="126" xfId="6" applyFont="1" applyBorder="1" applyAlignment="1">
      <alignment horizontal="left" vertical="center" wrapText="1"/>
    </xf>
    <xf numFmtId="0" fontId="74" fillId="0" borderId="106" xfId="6" applyFont="1" applyBorder="1" applyAlignment="1">
      <alignment horizontal="right" vertical="center"/>
    </xf>
    <xf numFmtId="0" fontId="74" fillId="0" borderId="106" xfId="6" applyFont="1" applyBorder="1" applyAlignment="1">
      <alignment vertical="center"/>
    </xf>
    <xf numFmtId="0" fontId="72" fillId="0" borderId="106" xfId="6" applyFont="1" applyBorder="1" applyAlignment="1">
      <alignment horizontal="right" vertical="center"/>
    </xf>
    <xf numFmtId="41" fontId="72" fillId="0" borderId="106" xfId="31" applyFont="1" applyBorder="1" applyAlignment="1">
      <alignment horizontal="center" vertical="center"/>
    </xf>
    <xf numFmtId="0" fontId="74" fillId="0" borderId="126" xfId="6" applyFont="1" applyBorder="1" applyAlignment="1">
      <alignment horizontal="right" vertical="center"/>
    </xf>
    <xf numFmtId="41" fontId="72" fillId="0" borderId="126" xfId="31" applyFont="1" applyBorder="1" applyAlignment="1">
      <alignment horizontal="center" vertical="center"/>
    </xf>
    <xf numFmtId="167" fontId="19" fillId="0" borderId="106" xfId="0" applyNumberFormat="1" applyFont="1" applyFill="1" applyBorder="1" applyAlignment="1">
      <alignment horizontal="right" vertical="top" wrapText="1"/>
    </xf>
    <xf numFmtId="41" fontId="74" fillId="0" borderId="106" xfId="31" applyFont="1" applyBorder="1" applyAlignment="1">
      <alignment horizontal="right" vertical="center"/>
    </xf>
    <xf numFmtId="41" fontId="74" fillId="0" borderId="126" xfId="31" applyFont="1" applyBorder="1" applyAlignment="1">
      <alignment horizontal="right" vertical="center"/>
    </xf>
    <xf numFmtId="0" fontId="72" fillId="0" borderId="0" xfId="6" applyFont="1" applyBorder="1" applyAlignment="1">
      <alignment horizontal="center" vertical="center" wrapText="1"/>
    </xf>
    <xf numFmtId="0" fontId="72" fillId="0" borderId="4" xfId="6" applyFont="1" applyBorder="1" applyAlignment="1">
      <alignment horizontal="center" vertical="center" wrapText="1"/>
    </xf>
    <xf numFmtId="164" fontId="72" fillId="0" borderId="0" xfId="6" applyNumberFormat="1" applyFont="1" applyFill="1" applyBorder="1" applyAlignment="1">
      <alignment horizontal="center" vertical="center"/>
    </xf>
    <xf numFmtId="0" fontId="72" fillId="0" borderId="0" xfId="6" applyFont="1" applyFill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4" fillId="0" borderId="47" xfId="0" applyFont="1" applyBorder="1" applyAlignment="1">
      <alignment horizontal="center" vertical="center"/>
    </xf>
    <xf numFmtId="0" fontId="64" fillId="0" borderId="60" xfId="0" applyFont="1" applyBorder="1" applyAlignment="1">
      <alignment horizontal="center" vertical="center"/>
    </xf>
    <xf numFmtId="41" fontId="64" fillId="14" borderId="4" xfId="0" applyNumberFormat="1" applyFont="1" applyFill="1" applyBorder="1" applyAlignment="1">
      <alignment horizontal="center" vertical="center"/>
    </xf>
    <xf numFmtId="0" fontId="64" fillId="14" borderId="1" xfId="0" applyFont="1" applyFill="1" applyBorder="1" applyAlignment="1">
      <alignment horizontal="center" vertical="center"/>
    </xf>
    <xf numFmtId="0" fontId="64" fillId="14" borderId="7" xfId="0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41" fontId="64" fillId="0" borderId="0" xfId="0" applyNumberFormat="1" applyFont="1" applyAlignment="1">
      <alignment horizontal="center"/>
    </xf>
    <xf numFmtId="0" fontId="64" fillId="0" borderId="37" xfId="0" applyFont="1" applyBorder="1"/>
    <xf numFmtId="0" fontId="64" fillId="14" borderId="61" xfId="0" applyFont="1" applyFill="1" applyBorder="1" applyAlignment="1">
      <alignment horizontal="center" vertical="center"/>
    </xf>
    <xf numFmtId="0" fontId="64" fillId="14" borderId="59" xfId="0" applyFont="1" applyFill="1" applyBorder="1" applyAlignment="1">
      <alignment horizontal="center" vertical="center"/>
    </xf>
    <xf numFmtId="0" fontId="64" fillId="14" borderId="56" xfId="0" applyFont="1" applyFill="1" applyBorder="1" applyAlignment="1">
      <alignment horizontal="center" vertical="center"/>
    </xf>
    <xf numFmtId="0" fontId="64" fillId="14" borderId="36" xfId="0" applyFont="1" applyFill="1" applyBorder="1" applyAlignment="1">
      <alignment horizontal="center" vertical="center"/>
    </xf>
    <xf numFmtId="0" fontId="64" fillId="14" borderId="37" xfId="0" applyFont="1" applyFill="1" applyBorder="1" applyAlignment="1">
      <alignment horizontal="center" vertical="center"/>
    </xf>
    <xf numFmtId="0" fontId="64" fillId="14" borderId="38" xfId="0" applyFont="1" applyFill="1" applyBorder="1" applyAlignment="1">
      <alignment horizontal="center" vertical="center"/>
    </xf>
    <xf numFmtId="41" fontId="64" fillId="0" borderId="0" xfId="0" applyNumberFormat="1" applyFont="1" applyAlignment="1">
      <alignment horizontal="right" vertical="top" wrapText="1"/>
    </xf>
    <xf numFmtId="0" fontId="64" fillId="0" borderId="0" xfId="0" applyNumberFormat="1" applyFont="1" applyAlignment="1">
      <alignment horizontal="right" vertical="top" wrapText="1"/>
    </xf>
    <xf numFmtId="41" fontId="6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center" vertical="top" wrapText="1"/>
    </xf>
    <xf numFmtId="0" fontId="13" fillId="0" borderId="12" xfId="0" applyFont="1" applyBorder="1" applyAlignment="1">
      <alignment horizontal="center"/>
    </xf>
    <xf numFmtId="0" fontId="13" fillId="0" borderId="47" xfId="0" applyFont="1" applyBorder="1" applyAlignment="1">
      <alignment horizontal="center"/>
    </xf>
    <xf numFmtId="0" fontId="13" fillId="0" borderId="60" xfId="0" applyFont="1" applyBorder="1" applyAlignment="1">
      <alignment horizontal="center"/>
    </xf>
    <xf numFmtId="0" fontId="40" fillId="8" borderId="12" xfId="0" applyFont="1" applyFill="1" applyBorder="1" applyAlignment="1">
      <alignment horizontal="center"/>
    </xf>
    <xf numFmtId="0" fontId="40" fillId="8" borderId="47" xfId="0" applyFont="1" applyFill="1" applyBorder="1" applyAlignment="1">
      <alignment horizontal="center"/>
    </xf>
    <xf numFmtId="0" fontId="40" fillId="8" borderId="60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3" fillId="11" borderId="12" xfId="0" applyFont="1" applyFill="1" applyBorder="1" applyAlignment="1">
      <alignment horizontal="center"/>
    </xf>
    <xf numFmtId="0" fontId="13" fillId="11" borderId="47" xfId="0" applyFont="1" applyFill="1" applyBorder="1" applyAlignment="1">
      <alignment horizontal="center"/>
    </xf>
    <xf numFmtId="0" fontId="13" fillId="11" borderId="60" xfId="0" applyFont="1" applyFill="1" applyBorder="1" applyAlignment="1">
      <alignment horizontal="center"/>
    </xf>
    <xf numFmtId="0" fontId="149" fillId="0" borderId="0" xfId="0" applyFont="1" applyAlignment="1">
      <alignment horizontal="center"/>
    </xf>
    <xf numFmtId="0" fontId="19" fillId="0" borderId="0" xfId="0" applyFont="1" applyFill="1" applyBorder="1" applyAlignment="1">
      <alignment horizontal="left" vertical="top" wrapText="1"/>
    </xf>
    <xf numFmtId="0" fontId="154" fillId="0" borderId="0" xfId="0" applyFont="1" applyFill="1" applyAlignment="1">
      <alignment horizontal="center" vertical="top" wrapText="1"/>
    </xf>
    <xf numFmtId="0" fontId="19" fillId="0" borderId="4" xfId="0" applyFont="1" applyFill="1" applyBorder="1" applyAlignment="1">
      <alignment horizontal="center" vertical="center"/>
    </xf>
    <xf numFmtId="0" fontId="93" fillId="0" borderId="0" xfId="0" applyFont="1" applyFill="1" applyBorder="1" applyAlignment="1">
      <alignment horizontal="center"/>
    </xf>
    <xf numFmtId="0" fontId="19" fillId="0" borderId="0" xfId="0" applyFont="1" applyFill="1" applyAlignment="1">
      <alignment horizontal="left" vertical="top" wrapText="1"/>
    </xf>
    <xf numFmtId="0" fontId="19" fillId="0" borderId="0" xfId="0" applyFont="1" applyFill="1" applyAlignment="1">
      <alignment horizontal="center"/>
    </xf>
    <xf numFmtId="0" fontId="19" fillId="0" borderId="4" xfId="0" applyFont="1" applyFill="1" applyBorder="1" applyAlignment="1">
      <alignment horizontal="center" vertical="center" wrapText="1"/>
    </xf>
    <xf numFmtId="0" fontId="18" fillId="7" borderId="4" xfId="0" applyFont="1" applyFill="1" applyBorder="1" applyAlignment="1">
      <alignment horizontal="center"/>
    </xf>
    <xf numFmtId="0" fontId="18" fillId="7" borderId="12" xfId="0" applyFont="1" applyFill="1" applyBorder="1" applyAlignment="1">
      <alignment horizontal="left"/>
    </xf>
    <xf numFmtId="0" fontId="18" fillId="7" borderId="60" xfId="0" applyFont="1" applyFill="1" applyBorder="1" applyAlignment="1">
      <alignment horizontal="left"/>
    </xf>
    <xf numFmtId="0" fontId="19" fillId="0" borderId="12" xfId="0" applyFont="1" applyFill="1" applyBorder="1" applyAlignment="1">
      <alignment horizontal="center" vertical="center" wrapText="1"/>
    </xf>
    <xf numFmtId="0" fontId="19" fillId="0" borderId="60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 wrapText="1"/>
    </xf>
    <xf numFmtId="0" fontId="72" fillId="0" borderId="50" xfId="6" applyFont="1" applyBorder="1" applyAlignment="1">
      <alignment horizontal="right" vertical="center"/>
    </xf>
    <xf numFmtId="0" fontId="72" fillId="0" borderId="51" xfId="6" applyFont="1" applyBorder="1" applyAlignment="1">
      <alignment horizontal="right" vertical="center"/>
    </xf>
    <xf numFmtId="0" fontId="72" fillId="0" borderId="46" xfId="6" applyFont="1" applyBorder="1" applyAlignment="1">
      <alignment horizontal="right" vertical="center"/>
    </xf>
    <xf numFmtId="0" fontId="72" fillId="0" borderId="47" xfId="6" applyFont="1" applyBorder="1" applyAlignment="1">
      <alignment horizontal="right" vertical="center"/>
    </xf>
    <xf numFmtId="0" fontId="72" fillId="0" borderId="49" xfId="6" applyFont="1" applyBorder="1" applyAlignment="1">
      <alignment horizontal="center" vertical="top"/>
    </xf>
    <xf numFmtId="0" fontId="72" fillId="0" borderId="19" xfId="6" applyFont="1" applyBorder="1" applyAlignment="1">
      <alignment horizontal="center" vertical="top"/>
    </xf>
    <xf numFmtId="0" fontId="72" fillId="0" borderId="1" xfId="6" applyFont="1" applyBorder="1" applyAlignment="1">
      <alignment horizontal="left" vertical="top" wrapText="1"/>
    </xf>
    <xf numFmtId="0" fontId="72" fillId="0" borderId="3" xfId="6" applyFont="1" applyBorder="1" applyAlignment="1">
      <alignment horizontal="left" vertical="top" wrapText="1"/>
    </xf>
    <xf numFmtId="0" fontId="72" fillId="0" borderId="8" xfId="6" applyFont="1" applyBorder="1" applyAlignment="1">
      <alignment horizontal="center" vertical="top"/>
    </xf>
    <xf numFmtId="0" fontId="72" fillId="0" borderId="88" xfId="6" applyFont="1" applyBorder="1" applyAlignment="1">
      <alignment horizontal="center" vertical="top"/>
    </xf>
    <xf numFmtId="0" fontId="74" fillId="0" borderId="46" xfId="6" applyFont="1" applyBorder="1" applyAlignment="1">
      <alignment horizontal="right" vertical="center"/>
    </xf>
    <xf numFmtId="0" fontId="74" fillId="0" borderId="47" xfId="6" applyFont="1" applyBorder="1" applyAlignment="1">
      <alignment horizontal="right" vertical="center"/>
    </xf>
    <xf numFmtId="0" fontId="72" fillId="0" borderId="1" xfId="6" applyFont="1" applyBorder="1" applyAlignment="1">
      <alignment horizontal="center" vertical="top" wrapText="1"/>
    </xf>
    <xf numFmtId="0" fontId="72" fillId="0" borderId="3" xfId="6" applyFont="1" applyBorder="1" applyAlignment="1">
      <alignment horizontal="center" vertical="top" wrapText="1"/>
    </xf>
    <xf numFmtId="0" fontId="72" fillId="0" borderId="122" xfId="6" applyFont="1" applyBorder="1" applyAlignment="1">
      <alignment horizontal="center" vertical="top"/>
    </xf>
    <xf numFmtId="0" fontId="72" fillId="0" borderId="36" xfId="6" applyFont="1" applyBorder="1" applyAlignment="1">
      <alignment horizontal="right" vertical="top"/>
    </xf>
    <xf numFmtId="0" fontId="72" fillId="0" borderId="37" xfId="6" applyFont="1" applyBorder="1" applyAlignment="1">
      <alignment horizontal="right" vertical="top"/>
    </xf>
    <xf numFmtId="0" fontId="72" fillId="0" borderId="38" xfId="6" applyFont="1" applyBorder="1" applyAlignment="1">
      <alignment horizontal="right" vertical="top"/>
    </xf>
    <xf numFmtId="0" fontId="101" fillId="0" borderId="1" xfId="6" applyFont="1" applyBorder="1" applyAlignment="1">
      <alignment horizontal="center" vertical="center" wrapText="1"/>
    </xf>
    <xf numFmtId="0" fontId="101" fillId="0" borderId="7" xfId="6" applyFont="1" applyBorder="1" applyAlignment="1">
      <alignment horizontal="center" vertical="center" wrapText="1"/>
    </xf>
    <xf numFmtId="0" fontId="72" fillId="0" borderId="1" xfId="6" applyFont="1" applyBorder="1" applyAlignment="1">
      <alignment horizontal="center" vertical="top"/>
    </xf>
    <xf numFmtId="0" fontId="72" fillId="0" borderId="7" xfId="6" applyFont="1" applyBorder="1" applyAlignment="1">
      <alignment horizontal="center" vertical="top"/>
    </xf>
    <xf numFmtId="41" fontId="74" fillId="0" borderId="0" xfId="1" applyFont="1" applyAlignment="1">
      <alignment horizontal="center"/>
    </xf>
    <xf numFmtId="0" fontId="99" fillId="0" borderId="0" xfId="6" applyFont="1" applyAlignment="1">
      <alignment horizontal="center"/>
    </xf>
    <xf numFmtId="0" fontId="74" fillId="0" borderId="0" xfId="6" applyFont="1" applyAlignment="1">
      <alignment horizontal="center"/>
    </xf>
    <xf numFmtId="0" fontId="72" fillId="0" borderId="0" xfId="6" applyFont="1" applyAlignment="1">
      <alignment horizontal="center"/>
    </xf>
    <xf numFmtId="0" fontId="74" fillId="0" borderId="29" xfId="6" applyFont="1" applyBorder="1" applyAlignment="1">
      <alignment horizontal="center" vertical="center" wrapText="1"/>
    </xf>
    <xf numFmtId="0" fontId="74" fillId="0" borderId="35" xfId="6" applyFont="1" applyBorder="1" applyAlignment="1">
      <alignment horizontal="center" vertical="center" wrapText="1"/>
    </xf>
    <xf numFmtId="0" fontId="74" fillId="0" borderId="40" xfId="6" applyFont="1" applyBorder="1" applyAlignment="1">
      <alignment horizontal="center" vertical="center" wrapText="1"/>
    </xf>
    <xf numFmtId="0" fontId="74" fillId="0" borderId="30" xfId="6" applyFont="1" applyBorder="1" applyAlignment="1">
      <alignment horizontal="center" vertical="center" wrapText="1"/>
    </xf>
    <xf numFmtId="0" fontId="74" fillId="0" borderId="9" xfId="6" applyFont="1" applyBorder="1" applyAlignment="1">
      <alignment horizontal="center" vertical="center" wrapText="1"/>
    </xf>
    <xf numFmtId="0" fontId="74" fillId="0" borderId="31" xfId="6" applyFont="1" applyBorder="1" applyAlignment="1">
      <alignment horizontal="center" vertical="center" wrapText="1"/>
    </xf>
    <xf numFmtId="0" fontId="74" fillId="0" borderId="36" xfId="6" applyFont="1" applyBorder="1" applyAlignment="1">
      <alignment horizontal="center" vertical="center" wrapText="1"/>
    </xf>
    <xf numFmtId="0" fontId="74" fillId="0" borderId="37" xfId="6" applyFont="1" applyBorder="1" applyAlignment="1">
      <alignment horizontal="center" vertical="center" wrapText="1"/>
    </xf>
    <xf numFmtId="0" fontId="74" fillId="0" borderId="38" xfId="6" applyFont="1" applyBorder="1" applyAlignment="1">
      <alignment horizontal="center" vertical="center" wrapText="1"/>
    </xf>
    <xf numFmtId="0" fontId="74" fillId="0" borderId="32" xfId="6" applyFont="1" applyBorder="1" applyAlignment="1">
      <alignment horizontal="center" vertical="center" wrapText="1"/>
    </xf>
    <xf numFmtId="0" fontId="74" fillId="0" borderId="3" xfId="6" applyFont="1" applyBorder="1" applyAlignment="1">
      <alignment horizontal="center" vertical="center" wrapText="1"/>
    </xf>
    <xf numFmtId="0" fontId="74" fillId="0" borderId="41" xfId="6" applyFont="1" applyBorder="1" applyAlignment="1">
      <alignment horizontal="center" vertical="center" wrapText="1"/>
    </xf>
    <xf numFmtId="0" fontId="74" fillId="0" borderId="33" xfId="6" applyFont="1" applyBorder="1" applyAlignment="1">
      <alignment horizontal="center" vertical="center" wrapText="1"/>
    </xf>
    <xf numFmtId="0" fontId="74" fillId="0" borderId="4" xfId="6" applyFont="1" applyBorder="1" applyAlignment="1">
      <alignment horizontal="center" vertical="center" wrapText="1"/>
    </xf>
    <xf numFmtId="0" fontId="74" fillId="0" borderId="42" xfId="6" applyFont="1" applyBorder="1" applyAlignment="1">
      <alignment horizontal="center" vertical="center" wrapText="1"/>
    </xf>
    <xf numFmtId="0" fontId="74" fillId="0" borderId="34" xfId="6" applyFont="1" applyBorder="1" applyAlignment="1">
      <alignment horizontal="center" vertical="center" wrapText="1"/>
    </xf>
    <xf numFmtId="0" fontId="74" fillId="0" borderId="39" xfId="6" applyFont="1" applyBorder="1" applyAlignment="1">
      <alignment horizontal="center" vertical="center" wrapText="1"/>
    </xf>
    <xf numFmtId="0" fontId="74" fillId="0" borderId="44" xfId="6" applyFont="1" applyBorder="1" applyAlignment="1">
      <alignment horizontal="center" vertical="center" wrapText="1"/>
    </xf>
    <xf numFmtId="0" fontId="72" fillId="0" borderId="32" xfId="6" applyFont="1" applyBorder="1" applyAlignment="1">
      <alignment horizontal="center" vertical="top" wrapText="1"/>
    </xf>
    <xf numFmtId="0" fontId="72" fillId="0" borderId="7" xfId="6" applyFont="1" applyBorder="1" applyAlignment="1">
      <alignment horizontal="center" vertical="top" wrapText="1"/>
    </xf>
    <xf numFmtId="0" fontId="72" fillId="0" borderId="4" xfId="6" applyFont="1" applyBorder="1" applyAlignment="1">
      <alignment horizontal="right" vertical="center"/>
    </xf>
    <xf numFmtId="0" fontId="72" fillId="0" borderId="4" xfId="6" applyFont="1" applyBorder="1" applyAlignment="1">
      <alignment horizontal="center" vertical="top"/>
    </xf>
    <xf numFmtId="0" fontId="101" fillId="0" borderId="4" xfId="6" applyFont="1" applyBorder="1" applyAlignment="1">
      <alignment horizontal="center" vertical="center" wrapText="1"/>
    </xf>
    <xf numFmtId="0" fontId="72" fillId="0" borderId="4" xfId="6" applyFont="1" applyBorder="1" applyAlignment="1">
      <alignment horizontal="center" vertical="top" wrapText="1"/>
    </xf>
    <xf numFmtId="0" fontId="72" fillId="0" borderId="106" xfId="6" applyFont="1" applyBorder="1" applyAlignment="1">
      <alignment horizontal="center" vertical="top"/>
    </xf>
    <xf numFmtId="0" fontId="72" fillId="0" borderId="100" xfId="6" applyFont="1" applyBorder="1" applyAlignment="1">
      <alignment horizontal="center" vertical="top"/>
    </xf>
    <xf numFmtId="0" fontId="72" fillId="0" borderId="106" xfId="6" applyFont="1" applyBorder="1" applyAlignment="1">
      <alignment horizontal="center" vertical="top" wrapText="1"/>
    </xf>
    <xf numFmtId="0" fontId="72" fillId="0" borderId="100" xfId="6" applyFont="1" applyBorder="1" applyAlignment="1">
      <alignment horizontal="center" vertical="top" wrapText="1"/>
    </xf>
    <xf numFmtId="0" fontId="72" fillId="0" borderId="4" xfId="6" applyFont="1" applyBorder="1" applyAlignment="1">
      <alignment horizontal="center" vertical="center" wrapText="1"/>
    </xf>
    <xf numFmtId="0" fontId="72" fillId="0" borderId="4" xfId="6" applyFont="1" applyBorder="1" applyAlignment="1">
      <alignment horizontal="right" vertical="top"/>
    </xf>
    <xf numFmtId="0" fontId="72" fillId="0" borderId="4" xfId="6" applyFont="1" applyBorder="1" applyAlignment="1">
      <alignment horizontal="left" vertical="top" wrapText="1"/>
    </xf>
    <xf numFmtId="0" fontId="74" fillId="0" borderId="4" xfId="6" applyFont="1" applyBorder="1" applyAlignment="1">
      <alignment horizontal="right" vertical="center"/>
    </xf>
    <xf numFmtId="0" fontId="72" fillId="0" borderId="12" xfId="6" applyFont="1" applyBorder="1" applyAlignment="1">
      <alignment horizontal="center" vertical="center" wrapText="1"/>
    </xf>
    <xf numFmtId="0" fontId="72" fillId="0" borderId="60" xfId="6" applyFont="1" applyBorder="1" applyAlignment="1">
      <alignment horizontal="center" vertical="center" wrapText="1"/>
    </xf>
    <xf numFmtId="0" fontId="72" fillId="0" borderId="3" xfId="6" applyFont="1" applyBorder="1" applyAlignment="1">
      <alignment horizontal="center" vertical="top"/>
    </xf>
    <xf numFmtId="0" fontId="72" fillId="0" borderId="126" xfId="6" applyFont="1" applyBorder="1" applyAlignment="1">
      <alignment horizontal="right" vertical="center"/>
    </xf>
    <xf numFmtId="0" fontId="19" fillId="0" borderId="0" xfId="6" applyFont="1" applyAlignment="1">
      <alignment horizontal="center"/>
    </xf>
    <xf numFmtId="0" fontId="19" fillId="0" borderId="4" xfId="6" applyFont="1" applyBorder="1" applyAlignment="1">
      <alignment horizontal="center" vertical="center" wrapText="1"/>
    </xf>
    <xf numFmtId="0" fontId="19" fillId="0" borderId="61" xfId="6" applyFont="1" applyBorder="1" applyAlignment="1">
      <alignment horizontal="center" vertical="center" wrapText="1"/>
    </xf>
    <xf numFmtId="0" fontId="19" fillId="0" borderId="59" xfId="6" applyFont="1" applyBorder="1" applyAlignment="1">
      <alignment horizontal="center" vertical="center" wrapText="1"/>
    </xf>
    <xf numFmtId="0" fontId="19" fillId="0" borderId="56" xfId="6" applyFont="1" applyBorder="1" applyAlignment="1">
      <alignment horizontal="center" vertical="center" wrapText="1"/>
    </xf>
    <xf numFmtId="0" fontId="19" fillId="0" borderId="36" xfId="6" applyFont="1" applyBorder="1" applyAlignment="1">
      <alignment horizontal="center" vertical="center" wrapText="1"/>
    </xf>
    <xf numFmtId="0" fontId="19" fillId="0" borderId="37" xfId="6" applyFont="1" applyBorder="1" applyAlignment="1">
      <alignment horizontal="center" vertical="center" wrapText="1"/>
    </xf>
    <xf numFmtId="0" fontId="19" fillId="0" borderId="38" xfId="6" applyFont="1" applyBorder="1" applyAlignment="1">
      <alignment horizontal="center" vertical="center" wrapText="1"/>
    </xf>
    <xf numFmtId="0" fontId="19" fillId="0" borderId="1" xfId="6" applyFont="1" applyBorder="1" applyAlignment="1">
      <alignment horizontal="center" vertical="center" wrapText="1"/>
    </xf>
    <xf numFmtId="0" fontId="19" fillId="0" borderId="3" xfId="6" applyFont="1" applyBorder="1" applyAlignment="1">
      <alignment horizontal="center" vertical="center" wrapText="1"/>
    </xf>
    <xf numFmtId="0" fontId="19" fillId="0" borderId="7" xfId="6" applyFont="1" applyBorder="1" applyAlignment="1">
      <alignment horizontal="center" vertical="center" wrapText="1"/>
    </xf>
    <xf numFmtId="0" fontId="19" fillId="0" borderId="57" xfId="6" applyFont="1" applyBorder="1" applyAlignment="1">
      <alignment horizontal="center" vertical="center" wrapText="1"/>
    </xf>
    <xf numFmtId="0" fontId="19" fillId="0" borderId="58" xfId="6" applyFont="1" applyBorder="1" applyAlignment="1">
      <alignment horizontal="center" vertical="center" wrapText="1"/>
    </xf>
    <xf numFmtId="0" fontId="19" fillId="0" borderId="61" xfId="6" applyFont="1" applyBorder="1" applyAlignment="1">
      <alignment horizontal="right" vertical="center"/>
    </xf>
    <xf numFmtId="0" fontId="19" fillId="0" borderId="59" xfId="6" applyFont="1" applyBorder="1" applyAlignment="1">
      <alignment horizontal="right" vertical="center"/>
    </xf>
    <xf numFmtId="0" fontId="19" fillId="0" borderId="12" xfId="6" applyFont="1" applyBorder="1" applyAlignment="1">
      <alignment horizontal="right" vertical="center"/>
    </xf>
    <xf numFmtId="0" fontId="19" fillId="0" borderId="47" xfId="6" applyFont="1" applyBorder="1" applyAlignment="1">
      <alignment horizontal="right" vertical="center"/>
    </xf>
    <xf numFmtId="0" fontId="19" fillId="0" borderId="60" xfId="6" applyFont="1" applyBorder="1" applyAlignment="1">
      <alignment horizontal="right" vertical="center"/>
    </xf>
    <xf numFmtId="0" fontId="19" fillId="0" borderId="1" xfId="6" applyFont="1" applyBorder="1" applyAlignment="1">
      <alignment horizontal="center" vertical="center"/>
    </xf>
    <xf numFmtId="0" fontId="19" fillId="0" borderId="3" xfId="6" applyFont="1" applyBorder="1" applyAlignment="1">
      <alignment horizontal="center" vertical="center"/>
    </xf>
    <xf numFmtId="0" fontId="19" fillId="0" borderId="1" xfId="6" applyFont="1" applyBorder="1" applyAlignment="1">
      <alignment horizontal="left" vertical="center" wrapText="1"/>
    </xf>
    <xf numFmtId="0" fontId="19" fillId="0" borderId="3" xfId="6" applyFont="1" applyBorder="1" applyAlignment="1">
      <alignment horizontal="left" vertical="center" wrapText="1"/>
    </xf>
    <xf numFmtId="0" fontId="19" fillId="0" borderId="68" xfId="6" applyFont="1" applyBorder="1" applyAlignment="1">
      <alignment horizontal="center" vertical="center"/>
    </xf>
    <xf numFmtId="0" fontId="19" fillId="0" borderId="2" xfId="6" applyFont="1" applyBorder="1" applyAlignment="1">
      <alignment horizontal="center" vertical="center"/>
    </xf>
    <xf numFmtId="0" fontId="19" fillId="0" borderId="82" xfId="6" applyFont="1" applyBorder="1" applyAlignment="1">
      <alignment horizontal="center" vertical="center"/>
    </xf>
    <xf numFmtId="0" fontId="19" fillId="0" borderId="68" xfId="6" applyFont="1" applyBorder="1" applyAlignment="1">
      <alignment horizontal="center" vertical="center" wrapText="1"/>
    </xf>
    <xf numFmtId="0" fontId="19" fillId="0" borderId="2" xfId="6" applyFont="1" applyBorder="1" applyAlignment="1">
      <alignment horizontal="center" vertical="center" wrapText="1"/>
    </xf>
    <xf numFmtId="0" fontId="19" fillId="0" borderId="82" xfId="6" applyFont="1" applyBorder="1" applyAlignment="1">
      <alignment horizontal="center" vertical="center" wrapText="1"/>
    </xf>
    <xf numFmtId="0" fontId="0" fillId="12" borderId="1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2" borderId="7" xfId="0" applyFill="1" applyBorder="1" applyAlignment="1">
      <alignment horizontal="center" vertical="center"/>
    </xf>
    <xf numFmtId="41" fontId="0" fillId="12" borderId="1" xfId="0" applyNumberFormat="1" applyFill="1" applyBorder="1" applyAlignment="1">
      <alignment horizontal="center" vertical="center"/>
    </xf>
    <xf numFmtId="41" fontId="0" fillId="12" borderId="3" xfId="0" applyNumberFormat="1" applyFill="1" applyBorder="1" applyAlignment="1">
      <alignment horizontal="center" vertical="center"/>
    </xf>
    <xf numFmtId="41" fontId="0" fillId="12" borderId="7" xfId="0" applyNumberFormat="1" applyFill="1" applyBorder="1" applyAlignment="1">
      <alignment horizontal="center" vertical="center"/>
    </xf>
    <xf numFmtId="0" fontId="121" fillId="19" borderId="110" xfId="0" applyFont="1" applyFill="1" applyBorder="1" applyAlignment="1">
      <alignment horizontal="center" vertical="center"/>
    </xf>
    <xf numFmtId="0" fontId="122" fillId="19" borderId="111" xfId="0" applyFont="1" applyFill="1" applyBorder="1" applyAlignment="1">
      <alignment horizontal="center" vertical="center"/>
    </xf>
    <xf numFmtId="0" fontId="122" fillId="19" borderId="112" xfId="0" applyFont="1" applyFill="1" applyBorder="1" applyAlignment="1">
      <alignment horizontal="center" vertical="center"/>
    </xf>
    <xf numFmtId="0" fontId="129" fillId="24" borderId="116" xfId="0" applyFont="1" applyFill="1" applyBorder="1" applyAlignment="1">
      <alignment horizontal="center" vertical="center"/>
    </xf>
    <xf numFmtId="0" fontId="129" fillId="24" borderId="117" xfId="0" applyFont="1" applyFill="1" applyBorder="1" applyAlignment="1">
      <alignment horizontal="center" vertical="center"/>
    </xf>
    <xf numFmtId="164" fontId="137" fillId="30" borderId="0" xfId="1" applyNumberFormat="1" applyFont="1" applyFill="1" applyAlignment="1">
      <alignment horizontal="center" vertical="center"/>
    </xf>
    <xf numFmtId="164" fontId="137" fillId="30" borderId="88" xfId="1" applyNumberFormat="1" applyFont="1" applyFill="1" applyBorder="1" applyAlignment="1">
      <alignment horizontal="center" vertical="center"/>
    </xf>
    <xf numFmtId="164" fontId="137" fillId="30" borderId="0" xfId="1" applyNumberFormat="1" applyFont="1" applyFill="1" applyBorder="1" applyAlignment="1">
      <alignment horizontal="center" vertical="center"/>
    </xf>
    <xf numFmtId="171" fontId="138" fillId="30" borderId="117" xfId="4" applyNumberFormat="1" applyFont="1" applyFill="1" applyBorder="1" applyAlignment="1">
      <alignment horizontal="center" vertical="center"/>
    </xf>
    <xf numFmtId="171" fontId="138" fillId="30" borderId="116" xfId="4" applyNumberFormat="1" applyFont="1" applyFill="1" applyBorder="1" applyAlignment="1">
      <alignment horizontal="center" vertical="center"/>
    </xf>
    <xf numFmtId="0" fontId="139" fillId="31" borderId="118" xfId="0" applyFont="1" applyFill="1" applyBorder="1" applyAlignment="1">
      <alignment horizontal="center" vertical="center"/>
    </xf>
    <xf numFmtId="0" fontId="139" fillId="31" borderId="0" xfId="0" applyFont="1" applyFill="1" applyAlignment="1">
      <alignment horizontal="center" vertical="center"/>
    </xf>
    <xf numFmtId="171" fontId="128" fillId="34" borderId="30" xfId="4" applyNumberFormat="1" applyFont="1" applyFill="1" applyBorder="1" applyAlignment="1">
      <alignment horizontal="center" vertical="center"/>
    </xf>
    <xf numFmtId="171" fontId="128" fillId="34" borderId="57" xfId="4" applyNumberFormat="1" applyFont="1" applyFill="1" applyBorder="1" applyAlignment="1">
      <alignment horizontal="center" vertical="center"/>
    </xf>
    <xf numFmtId="0" fontId="43" fillId="12" borderId="1" xfId="30" applyFont="1" applyFill="1" applyBorder="1" applyAlignment="1">
      <alignment horizontal="center" vertical="center" wrapText="1"/>
    </xf>
    <xf numFmtId="0" fontId="43" fillId="12" borderId="3" xfId="30" applyFont="1" applyFill="1" applyBorder="1" applyAlignment="1">
      <alignment horizontal="center" vertical="center" wrapText="1"/>
    </xf>
    <xf numFmtId="0" fontId="43" fillId="12" borderId="7" xfId="30" applyFont="1" applyFill="1" applyBorder="1" applyAlignment="1">
      <alignment horizontal="center" vertical="center" wrapText="1"/>
    </xf>
    <xf numFmtId="0" fontId="43" fillId="12" borderId="4" xfId="30" applyFont="1" applyFill="1" applyBorder="1" applyAlignment="1">
      <alignment horizontal="left" vertical="center" wrapText="1"/>
    </xf>
    <xf numFmtId="0" fontId="136" fillId="22" borderId="114" xfId="0" applyFont="1" applyFill="1" applyBorder="1" applyAlignment="1">
      <alignment horizontal="center" vertical="center"/>
    </xf>
    <xf numFmtId="0" fontId="136" fillId="22" borderId="89" xfId="0" applyFont="1" applyFill="1" applyBorder="1" applyAlignment="1">
      <alignment horizontal="center" vertical="center"/>
    </xf>
    <xf numFmtId="0" fontId="136" fillId="22" borderId="90" xfId="0" applyFont="1" applyFill="1" applyBorder="1" applyAlignment="1">
      <alignment horizontal="center" vertical="center"/>
    </xf>
    <xf numFmtId="171" fontId="128" fillId="23" borderId="32" xfId="4" applyNumberFormat="1" applyFont="1" applyFill="1" applyBorder="1" applyAlignment="1">
      <alignment horizontal="center" vertical="center"/>
    </xf>
    <xf numFmtId="171" fontId="128" fillId="23" borderId="3" xfId="4" applyNumberFormat="1" applyFont="1" applyFill="1" applyBorder="1" applyAlignment="1">
      <alignment horizontal="center" vertical="center"/>
    </xf>
    <xf numFmtId="171" fontId="128" fillId="23" borderId="41" xfId="4" applyNumberFormat="1" applyFont="1" applyFill="1" applyBorder="1" applyAlignment="1">
      <alignment horizontal="center" vertical="center"/>
    </xf>
    <xf numFmtId="9" fontId="67" fillId="20" borderId="16" xfId="0" applyNumberFormat="1" applyFont="1" applyFill="1" applyBorder="1" applyAlignment="1">
      <alignment horizontal="center" vertical="center"/>
    </xf>
    <xf numFmtId="9" fontId="67" fillId="20" borderId="24" xfId="0" applyNumberFormat="1" applyFont="1" applyFill="1" applyBorder="1" applyAlignment="1">
      <alignment horizontal="center" vertical="center"/>
    </xf>
    <xf numFmtId="164" fontId="67" fillId="20" borderId="32" xfId="1" applyNumberFormat="1" applyFont="1" applyFill="1" applyBorder="1" applyAlignment="1">
      <alignment horizontal="center" vertical="center"/>
    </xf>
    <xf numFmtId="164" fontId="67" fillId="20" borderId="41" xfId="1" applyNumberFormat="1" applyFont="1" applyFill="1" applyBorder="1" applyAlignment="1">
      <alignment horizontal="center" vertical="center"/>
    </xf>
    <xf numFmtId="164" fontId="67" fillId="20" borderId="10" xfId="1" applyNumberFormat="1" applyFont="1" applyFill="1" applyBorder="1" applyAlignment="1">
      <alignment horizontal="center" vertical="center"/>
    </xf>
    <xf numFmtId="164" fontId="67" fillId="20" borderId="90" xfId="1" applyNumberFormat="1" applyFont="1" applyFill="1" applyBorder="1" applyAlignment="1">
      <alignment horizontal="center" vertical="center"/>
    </xf>
    <xf numFmtId="164" fontId="140" fillId="32" borderId="0" xfId="1" applyNumberFormat="1" applyFont="1" applyFill="1" applyAlignment="1">
      <alignment horizontal="center" vertical="center"/>
    </xf>
    <xf numFmtId="0" fontId="141" fillId="33" borderId="0" xfId="0" applyNumberFormat="1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40" fillId="0" borderId="0" xfId="0" applyFont="1" applyFill="1" applyBorder="1" applyAlignment="1">
      <alignment horizontal="center"/>
    </xf>
    <xf numFmtId="0" fontId="64" fillId="0" borderId="61" xfId="0" applyFont="1" applyBorder="1" applyAlignment="1">
      <alignment horizontal="center" vertical="center"/>
    </xf>
    <xf numFmtId="0" fontId="64" fillId="0" borderId="59" xfId="0" applyFont="1" applyBorder="1" applyAlignment="1">
      <alignment horizontal="center" vertical="center"/>
    </xf>
    <xf numFmtId="0" fontId="64" fillId="0" borderId="56" xfId="0" applyFont="1" applyBorder="1" applyAlignment="1">
      <alignment horizontal="center" vertical="center"/>
    </xf>
    <xf numFmtId="0" fontId="64" fillId="0" borderId="57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58" xfId="0" applyFont="1" applyBorder="1" applyAlignment="1">
      <alignment horizontal="center" vertical="center"/>
    </xf>
    <xf numFmtId="0" fontId="64" fillId="0" borderId="36" xfId="0" applyFont="1" applyBorder="1" applyAlignment="1">
      <alignment horizontal="center" vertical="center"/>
    </xf>
    <xf numFmtId="0" fontId="64" fillId="0" borderId="37" xfId="0" applyFont="1" applyBorder="1" applyAlignment="1">
      <alignment horizontal="center" vertical="center"/>
    </xf>
    <xf numFmtId="0" fontId="64" fillId="0" borderId="38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4" fillId="0" borderId="3" xfId="0" applyFont="1" applyBorder="1" applyAlignment="1">
      <alignment horizontal="center" vertical="center"/>
    </xf>
    <xf numFmtId="41" fontId="64" fillId="0" borderId="1" xfId="0" applyNumberFormat="1" applyFont="1" applyBorder="1" applyAlignment="1">
      <alignment horizontal="center" vertical="center" wrapText="1"/>
    </xf>
    <xf numFmtId="41" fontId="64" fillId="0" borderId="3" xfId="0" applyNumberFormat="1" applyFont="1" applyBorder="1" applyAlignment="1">
      <alignment horizontal="center" vertical="center" wrapText="1"/>
    </xf>
    <xf numFmtId="0" fontId="64" fillId="0" borderId="1" xfId="0" applyFont="1" applyBorder="1" applyAlignment="1">
      <alignment horizontal="center" vertical="center" wrapText="1"/>
    </xf>
    <xf numFmtId="0" fontId="64" fillId="0" borderId="3" xfId="0" applyFont="1" applyBorder="1" applyAlignment="1">
      <alignment horizontal="center" vertical="center" wrapText="1"/>
    </xf>
    <xf numFmtId="0" fontId="44" fillId="0" borderId="0" xfId="0" applyFont="1" applyAlignment="1">
      <alignment horizontal="center"/>
    </xf>
    <xf numFmtId="0" fontId="51" fillId="12" borderId="0" xfId="0" applyFont="1" applyFill="1" applyAlignment="1">
      <alignment horizontal="center"/>
    </xf>
    <xf numFmtId="0" fontId="52" fillId="12" borderId="0" xfId="0" applyFont="1" applyFill="1" applyAlignment="1">
      <alignment horizontal="center"/>
    </xf>
    <xf numFmtId="0" fontId="50" fillId="0" borderId="32" xfId="6" applyFont="1" applyBorder="1" applyAlignment="1">
      <alignment horizontal="center" vertical="center" wrapText="1"/>
    </xf>
    <xf numFmtId="0" fontId="50" fillId="0" borderId="3" xfId="6" applyFont="1" applyBorder="1" applyAlignment="1">
      <alignment horizontal="center" vertical="center" wrapText="1"/>
    </xf>
    <xf numFmtId="0" fontId="50" fillId="0" borderId="41" xfId="6" applyFont="1" applyBorder="1" applyAlignment="1">
      <alignment horizontal="center" vertical="center" wrapText="1"/>
    </xf>
    <xf numFmtId="0" fontId="50" fillId="0" borderId="10" xfId="6" applyFont="1" applyBorder="1" applyAlignment="1">
      <alignment horizontal="center" vertical="center" wrapText="1"/>
    </xf>
    <xf numFmtId="0" fontId="50" fillId="0" borderId="89" xfId="6" applyFont="1" applyBorder="1" applyAlignment="1">
      <alignment horizontal="center" vertical="center" wrapText="1"/>
    </xf>
    <xf numFmtId="0" fontId="50" fillId="0" borderId="90" xfId="6" applyFont="1" applyBorder="1" applyAlignment="1">
      <alignment horizontal="center" vertical="center" wrapText="1"/>
    </xf>
    <xf numFmtId="165" fontId="22" fillId="0" borderId="72" xfId="0" applyNumberFormat="1" applyFont="1" applyBorder="1" applyAlignment="1">
      <alignment horizontal="center" vertical="top"/>
    </xf>
    <xf numFmtId="0" fontId="50" fillId="0" borderId="8" xfId="6" applyFont="1" applyBorder="1" applyAlignment="1">
      <alignment horizontal="center" vertical="center" wrapText="1"/>
    </xf>
    <xf numFmtId="0" fontId="50" fillId="0" borderId="9" xfId="6" applyFont="1" applyBorder="1" applyAlignment="1">
      <alignment horizontal="center" vertical="center" wrapText="1"/>
    </xf>
    <xf numFmtId="0" fontId="50" fillId="0" borderId="31" xfId="6" applyFont="1" applyBorder="1" applyAlignment="1">
      <alignment horizontal="center" vertical="center" wrapText="1"/>
    </xf>
    <xf numFmtId="0" fontId="50" fillId="0" borderId="88" xfId="6" applyFont="1" applyBorder="1" applyAlignment="1">
      <alignment horizontal="center" vertical="center" wrapText="1"/>
    </xf>
    <xf numFmtId="0" fontId="50" fillId="0" borderId="0" xfId="6" applyFont="1" applyBorder="1" applyAlignment="1">
      <alignment horizontal="center" vertical="center" wrapText="1"/>
    </xf>
    <xf numFmtId="0" fontId="50" fillId="0" borderId="58" xfId="6" applyFont="1" applyBorder="1" applyAlignment="1">
      <alignment horizontal="center" vertical="center" wrapText="1"/>
    </xf>
    <xf numFmtId="0" fontId="50" fillId="0" borderId="93" xfId="6" applyFont="1" applyBorder="1" applyAlignment="1">
      <alignment horizontal="center" vertical="center" wrapText="1"/>
    </xf>
    <xf numFmtId="0" fontId="50" fillId="0" borderId="72" xfId="6" applyFont="1" applyBorder="1" applyAlignment="1">
      <alignment horizontal="center" vertical="center" wrapText="1"/>
    </xf>
    <xf numFmtId="0" fontId="50" fillId="0" borderId="73" xfId="6" applyFont="1" applyBorder="1" applyAlignment="1">
      <alignment horizontal="center" vertical="center" wrapText="1"/>
    </xf>
    <xf numFmtId="0" fontId="50" fillId="0" borderId="0" xfId="0" applyFont="1" applyBorder="1" applyAlignment="1">
      <alignment horizontal="left" vertical="top"/>
    </xf>
    <xf numFmtId="165" fontId="50" fillId="0" borderId="0" xfId="0" applyNumberFormat="1" applyFont="1" applyBorder="1" applyAlignment="1">
      <alignment vertical="top"/>
    </xf>
    <xf numFmtId="0" fontId="50" fillId="0" borderId="14" xfId="6" applyFont="1" applyBorder="1" applyAlignment="1">
      <alignment horizontal="center"/>
    </xf>
    <xf numFmtId="0" fontId="50" fillId="0" borderId="15" xfId="6" applyFont="1" applyBorder="1" applyAlignment="1">
      <alignment horizontal="center"/>
    </xf>
    <xf numFmtId="0" fontId="50" fillId="0" borderId="0" xfId="6" applyFont="1" applyAlignment="1">
      <alignment horizontal="center"/>
    </xf>
    <xf numFmtId="0" fontId="50" fillId="0" borderId="14" xfId="6" applyFont="1" applyBorder="1" applyAlignment="1">
      <alignment horizontal="center" vertical="center"/>
    </xf>
    <xf numFmtId="0" fontId="50" fillId="0" borderId="15" xfId="6" applyFont="1" applyBorder="1" applyAlignment="1">
      <alignment horizontal="center" vertical="center"/>
    </xf>
    <xf numFmtId="0" fontId="50" fillId="0" borderId="92" xfId="6" applyFont="1" applyBorder="1" applyAlignment="1">
      <alignment horizontal="center" vertical="center"/>
    </xf>
    <xf numFmtId="165" fontId="50" fillId="0" borderId="0" xfId="0" applyNumberFormat="1" applyFont="1" applyBorder="1" applyAlignment="1">
      <alignment horizontal="center" vertical="top"/>
    </xf>
    <xf numFmtId="0" fontId="35" fillId="0" borderId="61" xfId="0" applyFont="1" applyBorder="1" applyAlignment="1">
      <alignment horizontal="center" vertical="center" wrapText="1"/>
    </xf>
    <xf numFmtId="0" fontId="35" fillId="0" borderId="59" xfId="0" applyFont="1" applyBorder="1" applyAlignment="1">
      <alignment horizontal="center" vertical="center" wrapText="1"/>
    </xf>
    <xf numFmtId="0" fontId="35" fillId="0" borderId="56" xfId="0" applyFont="1" applyBorder="1" applyAlignment="1">
      <alignment horizontal="center" vertical="center" wrapText="1"/>
    </xf>
    <xf numFmtId="0" fontId="35" fillId="0" borderId="57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58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center" vertical="center" wrapText="1"/>
    </xf>
    <xf numFmtId="0" fontId="35" fillId="0" borderId="37" xfId="0" applyFont="1" applyBorder="1" applyAlignment="1">
      <alignment horizontal="center" vertical="center" wrapText="1"/>
    </xf>
    <xf numFmtId="0" fontId="35" fillId="0" borderId="38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7" xfId="0" applyFont="1" applyBorder="1" applyAlignment="1">
      <alignment horizontal="center" vertical="center" wrapText="1"/>
    </xf>
    <xf numFmtId="165" fontId="28" fillId="0" borderId="12" xfId="3" applyNumberFormat="1" applyFont="1" applyBorder="1" applyAlignment="1">
      <alignment horizontal="right" vertical="center"/>
    </xf>
    <xf numFmtId="165" fontId="28" fillId="0" borderId="47" xfId="3" applyNumberFormat="1" applyFont="1" applyBorder="1" applyAlignment="1">
      <alignment horizontal="right" vertical="center"/>
    </xf>
    <xf numFmtId="165" fontId="28" fillId="0" borderId="60" xfId="3" applyNumberFormat="1" applyFont="1" applyBorder="1" applyAlignment="1">
      <alignment horizontal="right" vertical="center"/>
    </xf>
    <xf numFmtId="165" fontId="35" fillId="0" borderId="12" xfId="3" applyNumberFormat="1" applyFont="1" applyBorder="1" applyAlignment="1">
      <alignment horizontal="right" vertical="center"/>
    </xf>
    <xf numFmtId="165" fontId="35" fillId="0" borderId="47" xfId="3" applyNumberFormat="1" applyFont="1" applyBorder="1" applyAlignment="1">
      <alignment horizontal="right" vertical="center"/>
    </xf>
    <xf numFmtId="166" fontId="116" fillId="0" borderId="0" xfId="23" applyFont="1" applyFill="1" applyBorder="1" applyAlignment="1">
      <alignment horizontal="center" vertical="center"/>
    </xf>
    <xf numFmtId="0" fontId="107" fillId="0" borderId="12" xfId="23" applyNumberFormat="1" applyFont="1" applyFill="1" applyBorder="1" applyAlignment="1">
      <alignment horizontal="center" vertical="center"/>
    </xf>
    <xf numFmtId="0" fontId="107" fillId="0" borderId="47" xfId="23" applyNumberFormat="1" applyFont="1" applyFill="1" applyBorder="1" applyAlignment="1">
      <alignment horizontal="center" vertical="center"/>
    </xf>
    <xf numFmtId="0" fontId="107" fillId="0" borderId="60" xfId="23" applyNumberFormat="1" applyFont="1" applyFill="1" applyBorder="1" applyAlignment="1">
      <alignment horizontal="center" vertical="center"/>
    </xf>
    <xf numFmtId="0" fontId="106" fillId="0" borderId="12" xfId="23" applyNumberFormat="1" applyFont="1" applyFill="1" applyBorder="1" applyAlignment="1">
      <alignment horizontal="center" vertical="center"/>
    </xf>
    <xf numFmtId="0" fontId="106" fillId="0" borderId="47" xfId="23" applyNumberFormat="1" applyFont="1" applyFill="1" applyBorder="1" applyAlignment="1">
      <alignment horizontal="center" vertical="center"/>
    </xf>
    <xf numFmtId="0" fontId="106" fillId="0" borderId="60" xfId="23" applyNumberFormat="1" applyFont="1" applyFill="1" applyBorder="1" applyAlignment="1">
      <alignment horizontal="center" vertical="center"/>
    </xf>
    <xf numFmtId="166" fontId="62" fillId="0" borderId="0" xfId="23" applyFont="1" applyFill="1" applyBorder="1" applyAlignment="1">
      <alignment horizontal="center" vertical="center"/>
    </xf>
    <xf numFmtId="166" fontId="62" fillId="0" borderId="57" xfId="23" applyFont="1" applyFill="1" applyBorder="1" applyAlignment="1">
      <alignment horizontal="center" vertical="center"/>
    </xf>
    <xf numFmtId="166" fontId="101" fillId="0" borderId="0" xfId="23" applyFont="1" applyFill="1" applyBorder="1" applyAlignment="1">
      <alignment horizontal="center" vertical="center"/>
    </xf>
    <xf numFmtId="166" fontId="104" fillId="0" borderId="61" xfId="23" applyFont="1" applyFill="1" applyBorder="1" applyAlignment="1">
      <alignment horizontal="center" vertical="center"/>
    </xf>
    <xf numFmtId="166" fontId="104" fillId="0" borderId="59" xfId="23" applyFont="1" applyFill="1" applyBorder="1" applyAlignment="1">
      <alignment horizontal="center" vertical="center"/>
    </xf>
    <xf numFmtId="166" fontId="104" fillId="0" borderId="56" xfId="23" applyFont="1" applyFill="1" applyBorder="1" applyAlignment="1">
      <alignment horizontal="center" vertical="center"/>
    </xf>
    <xf numFmtId="166" fontId="104" fillId="0" borderId="57" xfId="23" applyFont="1" applyFill="1" applyBorder="1" applyAlignment="1">
      <alignment horizontal="center" vertical="center"/>
    </xf>
    <xf numFmtId="166" fontId="104" fillId="0" borderId="0" xfId="23" applyFont="1" applyFill="1" applyBorder="1" applyAlignment="1">
      <alignment horizontal="center" vertical="center"/>
    </xf>
    <xf numFmtId="166" fontId="104" fillId="0" borderId="58" xfId="23" applyFont="1" applyFill="1" applyBorder="1" applyAlignment="1">
      <alignment horizontal="center" vertical="center"/>
    </xf>
    <xf numFmtId="166" fontId="12" fillId="0" borderId="57" xfId="24" applyFont="1" applyFill="1" applyBorder="1" applyAlignment="1">
      <alignment horizontal="center" vertical="center"/>
    </xf>
    <xf numFmtId="166" fontId="12" fillId="0" borderId="0" xfId="24" applyFont="1" applyFill="1" applyBorder="1" applyAlignment="1">
      <alignment horizontal="center" vertical="center"/>
    </xf>
    <xf numFmtId="166" fontId="12" fillId="0" borderId="58" xfId="24" applyFont="1" applyFill="1" applyBorder="1" applyAlignment="1">
      <alignment horizontal="center" vertical="center"/>
    </xf>
    <xf numFmtId="166" fontId="105" fillId="0" borderId="57" xfId="24" applyFont="1" applyFill="1" applyBorder="1" applyAlignment="1">
      <alignment horizontal="center" vertical="center"/>
    </xf>
    <xf numFmtId="166" fontId="105" fillId="0" borderId="0" xfId="24" applyFont="1" applyFill="1" applyBorder="1" applyAlignment="1">
      <alignment horizontal="center" vertical="center"/>
    </xf>
    <xf numFmtId="166" fontId="105" fillId="0" borderId="58" xfId="24" applyFont="1" applyFill="1" applyBorder="1" applyAlignment="1">
      <alignment horizontal="center" vertical="center"/>
    </xf>
    <xf numFmtId="0" fontId="106" fillId="0" borderId="30" xfId="23" applyNumberFormat="1" applyFont="1" applyFill="1" applyBorder="1" applyAlignment="1">
      <alignment horizontal="center" vertical="center" wrapText="1"/>
    </xf>
    <xf numFmtId="0" fontId="106" fillId="0" borderId="9" xfId="23" applyNumberFormat="1" applyFont="1" applyFill="1" applyBorder="1" applyAlignment="1">
      <alignment horizontal="center" vertical="center" wrapText="1"/>
    </xf>
    <xf numFmtId="0" fontId="106" fillId="0" borderId="57" xfId="23" applyNumberFormat="1" applyFont="1" applyFill="1" applyBorder="1" applyAlignment="1">
      <alignment horizontal="center" vertical="center" wrapText="1"/>
    </xf>
    <xf numFmtId="0" fontId="106" fillId="0" borderId="0" xfId="23" applyNumberFormat="1" applyFont="1" applyFill="1" applyBorder="1" applyAlignment="1">
      <alignment horizontal="center" vertical="center" wrapText="1"/>
    </xf>
    <xf numFmtId="0" fontId="106" fillId="0" borderId="36" xfId="23" applyNumberFormat="1" applyFont="1" applyFill="1" applyBorder="1" applyAlignment="1">
      <alignment horizontal="center" vertical="center" wrapText="1"/>
    </xf>
    <xf numFmtId="0" fontId="106" fillId="0" borderId="37" xfId="23" applyNumberFormat="1" applyFont="1" applyFill="1" applyBorder="1" applyAlignment="1">
      <alignment horizontal="center" vertical="center" wrapText="1"/>
    </xf>
    <xf numFmtId="166" fontId="106" fillId="0" borderId="30" xfId="23" applyFont="1" applyFill="1" applyBorder="1" applyAlignment="1">
      <alignment horizontal="center" vertical="center"/>
    </xf>
    <xf numFmtId="166" fontId="106" fillId="0" borderId="31" xfId="23" applyFont="1" applyFill="1" applyBorder="1" applyAlignment="1">
      <alignment horizontal="center" vertical="center"/>
    </xf>
    <xf numFmtId="166" fontId="106" fillId="0" borderId="45" xfId="23" applyFont="1" applyFill="1" applyBorder="1" applyAlignment="1">
      <alignment horizontal="center" vertical="center"/>
    </xf>
    <xf numFmtId="166" fontId="106" fillId="0" borderId="73" xfId="23" applyFont="1" applyFill="1" applyBorder="1" applyAlignment="1">
      <alignment horizontal="center" vertical="center"/>
    </xf>
    <xf numFmtId="166" fontId="106" fillId="0" borderId="108" xfId="23" applyFont="1" applyFill="1" applyBorder="1" applyAlignment="1">
      <alignment horizontal="center" vertical="center"/>
    </xf>
    <xf numFmtId="166" fontId="106" fillId="0" borderId="81" xfId="23" applyFont="1" applyFill="1" applyBorder="1" applyAlignment="1">
      <alignment horizontal="center" vertical="center"/>
    </xf>
    <xf numFmtId="0" fontId="106" fillId="0" borderId="1" xfId="23" applyNumberFormat="1" applyFont="1" applyFill="1" applyBorder="1" applyAlignment="1">
      <alignment horizontal="center" vertical="center" wrapText="1"/>
    </xf>
    <xf numFmtId="0" fontId="106" fillId="0" borderId="3" xfId="23" applyNumberFormat="1" applyFont="1" applyFill="1" applyBorder="1" applyAlignment="1">
      <alignment horizontal="center" vertical="center" wrapText="1"/>
    </xf>
    <xf numFmtId="0" fontId="106" fillId="0" borderId="7" xfId="23" applyNumberFormat="1" applyFont="1" applyFill="1" applyBorder="1" applyAlignment="1">
      <alignment horizontal="center" vertical="center" wrapText="1"/>
    </xf>
    <xf numFmtId="166" fontId="108" fillId="12" borderId="57" xfId="23" applyFont="1" applyFill="1" applyBorder="1" applyAlignment="1">
      <alignment horizontal="center" vertical="center"/>
    </xf>
    <xf numFmtId="166" fontId="108" fillId="12" borderId="0" xfId="23" applyFont="1" applyFill="1" applyBorder="1" applyAlignment="1">
      <alignment horizontal="center" vertical="center"/>
    </xf>
    <xf numFmtId="166" fontId="62" fillId="12" borderId="0" xfId="23" applyFont="1" applyFill="1" applyBorder="1" applyAlignment="1">
      <alignment horizontal="center" vertical="center"/>
    </xf>
    <xf numFmtId="166" fontId="117" fillId="12" borderId="0" xfId="23" applyFont="1" applyFill="1" applyBorder="1" applyAlignment="1">
      <alignment horizontal="center" vertical="center"/>
    </xf>
    <xf numFmtId="0" fontId="107" fillId="12" borderId="12" xfId="23" applyNumberFormat="1" applyFont="1" applyFill="1" applyBorder="1" applyAlignment="1">
      <alignment horizontal="center" vertical="center"/>
    </xf>
    <xf numFmtId="0" fontId="107" fillId="12" borderId="47" xfId="23" applyNumberFormat="1" applyFont="1" applyFill="1" applyBorder="1" applyAlignment="1">
      <alignment horizontal="center" vertical="center"/>
    </xf>
    <xf numFmtId="0" fontId="107" fillId="12" borderId="60" xfId="23" applyNumberFormat="1" applyFont="1" applyFill="1" applyBorder="1" applyAlignment="1">
      <alignment horizontal="center" vertical="center"/>
    </xf>
    <xf numFmtId="0" fontId="109" fillId="12" borderId="12" xfId="23" applyNumberFormat="1" applyFont="1" applyFill="1" applyBorder="1" applyAlignment="1">
      <alignment horizontal="center" vertical="center"/>
    </xf>
    <xf numFmtId="0" fontId="109" fillId="12" borderId="47" xfId="23" applyNumberFormat="1" applyFont="1" applyFill="1" applyBorder="1" applyAlignment="1">
      <alignment horizontal="center" vertical="center"/>
    </xf>
    <xf numFmtId="0" fontId="106" fillId="12" borderId="12" xfId="23" applyNumberFormat="1" applyFont="1" applyFill="1" applyBorder="1" applyAlignment="1">
      <alignment horizontal="center" vertical="center"/>
    </xf>
    <xf numFmtId="0" fontId="106" fillId="12" borderId="47" xfId="23" applyNumberFormat="1" applyFont="1" applyFill="1" applyBorder="1" applyAlignment="1">
      <alignment horizontal="center" vertical="center"/>
    </xf>
    <xf numFmtId="0" fontId="106" fillId="12" borderId="60" xfId="23" applyNumberFormat="1" applyFont="1" applyFill="1" applyBorder="1" applyAlignment="1">
      <alignment horizontal="center" vertical="center"/>
    </xf>
    <xf numFmtId="166" fontId="104" fillId="12" borderId="61" xfId="23" applyFont="1" applyFill="1" applyBorder="1" applyAlignment="1">
      <alignment horizontal="center" vertical="center"/>
    </xf>
    <xf numFmtId="166" fontId="104" fillId="12" borderId="59" xfId="23" applyFont="1" applyFill="1" applyBorder="1" applyAlignment="1">
      <alignment horizontal="center" vertical="center"/>
    </xf>
    <xf numFmtId="166" fontId="104" fillId="12" borderId="56" xfId="23" applyFont="1" applyFill="1" applyBorder="1" applyAlignment="1">
      <alignment horizontal="center" vertical="center"/>
    </xf>
    <xf numFmtId="166" fontId="101" fillId="12" borderId="57" xfId="23" applyFont="1" applyFill="1" applyBorder="1" applyAlignment="1">
      <alignment horizontal="center" vertical="center"/>
    </xf>
    <xf numFmtId="166" fontId="101" fillId="12" borderId="0" xfId="23" applyFont="1" applyFill="1" applyBorder="1" applyAlignment="1">
      <alignment horizontal="center" vertical="center"/>
    </xf>
    <xf numFmtId="166" fontId="101" fillId="12" borderId="58" xfId="23" applyFont="1" applyFill="1" applyBorder="1" applyAlignment="1">
      <alignment horizontal="center" vertical="center"/>
    </xf>
    <xf numFmtId="166" fontId="12" fillId="12" borderId="57" xfId="24" applyFont="1" applyFill="1" applyBorder="1" applyAlignment="1">
      <alignment horizontal="center" vertical="center"/>
    </xf>
    <xf numFmtId="166" fontId="12" fillId="12" borderId="0" xfId="24" applyFont="1" applyFill="1" applyBorder="1" applyAlignment="1">
      <alignment horizontal="center" vertical="center"/>
    </xf>
    <xf numFmtId="166" fontId="12" fillId="12" borderId="58" xfId="24" applyFont="1" applyFill="1" applyBorder="1" applyAlignment="1">
      <alignment horizontal="center" vertical="center"/>
    </xf>
    <xf numFmtId="166" fontId="105" fillId="12" borderId="57" xfId="24" applyFont="1" applyFill="1" applyBorder="1" applyAlignment="1">
      <alignment horizontal="center" vertical="center"/>
    </xf>
    <xf numFmtId="166" fontId="105" fillId="12" borderId="0" xfId="24" applyFont="1" applyFill="1" applyBorder="1" applyAlignment="1">
      <alignment horizontal="center" vertical="center"/>
    </xf>
    <xf numFmtId="166" fontId="105" fillId="12" borderId="58" xfId="24" applyFont="1" applyFill="1" applyBorder="1" applyAlignment="1">
      <alignment horizontal="center" vertical="center"/>
    </xf>
    <xf numFmtId="0" fontId="106" fillId="12" borderId="30" xfId="23" applyNumberFormat="1" applyFont="1" applyFill="1" applyBorder="1" applyAlignment="1">
      <alignment horizontal="center" vertical="center" wrapText="1"/>
    </xf>
    <xf numFmtId="0" fontId="106" fillId="12" borderId="9" xfId="23" applyNumberFormat="1" applyFont="1" applyFill="1" applyBorder="1" applyAlignment="1">
      <alignment horizontal="center" vertical="center" wrapText="1"/>
    </xf>
    <xf numFmtId="0" fontId="106" fillId="12" borderId="57" xfId="23" applyNumberFormat="1" applyFont="1" applyFill="1" applyBorder="1" applyAlignment="1">
      <alignment horizontal="center" vertical="center" wrapText="1"/>
    </xf>
    <xf numFmtId="0" fontId="106" fillId="12" borderId="0" xfId="23" applyNumberFormat="1" applyFont="1" applyFill="1" applyBorder="1" applyAlignment="1">
      <alignment horizontal="center" vertical="center" wrapText="1"/>
    </xf>
    <xf numFmtId="0" fontId="106" fillId="12" borderId="36" xfId="23" applyNumberFormat="1" applyFont="1" applyFill="1" applyBorder="1" applyAlignment="1">
      <alignment horizontal="center" vertical="center" wrapText="1"/>
    </xf>
    <xf numFmtId="0" fontId="106" fillId="12" borderId="37" xfId="23" applyNumberFormat="1" applyFont="1" applyFill="1" applyBorder="1" applyAlignment="1">
      <alignment horizontal="center" vertical="center" wrapText="1"/>
    </xf>
    <xf numFmtId="166" fontId="106" fillId="12" borderId="30" xfId="23" applyFont="1" applyFill="1" applyBorder="1" applyAlignment="1">
      <alignment horizontal="center" vertical="center"/>
    </xf>
    <xf numFmtId="166" fontId="106" fillId="12" borderId="31" xfId="23" applyFont="1" applyFill="1" applyBorder="1" applyAlignment="1">
      <alignment horizontal="center" vertical="center"/>
    </xf>
    <xf numFmtId="166" fontId="106" fillId="12" borderId="36" xfId="23" applyFont="1" applyFill="1" applyBorder="1" applyAlignment="1">
      <alignment horizontal="center" vertical="center"/>
    </xf>
    <xf numFmtId="166" fontId="106" fillId="12" borderId="38" xfId="23" applyFont="1" applyFill="1" applyBorder="1" applyAlignment="1">
      <alignment horizontal="center" vertical="center"/>
    </xf>
    <xf numFmtId="166" fontId="106" fillId="12" borderId="108" xfId="23" applyFont="1" applyFill="1" applyBorder="1" applyAlignment="1">
      <alignment horizontal="center" vertical="center"/>
    </xf>
    <xf numFmtId="166" fontId="106" fillId="12" borderId="81" xfId="23" applyFont="1" applyFill="1" applyBorder="1" applyAlignment="1">
      <alignment horizontal="center" vertical="center"/>
    </xf>
    <xf numFmtId="166" fontId="106" fillId="12" borderId="109" xfId="23" applyFont="1" applyFill="1" applyBorder="1" applyAlignment="1">
      <alignment horizontal="center" vertical="center"/>
    </xf>
    <xf numFmtId="0" fontId="106" fillId="12" borderId="32" xfId="23" applyNumberFormat="1" applyFont="1" applyFill="1" applyBorder="1" applyAlignment="1">
      <alignment horizontal="center" vertical="center" wrapText="1"/>
    </xf>
    <xf numFmtId="0" fontId="106" fillId="12" borderId="3" xfId="23" applyNumberFormat="1" applyFont="1" applyFill="1" applyBorder="1" applyAlignment="1">
      <alignment horizontal="center" vertical="center" wrapText="1"/>
    </xf>
    <xf numFmtId="0" fontId="106" fillId="12" borderId="7" xfId="23" applyNumberFormat="1" applyFont="1" applyFill="1" applyBorder="1" applyAlignment="1">
      <alignment horizontal="center" vertical="center" wrapText="1"/>
    </xf>
    <xf numFmtId="0" fontId="45" fillId="0" borderId="0" xfId="6" applyFont="1" applyAlignment="1">
      <alignment horizontal="center"/>
    </xf>
    <xf numFmtId="0" fontId="19" fillId="16" borderId="29" xfId="6" applyFont="1" applyFill="1" applyBorder="1" applyAlignment="1">
      <alignment horizontal="center" vertical="center" wrapText="1"/>
    </xf>
    <xf numFmtId="0" fontId="19" fillId="16" borderId="35" xfId="6" applyFont="1" applyFill="1" applyBorder="1" applyAlignment="1">
      <alignment horizontal="center" vertical="center" wrapText="1"/>
    </xf>
    <xf numFmtId="0" fontId="19" fillId="16" borderId="40" xfId="6" applyFont="1" applyFill="1" applyBorder="1" applyAlignment="1">
      <alignment horizontal="center" vertical="center" wrapText="1"/>
    </xf>
    <xf numFmtId="0" fontId="19" fillId="16" borderId="32" xfId="6" applyFont="1" applyFill="1" applyBorder="1" applyAlignment="1">
      <alignment horizontal="center" vertical="center" wrapText="1"/>
    </xf>
    <xf numFmtId="0" fontId="19" fillId="16" borderId="3" xfId="6" applyFont="1" applyFill="1" applyBorder="1" applyAlignment="1">
      <alignment horizontal="center" vertical="center" wrapText="1"/>
    </xf>
    <xf numFmtId="0" fontId="19" fillId="16" borderId="41" xfId="6" applyFont="1" applyFill="1" applyBorder="1" applyAlignment="1">
      <alignment horizontal="center" vertical="center" wrapText="1"/>
    </xf>
    <xf numFmtId="0" fontId="19" fillId="16" borderId="33" xfId="6" applyFont="1" applyFill="1" applyBorder="1" applyAlignment="1">
      <alignment horizontal="center" vertical="center" wrapText="1"/>
    </xf>
    <xf numFmtId="0" fontId="19" fillId="16" borderId="4" xfId="6" applyFont="1" applyFill="1" applyBorder="1" applyAlignment="1">
      <alignment horizontal="center" vertical="center" wrapText="1"/>
    </xf>
    <xf numFmtId="0" fontId="19" fillId="16" borderId="42" xfId="6" applyFont="1" applyFill="1" applyBorder="1" applyAlignment="1">
      <alignment horizontal="center" vertical="center" wrapText="1"/>
    </xf>
    <xf numFmtId="0" fontId="19" fillId="16" borderId="30" xfId="6" applyFont="1" applyFill="1" applyBorder="1" applyAlignment="1">
      <alignment horizontal="center" vertical="center" wrapText="1"/>
    </xf>
    <xf numFmtId="0" fontId="19" fillId="16" borderId="9" xfId="6" applyFont="1" applyFill="1" applyBorder="1" applyAlignment="1">
      <alignment horizontal="center" vertical="center" wrapText="1"/>
    </xf>
    <xf numFmtId="0" fontId="19" fillId="16" borderId="36" xfId="6" applyFont="1" applyFill="1" applyBorder="1" applyAlignment="1">
      <alignment horizontal="center" vertical="center" wrapText="1"/>
    </xf>
    <xf numFmtId="0" fontId="19" fillId="16" borderId="37" xfId="6" applyFont="1" applyFill="1" applyBorder="1" applyAlignment="1">
      <alignment horizontal="center" vertical="center" wrapText="1"/>
    </xf>
    <xf numFmtId="0" fontId="19" fillId="0" borderId="32" xfId="6" applyFont="1" applyBorder="1" applyAlignment="1">
      <alignment horizontal="left" vertical="center" wrapText="1"/>
    </xf>
    <xf numFmtId="0" fontId="19" fillId="0" borderId="5" xfId="6" applyFont="1" applyBorder="1" applyAlignment="1">
      <alignment horizontal="left" vertical="center" wrapText="1"/>
    </xf>
    <xf numFmtId="0" fontId="18" fillId="0" borderId="50" xfId="6" applyFont="1" applyBorder="1" applyAlignment="1">
      <alignment horizontal="right" vertical="center"/>
    </xf>
    <xf numFmtId="0" fontId="18" fillId="0" borderId="51" xfId="6" applyFont="1" applyBorder="1" applyAlignment="1">
      <alignment horizontal="right" vertical="center"/>
    </xf>
    <xf numFmtId="0" fontId="18" fillId="0" borderId="96" xfId="6" applyFont="1" applyBorder="1" applyAlignment="1">
      <alignment horizontal="right" vertical="center"/>
    </xf>
    <xf numFmtId="0" fontId="19" fillId="16" borderId="16" xfId="6" applyFont="1" applyFill="1" applyBorder="1" applyAlignment="1">
      <alignment horizontal="center" vertical="center" wrapText="1"/>
    </xf>
    <xf numFmtId="0" fontId="19" fillId="16" borderId="19" xfId="6" applyFont="1" applyFill="1" applyBorder="1" applyAlignment="1">
      <alignment horizontal="center" vertical="center" wrapText="1"/>
    </xf>
    <xf numFmtId="0" fontId="19" fillId="16" borderId="24" xfId="6" applyFont="1" applyFill="1" applyBorder="1" applyAlignment="1">
      <alignment horizontal="center" vertical="center" wrapText="1"/>
    </xf>
    <xf numFmtId="0" fontId="19" fillId="16" borderId="31" xfId="6" applyFont="1" applyFill="1" applyBorder="1" applyAlignment="1">
      <alignment horizontal="center" vertical="center" wrapText="1"/>
    </xf>
    <xf numFmtId="0" fontId="19" fillId="16" borderId="57" xfId="6" applyFont="1" applyFill="1" applyBorder="1" applyAlignment="1">
      <alignment horizontal="center" vertical="center" wrapText="1"/>
    </xf>
    <xf numFmtId="0" fontId="19" fillId="16" borderId="0" xfId="6" applyFont="1" applyFill="1" applyBorder="1" applyAlignment="1">
      <alignment horizontal="center" vertical="center" wrapText="1"/>
    </xf>
    <xf numFmtId="0" fontId="19" fillId="16" borderId="58" xfId="6" applyFont="1" applyFill="1" applyBorder="1" applyAlignment="1">
      <alignment horizontal="center" vertical="center" wrapText="1"/>
    </xf>
    <xf numFmtId="0" fontId="19" fillId="16" borderId="34" xfId="6" applyFont="1" applyFill="1" applyBorder="1" applyAlignment="1">
      <alignment horizontal="center" vertical="center" wrapText="1"/>
    </xf>
    <xf numFmtId="0" fontId="19" fillId="16" borderId="39" xfId="6" applyFont="1" applyFill="1" applyBorder="1" applyAlignment="1">
      <alignment horizontal="center" vertical="center" wrapText="1"/>
    </xf>
    <xf numFmtId="0" fontId="19" fillId="16" borderId="44" xfId="6" applyFont="1" applyFill="1" applyBorder="1" applyAlignment="1">
      <alignment horizontal="center" vertical="center" wrapText="1"/>
    </xf>
    <xf numFmtId="0" fontId="19" fillId="16" borderId="45" xfId="6" applyFont="1" applyFill="1" applyBorder="1" applyAlignment="1">
      <alignment horizontal="center" vertical="center" wrapText="1"/>
    </xf>
    <xf numFmtId="0" fontId="18" fillId="16" borderId="46" xfId="6" applyFont="1" applyFill="1" applyBorder="1" applyAlignment="1">
      <alignment horizontal="center" vertical="center"/>
    </xf>
    <xf numFmtId="0" fontId="18" fillId="16" borderId="47" xfId="6" applyFont="1" applyFill="1" applyBorder="1" applyAlignment="1">
      <alignment horizontal="center" vertical="center"/>
    </xf>
    <xf numFmtId="0" fontId="19" fillId="0" borderId="0" xfId="0" applyFont="1" applyAlignment="1">
      <alignment horizontal="left"/>
    </xf>
    <xf numFmtId="0" fontId="67" fillId="11" borderId="47" xfId="0" applyFont="1" applyFill="1" applyBorder="1" applyAlignment="1">
      <alignment horizontal="center"/>
    </xf>
    <xf numFmtId="0" fontId="67" fillId="11" borderId="60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19" fillId="0" borderId="0" xfId="0" applyFont="1" applyFill="1" applyAlignment="1">
      <alignment horizontal="center" vertical="top" wrapText="1"/>
    </xf>
    <xf numFmtId="0" fontId="19" fillId="0" borderId="0" xfId="0" applyFont="1" applyAlignment="1">
      <alignment horizontal="center"/>
    </xf>
    <xf numFmtId="0" fontId="19" fillId="0" borderId="0" xfId="0" applyFont="1" applyBorder="1" applyAlignment="1">
      <alignment horizontal="left" vertical="top" wrapText="1"/>
    </xf>
    <xf numFmtId="41" fontId="64" fillId="14" borderId="1" xfId="1" applyFont="1" applyFill="1" applyBorder="1" applyAlignment="1">
      <alignment horizontal="center" vertical="center"/>
    </xf>
    <xf numFmtId="41" fontId="64" fillId="14" borderId="7" xfId="1" applyFont="1" applyFill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165" fontId="44" fillId="0" borderId="4" xfId="0" applyNumberFormat="1" applyFont="1" applyBorder="1" applyAlignment="1">
      <alignment horizontal="center" vertical="top"/>
    </xf>
    <xf numFmtId="0" fontId="14" fillId="0" borderId="4" xfId="0" applyFont="1" applyBorder="1" applyAlignment="1">
      <alignment horizontal="center"/>
    </xf>
    <xf numFmtId="0" fontId="44" fillId="0" borderId="4" xfId="0" applyFont="1" applyBorder="1" applyAlignment="1">
      <alignment horizontal="center" vertical="center" wrapText="1"/>
    </xf>
    <xf numFmtId="164" fontId="15" fillId="0" borderId="0" xfId="0" applyNumberFormat="1" applyFont="1" applyBorder="1" applyAlignment="1">
      <alignment horizontal="center"/>
    </xf>
    <xf numFmtId="165" fontId="44" fillId="0" borderId="4" xfId="3" applyNumberFormat="1" applyFont="1" applyBorder="1" applyAlignment="1">
      <alignment horizontal="right" vertical="center"/>
    </xf>
    <xf numFmtId="0" fontId="51" fillId="12" borderId="0" xfId="0" applyFont="1" applyFill="1" applyAlignment="1">
      <alignment horizontal="center" vertical="center"/>
    </xf>
    <xf numFmtId="0" fontId="70" fillId="12" borderId="0" xfId="0" applyFont="1" applyFill="1" applyAlignment="1">
      <alignment horizontal="center"/>
    </xf>
    <xf numFmtId="0" fontId="5" fillId="0" borderId="0" xfId="0" applyFont="1" applyAlignment="1">
      <alignment horizontal="left" wrapText="1"/>
    </xf>
    <xf numFmtId="0" fontId="52" fillId="12" borderId="0" xfId="0" applyFont="1" applyFill="1" applyAlignment="1">
      <alignment horizontal="center" vertical="center"/>
    </xf>
    <xf numFmtId="0" fontId="47" fillId="0" borderId="4" xfId="0" applyFont="1" applyBorder="1" applyAlignment="1">
      <alignment horizontal="center" vertical="center" wrapText="1"/>
    </xf>
    <xf numFmtId="165" fontId="44" fillId="0" borderId="4" xfId="3" applyNumberFormat="1" applyFont="1" applyFill="1" applyBorder="1" applyAlignment="1">
      <alignment horizontal="right" vertical="center"/>
    </xf>
    <xf numFmtId="0" fontId="4" fillId="0" borderId="0" xfId="0" applyFont="1" applyAlignment="1">
      <alignment horizontal="left" vertical="center" wrapText="1"/>
    </xf>
    <xf numFmtId="165" fontId="50" fillId="0" borderId="12" xfId="3" applyNumberFormat="1" applyFont="1" applyBorder="1" applyAlignment="1">
      <alignment horizontal="right" vertical="center"/>
    </xf>
    <xf numFmtId="165" fontId="50" fillId="0" borderId="47" xfId="3" applyNumberFormat="1" applyFont="1" applyBorder="1" applyAlignment="1">
      <alignment horizontal="right" vertical="center"/>
    </xf>
    <xf numFmtId="165" fontId="50" fillId="0" borderId="60" xfId="3" applyNumberFormat="1" applyFont="1" applyBorder="1" applyAlignment="1">
      <alignment horizontal="right" vertical="center"/>
    </xf>
    <xf numFmtId="165" fontId="50" fillId="0" borderId="37" xfId="0" applyNumberFormat="1" applyFont="1" applyBorder="1" applyAlignment="1">
      <alignment horizontal="center" vertical="top"/>
    </xf>
    <xf numFmtId="0" fontId="44" fillId="0" borderId="1" xfId="0" applyFont="1" applyBorder="1" applyAlignment="1">
      <alignment horizontal="center" vertical="center" wrapText="1"/>
    </xf>
    <xf numFmtId="0" fontId="44" fillId="0" borderId="3" xfId="0" applyFont="1" applyBorder="1" applyAlignment="1">
      <alignment horizontal="center" vertical="center" wrapText="1"/>
    </xf>
    <xf numFmtId="0" fontId="44" fillId="0" borderId="7" xfId="0" applyFont="1" applyBorder="1" applyAlignment="1">
      <alignment horizontal="center" vertical="center" wrapText="1"/>
    </xf>
    <xf numFmtId="0" fontId="44" fillId="0" borderId="61" xfId="0" applyFont="1" applyBorder="1" applyAlignment="1">
      <alignment horizontal="center" vertical="center" wrapText="1"/>
    </xf>
    <xf numFmtId="0" fontId="44" fillId="0" borderId="57" xfId="0" applyFont="1" applyBorder="1" applyAlignment="1">
      <alignment horizontal="center" vertical="center" wrapText="1"/>
    </xf>
    <xf numFmtId="0" fontId="44" fillId="0" borderId="36" xfId="0" applyFont="1" applyBorder="1" applyAlignment="1">
      <alignment horizontal="center" vertical="center" wrapText="1"/>
    </xf>
    <xf numFmtId="0" fontId="50" fillId="0" borderId="37" xfId="0" applyFont="1" applyBorder="1" applyAlignment="1">
      <alignment horizontal="left" vertical="top"/>
    </xf>
    <xf numFmtId="0" fontId="47" fillId="0" borderId="1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7" xfId="0" applyFont="1" applyBorder="1" applyAlignment="1">
      <alignment horizontal="center" vertical="center" wrapText="1"/>
    </xf>
    <xf numFmtId="0" fontId="47" fillId="0" borderId="61" xfId="0" applyFont="1" applyBorder="1" applyAlignment="1">
      <alignment horizontal="center" vertical="center" wrapText="1"/>
    </xf>
    <xf numFmtId="0" fontId="47" fillId="0" borderId="56" xfId="0" applyFont="1" applyBorder="1" applyAlignment="1">
      <alignment horizontal="center" vertical="center" wrapText="1"/>
    </xf>
    <xf numFmtId="0" fontId="47" fillId="0" borderId="57" xfId="0" applyFont="1" applyBorder="1" applyAlignment="1">
      <alignment horizontal="center" vertical="center" wrapText="1"/>
    </xf>
    <xf numFmtId="0" fontId="47" fillId="0" borderId="58" xfId="0" applyFont="1" applyBorder="1" applyAlignment="1">
      <alignment horizontal="center" vertical="center" wrapText="1"/>
    </xf>
    <xf numFmtId="0" fontId="47" fillId="0" borderId="36" xfId="0" applyFont="1" applyBorder="1" applyAlignment="1">
      <alignment horizontal="center" vertical="center" wrapText="1"/>
    </xf>
    <xf numFmtId="0" fontId="47" fillId="0" borderId="38" xfId="0" applyFont="1" applyBorder="1" applyAlignment="1">
      <alignment horizontal="center" vertical="center" wrapText="1"/>
    </xf>
    <xf numFmtId="165" fontId="44" fillId="0" borderId="12" xfId="3" applyNumberFormat="1" applyFont="1" applyBorder="1" applyAlignment="1">
      <alignment horizontal="right" vertical="center"/>
    </xf>
    <xf numFmtId="165" fontId="44" fillId="0" borderId="47" xfId="3" applyNumberFormat="1" applyFont="1" applyBorder="1" applyAlignment="1">
      <alignment horizontal="right" vertical="center"/>
    </xf>
    <xf numFmtId="0" fontId="32" fillId="0" borderId="129" xfId="2" quotePrefix="1" applyFont="1" applyBorder="1" applyAlignment="1">
      <alignment horizontal="left" vertical="center"/>
    </xf>
    <xf numFmtId="0" fontId="32" fillId="0" borderId="130" xfId="2" quotePrefix="1" applyFont="1" applyBorder="1" applyAlignment="1">
      <alignment horizontal="left" vertical="center"/>
    </xf>
    <xf numFmtId="165" fontId="47" fillId="0" borderId="4" xfId="3" applyNumberFormat="1" applyFont="1" applyBorder="1" applyAlignment="1">
      <alignment horizontal="right" vertical="center"/>
    </xf>
    <xf numFmtId="165" fontId="32" fillId="0" borderId="12" xfId="3" applyNumberFormat="1" applyFont="1" applyBorder="1" applyAlignment="1">
      <alignment horizontal="left" vertical="center"/>
    </xf>
    <xf numFmtId="165" fontId="32" fillId="0" borderId="60" xfId="3" applyNumberFormat="1" applyFont="1" applyBorder="1" applyAlignment="1">
      <alignment horizontal="left" vertical="center"/>
    </xf>
    <xf numFmtId="0" fontId="32" fillId="2" borderId="12" xfId="3" applyNumberFormat="1" applyFont="1" applyFill="1" applyBorder="1" applyAlignment="1">
      <alignment horizontal="left" vertical="center"/>
    </xf>
    <xf numFmtId="0" fontId="32" fillId="2" borderId="60" xfId="3" applyNumberFormat="1" applyFont="1" applyFill="1" applyBorder="1" applyAlignment="1">
      <alignment horizontal="left" vertical="center"/>
    </xf>
    <xf numFmtId="0" fontId="51" fillId="0" borderId="0" xfId="0" applyFont="1" applyFill="1" applyAlignment="1">
      <alignment horizontal="center"/>
    </xf>
    <xf numFmtId="165" fontId="47" fillId="0" borderId="4" xfId="3" applyNumberFormat="1" applyFont="1" applyFill="1" applyBorder="1" applyAlignment="1">
      <alignment horizontal="right" vertical="center"/>
    </xf>
    <xf numFmtId="43" fontId="50" fillId="0" borderId="0" xfId="3" applyFont="1" applyFill="1" applyBorder="1" applyAlignment="1">
      <alignment horizontal="center"/>
    </xf>
    <xf numFmtId="0" fontId="32" fillId="0" borderId="12" xfId="3" applyNumberFormat="1" applyFont="1" applyBorder="1" applyAlignment="1">
      <alignment horizontal="left" vertical="center"/>
    </xf>
    <xf numFmtId="0" fontId="32" fillId="0" borderId="60" xfId="3" applyNumberFormat="1" applyFont="1" applyBorder="1" applyAlignment="1">
      <alignment horizontal="left" vertical="center"/>
    </xf>
    <xf numFmtId="0" fontId="46" fillId="0" borderId="0" xfId="0" applyFont="1" applyAlignment="1">
      <alignment horizontal="left" vertical="top" wrapText="1"/>
    </xf>
    <xf numFmtId="0" fontId="148" fillId="0" borderId="4" xfId="0" applyFont="1" applyBorder="1" applyAlignment="1">
      <alignment horizontal="center"/>
    </xf>
    <xf numFmtId="0" fontId="47" fillId="0" borderId="1" xfId="0" applyFont="1" applyFill="1" applyBorder="1" applyAlignment="1">
      <alignment horizontal="center" vertical="center" wrapText="1"/>
    </xf>
    <xf numFmtId="0" fontId="47" fillId="0" borderId="3" xfId="0" applyFont="1" applyFill="1" applyBorder="1" applyAlignment="1">
      <alignment horizontal="center" vertical="center" wrapText="1"/>
    </xf>
    <xf numFmtId="0" fontId="47" fillId="0" borderId="7" xfId="0" applyFont="1" applyFill="1" applyBorder="1" applyAlignment="1">
      <alignment horizontal="center" vertical="center" wrapText="1"/>
    </xf>
    <xf numFmtId="0" fontId="47" fillId="0" borderId="4" xfId="0" applyFont="1" applyFill="1" applyBorder="1" applyAlignment="1">
      <alignment horizontal="center" vertical="center" wrapText="1"/>
    </xf>
    <xf numFmtId="165" fontId="50" fillId="0" borderId="0" xfId="0" applyNumberFormat="1" applyFont="1" applyFill="1" applyBorder="1" applyAlignment="1">
      <alignment horizontal="center" vertical="top"/>
    </xf>
    <xf numFmtId="0" fontId="148" fillId="0" borderId="4" xfId="0" applyFont="1" applyFill="1" applyBorder="1" applyAlignment="1">
      <alignment horizontal="center"/>
    </xf>
    <xf numFmtId="0" fontId="32" fillId="0" borderId="127" xfId="2" quotePrefix="1" applyFont="1" applyBorder="1" applyAlignment="1">
      <alignment horizontal="left" vertical="center"/>
    </xf>
    <xf numFmtId="0" fontId="32" fillId="0" borderId="128" xfId="2" quotePrefix="1" applyFont="1" applyBorder="1" applyAlignment="1">
      <alignment horizontal="left" vertical="center"/>
    </xf>
    <xf numFmtId="165" fontId="32" fillId="0" borderId="12" xfId="3" applyNumberFormat="1" applyFont="1" applyFill="1" applyBorder="1" applyAlignment="1">
      <alignment horizontal="left" vertical="center"/>
    </xf>
    <xf numFmtId="165" fontId="32" fillId="0" borderId="60" xfId="3" applyNumberFormat="1" applyFont="1" applyFill="1" applyBorder="1" applyAlignment="1">
      <alignment horizontal="left" vertical="center"/>
    </xf>
    <xf numFmtId="0" fontId="32" fillId="0" borderId="131" xfId="3" applyNumberFormat="1" applyFont="1" applyFill="1" applyBorder="1" applyAlignment="1">
      <alignment horizontal="left" vertical="center"/>
    </xf>
    <xf numFmtId="0" fontId="32" fillId="0" borderId="132" xfId="3" applyNumberFormat="1" applyFont="1" applyFill="1" applyBorder="1" applyAlignment="1">
      <alignment horizontal="left" vertical="center"/>
    </xf>
    <xf numFmtId="0" fontId="32" fillId="0" borderId="135" xfId="3" applyNumberFormat="1" applyFont="1" applyFill="1" applyBorder="1" applyAlignment="1">
      <alignment horizontal="left" vertical="center"/>
    </xf>
    <xf numFmtId="0" fontId="32" fillId="0" borderId="136" xfId="3" applyNumberFormat="1" applyFont="1" applyFill="1" applyBorder="1" applyAlignment="1">
      <alignment horizontal="left" vertical="center"/>
    </xf>
    <xf numFmtId="165" fontId="32" fillId="10" borderId="12" xfId="3" applyNumberFormat="1" applyFont="1" applyFill="1" applyBorder="1" applyAlignment="1">
      <alignment horizontal="left" vertical="center"/>
    </xf>
    <xf numFmtId="165" fontId="32" fillId="10" borderId="60" xfId="3" applyNumberFormat="1" applyFont="1" applyFill="1" applyBorder="1" applyAlignment="1">
      <alignment horizontal="left" vertical="center"/>
    </xf>
    <xf numFmtId="0" fontId="32" fillId="0" borderId="12" xfId="3" applyNumberFormat="1" applyFont="1" applyFill="1" applyBorder="1" applyAlignment="1">
      <alignment horizontal="left" vertical="center"/>
    </xf>
    <xf numFmtId="0" fontId="32" fillId="0" borderId="60" xfId="3" applyNumberFormat="1" applyFont="1" applyFill="1" applyBorder="1" applyAlignment="1">
      <alignment horizontal="left" vertical="center"/>
    </xf>
    <xf numFmtId="0" fontId="32" fillId="0" borderId="133" xfId="3" applyNumberFormat="1" applyFont="1" applyFill="1" applyBorder="1" applyAlignment="1">
      <alignment horizontal="left" vertical="center"/>
    </xf>
    <xf numFmtId="0" fontId="32" fillId="0" borderId="134" xfId="3" applyNumberFormat="1" applyFont="1" applyFill="1" applyBorder="1" applyAlignment="1">
      <alignment horizontal="left" vertical="center"/>
    </xf>
    <xf numFmtId="0" fontId="32" fillId="0" borderId="127" xfId="2" quotePrefix="1" applyNumberFormat="1" applyFont="1" applyBorder="1" applyAlignment="1">
      <alignment horizontal="left" vertical="center"/>
    </xf>
    <xf numFmtId="0" fontId="32" fillId="0" borderId="128" xfId="2" quotePrefix="1" applyNumberFormat="1" applyFont="1" applyBorder="1" applyAlignment="1">
      <alignment horizontal="left" vertical="center"/>
    </xf>
    <xf numFmtId="0" fontId="32" fillId="0" borderId="129" xfId="2" quotePrefix="1" applyNumberFormat="1" applyFont="1" applyBorder="1" applyAlignment="1">
      <alignment horizontal="left" vertical="center"/>
    </xf>
    <xf numFmtId="0" fontId="32" fillId="0" borderId="130" xfId="2" quotePrefix="1" applyNumberFormat="1" applyFont="1" applyBorder="1" applyAlignment="1">
      <alignment horizontal="left" vertical="center"/>
    </xf>
    <xf numFmtId="0" fontId="32" fillId="12" borderId="137" xfId="2" applyFont="1" applyFill="1" applyBorder="1" applyAlignment="1">
      <alignment horizontal="left" vertical="center"/>
    </xf>
    <xf numFmtId="0" fontId="32" fillId="12" borderId="138" xfId="2" applyFont="1" applyFill="1" applyBorder="1" applyAlignment="1">
      <alignment horizontal="left" vertical="center"/>
    </xf>
    <xf numFmtId="0" fontId="32" fillId="0" borderId="12" xfId="2" quotePrefix="1" applyNumberFormat="1" applyFont="1" applyBorder="1" applyAlignment="1">
      <alignment horizontal="left" vertical="center"/>
    </xf>
    <xf numFmtId="0" fontId="32" fillId="0" borderId="60" xfId="2" quotePrefix="1" applyNumberFormat="1" applyFont="1" applyBorder="1" applyAlignment="1">
      <alignment horizontal="left" vertical="center"/>
    </xf>
    <xf numFmtId="0" fontId="32" fillId="0" borderId="137" xfId="2" quotePrefix="1" applyNumberFormat="1" applyFont="1" applyBorder="1" applyAlignment="1">
      <alignment horizontal="left" vertical="center"/>
    </xf>
    <xf numFmtId="0" fontId="32" fillId="0" borderId="138" xfId="2" quotePrefix="1" applyNumberFormat="1" applyFont="1" applyBorder="1" applyAlignment="1">
      <alignment horizontal="left" vertical="center"/>
    </xf>
    <xf numFmtId="0" fontId="32" fillId="0" borderId="127" xfId="3" applyNumberFormat="1" applyFont="1" applyBorder="1" applyAlignment="1">
      <alignment horizontal="left" vertical="center"/>
    </xf>
    <xf numFmtId="0" fontId="32" fillId="0" borderId="128" xfId="3" applyNumberFormat="1" applyFont="1" applyBorder="1" applyAlignment="1">
      <alignment horizontal="left" vertical="center"/>
    </xf>
    <xf numFmtId="0" fontId="32" fillId="0" borderId="129" xfId="3" applyNumberFormat="1" applyFont="1" applyBorder="1" applyAlignment="1">
      <alignment horizontal="left" vertical="center"/>
    </xf>
    <xf numFmtId="0" fontId="32" fillId="0" borderId="130" xfId="3" applyNumberFormat="1" applyFont="1" applyBorder="1" applyAlignment="1">
      <alignment horizontal="left" vertical="center"/>
    </xf>
    <xf numFmtId="0" fontId="32" fillId="0" borderId="137" xfId="3" applyNumberFormat="1" applyFont="1" applyBorder="1" applyAlignment="1">
      <alignment horizontal="left" vertical="center"/>
    </xf>
    <xf numFmtId="0" fontId="32" fillId="0" borderId="138" xfId="3" applyNumberFormat="1" applyFont="1" applyBorder="1" applyAlignment="1">
      <alignment horizontal="left" vertical="center"/>
    </xf>
    <xf numFmtId="165" fontId="32" fillId="0" borderId="131" xfId="3" applyNumberFormat="1" applyFont="1" applyBorder="1" applyAlignment="1">
      <alignment horizontal="left" vertical="center"/>
    </xf>
    <xf numFmtId="165" fontId="32" fillId="0" borderId="132" xfId="3" applyNumberFormat="1" applyFont="1" applyBorder="1" applyAlignment="1">
      <alignment horizontal="left" vertical="center"/>
    </xf>
    <xf numFmtId="0" fontId="32" fillId="0" borderId="135" xfId="3" applyNumberFormat="1" applyFont="1" applyBorder="1" applyAlignment="1">
      <alignment horizontal="left" vertical="center"/>
    </xf>
    <xf numFmtId="0" fontId="32" fillId="0" borderId="136" xfId="3" applyNumberFormat="1" applyFont="1" applyBorder="1" applyAlignment="1">
      <alignment horizontal="left" vertical="center"/>
    </xf>
    <xf numFmtId="165" fontId="44" fillId="0" borderId="60" xfId="3" applyNumberFormat="1" applyFont="1" applyBorder="1" applyAlignment="1">
      <alignment horizontal="right" vertical="center"/>
    </xf>
    <xf numFmtId="0" fontId="4" fillId="0" borderId="4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165" fontId="50" fillId="0" borderId="131" xfId="3" applyNumberFormat="1" applyFont="1" applyBorder="1" applyAlignment="1">
      <alignment horizontal="left" vertical="center"/>
    </xf>
    <xf numFmtId="165" fontId="50" fillId="0" borderId="132" xfId="3" applyNumberFormat="1" applyFont="1" applyBorder="1" applyAlignment="1">
      <alignment horizontal="left" vertical="center"/>
    </xf>
    <xf numFmtId="165" fontId="50" fillId="0" borderId="133" xfId="3" applyNumberFormat="1" applyFont="1" applyBorder="1" applyAlignment="1">
      <alignment horizontal="left" vertical="center"/>
    </xf>
    <xf numFmtId="165" fontId="50" fillId="0" borderId="134" xfId="3" applyNumberFormat="1" applyFont="1" applyBorder="1" applyAlignment="1">
      <alignment horizontal="left" vertical="center"/>
    </xf>
    <xf numFmtId="165" fontId="50" fillId="0" borderId="12" xfId="3" applyNumberFormat="1" applyFont="1" applyBorder="1" applyAlignment="1">
      <alignment horizontal="left" vertical="center"/>
    </xf>
    <xf numFmtId="165" fontId="50" fillId="0" borderId="60" xfId="3" applyNumberFormat="1" applyFont="1" applyBorder="1" applyAlignment="1">
      <alignment horizontal="left" vertical="center"/>
    </xf>
    <xf numFmtId="165" fontId="50" fillId="0" borderId="135" xfId="3" applyNumberFormat="1" applyFont="1" applyBorder="1" applyAlignment="1">
      <alignment horizontal="left" vertical="center"/>
    </xf>
    <xf numFmtId="165" fontId="50" fillId="0" borderId="136" xfId="3" applyNumberFormat="1" applyFont="1" applyBorder="1" applyAlignment="1">
      <alignment horizontal="left" vertical="center"/>
    </xf>
    <xf numFmtId="0" fontId="50" fillId="0" borderId="0" xfId="0" applyFont="1" applyAlignment="1">
      <alignment horizontal="left" vertical="top" wrapText="1"/>
    </xf>
    <xf numFmtId="165" fontId="32" fillId="0" borderId="12" xfId="3" applyNumberFormat="1" applyFont="1" applyBorder="1" applyAlignment="1">
      <alignment horizontal="right" vertical="center"/>
    </xf>
    <xf numFmtId="165" fontId="32" fillId="0" borderId="47" xfId="3" applyNumberFormat="1" applyFont="1" applyBorder="1" applyAlignment="1">
      <alignment horizontal="right" vertical="center"/>
    </xf>
    <xf numFmtId="165" fontId="32" fillId="0" borderId="60" xfId="3" applyNumberFormat="1" applyFont="1" applyBorder="1" applyAlignment="1">
      <alignment horizontal="right" vertical="center"/>
    </xf>
    <xf numFmtId="165" fontId="47" fillId="0" borderId="36" xfId="3" applyNumberFormat="1" applyFont="1" applyBorder="1" applyAlignment="1">
      <alignment horizontal="right" vertical="center"/>
    </xf>
    <xf numFmtId="165" fontId="47" fillId="0" borderId="37" xfId="3" applyNumberFormat="1" applyFont="1" applyBorder="1" applyAlignment="1">
      <alignment horizontal="right" vertical="center"/>
    </xf>
    <xf numFmtId="0" fontId="44" fillId="0" borderId="56" xfId="0" applyFont="1" applyBorder="1" applyAlignment="1">
      <alignment horizontal="center" vertical="center" wrapText="1"/>
    </xf>
    <xf numFmtId="0" fontId="44" fillId="0" borderId="58" xfId="0" applyFont="1" applyBorder="1" applyAlignment="1">
      <alignment horizontal="center" vertical="center" wrapText="1"/>
    </xf>
    <xf numFmtId="0" fontId="44" fillId="0" borderId="38" xfId="0" applyFont="1" applyBorder="1" applyAlignment="1">
      <alignment horizontal="center" vertical="center" wrapText="1"/>
    </xf>
    <xf numFmtId="0" fontId="50" fillId="0" borderId="106" xfId="2" applyFont="1" applyBorder="1" applyAlignment="1">
      <alignment horizontal="left" vertical="center"/>
    </xf>
    <xf numFmtId="0" fontId="50" fillId="0" borderId="126" xfId="2" applyFont="1" applyBorder="1" applyAlignment="1">
      <alignment horizontal="left" vertical="center"/>
    </xf>
    <xf numFmtId="165" fontId="50" fillId="0" borderId="4" xfId="3" applyNumberFormat="1" applyFont="1" applyBorder="1" applyAlignment="1">
      <alignment horizontal="right" vertical="center"/>
    </xf>
    <xf numFmtId="0" fontId="50" fillId="0" borderId="4" xfId="2" applyFont="1" applyBorder="1" applyAlignment="1">
      <alignment horizontal="left" vertical="center"/>
    </xf>
    <xf numFmtId="0" fontId="50" fillId="0" borderId="100" xfId="2" applyFont="1" applyBorder="1" applyAlignment="1">
      <alignment horizontal="left" vertical="center"/>
    </xf>
    <xf numFmtId="165" fontId="44" fillId="0" borderId="50" xfId="3" applyNumberFormat="1" applyFont="1" applyBorder="1" applyAlignment="1">
      <alignment horizontal="right" vertical="center"/>
    </xf>
    <xf numFmtId="165" fontId="44" fillId="0" borderId="51" xfId="3" applyNumberFormat="1" applyFont="1" applyBorder="1" applyAlignment="1">
      <alignment horizontal="right" vertical="center"/>
    </xf>
    <xf numFmtId="0" fontId="44" fillId="0" borderId="34" xfId="0" applyFont="1" applyBorder="1" applyAlignment="1">
      <alignment horizontal="center" vertical="center" wrapText="1"/>
    </xf>
    <xf numFmtId="0" fontId="44" fillId="0" borderId="39" xfId="0" applyFont="1" applyBorder="1" applyAlignment="1">
      <alignment horizontal="center" vertical="center" wrapText="1"/>
    </xf>
    <xf numFmtId="0" fontId="44" fillId="0" borderId="44" xfId="0" applyFont="1" applyBorder="1" applyAlignment="1">
      <alignment horizontal="center" vertical="center" wrapText="1"/>
    </xf>
    <xf numFmtId="0" fontId="44" fillId="0" borderId="32" xfId="0" applyFont="1" applyBorder="1" applyAlignment="1">
      <alignment horizontal="center" vertical="center" wrapText="1"/>
    </xf>
    <xf numFmtId="0" fontId="44" fillId="0" borderId="41" xfId="0" applyFont="1" applyBorder="1" applyAlignment="1">
      <alignment horizontal="center" vertical="center" wrapText="1"/>
    </xf>
    <xf numFmtId="0" fontId="44" fillId="0" borderId="30" xfId="0" applyFont="1" applyBorder="1" applyAlignment="1">
      <alignment horizontal="center" vertical="center" wrapText="1"/>
    </xf>
    <xf numFmtId="0" fontId="44" fillId="0" borderId="45" xfId="0" applyFont="1" applyBorder="1" applyAlignment="1">
      <alignment horizontal="center" vertical="center" wrapText="1"/>
    </xf>
    <xf numFmtId="165" fontId="50" fillId="0" borderId="46" xfId="3" applyNumberFormat="1" applyFont="1" applyBorder="1" applyAlignment="1">
      <alignment horizontal="right" vertical="center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31" xfId="0" applyFont="1" applyBorder="1" applyAlignment="1">
      <alignment horizontal="center" vertical="center" wrapText="1"/>
    </xf>
    <xf numFmtId="0" fontId="44" fillId="0" borderId="88" xfId="0" applyFont="1" applyBorder="1" applyAlignment="1">
      <alignment horizontal="center" vertical="center" wrapText="1"/>
    </xf>
    <xf numFmtId="0" fontId="44" fillId="0" borderId="0" xfId="0" applyFont="1" applyBorder="1" applyAlignment="1">
      <alignment horizontal="center" vertical="center" wrapText="1"/>
    </xf>
    <xf numFmtId="0" fontId="44" fillId="0" borderId="93" xfId="0" applyFont="1" applyBorder="1" applyAlignment="1">
      <alignment horizontal="center" vertical="center" wrapText="1"/>
    </xf>
    <xf numFmtId="0" fontId="44" fillId="0" borderId="72" xfId="0" applyFont="1" applyBorder="1" applyAlignment="1">
      <alignment horizontal="center" vertical="center" wrapText="1"/>
    </xf>
    <xf numFmtId="0" fontId="44" fillId="0" borderId="73" xfId="0" applyFont="1" applyBorder="1" applyAlignment="1">
      <alignment horizontal="center" vertical="center" wrapText="1"/>
    </xf>
    <xf numFmtId="165" fontId="44" fillId="0" borderId="4" xfId="3" applyNumberFormat="1" applyFont="1" applyBorder="1" applyAlignment="1">
      <alignment horizontal="left" vertical="center"/>
    </xf>
    <xf numFmtId="165" fontId="50" fillId="0" borderId="106" xfId="3" applyNumberFormat="1" applyFont="1" applyBorder="1" applyAlignment="1">
      <alignment horizontal="left" vertical="center"/>
    </xf>
    <xf numFmtId="165" fontId="50" fillId="0" borderId="100" xfId="3" applyNumberFormat="1" applyFont="1" applyBorder="1" applyAlignment="1">
      <alignment horizontal="left" vertical="center"/>
    </xf>
    <xf numFmtId="165" fontId="50" fillId="0" borderId="126" xfId="3" applyNumberFormat="1" applyFont="1" applyBorder="1" applyAlignment="1">
      <alignment horizontal="left" vertical="center"/>
    </xf>
    <xf numFmtId="0" fontId="50" fillId="0" borderId="12" xfId="3" applyNumberFormat="1" applyFont="1" applyBorder="1" applyAlignment="1">
      <alignment horizontal="left" vertical="center"/>
    </xf>
    <xf numFmtId="0" fontId="50" fillId="0" borderId="60" xfId="3" applyNumberFormat="1" applyFont="1" applyBorder="1" applyAlignment="1">
      <alignment horizontal="left" vertical="center"/>
    </xf>
    <xf numFmtId="165" fontId="50" fillId="0" borderId="4" xfId="0" applyNumberFormat="1" applyFont="1" applyBorder="1" applyAlignment="1">
      <alignment horizontal="center" vertical="top"/>
    </xf>
    <xf numFmtId="0" fontId="44" fillId="0" borderId="0" xfId="0" applyFont="1" applyBorder="1" applyAlignment="1">
      <alignment horizontal="center"/>
    </xf>
    <xf numFmtId="165" fontId="50" fillId="0" borderId="0" xfId="3" applyNumberFormat="1" applyFont="1" applyBorder="1" applyAlignment="1">
      <alignment horizontal="right" vertical="center"/>
    </xf>
    <xf numFmtId="165" fontId="44" fillId="0" borderId="0" xfId="3" applyNumberFormat="1" applyFont="1" applyBorder="1" applyAlignment="1">
      <alignment horizontal="right" vertical="center"/>
    </xf>
    <xf numFmtId="0" fontId="51" fillId="12" borderId="0" xfId="0" applyFont="1" applyFill="1" applyBorder="1" applyAlignment="1">
      <alignment horizontal="center"/>
    </xf>
    <xf numFmtId="0" fontId="52" fillId="12" borderId="0" xfId="0" applyFont="1" applyFill="1" applyBorder="1" applyAlignment="1">
      <alignment horizontal="center"/>
    </xf>
    <xf numFmtId="0" fontId="23" fillId="0" borderId="34" xfId="0" applyFont="1" applyBorder="1" applyAlignment="1">
      <alignment horizontal="center" vertical="center" wrapText="1"/>
    </xf>
    <xf numFmtId="0" fontId="23" fillId="0" borderId="39" xfId="0" applyFont="1" applyBorder="1" applyAlignment="1">
      <alignment horizontal="center" vertical="center" wrapText="1"/>
    </xf>
    <xf numFmtId="0" fontId="23" fillId="0" borderId="44" xfId="0" applyFont="1" applyBorder="1" applyAlignment="1">
      <alignment horizontal="center" vertical="center" wrapText="1"/>
    </xf>
    <xf numFmtId="0" fontId="23" fillId="0" borderId="8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23" fillId="0" borderId="31" xfId="0" applyFont="1" applyBorder="1" applyAlignment="1">
      <alignment horizontal="center" vertical="center" wrapText="1"/>
    </xf>
    <xf numFmtId="0" fontId="23" fillId="0" borderId="88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3" fillId="0" borderId="58" xfId="0" applyFont="1" applyBorder="1" applyAlignment="1">
      <alignment horizontal="center" vertical="center" wrapText="1"/>
    </xf>
    <xf numFmtId="0" fontId="23" fillId="0" borderId="93" xfId="0" applyFont="1" applyBorder="1" applyAlignment="1">
      <alignment horizontal="center" vertical="center" wrapText="1"/>
    </xf>
    <xf numFmtId="0" fontId="23" fillId="0" borderId="72" xfId="0" applyFont="1" applyBorder="1" applyAlignment="1">
      <alignment horizontal="center" vertical="center" wrapText="1"/>
    </xf>
    <xf numFmtId="0" fontId="23" fillId="0" borderId="73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1" xfId="0" applyFont="1" applyBorder="1" applyAlignment="1">
      <alignment horizontal="center" vertical="center" wrapText="1"/>
    </xf>
    <xf numFmtId="0" fontId="23" fillId="0" borderId="30" xfId="0" applyFont="1" applyBorder="1" applyAlignment="1">
      <alignment horizontal="center" vertical="center" wrapText="1"/>
    </xf>
    <xf numFmtId="0" fontId="23" fillId="0" borderId="57" xfId="0" applyFont="1" applyBorder="1" applyAlignment="1">
      <alignment horizontal="center" vertical="center" wrapText="1"/>
    </xf>
    <xf numFmtId="0" fontId="23" fillId="0" borderId="45" xfId="0" applyFont="1" applyBorder="1" applyAlignment="1">
      <alignment horizontal="center" vertical="center" wrapText="1"/>
    </xf>
    <xf numFmtId="165" fontId="23" fillId="0" borderId="46" xfId="3" applyNumberFormat="1" applyFont="1" applyBorder="1" applyAlignment="1">
      <alignment horizontal="right" vertical="center"/>
    </xf>
    <xf numFmtId="165" fontId="23" fillId="0" borderId="47" xfId="3" applyNumberFormat="1" applyFont="1" applyBorder="1" applyAlignment="1">
      <alignment horizontal="right" vertical="center"/>
    </xf>
    <xf numFmtId="165" fontId="23" fillId="0" borderId="60" xfId="3" applyNumberFormat="1" applyFont="1" applyBorder="1" applyAlignment="1">
      <alignment horizontal="right" vertical="center"/>
    </xf>
    <xf numFmtId="165" fontId="23" fillId="0" borderId="50" xfId="3" applyNumberFormat="1" applyFont="1" applyBorder="1" applyAlignment="1">
      <alignment horizontal="right" vertical="center"/>
    </xf>
    <xf numFmtId="165" fontId="23" fillId="0" borderId="51" xfId="3" applyNumberFormat="1" applyFont="1" applyBorder="1" applyAlignment="1">
      <alignment horizontal="right" vertical="center"/>
    </xf>
    <xf numFmtId="165" fontId="22" fillId="0" borderId="46" xfId="3" applyNumberFormat="1" applyFont="1" applyBorder="1" applyAlignment="1">
      <alignment horizontal="right" vertical="center"/>
    </xf>
    <xf numFmtId="165" fontId="22" fillId="0" borderId="47" xfId="3" applyNumberFormat="1" applyFont="1" applyBorder="1" applyAlignment="1">
      <alignment horizontal="right" vertical="center"/>
    </xf>
    <xf numFmtId="165" fontId="22" fillId="0" borderId="60" xfId="3" applyNumberFormat="1" applyFont="1" applyBorder="1" applyAlignment="1">
      <alignment horizontal="right" vertical="center"/>
    </xf>
    <xf numFmtId="0" fontId="22" fillId="0" borderId="4" xfId="2" applyFont="1" applyBorder="1" applyAlignment="1">
      <alignment horizontal="left" vertical="center"/>
    </xf>
    <xf numFmtId="0" fontId="27" fillId="12" borderId="4" xfId="0" applyFont="1" applyFill="1" applyBorder="1" applyAlignment="1">
      <alignment horizontal="left" vertical="center"/>
    </xf>
    <xf numFmtId="0" fontId="23" fillId="0" borderId="4" xfId="0" applyFont="1" applyBorder="1" applyAlignment="1">
      <alignment horizontal="center" vertical="center" wrapText="1"/>
    </xf>
    <xf numFmtId="165" fontId="22" fillId="0" borderId="4" xfId="0" applyNumberFormat="1" applyFont="1" applyBorder="1" applyAlignment="1">
      <alignment horizontal="center" vertical="top"/>
    </xf>
    <xf numFmtId="165" fontId="22" fillId="0" borderId="4" xfId="3" applyNumberFormat="1" applyFont="1" applyBorder="1" applyAlignment="1">
      <alignment horizontal="right" vertical="center"/>
    </xf>
    <xf numFmtId="165" fontId="23" fillId="0" borderId="4" xfId="3" applyNumberFormat="1" applyFont="1" applyBorder="1" applyAlignment="1">
      <alignment horizontal="right" vertical="center"/>
    </xf>
    <xf numFmtId="0" fontId="27" fillId="12" borderId="4" xfId="0" applyFont="1" applyFill="1" applyBorder="1" applyAlignment="1">
      <alignment horizontal="right" vertical="center"/>
    </xf>
    <xf numFmtId="0" fontId="22" fillId="0" borderId="4" xfId="0" applyFont="1" applyBorder="1" applyAlignment="1">
      <alignment horizontal="center" vertical="center"/>
    </xf>
    <xf numFmtId="0" fontId="22" fillId="12" borderId="4" xfId="2" applyFont="1" applyFill="1" applyBorder="1" applyAlignment="1">
      <alignment horizontal="left" vertical="center"/>
    </xf>
    <xf numFmtId="165" fontId="23" fillId="0" borderId="12" xfId="3" applyNumberFormat="1" applyFont="1" applyBorder="1" applyAlignment="1">
      <alignment horizontal="right" vertical="center"/>
    </xf>
    <xf numFmtId="165" fontId="22" fillId="0" borderId="12" xfId="3" applyNumberFormat="1" applyFont="1" applyBorder="1" applyAlignment="1">
      <alignment horizontal="right" vertical="center"/>
    </xf>
    <xf numFmtId="165" fontId="23" fillId="0" borderId="12" xfId="3" applyNumberFormat="1" applyFont="1" applyBorder="1" applyAlignment="1">
      <alignment horizontal="center" vertical="center"/>
    </xf>
    <xf numFmtId="165" fontId="23" fillId="0" borderId="47" xfId="3" applyNumberFormat="1" applyFont="1" applyBorder="1" applyAlignment="1">
      <alignment horizontal="center" vertical="center"/>
    </xf>
    <xf numFmtId="165" fontId="23" fillId="0" borderId="60" xfId="3" applyNumberFormat="1" applyFont="1" applyBorder="1" applyAlignment="1">
      <alignment horizontal="center" vertical="center"/>
    </xf>
    <xf numFmtId="0" fontId="22" fillId="12" borderId="12" xfId="2" applyFont="1" applyFill="1" applyBorder="1" applyAlignment="1">
      <alignment horizontal="left" vertical="center"/>
    </xf>
    <xf numFmtId="0" fontId="22" fillId="12" borderId="60" xfId="2" applyFont="1" applyFill="1" applyBorder="1" applyAlignment="1">
      <alignment horizontal="left" vertical="center"/>
    </xf>
    <xf numFmtId="0" fontId="23" fillId="0" borderId="4" xfId="0" applyFont="1" applyBorder="1" applyAlignment="1">
      <alignment horizontal="center" vertical="center"/>
    </xf>
    <xf numFmtId="0" fontId="22" fillId="0" borderId="12" xfId="2" applyFont="1" applyBorder="1" applyAlignment="1">
      <alignment horizontal="left" vertical="center"/>
    </xf>
    <xf numFmtId="0" fontId="22" fillId="0" borderId="60" xfId="2" applyFont="1" applyBorder="1" applyAlignment="1">
      <alignment horizontal="left" vertical="center"/>
    </xf>
    <xf numFmtId="0" fontId="23" fillId="0" borderId="12" xfId="2" applyFont="1" applyBorder="1" applyAlignment="1">
      <alignment horizontal="left" vertical="center"/>
    </xf>
    <xf numFmtId="0" fontId="23" fillId="0" borderId="60" xfId="2" applyFont="1" applyBorder="1" applyAlignment="1">
      <alignment horizontal="left" vertical="center"/>
    </xf>
    <xf numFmtId="0" fontId="22" fillId="0" borderId="12" xfId="2" quotePrefix="1" applyFont="1" applyBorder="1" applyAlignment="1">
      <alignment horizontal="left" vertical="center"/>
    </xf>
    <xf numFmtId="0" fontId="22" fillId="0" borderId="60" xfId="2" quotePrefix="1" applyFont="1" applyBorder="1" applyAlignment="1">
      <alignment horizontal="left" vertical="center"/>
    </xf>
    <xf numFmtId="0" fontId="22" fillId="0" borderId="131" xfId="2" quotePrefix="1" applyFont="1" applyBorder="1" applyAlignment="1">
      <alignment horizontal="left" vertical="center"/>
    </xf>
    <xf numFmtId="0" fontId="22" fillId="0" borderId="132" xfId="2" quotePrefix="1" applyFont="1" applyBorder="1" applyAlignment="1">
      <alignment horizontal="left" vertical="center"/>
    </xf>
    <xf numFmtId="0" fontId="22" fillId="0" borderId="135" xfId="2" quotePrefix="1" applyFont="1" applyBorder="1" applyAlignment="1">
      <alignment horizontal="left" vertical="center"/>
    </xf>
    <xf numFmtId="0" fontId="22" fillId="0" borderId="136" xfId="2" quotePrefix="1" applyFont="1" applyBorder="1" applyAlignment="1">
      <alignment horizontal="left" vertical="center"/>
    </xf>
    <xf numFmtId="0" fontId="22" fillId="0" borderId="131" xfId="2" applyFont="1" applyBorder="1" applyAlignment="1">
      <alignment horizontal="left" vertical="center"/>
    </xf>
    <xf numFmtId="0" fontId="22" fillId="0" borderId="132" xfId="2" applyFont="1" applyBorder="1" applyAlignment="1">
      <alignment horizontal="left" vertical="center"/>
    </xf>
    <xf numFmtId="0" fontId="22" fillId="0" borderId="135" xfId="2" applyFont="1" applyBorder="1" applyAlignment="1">
      <alignment horizontal="left" vertical="center"/>
    </xf>
    <xf numFmtId="0" fontId="22" fillId="0" borderId="136" xfId="2" applyFont="1" applyBorder="1" applyAlignment="1">
      <alignment horizontal="left" vertical="center"/>
    </xf>
    <xf numFmtId="0" fontId="83" fillId="0" borderId="36" xfId="2" applyFont="1" applyBorder="1" applyAlignment="1">
      <alignment horizontal="center" vertical="center"/>
    </xf>
    <xf numFmtId="0" fontId="83" fillId="0" borderId="37" xfId="2" applyFont="1" applyBorder="1" applyAlignment="1">
      <alignment horizontal="center" vertical="center"/>
    </xf>
    <xf numFmtId="0" fontId="98" fillId="0" borderId="37" xfId="20" applyFont="1" applyBorder="1" applyAlignment="1">
      <alignment horizontal="center"/>
    </xf>
    <xf numFmtId="0" fontId="98" fillId="0" borderId="38" xfId="20" applyFont="1" applyBorder="1" applyAlignment="1">
      <alignment horizontal="center"/>
    </xf>
    <xf numFmtId="0" fontId="82" fillId="0" borderId="0" xfId="2" applyFont="1" applyBorder="1" applyAlignment="1">
      <alignment horizontal="center"/>
    </xf>
    <xf numFmtId="0" fontId="84" fillId="0" borderId="0" xfId="20" applyFont="1" applyBorder="1" applyAlignment="1">
      <alignment horizontal="left" vertical="center" wrapText="1"/>
    </xf>
    <xf numFmtId="0" fontId="87" fillId="0" borderId="4" xfId="2" applyFont="1" applyFill="1" applyBorder="1" applyAlignment="1">
      <alignment horizontal="center" vertical="center" wrapText="1"/>
    </xf>
    <xf numFmtId="0" fontId="87" fillId="0" borderId="4" xfId="2" applyFont="1" applyFill="1" applyBorder="1" applyAlignment="1">
      <alignment horizontal="center"/>
    </xf>
    <xf numFmtId="0" fontId="22" fillId="0" borderId="106" xfId="2" applyFont="1" applyBorder="1" applyAlignment="1">
      <alignment horizontal="left" vertical="center"/>
    </xf>
    <xf numFmtId="0" fontId="22" fillId="0" borderId="126" xfId="2" applyFont="1" applyBorder="1" applyAlignment="1">
      <alignment horizontal="left" vertical="center"/>
    </xf>
    <xf numFmtId="0" fontId="22" fillId="0" borderId="4" xfId="2" applyFont="1" applyBorder="1" applyAlignment="1">
      <alignment horizontal="left"/>
    </xf>
    <xf numFmtId="165" fontId="23" fillId="0" borderId="4" xfId="3" applyNumberFormat="1" applyFont="1" applyBorder="1" applyAlignment="1">
      <alignment horizontal="right"/>
    </xf>
    <xf numFmtId="0" fontId="22" fillId="0" borderId="4" xfId="2" applyFont="1" applyBorder="1" applyAlignment="1">
      <alignment horizontal="center"/>
    </xf>
    <xf numFmtId="0" fontId="36" fillId="12" borderId="0" xfId="0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horizontal="left" vertical="top" wrapText="1"/>
    </xf>
    <xf numFmtId="165" fontId="22" fillId="0" borderId="0" xfId="0" applyNumberFormat="1" applyFont="1" applyBorder="1" applyAlignment="1">
      <alignment horizontal="center" vertical="top"/>
    </xf>
    <xf numFmtId="0" fontId="23" fillId="0" borderId="1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61" xfId="0" applyFont="1" applyBorder="1" applyAlignment="1">
      <alignment horizontal="center" vertical="center" wrapText="1"/>
    </xf>
    <xf numFmtId="0" fontId="23" fillId="0" borderId="56" xfId="0" applyFont="1" applyBorder="1" applyAlignment="1">
      <alignment horizontal="center" vertical="center" wrapText="1"/>
    </xf>
    <xf numFmtId="0" fontId="23" fillId="0" borderId="36" xfId="0" applyFont="1" applyBorder="1" applyAlignment="1">
      <alignment horizontal="center" vertical="center" wrapText="1"/>
    </xf>
    <xf numFmtId="0" fontId="23" fillId="0" borderId="38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165" fontId="22" fillId="0" borderId="50" xfId="3" applyNumberFormat="1" applyFont="1" applyBorder="1" applyAlignment="1">
      <alignment horizontal="right" vertical="center"/>
    </xf>
    <xf numFmtId="165" fontId="22" fillId="0" borderId="51" xfId="3" applyNumberFormat="1" applyFont="1" applyBorder="1" applyAlignment="1">
      <alignment horizontal="right" vertical="center"/>
    </xf>
    <xf numFmtId="165" fontId="22" fillId="0" borderId="96" xfId="3" applyNumberFormat="1" applyFont="1" applyBorder="1" applyAlignment="1">
      <alignment horizontal="right" vertical="center"/>
    </xf>
    <xf numFmtId="0" fontId="22" fillId="0" borderId="0" xfId="0" applyFont="1" applyBorder="1" applyAlignment="1">
      <alignment horizontal="left" vertical="top"/>
    </xf>
    <xf numFmtId="164" fontId="22" fillId="0" borderId="0" xfId="0" applyNumberFormat="1" applyFont="1" applyBorder="1" applyAlignment="1">
      <alignment horizontal="center" vertical="top"/>
    </xf>
    <xf numFmtId="165" fontId="152" fillId="0" borderId="46" xfId="3" applyNumberFormat="1" applyFont="1" applyBorder="1" applyAlignment="1">
      <alignment horizontal="right" vertical="center"/>
    </xf>
    <xf numFmtId="165" fontId="152" fillId="0" borderId="47" xfId="3" applyNumberFormat="1" applyFont="1" applyBorder="1" applyAlignment="1">
      <alignment horizontal="right" vertical="center"/>
    </xf>
    <xf numFmtId="165" fontId="152" fillId="0" borderId="60" xfId="3" applyNumberFormat="1" applyFont="1" applyBorder="1" applyAlignment="1">
      <alignment horizontal="right" vertical="center"/>
    </xf>
  </cellXfs>
  <cellStyles count="32">
    <cellStyle name="Comma" xfId="3" builtinId="3"/>
    <cellStyle name="Comma [0]" xfId="1" builtinId="6"/>
    <cellStyle name="Comma [0] 2" xfId="22"/>
    <cellStyle name="Comma [0] 2 2" xfId="28"/>
    <cellStyle name="Comma [0] 3" xfId="5"/>
    <cellStyle name="Comma [0] 3 2" xfId="26"/>
    <cellStyle name="Comma [0] 3 3" xfId="31"/>
    <cellStyle name="Comma [0] 38" xfId="13"/>
    <cellStyle name="Comma [0] 4" xfId="29"/>
    <cellStyle name="Comma 2" xfId="8"/>
    <cellStyle name="Comma 3" xfId="10"/>
    <cellStyle name="Comma 4" xfId="21"/>
    <cellStyle name="Currency [0]" xfId="14" builtinId="7"/>
    <cellStyle name="Currency [0] 2" xfId="17"/>
    <cellStyle name="Currency [0] 3" xfId="25"/>
    <cellStyle name="Normal" xfId="0" builtinId="0"/>
    <cellStyle name="Normal - Style1 2 3" xfId="12"/>
    <cellStyle name="Normal 2" xfId="2"/>
    <cellStyle name="Normal 2 2" xfId="18"/>
    <cellStyle name="Normal 2 2 10" xfId="16"/>
    <cellStyle name="Normal 2 2 2" xfId="23"/>
    <cellStyle name="Normal 2 3" xfId="7"/>
    <cellStyle name="Normal 2 3 2" xfId="19"/>
    <cellStyle name="Normal 3" xfId="6"/>
    <cellStyle name="Normal 3 2" xfId="27"/>
    <cellStyle name="Normal 3 4" xfId="30"/>
    <cellStyle name="Normal 4" xfId="9"/>
    <cellStyle name="Normal 4 2" xfId="24"/>
    <cellStyle name="Normal 5" xfId="20"/>
    <cellStyle name="Normal 8" xfId="11"/>
    <cellStyle name="Percent" xfId="4" builtinId="5"/>
    <cellStyle name="Percent 2 2" xfId="1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4.xml"/><Relationship Id="rId68" Type="http://schemas.openxmlformats.org/officeDocument/2006/relationships/externalLink" Target="externalLinks/externalLink9.xml"/><Relationship Id="rId76" Type="http://schemas.openxmlformats.org/officeDocument/2006/relationships/externalLink" Target="externalLinks/externalLink17.xml"/><Relationship Id="rId84" Type="http://schemas.openxmlformats.org/officeDocument/2006/relationships/externalLink" Target="externalLinks/externalLink25.xml"/><Relationship Id="rId89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7.xml"/><Relationship Id="rId74" Type="http://schemas.openxmlformats.org/officeDocument/2006/relationships/externalLink" Target="externalLinks/externalLink15.xml"/><Relationship Id="rId79" Type="http://schemas.openxmlformats.org/officeDocument/2006/relationships/externalLink" Target="externalLinks/externalLink20.xml"/><Relationship Id="rId87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.xml"/><Relationship Id="rId82" Type="http://schemas.openxmlformats.org/officeDocument/2006/relationships/externalLink" Target="externalLinks/externalLink23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5.xml"/><Relationship Id="rId69" Type="http://schemas.openxmlformats.org/officeDocument/2006/relationships/externalLink" Target="externalLinks/externalLink10.xml"/><Relationship Id="rId77" Type="http://schemas.openxmlformats.org/officeDocument/2006/relationships/externalLink" Target="externalLinks/externalLink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3.xml"/><Relationship Id="rId80" Type="http://schemas.openxmlformats.org/officeDocument/2006/relationships/externalLink" Target="externalLinks/externalLink21.xml"/><Relationship Id="rId85" Type="http://schemas.openxmlformats.org/officeDocument/2006/relationships/externalLink" Target="externalLinks/externalLink2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3.xml"/><Relationship Id="rId70" Type="http://schemas.openxmlformats.org/officeDocument/2006/relationships/externalLink" Target="externalLinks/externalLink11.xml"/><Relationship Id="rId75" Type="http://schemas.openxmlformats.org/officeDocument/2006/relationships/externalLink" Target="externalLinks/externalLink16.xml"/><Relationship Id="rId83" Type="http://schemas.openxmlformats.org/officeDocument/2006/relationships/externalLink" Target="externalLinks/externalLink24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1.xml"/><Relationship Id="rId65" Type="http://schemas.openxmlformats.org/officeDocument/2006/relationships/externalLink" Target="externalLinks/externalLink6.xml"/><Relationship Id="rId73" Type="http://schemas.openxmlformats.org/officeDocument/2006/relationships/externalLink" Target="externalLinks/externalLink14.xml"/><Relationship Id="rId78" Type="http://schemas.openxmlformats.org/officeDocument/2006/relationships/externalLink" Target="externalLinks/externalLink19.xml"/><Relationship Id="rId81" Type="http://schemas.openxmlformats.org/officeDocument/2006/relationships/externalLink" Target="externalLinks/externalLink22.xml"/><Relationship Id="rId8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OP!A1"/><Relationship Id="rId13" Type="http://schemas.openxmlformats.org/officeDocument/2006/relationships/hyperlink" Target="#'Hnr PKPKD'!A1"/><Relationship Id="rId3" Type="http://schemas.openxmlformats.org/officeDocument/2006/relationships/hyperlink" Target="#APBDES!A1"/><Relationship Id="rId7" Type="http://schemas.openxmlformats.org/officeDocument/2006/relationships/hyperlink" Target="#Bpjs!A1"/><Relationship Id="rId12" Type="http://schemas.openxmlformats.org/officeDocument/2006/relationships/hyperlink" Target="#Mdl!A1"/><Relationship Id="rId2" Type="http://schemas.openxmlformats.org/officeDocument/2006/relationships/hyperlink" Target="#RKK!A1"/><Relationship Id="rId16" Type="http://schemas.openxmlformats.org/officeDocument/2006/relationships/hyperlink" Target="#LOMDES!A1"/><Relationship Id="rId1" Type="http://schemas.openxmlformats.org/officeDocument/2006/relationships/hyperlink" Target="#RKP!A1"/><Relationship Id="rId6" Type="http://schemas.openxmlformats.org/officeDocument/2006/relationships/hyperlink" Target="#'Siltun Prngkt'!A1"/><Relationship Id="rId11" Type="http://schemas.openxmlformats.org/officeDocument/2006/relationships/hyperlink" Target="#'OP BPD'!A1"/><Relationship Id="rId5" Type="http://schemas.openxmlformats.org/officeDocument/2006/relationships/hyperlink" Target="#'Siltun Kds'!A1"/><Relationship Id="rId15" Type="http://schemas.openxmlformats.org/officeDocument/2006/relationships/hyperlink" Target="#'Hnr RKP'!A1"/><Relationship Id="rId10" Type="http://schemas.openxmlformats.org/officeDocument/2006/relationships/hyperlink" Target="#BPD!A1"/><Relationship Id="rId4" Type="http://schemas.openxmlformats.org/officeDocument/2006/relationships/hyperlink" Target="#'Pnj APBDES'!A1"/><Relationship Id="rId9" Type="http://schemas.openxmlformats.org/officeDocument/2006/relationships/hyperlink" Target="#RT!A1"/><Relationship Id="rId14" Type="http://schemas.openxmlformats.org/officeDocument/2006/relationships/hyperlink" Target="#Profil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PINTU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571500</xdr:colOff>
      <xdr:row>42</xdr:row>
      <xdr:rowOff>174625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/>
      </xdr:nvSpPr>
      <xdr:spPr>
        <a:xfrm>
          <a:off x="0" y="0"/>
          <a:ext cx="10223500" cy="8175625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174626</xdr:colOff>
      <xdr:row>1</xdr:row>
      <xdr:rowOff>95250</xdr:rowOff>
    </xdr:from>
    <xdr:to>
      <xdr:col>2</xdr:col>
      <xdr:colOff>79376</xdr:colOff>
      <xdr:row>5</xdr:row>
      <xdr:rowOff>63500</xdr:rowOff>
    </xdr:to>
    <xdr:sp macro="" textlink="">
      <xdr:nvSpPr>
        <xdr:cNvPr id="3" name="Rectangl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74626" y="285750"/>
          <a:ext cx="1111250" cy="7302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RKPDES</a:t>
          </a:r>
        </a:p>
      </xdr:txBody>
    </xdr:sp>
    <xdr:clientData/>
  </xdr:twoCellAnchor>
  <xdr:twoCellAnchor>
    <xdr:from>
      <xdr:col>0</xdr:col>
      <xdr:colOff>184151</xdr:colOff>
      <xdr:row>6</xdr:row>
      <xdr:rowOff>57150</xdr:rowOff>
    </xdr:from>
    <xdr:to>
      <xdr:col>2</xdr:col>
      <xdr:colOff>88901</xdr:colOff>
      <xdr:row>10</xdr:row>
      <xdr:rowOff>25400</xdr:rowOff>
    </xdr:to>
    <xdr:sp macro="" textlink="">
      <xdr:nvSpPr>
        <xdr:cNvPr id="8" name="Rectangl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SpPr/>
      </xdr:nvSpPr>
      <xdr:spPr>
        <a:xfrm>
          <a:off x="184151" y="1200150"/>
          <a:ext cx="1111250" cy="7302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RKK</a:t>
          </a:r>
        </a:p>
      </xdr:txBody>
    </xdr:sp>
    <xdr:clientData/>
  </xdr:twoCellAnchor>
  <xdr:twoCellAnchor>
    <xdr:from>
      <xdr:col>0</xdr:col>
      <xdr:colOff>193676</xdr:colOff>
      <xdr:row>11</xdr:row>
      <xdr:rowOff>114300</xdr:rowOff>
    </xdr:from>
    <xdr:to>
      <xdr:col>2</xdr:col>
      <xdr:colOff>98426</xdr:colOff>
      <xdr:row>15</xdr:row>
      <xdr:rowOff>82550</xdr:rowOff>
    </xdr:to>
    <xdr:sp macro="" textlink="">
      <xdr:nvSpPr>
        <xdr:cNvPr id="9" name="Rectangle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/>
      </xdr:nvSpPr>
      <xdr:spPr>
        <a:xfrm>
          <a:off x="193676" y="2209800"/>
          <a:ext cx="1111250" cy="7302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APBDES</a:t>
          </a:r>
        </a:p>
      </xdr:txBody>
    </xdr:sp>
    <xdr:clientData/>
  </xdr:twoCellAnchor>
  <xdr:twoCellAnchor>
    <xdr:from>
      <xdr:col>0</xdr:col>
      <xdr:colOff>203201</xdr:colOff>
      <xdr:row>16</xdr:row>
      <xdr:rowOff>171450</xdr:rowOff>
    </xdr:from>
    <xdr:to>
      <xdr:col>2</xdr:col>
      <xdr:colOff>107951</xdr:colOff>
      <xdr:row>20</xdr:row>
      <xdr:rowOff>139700</xdr:rowOff>
    </xdr:to>
    <xdr:sp macro="" textlink="">
      <xdr:nvSpPr>
        <xdr:cNvPr id="6" name="Rectangl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/>
      </xdr:nvSpPr>
      <xdr:spPr>
        <a:xfrm>
          <a:off x="203201" y="3219450"/>
          <a:ext cx="1111250" cy="73025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penjab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apbdes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3</xdr:col>
      <xdr:colOff>117476</xdr:colOff>
      <xdr:row>1</xdr:row>
      <xdr:rowOff>101600</xdr:rowOff>
    </xdr:from>
    <xdr:to>
      <xdr:col>5</xdr:col>
      <xdr:colOff>22226</xdr:colOff>
      <xdr:row>5</xdr:row>
      <xdr:rowOff>69850</xdr:rowOff>
    </xdr:to>
    <xdr:sp macro="" textlink="">
      <xdr:nvSpPr>
        <xdr:cNvPr id="7" name="Rectangl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/>
      </xdr:nvSpPr>
      <xdr:spPr>
        <a:xfrm>
          <a:off x="1927226" y="292100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3</xdr:col>
      <xdr:colOff>95250</xdr:colOff>
      <xdr:row>5</xdr:row>
      <xdr:rowOff>142875</xdr:rowOff>
    </xdr:from>
    <xdr:to>
      <xdr:col>5</xdr:col>
      <xdr:colOff>0</xdr:colOff>
      <xdr:row>9</xdr:row>
      <xdr:rowOff>111125</xdr:rowOff>
    </xdr:to>
    <xdr:sp macro="" textlink="">
      <xdr:nvSpPr>
        <xdr:cNvPr id="10" name="Rectangle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/>
      </xdr:nvSpPr>
      <xdr:spPr>
        <a:xfrm>
          <a:off x="1905000" y="1095375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PRAGK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3</xdr:col>
      <xdr:colOff>95250</xdr:colOff>
      <xdr:row>10</xdr:row>
      <xdr:rowOff>15875</xdr:rowOff>
    </xdr:from>
    <xdr:to>
      <xdr:col>5</xdr:col>
      <xdr:colOff>0</xdr:colOff>
      <xdr:row>13</xdr:row>
      <xdr:rowOff>174625</xdr:rowOff>
    </xdr:to>
    <xdr:sp macro="" textlink="">
      <xdr:nvSpPr>
        <xdr:cNvPr id="11" name="Rectangle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SpPr/>
      </xdr:nvSpPr>
      <xdr:spPr>
        <a:xfrm>
          <a:off x="1905000" y="1920875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BPJS</a:t>
          </a:r>
        </a:p>
      </xdr:txBody>
    </xdr:sp>
    <xdr:clientData/>
  </xdr:twoCellAnchor>
  <xdr:twoCellAnchor>
    <xdr:from>
      <xdr:col>3</xdr:col>
      <xdr:colOff>104775</xdr:colOff>
      <xdr:row>14</xdr:row>
      <xdr:rowOff>73025</xdr:rowOff>
    </xdr:from>
    <xdr:to>
      <xdr:col>5</xdr:col>
      <xdr:colOff>9525</xdr:colOff>
      <xdr:row>18</xdr:row>
      <xdr:rowOff>41275</xdr:rowOff>
    </xdr:to>
    <xdr:sp macro="" textlink="">
      <xdr:nvSpPr>
        <xdr:cNvPr id="12" name="Rectangle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/>
      </xdr:nvSpPr>
      <xdr:spPr>
        <a:xfrm>
          <a:off x="1914525" y="2740025"/>
          <a:ext cx="1111250" cy="730250"/>
        </a:xfrm>
        <a:prstGeom prst="rect">
          <a:avLst/>
        </a:prstGeom>
        <a:solidFill>
          <a:srgbClr val="00B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OP  KTR</a:t>
          </a:r>
        </a:p>
      </xdr:txBody>
    </xdr:sp>
    <xdr:clientData/>
  </xdr:twoCellAnchor>
  <xdr:twoCellAnchor>
    <xdr:from>
      <xdr:col>3</xdr:col>
      <xdr:colOff>82550</xdr:colOff>
      <xdr:row>27</xdr:row>
      <xdr:rowOff>98425</xdr:rowOff>
    </xdr:from>
    <xdr:to>
      <xdr:col>4</xdr:col>
      <xdr:colOff>590550</xdr:colOff>
      <xdr:row>31</xdr:row>
      <xdr:rowOff>66675</xdr:rowOff>
    </xdr:to>
    <xdr:sp macro="" textlink="">
      <xdr:nvSpPr>
        <xdr:cNvPr id="13" name="Rectangl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/>
      </xdr:nvSpPr>
      <xdr:spPr>
        <a:xfrm>
          <a:off x="1892300" y="5241925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INS RT</a:t>
          </a:r>
        </a:p>
      </xdr:txBody>
    </xdr:sp>
    <xdr:clientData/>
  </xdr:twoCellAnchor>
  <xdr:twoCellAnchor>
    <xdr:from>
      <xdr:col>3</xdr:col>
      <xdr:colOff>92075</xdr:colOff>
      <xdr:row>18</xdr:row>
      <xdr:rowOff>171450</xdr:rowOff>
    </xdr:from>
    <xdr:to>
      <xdr:col>4</xdr:col>
      <xdr:colOff>600075</xdr:colOff>
      <xdr:row>22</xdr:row>
      <xdr:rowOff>139700</xdr:rowOff>
    </xdr:to>
    <xdr:sp macro="" textlink="">
      <xdr:nvSpPr>
        <xdr:cNvPr id="14" name="Rectangle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/>
      </xdr:nvSpPr>
      <xdr:spPr>
        <a:xfrm>
          <a:off x="1901825" y="3600450"/>
          <a:ext cx="1111250" cy="73025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TUNJ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 BPD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3</xdr:col>
      <xdr:colOff>101600</xdr:colOff>
      <xdr:row>23</xdr:row>
      <xdr:rowOff>53975</xdr:rowOff>
    </xdr:from>
    <xdr:to>
      <xdr:col>5</xdr:col>
      <xdr:colOff>6350</xdr:colOff>
      <xdr:row>27</xdr:row>
      <xdr:rowOff>22225</xdr:rowOff>
    </xdr:to>
    <xdr:sp macro="" textlink="">
      <xdr:nvSpPr>
        <xdr:cNvPr id="15" name="Rectangle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/>
      </xdr:nvSpPr>
      <xdr:spPr>
        <a:xfrm>
          <a:off x="1911350" y="4435475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OP BPD</a:t>
          </a:r>
        </a:p>
      </xdr:txBody>
    </xdr:sp>
    <xdr:clientData/>
  </xdr:twoCellAnchor>
  <xdr:twoCellAnchor>
    <xdr:from>
      <xdr:col>3</xdr:col>
      <xdr:colOff>95251</xdr:colOff>
      <xdr:row>31</xdr:row>
      <xdr:rowOff>127000</xdr:rowOff>
    </xdr:from>
    <xdr:to>
      <xdr:col>5</xdr:col>
      <xdr:colOff>1</xdr:colOff>
      <xdr:row>35</xdr:row>
      <xdr:rowOff>95250</xdr:rowOff>
    </xdr:to>
    <xdr:sp macro="" textlink="">
      <xdr:nvSpPr>
        <xdr:cNvPr id="16" name="Rectangle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/>
      </xdr:nvSpPr>
      <xdr:spPr>
        <a:xfrm>
          <a:off x="1905001" y="6032500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MODAL</a:t>
          </a:r>
        </a:p>
      </xdr:txBody>
    </xdr:sp>
    <xdr:clientData/>
  </xdr:twoCellAnchor>
  <xdr:twoCellAnchor>
    <xdr:from>
      <xdr:col>8</xdr:col>
      <xdr:colOff>390526</xdr:colOff>
      <xdr:row>1</xdr:row>
      <xdr:rowOff>104775</xdr:rowOff>
    </xdr:from>
    <xdr:to>
      <xdr:col>10</xdr:col>
      <xdr:colOff>295276</xdr:colOff>
      <xdr:row>5</xdr:row>
      <xdr:rowOff>73025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/>
      </xdr:nvSpPr>
      <xdr:spPr>
        <a:xfrm>
          <a:off x="5216526" y="295275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5</xdr:col>
      <xdr:colOff>82551</xdr:colOff>
      <xdr:row>5</xdr:row>
      <xdr:rowOff>161925</xdr:rowOff>
    </xdr:from>
    <xdr:to>
      <xdr:col>6</xdr:col>
      <xdr:colOff>590551</xdr:colOff>
      <xdr:row>9</xdr:row>
      <xdr:rowOff>130175</xdr:rowOff>
    </xdr:to>
    <xdr:sp macro="" textlink="">
      <xdr:nvSpPr>
        <xdr:cNvPr id="18" name="Rectangle 1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SpPr/>
      </xdr:nvSpPr>
      <xdr:spPr>
        <a:xfrm>
          <a:off x="3098801" y="1114425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pkpkd</a:t>
          </a:r>
        </a:p>
      </xdr:txBody>
    </xdr:sp>
    <xdr:clientData/>
  </xdr:twoCellAnchor>
  <xdr:twoCellAnchor>
    <xdr:from>
      <xdr:col>3</xdr:col>
      <xdr:colOff>123826</xdr:colOff>
      <xdr:row>35</xdr:row>
      <xdr:rowOff>76200</xdr:rowOff>
    </xdr:from>
    <xdr:to>
      <xdr:col>5</xdr:col>
      <xdr:colOff>28576</xdr:colOff>
      <xdr:row>39</xdr:row>
      <xdr:rowOff>44450</xdr:rowOff>
    </xdr:to>
    <xdr:sp macro="" textlink="">
      <xdr:nvSpPr>
        <xdr:cNvPr id="19" name="Rectangle 1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SpPr/>
      </xdr:nvSpPr>
      <xdr:spPr>
        <a:xfrm>
          <a:off x="1933576" y="6743700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PROPIL</a:t>
          </a:r>
        </a:p>
      </xdr:txBody>
    </xdr:sp>
    <xdr:clientData/>
  </xdr:twoCellAnchor>
  <xdr:twoCellAnchor>
    <xdr:from>
      <xdr:col>5</xdr:col>
      <xdr:colOff>101601</xdr:colOff>
      <xdr:row>1</xdr:row>
      <xdr:rowOff>85725</xdr:rowOff>
    </xdr:from>
    <xdr:to>
      <xdr:col>7</xdr:col>
      <xdr:colOff>6351</xdr:colOff>
      <xdr:row>5</xdr:row>
      <xdr:rowOff>53975</xdr:rowOff>
    </xdr:to>
    <xdr:sp macro="" textlink="">
      <xdr:nvSpPr>
        <xdr:cNvPr id="20" name="Rectangle 1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SpPr/>
      </xdr:nvSpPr>
      <xdr:spPr>
        <a:xfrm>
          <a:off x="3117851" y="276225"/>
          <a:ext cx="111125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MUSDES</a:t>
          </a:r>
        </a:p>
      </xdr:txBody>
    </xdr:sp>
    <xdr:clientData/>
  </xdr:twoCellAnchor>
  <xdr:twoCellAnchor>
    <xdr:from>
      <xdr:col>8</xdr:col>
      <xdr:colOff>412751</xdr:colOff>
      <xdr:row>5</xdr:row>
      <xdr:rowOff>174625</xdr:rowOff>
    </xdr:from>
    <xdr:to>
      <xdr:col>10</xdr:col>
      <xdr:colOff>317501</xdr:colOff>
      <xdr:row>9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SpPr/>
      </xdr:nvSpPr>
      <xdr:spPr>
        <a:xfrm>
          <a:off x="5238751" y="1127125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8</xdr:col>
      <xdr:colOff>406401</xdr:colOff>
      <xdr:row>10</xdr:row>
      <xdr:rowOff>25400</xdr:rowOff>
    </xdr:from>
    <xdr:to>
      <xdr:col>10</xdr:col>
      <xdr:colOff>311151</xdr:colOff>
      <xdr:row>13</xdr:row>
      <xdr:rowOff>184150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SpPr/>
      </xdr:nvSpPr>
      <xdr:spPr>
        <a:xfrm>
          <a:off x="5232401" y="193040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8</xdr:col>
      <xdr:colOff>441326</xdr:colOff>
      <xdr:row>14</xdr:row>
      <xdr:rowOff>107950</xdr:rowOff>
    </xdr:from>
    <xdr:to>
      <xdr:col>10</xdr:col>
      <xdr:colOff>346076</xdr:colOff>
      <xdr:row>18</xdr:row>
      <xdr:rowOff>76200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5267326" y="27749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577851</xdr:colOff>
      <xdr:row>1</xdr:row>
      <xdr:rowOff>133350</xdr:rowOff>
    </xdr:from>
    <xdr:to>
      <xdr:col>8</xdr:col>
      <xdr:colOff>482601</xdr:colOff>
      <xdr:row>5</xdr:row>
      <xdr:rowOff>101600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SpPr/>
      </xdr:nvSpPr>
      <xdr:spPr>
        <a:xfrm>
          <a:off x="4197351" y="3238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571501</xdr:colOff>
      <xdr:row>5</xdr:row>
      <xdr:rowOff>142875</xdr:rowOff>
    </xdr:from>
    <xdr:to>
      <xdr:col>8</xdr:col>
      <xdr:colOff>476251</xdr:colOff>
      <xdr:row>9</xdr:row>
      <xdr:rowOff>111125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SpPr/>
      </xdr:nvSpPr>
      <xdr:spPr>
        <a:xfrm>
          <a:off x="4191001" y="1095375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565151</xdr:colOff>
      <xdr:row>9</xdr:row>
      <xdr:rowOff>120650</xdr:rowOff>
    </xdr:from>
    <xdr:to>
      <xdr:col>8</xdr:col>
      <xdr:colOff>469901</xdr:colOff>
      <xdr:row>13</xdr:row>
      <xdr:rowOff>88900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SpPr/>
      </xdr:nvSpPr>
      <xdr:spPr>
        <a:xfrm>
          <a:off x="4184651" y="18351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10</xdr:col>
      <xdr:colOff>374650</xdr:colOff>
      <xdr:row>2</xdr:row>
      <xdr:rowOff>0</xdr:rowOff>
    </xdr:from>
    <xdr:to>
      <xdr:col>12</xdr:col>
      <xdr:colOff>273050</xdr:colOff>
      <xdr:row>5</xdr:row>
      <xdr:rowOff>158750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SpPr/>
      </xdr:nvSpPr>
      <xdr:spPr>
        <a:xfrm>
          <a:off x="6470650" y="381000"/>
          <a:ext cx="111760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393700</xdr:colOff>
      <xdr:row>5</xdr:row>
      <xdr:rowOff>184150</xdr:rowOff>
    </xdr:from>
    <xdr:to>
      <xdr:col>12</xdr:col>
      <xdr:colOff>292100</xdr:colOff>
      <xdr:row>9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SpPr/>
      </xdr:nvSpPr>
      <xdr:spPr>
        <a:xfrm>
          <a:off x="6489700" y="1136650"/>
          <a:ext cx="111760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403225</xdr:colOff>
      <xdr:row>10</xdr:row>
      <xdr:rowOff>15875</xdr:rowOff>
    </xdr:from>
    <xdr:to>
      <xdr:col>12</xdr:col>
      <xdr:colOff>307975</xdr:colOff>
      <xdr:row>13</xdr:row>
      <xdr:rowOff>174625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SpPr/>
      </xdr:nvSpPr>
      <xdr:spPr>
        <a:xfrm>
          <a:off x="6499225" y="1920875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8</xdr:col>
      <xdr:colOff>409575</xdr:colOff>
      <xdr:row>27</xdr:row>
      <xdr:rowOff>44450</xdr:rowOff>
    </xdr:from>
    <xdr:to>
      <xdr:col>10</xdr:col>
      <xdr:colOff>314325</xdr:colOff>
      <xdr:row>31</xdr:row>
      <xdr:rowOff>12700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SpPr/>
      </xdr:nvSpPr>
      <xdr:spPr>
        <a:xfrm>
          <a:off x="5235575" y="51879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8</xdr:col>
      <xdr:colOff>434975</xdr:colOff>
      <xdr:row>23</xdr:row>
      <xdr:rowOff>22225</xdr:rowOff>
    </xdr:from>
    <xdr:to>
      <xdr:col>10</xdr:col>
      <xdr:colOff>339725</xdr:colOff>
      <xdr:row>26</xdr:row>
      <xdr:rowOff>180975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SpPr/>
      </xdr:nvSpPr>
      <xdr:spPr>
        <a:xfrm>
          <a:off x="5260975" y="4403725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8</xdr:col>
      <xdr:colOff>428625</xdr:colOff>
      <xdr:row>18</xdr:row>
      <xdr:rowOff>158750</xdr:rowOff>
    </xdr:from>
    <xdr:to>
      <xdr:col>10</xdr:col>
      <xdr:colOff>333375</xdr:colOff>
      <xdr:row>22</xdr:row>
      <xdr:rowOff>127000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SpPr/>
      </xdr:nvSpPr>
      <xdr:spPr>
        <a:xfrm>
          <a:off x="5254625" y="35877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8</xdr:col>
      <xdr:colOff>422275</xdr:colOff>
      <xdr:row>31</xdr:row>
      <xdr:rowOff>73025</xdr:rowOff>
    </xdr:from>
    <xdr:to>
      <xdr:col>10</xdr:col>
      <xdr:colOff>327025</xdr:colOff>
      <xdr:row>35</xdr:row>
      <xdr:rowOff>41275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SpPr/>
      </xdr:nvSpPr>
      <xdr:spPr>
        <a:xfrm>
          <a:off x="5248275" y="5978525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403225</xdr:colOff>
      <xdr:row>14</xdr:row>
      <xdr:rowOff>101600</xdr:rowOff>
    </xdr:from>
    <xdr:to>
      <xdr:col>12</xdr:col>
      <xdr:colOff>307975</xdr:colOff>
      <xdr:row>18</xdr:row>
      <xdr:rowOff>69850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SpPr/>
      </xdr:nvSpPr>
      <xdr:spPr>
        <a:xfrm>
          <a:off x="6499225" y="2768600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387350</xdr:colOff>
      <xdr:row>18</xdr:row>
      <xdr:rowOff>171450</xdr:rowOff>
    </xdr:from>
    <xdr:to>
      <xdr:col>12</xdr:col>
      <xdr:colOff>292100</xdr:colOff>
      <xdr:row>22</xdr:row>
      <xdr:rowOff>139700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SpPr/>
      </xdr:nvSpPr>
      <xdr:spPr>
        <a:xfrm>
          <a:off x="6483350" y="3600450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358775</xdr:colOff>
      <xdr:row>23</xdr:row>
      <xdr:rowOff>85725</xdr:rowOff>
    </xdr:from>
    <xdr:to>
      <xdr:col>12</xdr:col>
      <xdr:colOff>263525</xdr:colOff>
      <xdr:row>27</xdr:row>
      <xdr:rowOff>53975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SpPr/>
      </xdr:nvSpPr>
      <xdr:spPr>
        <a:xfrm>
          <a:off x="6454775" y="4467225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361950</xdr:colOff>
      <xdr:row>27</xdr:row>
      <xdr:rowOff>95250</xdr:rowOff>
    </xdr:from>
    <xdr:to>
      <xdr:col>12</xdr:col>
      <xdr:colOff>266700</xdr:colOff>
      <xdr:row>31</xdr:row>
      <xdr:rowOff>63500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>
        <a:xfrm>
          <a:off x="6457950" y="5238750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336550</xdr:colOff>
      <xdr:row>31</xdr:row>
      <xdr:rowOff>149225</xdr:rowOff>
    </xdr:from>
    <xdr:to>
      <xdr:col>12</xdr:col>
      <xdr:colOff>241300</xdr:colOff>
      <xdr:row>35</xdr:row>
      <xdr:rowOff>117475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SpPr/>
      </xdr:nvSpPr>
      <xdr:spPr>
        <a:xfrm>
          <a:off x="6432550" y="6054725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10</xdr:col>
      <xdr:colOff>355600</xdr:colOff>
      <xdr:row>35</xdr:row>
      <xdr:rowOff>123825</xdr:rowOff>
    </xdr:from>
    <xdr:to>
      <xdr:col>12</xdr:col>
      <xdr:colOff>260350</xdr:colOff>
      <xdr:row>39</xdr:row>
      <xdr:rowOff>92075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>
        <a:xfrm>
          <a:off x="6451600" y="6791325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SILTUN</a:t>
          </a:r>
          <a:r>
            <a:rPr lang="en-US" sz="1800" baseline="0">
              <a:solidFill>
                <a:srgbClr val="002060"/>
              </a:solidFill>
              <a:latin typeface="Algerian" panose="04020705040A02060702" pitchFamily="82" charset="0"/>
            </a:rPr>
            <a:t> KDS</a:t>
          </a:r>
          <a:endParaRPr lang="en-US" sz="1800">
            <a:solidFill>
              <a:srgbClr val="002060"/>
            </a:solidFill>
            <a:latin typeface="Algerian" panose="04020705040A02060702" pitchFamily="82" charset="0"/>
          </a:endParaRPr>
        </a:p>
      </xdr:txBody>
    </xdr:sp>
    <xdr:clientData/>
  </xdr:twoCellAnchor>
  <xdr:twoCellAnchor>
    <xdr:from>
      <xdr:col>6</xdr:col>
      <xdr:colOff>574676</xdr:colOff>
      <xdr:row>14</xdr:row>
      <xdr:rowOff>3175</xdr:rowOff>
    </xdr:from>
    <xdr:to>
      <xdr:col>8</xdr:col>
      <xdr:colOff>479426</xdr:colOff>
      <xdr:row>17</xdr:row>
      <xdr:rowOff>161925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>
        <a:xfrm>
          <a:off x="4194176" y="2670175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536576</xdr:colOff>
      <xdr:row>18</xdr:row>
      <xdr:rowOff>12700</xdr:rowOff>
    </xdr:from>
    <xdr:to>
      <xdr:col>8</xdr:col>
      <xdr:colOff>441326</xdr:colOff>
      <xdr:row>21</xdr:row>
      <xdr:rowOff>171450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SpPr/>
      </xdr:nvSpPr>
      <xdr:spPr>
        <a:xfrm>
          <a:off x="4156076" y="344170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530226</xdr:colOff>
      <xdr:row>22</xdr:row>
      <xdr:rowOff>69850</xdr:rowOff>
    </xdr:from>
    <xdr:to>
      <xdr:col>8</xdr:col>
      <xdr:colOff>434976</xdr:colOff>
      <xdr:row>26</xdr:row>
      <xdr:rowOff>38100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>
        <a:xfrm>
          <a:off x="4149726" y="42608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523876</xdr:colOff>
      <xdr:row>26</xdr:row>
      <xdr:rowOff>63500</xdr:rowOff>
    </xdr:from>
    <xdr:to>
      <xdr:col>8</xdr:col>
      <xdr:colOff>428626</xdr:colOff>
      <xdr:row>30</xdr:row>
      <xdr:rowOff>31750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>
        <a:xfrm>
          <a:off x="4143376" y="501650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469901</xdr:colOff>
      <xdr:row>30</xdr:row>
      <xdr:rowOff>57150</xdr:rowOff>
    </xdr:from>
    <xdr:to>
      <xdr:col>8</xdr:col>
      <xdr:colOff>374651</xdr:colOff>
      <xdr:row>34</xdr:row>
      <xdr:rowOff>25400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SpPr/>
      </xdr:nvSpPr>
      <xdr:spPr>
        <a:xfrm>
          <a:off x="4089401" y="577215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495301</xdr:colOff>
      <xdr:row>34</xdr:row>
      <xdr:rowOff>50800</xdr:rowOff>
    </xdr:from>
    <xdr:to>
      <xdr:col>8</xdr:col>
      <xdr:colOff>400051</xdr:colOff>
      <xdr:row>38</xdr:row>
      <xdr:rowOff>19050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SpPr/>
      </xdr:nvSpPr>
      <xdr:spPr>
        <a:xfrm>
          <a:off x="4114801" y="652780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6</xdr:col>
      <xdr:colOff>473076</xdr:colOff>
      <xdr:row>38</xdr:row>
      <xdr:rowOff>12700</xdr:rowOff>
    </xdr:from>
    <xdr:to>
      <xdr:col>8</xdr:col>
      <xdr:colOff>377826</xdr:colOff>
      <xdr:row>41</xdr:row>
      <xdr:rowOff>171450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SpPr/>
      </xdr:nvSpPr>
      <xdr:spPr>
        <a:xfrm>
          <a:off x="4092576" y="7251700"/>
          <a:ext cx="11112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8</xdr:col>
      <xdr:colOff>441325</xdr:colOff>
      <xdr:row>34</xdr:row>
      <xdr:rowOff>168275</xdr:rowOff>
    </xdr:from>
    <xdr:to>
      <xdr:col>10</xdr:col>
      <xdr:colOff>346075</xdr:colOff>
      <xdr:row>38</xdr:row>
      <xdr:rowOff>136525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SpPr/>
      </xdr:nvSpPr>
      <xdr:spPr>
        <a:xfrm>
          <a:off x="5318125" y="6645275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8</xdr:col>
      <xdr:colOff>485775</xdr:colOff>
      <xdr:row>37</xdr:row>
      <xdr:rowOff>187325</xdr:rowOff>
    </xdr:from>
    <xdr:to>
      <xdr:col>10</xdr:col>
      <xdr:colOff>390525</xdr:colOff>
      <xdr:row>41</xdr:row>
      <xdr:rowOff>155575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SpPr/>
      </xdr:nvSpPr>
      <xdr:spPr>
        <a:xfrm>
          <a:off x="5362575" y="7235825"/>
          <a:ext cx="1123950" cy="730250"/>
        </a:xfrm>
        <a:prstGeom prst="rect">
          <a:avLst/>
        </a:prstGeom>
        <a:solidFill>
          <a:srgbClr val="FF9933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RKP</a:t>
          </a:r>
        </a:p>
      </xdr:txBody>
    </xdr:sp>
    <xdr:clientData/>
  </xdr:twoCellAnchor>
  <xdr:twoCellAnchor>
    <xdr:from>
      <xdr:col>5</xdr:col>
      <xdr:colOff>50801</xdr:colOff>
      <xdr:row>5</xdr:row>
      <xdr:rowOff>161925</xdr:rowOff>
    </xdr:from>
    <xdr:to>
      <xdr:col>6</xdr:col>
      <xdr:colOff>558801</xdr:colOff>
      <xdr:row>9</xdr:row>
      <xdr:rowOff>130175</xdr:rowOff>
    </xdr:to>
    <xdr:sp macro="" textlink="">
      <xdr:nvSpPr>
        <xdr:cNvPr id="54" name="Rectangle 5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SpPr/>
      </xdr:nvSpPr>
      <xdr:spPr>
        <a:xfrm>
          <a:off x="3098801" y="1114425"/>
          <a:ext cx="111760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hnr pkpkd</a:t>
          </a:r>
        </a:p>
      </xdr:txBody>
    </xdr:sp>
    <xdr:clientData/>
  </xdr:twoCellAnchor>
  <xdr:twoCellAnchor>
    <xdr:from>
      <xdr:col>5</xdr:col>
      <xdr:colOff>69851</xdr:colOff>
      <xdr:row>9</xdr:row>
      <xdr:rowOff>180975</xdr:rowOff>
    </xdr:from>
    <xdr:to>
      <xdr:col>6</xdr:col>
      <xdr:colOff>577851</xdr:colOff>
      <xdr:row>13</xdr:row>
      <xdr:rowOff>149225</xdr:rowOff>
    </xdr:to>
    <xdr:sp macro="" textlink="">
      <xdr:nvSpPr>
        <xdr:cNvPr id="55" name="Rectangle 54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SpPr/>
      </xdr:nvSpPr>
      <xdr:spPr>
        <a:xfrm>
          <a:off x="3117851" y="1895475"/>
          <a:ext cx="1117600" cy="730250"/>
        </a:xfrm>
        <a:prstGeom prst="rect">
          <a:avLst/>
        </a:prstGeom>
        <a:solidFill>
          <a:srgbClr val="00B050"/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rgbClr val="002060"/>
              </a:solidFill>
              <a:latin typeface="Algerian" panose="04020705040A02060702" pitchFamily="82" charset="0"/>
            </a:rPr>
            <a:t>lomdes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4924425</xdr:colOff>
      <xdr:row>0</xdr:row>
      <xdr:rowOff>0</xdr:rowOff>
    </xdr:from>
    <xdr:to>
      <xdr:col>14</xdr:col>
      <xdr:colOff>0</xdr:colOff>
      <xdr:row>6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7124700" y="685800"/>
          <a:ext cx="4114800" cy="1581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>
            <a:lnSpc>
              <a:spcPct val="115000"/>
            </a:lnSpc>
            <a:spcAft>
              <a:spcPts val="0"/>
            </a:spcAft>
          </a:pPr>
          <a:r>
            <a:rPr lang="en-US" sz="1300">
              <a:solidFill>
                <a:srgbClr val="000000"/>
              </a:solidFill>
              <a:effectLst/>
              <a:latin typeface="Bookman Old Style"/>
              <a:ea typeface="Calibri"/>
              <a:cs typeface="Times New Roman"/>
            </a:rPr>
            <a:t>LAMPIRAN</a:t>
          </a:r>
          <a:endParaRPr lang="en-US" sz="1300">
            <a:effectLst/>
            <a:ea typeface="Calibri"/>
            <a:cs typeface="Times New Roman"/>
          </a:endParaRPr>
        </a:p>
        <a:p>
          <a:pPr>
            <a:lnSpc>
              <a:spcPct val="115000"/>
            </a:lnSpc>
            <a:spcAft>
              <a:spcPts val="0"/>
            </a:spcAft>
          </a:pPr>
          <a:r>
            <a:rPr lang="en-US" sz="1300">
              <a:solidFill>
                <a:srgbClr val="000000"/>
              </a:solidFill>
              <a:effectLst/>
              <a:latin typeface="Bookman Old Style"/>
              <a:ea typeface="Calibri"/>
              <a:cs typeface="Times New Roman"/>
            </a:rPr>
            <a:t>PERATURAN KEPALA DESA</a:t>
          </a:r>
          <a:r>
            <a:rPr lang="en-US" sz="1300" baseline="0">
              <a:solidFill>
                <a:srgbClr val="000000"/>
              </a:solidFill>
              <a:effectLst/>
              <a:latin typeface="Bookman Old Style"/>
              <a:ea typeface="Calibri"/>
              <a:cs typeface="Times New Roman"/>
            </a:rPr>
            <a:t> TANJUNG MULIA</a:t>
          </a:r>
          <a:endParaRPr lang="en-US" sz="1300">
            <a:effectLst/>
            <a:ea typeface="Calibri"/>
            <a:cs typeface="Times New Roman"/>
          </a:endParaRPr>
        </a:p>
        <a:p>
          <a:pPr>
            <a:lnSpc>
              <a:spcPct val="115000"/>
            </a:lnSpc>
            <a:spcAft>
              <a:spcPts val="0"/>
            </a:spcAft>
          </a:pPr>
          <a:r>
            <a:rPr lang="en-US" sz="1300">
              <a:solidFill>
                <a:srgbClr val="000000"/>
              </a:solidFill>
              <a:effectLst/>
              <a:latin typeface="Bookman Old Style"/>
              <a:ea typeface="Calibri"/>
              <a:cs typeface="Times New Roman"/>
            </a:rPr>
            <a:t>NOMOR……….TAHUN</a:t>
          </a:r>
          <a:r>
            <a:rPr lang="en-US" sz="1300" baseline="0">
              <a:solidFill>
                <a:srgbClr val="000000"/>
              </a:solidFill>
              <a:effectLst/>
              <a:latin typeface="Bookman Old Style"/>
              <a:ea typeface="Calibri"/>
              <a:cs typeface="Times New Roman"/>
            </a:rPr>
            <a:t> 2020</a:t>
          </a:r>
          <a:endParaRPr lang="en-US" sz="1300">
            <a:effectLst/>
            <a:ea typeface="Calibri"/>
            <a:cs typeface="Times New Roman"/>
          </a:endParaRPr>
        </a:p>
        <a:p>
          <a:pPr>
            <a:lnSpc>
              <a:spcPct val="115000"/>
            </a:lnSpc>
            <a:spcAft>
              <a:spcPts val="0"/>
            </a:spcAft>
          </a:pPr>
          <a:r>
            <a:rPr lang="en-US" sz="1300">
              <a:solidFill>
                <a:srgbClr val="000000"/>
              </a:solidFill>
              <a:effectLst/>
              <a:latin typeface="Bookman Old Style"/>
              <a:ea typeface="Calibri"/>
              <a:cs typeface="Times New Roman"/>
            </a:rPr>
            <a:t>TENTANG</a:t>
          </a:r>
          <a:endParaRPr lang="en-US" sz="1300">
            <a:effectLst/>
            <a:ea typeface="Calibri"/>
            <a:cs typeface="Times New Roman"/>
          </a:endParaRPr>
        </a:p>
        <a:p>
          <a:pPr>
            <a:lnSpc>
              <a:spcPct val="115000"/>
            </a:lnSpc>
            <a:spcAft>
              <a:spcPts val="0"/>
            </a:spcAft>
          </a:pPr>
          <a:r>
            <a:rPr lang="en-US" sz="1300">
              <a:solidFill>
                <a:srgbClr val="000000"/>
              </a:solidFill>
              <a:effectLst/>
              <a:latin typeface="Bookman Old Style"/>
              <a:ea typeface="Times New Roman"/>
              <a:cs typeface="Calibri"/>
            </a:rPr>
            <a:t>PENJABARAN ANGGARAN PENDAPATAN DAN BELANJA DESA</a:t>
          </a:r>
          <a:endParaRPr lang="en-US" sz="1300">
            <a:effectLst/>
            <a:ea typeface="Calibri"/>
            <a:cs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95251</xdr:colOff>
      <xdr:row>8</xdr:row>
      <xdr:rowOff>127001</xdr:rowOff>
    </xdr:from>
    <xdr:to>
      <xdr:col>16</xdr:col>
      <xdr:colOff>1174751</xdr:colOff>
      <xdr:row>10</xdr:row>
      <xdr:rowOff>79376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16827501" y="2222501"/>
          <a:ext cx="1079500" cy="762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95251</xdr:colOff>
      <xdr:row>8</xdr:row>
      <xdr:rowOff>127001</xdr:rowOff>
    </xdr:from>
    <xdr:to>
      <xdr:col>27</xdr:col>
      <xdr:colOff>1174751</xdr:colOff>
      <xdr:row>10</xdr:row>
      <xdr:rowOff>79376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/>
      </xdr:nvSpPr>
      <xdr:spPr>
        <a:xfrm>
          <a:off x="11229976" y="1965326"/>
          <a:ext cx="1079500" cy="17907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4682218</xdr:colOff>
      <xdr:row>0</xdr:row>
      <xdr:rowOff>80282</xdr:rowOff>
    </xdr:from>
    <xdr:to>
      <xdr:col>7</xdr:col>
      <xdr:colOff>873920</xdr:colOff>
      <xdr:row>4</xdr:row>
      <xdr:rowOff>223158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/>
      </xdr:nvSpPr>
      <xdr:spPr>
        <a:xfrm>
          <a:off x="6253843" y="80282"/>
          <a:ext cx="3202102" cy="1057276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Bookman Old Style" pitchFamily="18" charset="0"/>
            </a:rPr>
            <a:t>LAMPIRAN</a:t>
          </a:r>
          <a:endParaRPr lang="id-ID" sz="1200" baseline="0">
            <a:latin typeface="Bookman Old Style" pitchFamily="18" charset="0"/>
          </a:endParaRPr>
        </a:p>
        <a:p>
          <a:pPr algn="l"/>
          <a:r>
            <a:rPr lang="id-ID" sz="1200" baseline="0">
              <a:latin typeface="Bookman Old Style" pitchFamily="18" charset="0"/>
            </a:rPr>
            <a:t>PERATURAN DESA TANJUNG </a:t>
          </a:r>
          <a:r>
            <a:rPr lang="en-US" sz="1200" baseline="0">
              <a:latin typeface="Bookman Old Style" pitchFamily="18" charset="0"/>
            </a:rPr>
            <a:t>MULYA</a:t>
          </a:r>
          <a:endParaRPr lang="id-ID" sz="1200" baseline="0">
            <a:latin typeface="Bookman Old Style" pitchFamily="18" charset="0"/>
          </a:endParaRPr>
        </a:p>
        <a:p>
          <a:pPr algn="l"/>
          <a:r>
            <a:rPr lang="id-ID" sz="1200" baseline="0">
              <a:latin typeface="Bookman Old Style" pitchFamily="18" charset="0"/>
            </a:rPr>
            <a:t>NOMOR </a:t>
          </a:r>
          <a:r>
            <a:rPr lang="en-US" sz="1200" baseline="0">
              <a:latin typeface="Bookman Old Style" pitchFamily="18" charset="0"/>
            </a:rPr>
            <a:t>      </a:t>
          </a:r>
          <a:r>
            <a:rPr lang="id-ID" sz="1200" baseline="0">
              <a:latin typeface="Bookman Old Style" pitchFamily="18" charset="0"/>
            </a:rPr>
            <a:t>TAHUN 201</a:t>
          </a:r>
          <a:r>
            <a:rPr lang="en-US" sz="1200" baseline="0">
              <a:latin typeface="Bookman Old Style" pitchFamily="18" charset="0"/>
            </a:rPr>
            <a:t>9</a:t>
          </a:r>
          <a:endParaRPr lang="id-ID" sz="1200" baseline="0">
            <a:latin typeface="Bookman Old Style" pitchFamily="18" charset="0"/>
          </a:endParaRPr>
        </a:p>
        <a:p>
          <a:pPr algn="l"/>
          <a:r>
            <a:rPr lang="id-ID" sz="1200" baseline="0">
              <a:latin typeface="Bookman Old Style" pitchFamily="18" charset="0"/>
            </a:rPr>
            <a:t>TENTANG</a:t>
          </a:r>
        </a:p>
        <a:p>
          <a:pPr algn="l"/>
          <a:r>
            <a:rPr lang="id-ID" sz="1200" baseline="0">
              <a:latin typeface="Bookman Old Style" pitchFamily="18" charset="0"/>
            </a:rPr>
            <a:t>ANGGARAN  PENDAPATAN DAN BELANJA DESA	</a:t>
          </a:r>
          <a:endParaRPr lang="id-ID" sz="1200">
            <a:latin typeface="Bookman Old Style" pitchFamily="18" charset="0"/>
          </a:endParaRPr>
        </a:p>
      </xdr:txBody>
    </xdr:sp>
    <xdr:clientData/>
  </xdr:twoCellAnchor>
  <xdr:twoCellAnchor>
    <xdr:from>
      <xdr:col>10</xdr:col>
      <xdr:colOff>33227</xdr:colOff>
      <xdr:row>10</xdr:row>
      <xdr:rowOff>33226</xdr:rowOff>
    </xdr:from>
    <xdr:to>
      <xdr:col>10</xdr:col>
      <xdr:colOff>653460</xdr:colOff>
      <xdr:row>11</xdr:row>
      <xdr:rowOff>121832</xdr:rowOff>
    </xdr:to>
    <xdr:sp macro="" textlink="">
      <xdr:nvSpPr>
        <xdr:cNvPr id="3" name="Left Arrow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10001250" y="3112238"/>
          <a:ext cx="620233" cy="33226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B00-000002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B00-000003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B00-000004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B00-000005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4.4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B00-000006000000}"/>
            </a:ext>
          </a:extLst>
        </xdr:cNvPr>
        <xdr:cNvSpPr/>
      </xdr:nvSpPr>
      <xdr:spPr>
        <a:xfrm>
          <a:off x="4781551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</a:t>
          </a:r>
          <a:r>
            <a:rPr lang="en-US">
              <a:solidFill>
                <a:sysClr val="windowText" lastClr="000000"/>
              </a:solidFill>
            </a:rPr>
            <a:t>mberdayaan</a:t>
          </a:r>
          <a:r>
            <a:rPr lang="en-US" baseline="0">
              <a:solidFill>
                <a:sysClr val="windowText" lastClr="000000"/>
              </a:solidFill>
            </a:rPr>
            <a:t> Masyarakat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95250</xdr:colOff>
      <xdr:row>9</xdr:row>
      <xdr:rowOff>180975</xdr:rowOff>
    </xdr:to>
    <xdr:sp macro="" textlink="RKP!D39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B00-000007000000}"/>
            </a:ext>
          </a:extLst>
        </xdr:cNvPr>
        <xdr:cNvSpPr/>
      </xdr:nvSpPr>
      <xdr:spPr>
        <a:xfrm>
          <a:off x="5120786" y="1170110"/>
          <a:ext cx="1913060" cy="7913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4D0D561A-EBFE-4317-B12D-15FF246F60F1}" type="TxLink">
            <a:rPr lang="id-ID" sz="1100" baseline="0">
              <a:solidFill>
                <a:schemeClr val="tx1"/>
              </a:solidFill>
            </a:rPr>
            <a:pPr/>
            <a:t>Bimtek/Pelatihan/Pengenalan TTG Untuk Perikanan Darat/Nelayan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65</xdr:row>
      <xdr:rowOff>19050</xdr:rowOff>
    </xdr:from>
    <xdr:to>
      <xdr:col>1</xdr:col>
      <xdr:colOff>1695450</xdr:colOff>
      <xdr:row>73</xdr:row>
      <xdr:rowOff>28575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2B00-000008000000}"/>
            </a:ext>
          </a:extLst>
        </xdr:cNvPr>
        <xdr:cNvSpPr txBox="1"/>
      </xdr:nvSpPr>
      <xdr:spPr>
        <a:xfrm>
          <a:off x="0" y="12506325"/>
          <a:ext cx="2047875" cy="154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247651</xdr:colOff>
      <xdr:row>64</xdr:row>
      <xdr:rowOff>190499</xdr:rowOff>
    </xdr:from>
    <xdr:to>
      <xdr:col>7</xdr:col>
      <xdr:colOff>914401</xdr:colOff>
      <xdr:row>73</xdr:row>
      <xdr:rowOff>161924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B00-000009000000}"/>
            </a:ext>
          </a:extLst>
        </xdr:cNvPr>
        <xdr:cNvSpPr txBox="1"/>
      </xdr:nvSpPr>
      <xdr:spPr>
        <a:xfrm>
          <a:off x="4505326" y="12477749"/>
          <a:ext cx="2457450" cy="1704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A00-000002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Mulya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A00-000003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A00-000004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A00-000005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4.3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A00-000006000000}"/>
            </a:ext>
          </a:extLst>
        </xdr:cNvPr>
        <xdr:cNvSpPr/>
      </xdr:nvSpPr>
      <xdr:spPr>
        <a:xfrm>
          <a:off x="4781551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</a:t>
          </a:r>
          <a:r>
            <a:rPr lang="en-US">
              <a:solidFill>
                <a:sysClr val="windowText" lastClr="000000"/>
              </a:solidFill>
            </a:rPr>
            <a:t>mberdayaan</a:t>
          </a:r>
          <a:r>
            <a:rPr lang="en-US" baseline="0">
              <a:solidFill>
                <a:sysClr val="windowText" lastClr="000000"/>
              </a:solidFill>
            </a:rPr>
            <a:t> Masyarkat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#REF!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A00-000007000000}"/>
            </a:ext>
          </a:extLst>
        </xdr:cNvPr>
        <xdr:cNvSpPr/>
      </xdr:nvSpPr>
      <xdr:spPr>
        <a:xfrm>
          <a:off x="4810124" y="1133475"/>
          <a:ext cx="16383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5759431B-C61A-47BB-B4A9-94DC9F297175}" type="TxLink">
            <a:rPr lang="id-ID" sz="1100" baseline="0">
              <a:solidFill>
                <a:schemeClr val="tx1"/>
              </a:solidFill>
            </a:rPr>
            <a:pPr/>
            <a:t>Peningkatan kapasitas lembaga kepemudaan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43</xdr:row>
      <xdr:rowOff>114300</xdr:rowOff>
    </xdr:from>
    <xdr:to>
      <xdr:col>1</xdr:col>
      <xdr:colOff>1733550</xdr:colOff>
      <xdr:row>52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A00-000009000000}"/>
            </a:ext>
          </a:extLst>
        </xdr:cNvPr>
        <xdr:cNvSpPr txBox="1"/>
      </xdr:nvSpPr>
      <xdr:spPr>
        <a:xfrm>
          <a:off x="0" y="8715375"/>
          <a:ext cx="2047875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581026</xdr:colOff>
      <xdr:row>43</xdr:row>
      <xdr:rowOff>0</xdr:rowOff>
    </xdr:from>
    <xdr:to>
      <xdr:col>8</xdr:col>
      <xdr:colOff>1</xdr:colOff>
      <xdr:row>51</xdr:row>
      <xdr:rowOff>76200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2A00-00000A000000}"/>
            </a:ext>
          </a:extLst>
        </xdr:cNvPr>
        <xdr:cNvSpPr txBox="1"/>
      </xdr:nvSpPr>
      <xdr:spPr>
        <a:xfrm>
          <a:off x="4648201" y="8601075"/>
          <a:ext cx="2457450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307</xdr:row>
      <xdr:rowOff>0</xdr:rowOff>
    </xdr:from>
    <xdr:to>
      <xdr:col>4</xdr:col>
      <xdr:colOff>89773</xdr:colOff>
      <xdr:row>311</xdr:row>
      <xdr:rowOff>136505</xdr:rowOff>
    </xdr:to>
    <xdr:pic>
      <xdr:nvPicPr>
        <xdr:cNvPr id="2" name="Picture 2" descr="D:\Data Ku\SERBA SERBI\Logo Ado Galo\logo pemerintahan\Pemda Muaro Jambi - Kecil.jpg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46462950"/>
          <a:ext cx="661272" cy="9058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69057</xdr:colOff>
      <xdr:row>307</xdr:row>
      <xdr:rowOff>0</xdr:rowOff>
    </xdr:from>
    <xdr:to>
      <xdr:col>4</xdr:col>
      <xdr:colOff>89773</xdr:colOff>
      <xdr:row>311</xdr:row>
      <xdr:rowOff>67404</xdr:rowOff>
    </xdr:to>
    <xdr:pic>
      <xdr:nvPicPr>
        <xdr:cNvPr id="3" name="Picture 2" descr="D:\Data Ku\SERBA SERBI\Logo Ado Galo\logo pemerintahan\Pemda Muaro Jambi - Kecil.jpg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032" y="46462950"/>
          <a:ext cx="639841" cy="836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7</xdr:col>
      <xdr:colOff>47625</xdr:colOff>
      <xdr:row>298</xdr:row>
      <xdr:rowOff>171450</xdr:rowOff>
    </xdr:from>
    <xdr:ext cx="3067050" cy="702885"/>
    <xdr:sp macro="" textlink="">
      <xdr:nvSpPr>
        <xdr:cNvPr id="4" name="TextBox 3"/>
        <xdr:cNvSpPr txBox="1"/>
      </xdr:nvSpPr>
      <xdr:spPr>
        <a:xfrm>
          <a:off x="1390650" y="51825525"/>
          <a:ext cx="3067050" cy="7028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id-ID" sz="1600" b="1" u="sng"/>
            <a:t>SUPARNO</a:t>
          </a:r>
        </a:p>
        <a:p>
          <a:pPr algn="ctr"/>
          <a:r>
            <a:rPr lang="id-ID" sz="1200" b="0" u="none"/>
            <a:t>NIP: 197508182009061001</a:t>
          </a:r>
        </a:p>
        <a:p>
          <a:endParaRPr lang="id-ID" sz="1100"/>
        </a:p>
      </xdr:txBody>
    </xdr:sp>
    <xdr:clientData/>
  </xdr:oneCellAnchor>
  <xdr:oneCellAnchor>
    <xdr:from>
      <xdr:col>13</xdr:col>
      <xdr:colOff>47625</xdr:colOff>
      <xdr:row>299</xdr:row>
      <xdr:rowOff>9525</xdr:rowOff>
    </xdr:from>
    <xdr:ext cx="3067050" cy="515013"/>
    <xdr:sp macro="" textlink="">
      <xdr:nvSpPr>
        <xdr:cNvPr id="5" name="TextBox 4"/>
        <xdr:cNvSpPr txBox="1"/>
      </xdr:nvSpPr>
      <xdr:spPr>
        <a:xfrm>
          <a:off x="10172700" y="51854100"/>
          <a:ext cx="3067050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id-ID" sz="1600" b="1" u="sng"/>
            <a:t>TIRTO NADI</a:t>
          </a:r>
          <a:endParaRPr lang="id-ID" sz="1200" b="0" u="none"/>
        </a:p>
        <a:p>
          <a:endParaRPr lang="id-ID" sz="1100"/>
        </a:p>
      </xdr:txBody>
    </xdr:sp>
    <xdr:clientData/>
  </xdr:oneCellAnchor>
  <xdr:oneCellAnchor>
    <xdr:from>
      <xdr:col>18</xdr:col>
      <xdr:colOff>457200</xdr:colOff>
      <xdr:row>299</xdr:row>
      <xdr:rowOff>0</xdr:rowOff>
    </xdr:from>
    <xdr:ext cx="3067050" cy="515013"/>
    <xdr:sp macro="" textlink="">
      <xdr:nvSpPr>
        <xdr:cNvPr id="6" name="TextBox 5"/>
        <xdr:cNvSpPr txBox="1"/>
      </xdr:nvSpPr>
      <xdr:spPr>
        <a:xfrm>
          <a:off x="15773400" y="51844575"/>
          <a:ext cx="3067050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id-ID" sz="1600" b="1" u="sng"/>
            <a:t>UJANG RAHMAT HIDAYAT</a:t>
          </a:r>
          <a:endParaRPr lang="id-ID" sz="1200" b="0" u="none"/>
        </a:p>
        <a:p>
          <a:endParaRPr lang="id-ID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171450</xdr:colOff>
      <xdr:row>346</xdr:row>
      <xdr:rowOff>28575</xdr:rowOff>
    </xdr:from>
    <xdr:ext cx="3067050" cy="671594"/>
    <xdr:sp macro="" textlink="">
      <xdr:nvSpPr>
        <xdr:cNvPr id="2" name="TextBox 1"/>
        <xdr:cNvSpPr txBox="1"/>
      </xdr:nvSpPr>
      <xdr:spPr>
        <a:xfrm>
          <a:off x="1152525" y="60226575"/>
          <a:ext cx="3067050" cy="6715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id-ID" sz="1400" b="1" u="sng"/>
            <a:t>SUPARNO</a:t>
          </a:r>
        </a:p>
        <a:p>
          <a:pPr algn="ctr"/>
          <a:r>
            <a:rPr lang="id-ID" sz="1200" b="0" u="none"/>
            <a:t>NIP: 197508182009061001</a:t>
          </a:r>
        </a:p>
        <a:p>
          <a:endParaRPr lang="id-ID" sz="1100"/>
        </a:p>
      </xdr:txBody>
    </xdr:sp>
    <xdr:clientData/>
  </xdr:oneCellAnchor>
  <xdr:oneCellAnchor>
    <xdr:from>
      <xdr:col>12</xdr:col>
      <xdr:colOff>9525</xdr:colOff>
      <xdr:row>345</xdr:row>
      <xdr:rowOff>171450</xdr:rowOff>
    </xdr:from>
    <xdr:ext cx="3067050" cy="515013"/>
    <xdr:sp macro="" textlink="">
      <xdr:nvSpPr>
        <xdr:cNvPr id="3" name="TextBox 2"/>
        <xdr:cNvSpPr txBox="1"/>
      </xdr:nvSpPr>
      <xdr:spPr>
        <a:xfrm>
          <a:off x="8524875" y="60178950"/>
          <a:ext cx="3067050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id-ID" sz="1600" b="1" u="sng"/>
            <a:t>TIRTO NADI</a:t>
          </a:r>
          <a:endParaRPr lang="id-ID" sz="1200" b="0" u="none"/>
        </a:p>
        <a:p>
          <a:endParaRPr lang="id-ID" sz="1100"/>
        </a:p>
      </xdr:txBody>
    </xdr:sp>
    <xdr:clientData/>
  </xdr:oneCellAnchor>
  <xdr:oneCellAnchor>
    <xdr:from>
      <xdr:col>18</xdr:col>
      <xdr:colOff>9525</xdr:colOff>
      <xdr:row>345</xdr:row>
      <xdr:rowOff>38100</xdr:rowOff>
    </xdr:from>
    <xdr:ext cx="3067050" cy="515013"/>
    <xdr:sp macro="" textlink="">
      <xdr:nvSpPr>
        <xdr:cNvPr id="4" name="TextBox 3"/>
        <xdr:cNvSpPr txBox="1"/>
      </xdr:nvSpPr>
      <xdr:spPr>
        <a:xfrm>
          <a:off x="13211175" y="60045600"/>
          <a:ext cx="3067050" cy="515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pPr algn="ctr"/>
          <a:r>
            <a:rPr lang="id-ID" sz="1600" b="1" u="sng"/>
            <a:t>GUSTIARDI</a:t>
          </a:r>
          <a:endParaRPr lang="id-ID" sz="1200" b="0" u="none"/>
        </a:p>
        <a:p>
          <a:endParaRPr lang="id-ID" sz="1100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30</xdr:row>
      <xdr:rowOff>18143</xdr:rowOff>
    </xdr:from>
    <xdr:to>
      <xdr:col>2</xdr:col>
      <xdr:colOff>238125</xdr:colOff>
      <xdr:row>30</xdr:row>
      <xdr:rowOff>18143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CxnSpPr/>
      </xdr:nvCxnSpPr>
      <xdr:spPr>
        <a:xfrm>
          <a:off x="301625" y="8892268"/>
          <a:ext cx="1825625" cy="0"/>
        </a:xfrm>
        <a:prstGeom prst="line">
          <a:avLst/>
        </a:prstGeom>
        <a:ln w="3175"/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69272</xdr:colOff>
      <xdr:row>55</xdr:row>
      <xdr:rowOff>0</xdr:rowOff>
    </xdr:from>
    <xdr:to>
      <xdr:col>21</xdr:col>
      <xdr:colOff>1229591</xdr:colOff>
      <xdr:row>55</xdr:row>
      <xdr:rowOff>311727</xdr:rowOff>
    </xdr:to>
    <xdr:sp macro="" textlink="">
      <xdr:nvSpPr>
        <xdr:cNvPr id="3" name="Left Arrow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>
        <a:xfrm>
          <a:off x="22323136" y="15932727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0</xdr:colOff>
      <xdr:row>7</xdr:row>
      <xdr:rowOff>0</xdr:rowOff>
    </xdr:from>
    <xdr:to>
      <xdr:col>21</xdr:col>
      <xdr:colOff>448783</xdr:colOff>
      <xdr:row>8</xdr:row>
      <xdr:rowOff>126706</xdr:rowOff>
    </xdr:to>
    <xdr:sp macro="" textlink="">
      <xdr:nvSpPr>
        <xdr:cNvPr id="4" name="Left Arrow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SpPr/>
      </xdr:nvSpPr>
      <xdr:spPr>
        <a:xfrm>
          <a:off x="22336125" y="1457325"/>
          <a:ext cx="620233" cy="32673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107156</xdr:colOff>
      <xdr:row>10</xdr:row>
      <xdr:rowOff>130969</xdr:rowOff>
    </xdr:from>
    <xdr:to>
      <xdr:col>25</xdr:col>
      <xdr:colOff>107156</xdr:colOff>
      <xdr:row>12</xdr:row>
      <xdr:rowOff>71437</xdr:rowOff>
    </xdr:to>
    <xdr:sp macro="" textlink="">
      <xdr:nvSpPr>
        <xdr:cNvPr id="3" name="Left Arrow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>
        <a:xfrm>
          <a:off x="11689556" y="3264694"/>
          <a:ext cx="1200150" cy="34051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SpPr/>
      </xdr:nvSpPr>
      <xdr:spPr>
        <a:xfrm>
          <a:off x="0" y="771524"/>
          <a:ext cx="214312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24</xdr:row>
      <xdr:rowOff>19050</xdr:rowOff>
    </xdr:from>
    <xdr:to>
      <xdr:col>3</xdr:col>
      <xdr:colOff>590550</xdr:colOff>
      <xdr:row>31</xdr:row>
      <xdr:rowOff>9525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B00-000009000000}"/>
            </a:ext>
          </a:extLst>
        </xdr:cNvPr>
        <xdr:cNvSpPr txBox="1"/>
      </xdr:nvSpPr>
      <xdr:spPr>
        <a:xfrm>
          <a:off x="0" y="401955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9</xdr:col>
      <xdr:colOff>348798</xdr:colOff>
      <xdr:row>24</xdr:row>
      <xdr:rowOff>132670</xdr:rowOff>
    </xdr:from>
    <xdr:to>
      <xdr:col>11</xdr:col>
      <xdr:colOff>852262</xdr:colOff>
      <xdr:row>32</xdr:row>
      <xdr:rowOff>65995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xmlns="" id="{00000000-0008-0000-0B00-00000C000000}"/>
            </a:ext>
          </a:extLst>
        </xdr:cNvPr>
        <xdr:cNvSpPr txBox="1"/>
      </xdr:nvSpPr>
      <xdr:spPr>
        <a:xfrm>
          <a:off x="6746423" y="4704670"/>
          <a:ext cx="2154464" cy="1457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2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>
        <a:xfrm>
          <a:off x="0" y="581024"/>
          <a:ext cx="214312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114300</xdr:colOff>
      <xdr:row>34</xdr:row>
      <xdr:rowOff>152400</xdr:rowOff>
    </xdr:from>
    <xdr:to>
      <xdr:col>1</xdr:col>
      <xdr:colOff>1847850</xdr:colOff>
      <xdr:row>41</xdr:row>
      <xdr:rowOff>142875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SpPr txBox="1"/>
      </xdr:nvSpPr>
      <xdr:spPr>
        <a:xfrm>
          <a:off x="114300" y="6057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10</xdr:col>
      <xdr:colOff>63748</xdr:colOff>
      <xdr:row>34</xdr:row>
      <xdr:rowOff>174381</xdr:rowOff>
    </xdr:from>
    <xdr:to>
      <xdr:col>12</xdr:col>
      <xdr:colOff>740756</xdr:colOff>
      <xdr:row>41</xdr:row>
      <xdr:rowOff>164856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SpPr txBox="1"/>
      </xdr:nvSpPr>
      <xdr:spPr>
        <a:xfrm>
          <a:off x="9007723" y="6651381"/>
          <a:ext cx="2458183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 RAHMAT</a:t>
          </a:r>
          <a:r>
            <a:rPr lang="en-US" sz="1100" u="sng" baseline="0"/>
            <a:t> HIDAYAT</a:t>
          </a:r>
          <a:endParaRPr lang="en-US" sz="1100" u="sng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552449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SpPr/>
      </xdr:nvSpPr>
      <xdr:spPr>
        <a:xfrm>
          <a:off x="0" y="581024"/>
          <a:ext cx="35813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SpPr/>
      </xdr:nvSpPr>
      <xdr:spPr>
        <a:xfrm>
          <a:off x="3457575" y="571499"/>
          <a:ext cx="8191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SpPr/>
      </xdr:nvSpPr>
      <xdr:spPr>
        <a:xfrm>
          <a:off x="41910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SpPr/>
      </xdr:nvSpPr>
      <xdr:spPr>
        <a:xfrm>
          <a:off x="4295775" y="552450"/>
          <a:ext cx="180022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1</a:t>
          </a:r>
          <a:r>
            <a:rPr lang="en-US">
              <a:solidFill>
                <a:sysClr val="windowText" lastClr="000000"/>
              </a:solidFill>
            </a:rPr>
            <a:t>.3</a:t>
          </a:r>
        </a:p>
      </xdr:txBody>
    </xdr:sp>
    <xdr:clientData/>
  </xdr:twoCellAnchor>
  <xdr:twoCellAnchor>
    <xdr:from>
      <xdr:col>6</xdr:col>
      <xdr:colOff>95250</xdr:colOff>
      <xdr:row>4</xdr:row>
      <xdr:rowOff>9524</xdr:rowOff>
    </xdr:from>
    <xdr:to>
      <xdr:col>8</xdr:col>
      <xdr:colOff>0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SpPr/>
      </xdr:nvSpPr>
      <xdr:spPr>
        <a:xfrm>
          <a:off x="4286250" y="771524"/>
          <a:ext cx="190500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123825</xdr:colOff>
      <xdr:row>5</xdr:row>
      <xdr:rowOff>180975</xdr:rowOff>
    </xdr:from>
    <xdr:to>
      <xdr:col>7</xdr:col>
      <xdr:colOff>1123950</xdr:colOff>
      <xdr:row>9</xdr:row>
      <xdr:rowOff>180975</xdr:rowOff>
    </xdr:to>
    <xdr:sp macro="" textlink="RKP!D14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SpPr/>
      </xdr:nvSpPr>
      <xdr:spPr>
        <a:xfrm>
          <a:off x="4314825" y="1133475"/>
          <a:ext cx="17811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6BB66EE-1705-4A89-8974-F68DBD8B1273}" type="TxLink">
            <a:rPr lang="id-ID" sz="1100" baseline="0">
              <a:solidFill>
                <a:schemeClr val="tx1"/>
              </a:solidFill>
            </a:rPr>
            <a:pPr/>
            <a:t>Penyediaan Jaminan Sosial bagi Kepala Desa dan Perangkat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25</xdr:row>
      <xdr:rowOff>114300</xdr:rowOff>
    </xdr:from>
    <xdr:to>
      <xdr:col>1</xdr:col>
      <xdr:colOff>1736148</xdr:colOff>
      <xdr:row>32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SpPr txBox="1"/>
      </xdr:nvSpPr>
      <xdr:spPr>
        <a:xfrm>
          <a:off x="0" y="44958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141144</xdr:colOff>
      <xdr:row>25</xdr:row>
      <xdr:rowOff>47625</xdr:rowOff>
    </xdr:from>
    <xdr:to>
      <xdr:col>7</xdr:col>
      <xdr:colOff>948171</xdr:colOff>
      <xdr:row>32</xdr:row>
      <xdr:rowOff>38100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SpPr txBox="1"/>
      </xdr:nvSpPr>
      <xdr:spPr>
        <a:xfrm>
          <a:off x="4389294" y="4429125"/>
          <a:ext cx="2454852" cy="1323975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Agustus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155201</xdr:rowOff>
    </xdr:from>
    <xdr:to>
      <xdr:col>4</xdr:col>
      <xdr:colOff>3361</xdr:colOff>
      <xdr:row>7</xdr:row>
      <xdr:rowOff>183776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>
        <a:xfrm>
          <a:off x="0" y="536201"/>
          <a:ext cx="4384861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9525</xdr:colOff>
      <xdr:row>104</xdr:row>
      <xdr:rowOff>114300</xdr:rowOff>
    </xdr:from>
    <xdr:to>
      <xdr:col>1</xdr:col>
      <xdr:colOff>1743075</xdr:colOff>
      <xdr:row>111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SpPr txBox="1"/>
      </xdr:nvSpPr>
      <xdr:spPr>
        <a:xfrm>
          <a:off x="9525" y="172307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b="1" u="sng"/>
            <a:t>TIRTONADI</a:t>
          </a:r>
        </a:p>
      </xdr:txBody>
    </xdr:sp>
    <xdr:clientData/>
  </xdr:twoCellAnchor>
  <xdr:twoCellAnchor>
    <xdr:from>
      <xdr:col>10</xdr:col>
      <xdr:colOff>962027</xdr:colOff>
      <xdr:row>104</xdr:row>
      <xdr:rowOff>45384</xdr:rowOff>
    </xdr:from>
    <xdr:to>
      <xdr:col>13</xdr:col>
      <xdr:colOff>846606</xdr:colOff>
      <xdr:row>111</xdr:row>
      <xdr:rowOff>35859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SpPr txBox="1"/>
      </xdr:nvSpPr>
      <xdr:spPr>
        <a:xfrm>
          <a:off x="10173262" y="18288560"/>
          <a:ext cx="2775697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 b="1" u="sng"/>
        </a:p>
        <a:p>
          <a:endParaRPr lang="en-US" sz="1100" b="1" u="sng"/>
        </a:p>
        <a:p>
          <a:r>
            <a:rPr lang="en-US" sz="1100" b="1" u="sng"/>
            <a:t>UJANG</a:t>
          </a:r>
          <a:r>
            <a:rPr lang="en-US" sz="1100" b="1" u="sng" baseline="0"/>
            <a:t> RAHMAT HIDAYAT</a:t>
          </a:r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155201</xdr:rowOff>
    </xdr:from>
    <xdr:to>
      <xdr:col>4</xdr:col>
      <xdr:colOff>3361</xdr:colOff>
      <xdr:row>7</xdr:row>
      <xdr:rowOff>183776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>
        <a:xfrm>
          <a:off x="0" y="536201"/>
          <a:ext cx="4508686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9525</xdr:colOff>
      <xdr:row>97</xdr:row>
      <xdr:rowOff>114300</xdr:rowOff>
    </xdr:from>
    <xdr:to>
      <xdr:col>1</xdr:col>
      <xdr:colOff>1743075</xdr:colOff>
      <xdr:row>104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SpPr txBox="1"/>
      </xdr:nvSpPr>
      <xdr:spPr>
        <a:xfrm>
          <a:off x="9525" y="1861185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b="1" u="sng"/>
            <a:t>TIRTONADI</a:t>
          </a:r>
        </a:p>
      </xdr:txBody>
    </xdr:sp>
    <xdr:clientData/>
  </xdr:twoCellAnchor>
  <xdr:twoCellAnchor>
    <xdr:from>
      <xdr:col>10</xdr:col>
      <xdr:colOff>962027</xdr:colOff>
      <xdr:row>97</xdr:row>
      <xdr:rowOff>45384</xdr:rowOff>
    </xdr:from>
    <xdr:to>
      <xdr:col>13</xdr:col>
      <xdr:colOff>846606</xdr:colOff>
      <xdr:row>104</xdr:row>
      <xdr:rowOff>35859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SpPr txBox="1"/>
      </xdr:nvSpPr>
      <xdr:spPr>
        <a:xfrm>
          <a:off x="10306052" y="18542934"/>
          <a:ext cx="2780179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 b="1" u="sng"/>
        </a:p>
        <a:p>
          <a:endParaRPr lang="en-US" sz="1100" b="1" u="sng"/>
        </a:p>
        <a:p>
          <a:r>
            <a:rPr lang="en-US" sz="1100" b="1" u="sng"/>
            <a:t>UJANG</a:t>
          </a:r>
          <a:r>
            <a:rPr lang="en-US" sz="1100" b="1" u="sng" baseline="0"/>
            <a:t> RAHMAT HIDAYAT</a:t>
          </a:r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155201</xdr:rowOff>
    </xdr:from>
    <xdr:to>
      <xdr:col>4</xdr:col>
      <xdr:colOff>3361</xdr:colOff>
      <xdr:row>7</xdr:row>
      <xdr:rowOff>183776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>
        <a:xfrm>
          <a:off x="0" y="536201"/>
          <a:ext cx="4508686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9525</xdr:colOff>
      <xdr:row>97</xdr:row>
      <xdr:rowOff>114300</xdr:rowOff>
    </xdr:from>
    <xdr:to>
      <xdr:col>1</xdr:col>
      <xdr:colOff>1743075</xdr:colOff>
      <xdr:row>104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SpPr txBox="1"/>
      </xdr:nvSpPr>
      <xdr:spPr>
        <a:xfrm>
          <a:off x="9525" y="1994535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b="1" u="sng"/>
            <a:t>TIRTONADI</a:t>
          </a:r>
        </a:p>
      </xdr:txBody>
    </xdr:sp>
    <xdr:clientData/>
  </xdr:twoCellAnchor>
  <xdr:twoCellAnchor>
    <xdr:from>
      <xdr:col>10</xdr:col>
      <xdr:colOff>962027</xdr:colOff>
      <xdr:row>97</xdr:row>
      <xdr:rowOff>45384</xdr:rowOff>
    </xdr:from>
    <xdr:to>
      <xdr:col>13</xdr:col>
      <xdr:colOff>846606</xdr:colOff>
      <xdr:row>104</xdr:row>
      <xdr:rowOff>35859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SpPr txBox="1"/>
      </xdr:nvSpPr>
      <xdr:spPr>
        <a:xfrm>
          <a:off x="10306052" y="19876434"/>
          <a:ext cx="2780179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 b="1" u="sng"/>
        </a:p>
        <a:p>
          <a:endParaRPr lang="en-US" sz="1100" b="1" u="sng"/>
        </a:p>
        <a:p>
          <a:r>
            <a:rPr lang="en-US" sz="1100" b="1" u="sng"/>
            <a:t>UJANG</a:t>
          </a:r>
          <a:r>
            <a:rPr lang="en-US" sz="1100" b="1" u="sng" baseline="0"/>
            <a:t> RAHMAT HIDAYAT</a:t>
          </a:r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SpPr/>
      </xdr:nvSpPr>
      <xdr:spPr>
        <a:xfrm>
          <a:off x="0" y="581024"/>
          <a:ext cx="413384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114300</xdr:rowOff>
    </xdr:from>
    <xdr:to>
      <xdr:col>1</xdr:col>
      <xdr:colOff>1733550</xdr:colOff>
      <xdr:row>28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0F00-000009000000}"/>
            </a:ext>
          </a:extLst>
        </xdr:cNvPr>
        <xdr:cNvSpPr txBox="1"/>
      </xdr:nvSpPr>
      <xdr:spPr>
        <a:xfrm>
          <a:off x="0" y="43053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10</xdr:col>
      <xdr:colOff>200026</xdr:colOff>
      <xdr:row>21</xdr:row>
      <xdr:rowOff>38100</xdr:rowOff>
    </xdr:from>
    <xdr:to>
      <xdr:col>12</xdr:col>
      <xdr:colOff>619126</xdr:colOff>
      <xdr:row>28</xdr:row>
      <xdr:rowOff>180975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0F00-00000A000000}"/>
            </a:ext>
          </a:extLst>
        </xdr:cNvPr>
        <xdr:cNvSpPr txBox="1"/>
      </xdr:nvSpPr>
      <xdr:spPr>
        <a:xfrm>
          <a:off x="8658226" y="4229100"/>
          <a:ext cx="2457450" cy="1476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SpPr/>
      </xdr:nvSpPr>
      <xdr:spPr>
        <a:xfrm>
          <a:off x="0" y="581024"/>
          <a:ext cx="41052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41</xdr:row>
      <xdr:rowOff>114300</xdr:rowOff>
    </xdr:from>
    <xdr:to>
      <xdr:col>1</xdr:col>
      <xdr:colOff>1733550</xdr:colOff>
      <xdr:row>48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SpPr txBox="1"/>
      </xdr:nvSpPr>
      <xdr:spPr>
        <a:xfrm>
          <a:off x="0" y="77343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11</xdr:col>
      <xdr:colOff>250452</xdr:colOff>
      <xdr:row>40</xdr:row>
      <xdr:rowOff>131670</xdr:rowOff>
    </xdr:from>
    <xdr:to>
      <xdr:col>14</xdr:col>
      <xdr:colOff>31937</xdr:colOff>
      <xdr:row>49</xdr:row>
      <xdr:rowOff>17370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SpPr txBox="1"/>
      </xdr:nvSpPr>
      <xdr:spPr>
        <a:xfrm>
          <a:off x="9327217" y="7751670"/>
          <a:ext cx="2459691" cy="160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 u="sng"/>
        </a:p>
        <a:p>
          <a:endParaRPr lang="en-US" sz="1100" u="none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SpPr/>
      </xdr:nvSpPr>
      <xdr:spPr>
        <a:xfrm>
          <a:off x="4562475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SpPr/>
      </xdr:nvSpPr>
      <xdr:spPr>
        <a:xfrm>
          <a:off x="53721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SpPr/>
      </xdr:nvSpPr>
      <xdr:spPr>
        <a:xfrm>
          <a:off x="54768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1</a:t>
          </a:r>
          <a:r>
            <a:rPr lang="id-ID" baseline="0">
              <a:solidFill>
                <a:sysClr val="windowText" lastClr="000000"/>
              </a:solidFill>
            </a:rPr>
            <a:t> </a:t>
          </a:r>
          <a:r>
            <a:rPr lang="en-US" baseline="0">
              <a:solidFill>
                <a:sysClr val="windowText" lastClr="000000"/>
              </a:solidFill>
            </a:rPr>
            <a:t>.7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SpPr/>
      </xdr:nvSpPr>
      <xdr:spPr>
        <a:xfrm>
          <a:off x="4295776" y="771524"/>
          <a:ext cx="1885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123825</xdr:colOff>
      <xdr:row>5</xdr:row>
      <xdr:rowOff>180975</xdr:rowOff>
    </xdr:from>
    <xdr:to>
      <xdr:col>8</xdr:col>
      <xdr:colOff>0</xdr:colOff>
      <xdr:row>9</xdr:row>
      <xdr:rowOff>180975</xdr:rowOff>
    </xdr:to>
    <xdr:sp macro="" textlink="RKP!D17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SpPr/>
      </xdr:nvSpPr>
      <xdr:spPr>
        <a:xfrm>
          <a:off x="4324350" y="1133475"/>
          <a:ext cx="17145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9502A170-005F-4A8C-A091-AF228AAD300D}" type="TxLink">
            <a:rPr lang="id-ID" sz="1100" baseline="0">
              <a:solidFill>
                <a:schemeClr val="tx1"/>
              </a:solidFill>
            </a:rPr>
            <a:pPr/>
            <a:t>Penyediaan Insentif/Operasional RT/RW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35</xdr:row>
      <xdr:rowOff>114300</xdr:rowOff>
    </xdr:from>
    <xdr:to>
      <xdr:col>1</xdr:col>
      <xdr:colOff>1733550</xdr:colOff>
      <xdr:row>42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SpPr txBox="1"/>
      </xdr:nvSpPr>
      <xdr:spPr>
        <a:xfrm>
          <a:off x="0" y="70104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104776</xdr:colOff>
      <xdr:row>35</xdr:row>
      <xdr:rowOff>0</xdr:rowOff>
    </xdr:from>
    <xdr:to>
      <xdr:col>8</xdr:col>
      <xdr:colOff>9526</xdr:colOff>
      <xdr:row>42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100-00000A000000}"/>
            </a:ext>
          </a:extLst>
        </xdr:cNvPr>
        <xdr:cNvSpPr txBox="1"/>
      </xdr:nvSpPr>
      <xdr:spPr>
        <a:xfrm>
          <a:off x="3590926" y="6896100"/>
          <a:ext cx="2457450" cy="1504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Agustus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9</xdr:col>
      <xdr:colOff>726281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>
        <a:xfrm>
          <a:off x="666750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19049</xdr:rowOff>
    </xdr:from>
    <xdr:to>
      <xdr:col>3</xdr:col>
      <xdr:colOff>552449</xdr:colOff>
      <xdr:row>8</xdr:row>
      <xdr:rowOff>47624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SpPr/>
      </xdr:nvSpPr>
      <xdr:spPr>
        <a:xfrm>
          <a:off x="0" y="590549"/>
          <a:ext cx="34575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Mulya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SpPr/>
      </xdr:nvSpPr>
      <xdr:spPr>
        <a:xfrm>
          <a:off x="4629150" y="571499"/>
          <a:ext cx="9715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SpPr/>
      </xdr:nvSpPr>
      <xdr:spPr>
        <a:xfrm>
          <a:off x="551497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SpPr/>
      </xdr:nvSpPr>
      <xdr:spPr>
        <a:xfrm>
          <a:off x="5619750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1</a:t>
          </a:r>
          <a:r>
            <a:rPr lang="id-ID" baseline="0">
              <a:solidFill>
                <a:sysClr val="windowText" lastClr="000000"/>
              </a:solidFill>
            </a:rPr>
            <a:t> </a:t>
          </a:r>
          <a:r>
            <a:rPr lang="en-US" baseline="0">
              <a:solidFill>
                <a:sysClr val="windowText" lastClr="000000"/>
              </a:solidFill>
            </a:rPr>
            <a:t>.8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95250</xdr:colOff>
      <xdr:row>4</xdr:row>
      <xdr:rowOff>9524</xdr:rowOff>
    </xdr:from>
    <xdr:to>
      <xdr:col>8</xdr:col>
      <xdr:colOff>95250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SpPr/>
      </xdr:nvSpPr>
      <xdr:spPr>
        <a:xfrm>
          <a:off x="5610225" y="771524"/>
          <a:ext cx="183832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97549</xdr:colOff>
      <xdr:row>6</xdr:row>
      <xdr:rowOff>3613</xdr:rowOff>
    </xdr:from>
    <xdr:to>
      <xdr:col>7</xdr:col>
      <xdr:colOff>945274</xdr:colOff>
      <xdr:row>10</xdr:row>
      <xdr:rowOff>3613</xdr:rowOff>
    </xdr:to>
    <xdr:sp macro="" textlink="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SpPr/>
      </xdr:nvSpPr>
      <xdr:spPr>
        <a:xfrm>
          <a:off x="4932308" y="1146613"/>
          <a:ext cx="1714828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E1C8BBF9-DF42-47B2-B80B-41D2891833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Pembangunan/rehabilitasi/peningkatan gedung/prasarana kantor desa</a:t>
          </a:fld>
          <a:endParaRPr lang="en-US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114300</xdr:rowOff>
    </xdr:from>
    <xdr:to>
      <xdr:col>1</xdr:col>
      <xdr:colOff>1733550</xdr:colOff>
      <xdr:row>28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200-000009000000}"/>
            </a:ext>
          </a:extLst>
        </xdr:cNvPr>
        <xdr:cNvSpPr txBox="1"/>
      </xdr:nvSpPr>
      <xdr:spPr>
        <a:xfrm>
          <a:off x="0" y="43148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9526</xdr:colOff>
      <xdr:row>20</xdr:row>
      <xdr:rowOff>133350</xdr:rowOff>
    </xdr:from>
    <xdr:to>
      <xdr:col>7</xdr:col>
      <xdr:colOff>809626</xdr:colOff>
      <xdr:row>28</xdr:row>
      <xdr:rowOff>104775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200-00000A000000}"/>
            </a:ext>
          </a:extLst>
        </xdr:cNvPr>
        <xdr:cNvSpPr txBox="1"/>
      </xdr:nvSpPr>
      <xdr:spPr>
        <a:xfrm>
          <a:off x="4057651" y="4143375"/>
          <a:ext cx="2457450" cy="1495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Agustus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171449</xdr:rowOff>
    </xdr:from>
    <xdr:to>
      <xdr:col>3</xdr:col>
      <xdr:colOff>552449</xdr:colOff>
      <xdr:row>8</xdr:row>
      <xdr:rowOff>9524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300-000003000000}"/>
            </a:ext>
          </a:extLst>
        </xdr:cNvPr>
        <xdr:cNvSpPr/>
      </xdr:nvSpPr>
      <xdr:spPr>
        <a:xfrm>
          <a:off x="0" y="552449"/>
          <a:ext cx="27812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114300</xdr:rowOff>
    </xdr:from>
    <xdr:to>
      <xdr:col>1</xdr:col>
      <xdr:colOff>1733550</xdr:colOff>
      <xdr:row>28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300-000009000000}"/>
            </a:ext>
          </a:extLst>
        </xdr:cNvPr>
        <xdr:cNvSpPr txBox="1"/>
      </xdr:nvSpPr>
      <xdr:spPr>
        <a:xfrm>
          <a:off x="0" y="4533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11</xdr:col>
      <xdr:colOff>200026</xdr:colOff>
      <xdr:row>21</xdr:row>
      <xdr:rowOff>104775</xdr:rowOff>
    </xdr:from>
    <xdr:to>
      <xdr:col>13</xdr:col>
      <xdr:colOff>819151</xdr:colOff>
      <xdr:row>29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1300-00000A000000}"/>
            </a:ext>
          </a:extLst>
        </xdr:cNvPr>
        <xdr:cNvSpPr txBox="1"/>
      </xdr:nvSpPr>
      <xdr:spPr>
        <a:xfrm>
          <a:off x="7981951" y="4105275"/>
          <a:ext cx="2457450" cy="1495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400-000003000000}"/>
            </a:ext>
          </a:extLst>
        </xdr:cNvPr>
        <xdr:cNvSpPr/>
      </xdr:nvSpPr>
      <xdr:spPr>
        <a:xfrm>
          <a:off x="0" y="581024"/>
          <a:ext cx="27812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28</xdr:row>
      <xdr:rowOff>114300</xdr:rowOff>
    </xdr:from>
    <xdr:to>
      <xdr:col>1</xdr:col>
      <xdr:colOff>1733550</xdr:colOff>
      <xdr:row>35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400-000009000000}"/>
            </a:ext>
          </a:extLst>
        </xdr:cNvPr>
        <xdr:cNvSpPr txBox="1"/>
      </xdr:nvSpPr>
      <xdr:spPr>
        <a:xfrm>
          <a:off x="0" y="535305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11</xdr:col>
      <xdr:colOff>590551</xdr:colOff>
      <xdr:row>28</xdr:row>
      <xdr:rowOff>28575</xdr:rowOff>
    </xdr:from>
    <xdr:to>
      <xdr:col>13</xdr:col>
      <xdr:colOff>1209676</xdr:colOff>
      <xdr:row>35</xdr:row>
      <xdr:rowOff>152400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1400-00000A000000}"/>
            </a:ext>
          </a:extLst>
        </xdr:cNvPr>
        <xdr:cNvSpPr txBox="1"/>
      </xdr:nvSpPr>
      <xdr:spPr>
        <a:xfrm>
          <a:off x="9658351" y="5362575"/>
          <a:ext cx="2457450" cy="1457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114300</xdr:colOff>
      <xdr:row>5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>
        <a:xfrm>
          <a:off x="7191375" y="3810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500-000003000000}"/>
            </a:ext>
          </a:extLst>
        </xdr:cNvPr>
        <xdr:cNvSpPr/>
      </xdr:nvSpPr>
      <xdr:spPr>
        <a:xfrm>
          <a:off x="0" y="581024"/>
          <a:ext cx="27812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500-000004000000}"/>
            </a:ext>
          </a:extLst>
        </xdr:cNvPr>
        <xdr:cNvSpPr/>
      </xdr:nvSpPr>
      <xdr:spPr>
        <a:xfrm>
          <a:off x="3276600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500-000005000000}"/>
            </a:ext>
          </a:extLst>
        </xdr:cNvPr>
        <xdr:cNvSpPr/>
      </xdr:nvSpPr>
      <xdr:spPr>
        <a:xfrm>
          <a:off x="408622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500-000006000000}"/>
            </a:ext>
          </a:extLst>
        </xdr:cNvPr>
        <xdr:cNvSpPr/>
      </xdr:nvSpPr>
      <xdr:spPr>
        <a:xfrm>
          <a:off x="4191000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1.11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500-000007000000}"/>
            </a:ext>
          </a:extLst>
        </xdr:cNvPr>
        <xdr:cNvSpPr/>
      </xdr:nvSpPr>
      <xdr:spPr>
        <a:xfrm>
          <a:off x="4181476" y="771524"/>
          <a:ext cx="1885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D18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500-000008000000}"/>
            </a:ext>
          </a:extLst>
        </xdr:cNvPr>
        <xdr:cNvSpPr/>
      </xdr:nvSpPr>
      <xdr:spPr>
        <a:xfrm>
          <a:off x="4210049" y="1133475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6EAB1DA-E79A-4728-AF30-3F3B3015E12C}" type="TxLink">
            <a:rPr lang="en-US" sz="105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Pengelolaan/Administrasi/Inventarisasi/Penilaian Aset Desa</a:t>
          </a:fld>
          <a:endParaRPr lang="en-US" sz="10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23</xdr:row>
      <xdr:rowOff>114300</xdr:rowOff>
    </xdr:from>
    <xdr:to>
      <xdr:col>1</xdr:col>
      <xdr:colOff>1733550</xdr:colOff>
      <xdr:row>30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500-000009000000}"/>
            </a:ext>
          </a:extLst>
        </xdr:cNvPr>
        <xdr:cNvSpPr txBox="1"/>
      </xdr:nvSpPr>
      <xdr:spPr>
        <a:xfrm>
          <a:off x="0" y="4533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133351</xdr:colOff>
      <xdr:row>23</xdr:row>
      <xdr:rowOff>114300</xdr:rowOff>
    </xdr:from>
    <xdr:to>
      <xdr:col>8</xdr:col>
      <xdr:colOff>38101</xdr:colOff>
      <xdr:row>31</xdr:row>
      <xdr:rowOff>114300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500-00000A000000}"/>
            </a:ext>
          </a:extLst>
        </xdr:cNvPr>
        <xdr:cNvSpPr txBox="1"/>
      </xdr:nvSpPr>
      <xdr:spPr>
        <a:xfrm>
          <a:off x="4162426" y="4533900"/>
          <a:ext cx="24574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Agustus 2018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600-000003000000}"/>
            </a:ext>
          </a:extLst>
        </xdr:cNvPr>
        <xdr:cNvSpPr/>
      </xdr:nvSpPr>
      <xdr:spPr>
        <a:xfrm>
          <a:off x="0" y="581024"/>
          <a:ext cx="27812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44</xdr:row>
      <xdr:rowOff>114300</xdr:rowOff>
    </xdr:from>
    <xdr:to>
      <xdr:col>1</xdr:col>
      <xdr:colOff>1733550</xdr:colOff>
      <xdr:row>51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600-000009000000}"/>
            </a:ext>
          </a:extLst>
        </xdr:cNvPr>
        <xdr:cNvSpPr txBox="1"/>
      </xdr:nvSpPr>
      <xdr:spPr>
        <a:xfrm>
          <a:off x="0" y="4533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11</xdr:col>
      <xdr:colOff>151987</xdr:colOff>
      <xdr:row>44</xdr:row>
      <xdr:rowOff>171864</xdr:rowOff>
    </xdr:from>
    <xdr:to>
      <xdr:col>13</xdr:col>
      <xdr:colOff>771525</xdr:colOff>
      <xdr:row>52</xdr:row>
      <xdr:rowOff>143289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1600-00000A000000}"/>
            </a:ext>
          </a:extLst>
        </xdr:cNvPr>
        <xdr:cNvSpPr txBox="1"/>
      </xdr:nvSpPr>
      <xdr:spPr>
        <a:xfrm>
          <a:off x="8037030" y="8553864"/>
          <a:ext cx="2458278" cy="1495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 RAHMAT HIDAYAT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10</xdr:col>
      <xdr:colOff>105834</xdr:colOff>
      <xdr:row>3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>
        <a:xfrm>
          <a:off x="7228417" y="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700-000003000000}"/>
            </a:ext>
          </a:extLst>
        </xdr:cNvPr>
        <xdr:cNvSpPr/>
      </xdr:nvSpPr>
      <xdr:spPr>
        <a:xfrm>
          <a:off x="0" y="581024"/>
          <a:ext cx="28955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700-000004000000}"/>
            </a:ext>
          </a:extLst>
        </xdr:cNvPr>
        <xdr:cNvSpPr/>
      </xdr:nvSpPr>
      <xdr:spPr>
        <a:xfrm>
          <a:off x="3390900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700-000005000000}"/>
            </a:ext>
          </a:extLst>
        </xdr:cNvPr>
        <xdr:cNvSpPr/>
      </xdr:nvSpPr>
      <xdr:spPr>
        <a:xfrm>
          <a:off x="420052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8</xdr:col>
      <xdr:colOff>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700-000006000000}"/>
            </a:ext>
          </a:extLst>
        </xdr:cNvPr>
        <xdr:cNvSpPr/>
      </xdr:nvSpPr>
      <xdr:spPr>
        <a:xfrm>
          <a:off x="54768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1.13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700-000007000000}"/>
            </a:ext>
          </a:extLst>
        </xdr:cNvPr>
        <xdr:cNvSpPr/>
      </xdr:nvSpPr>
      <xdr:spPr>
        <a:xfrm>
          <a:off x="4295776" y="771524"/>
          <a:ext cx="1885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76199</xdr:colOff>
      <xdr:row>5</xdr:row>
      <xdr:rowOff>171450</xdr:rowOff>
    </xdr:from>
    <xdr:to>
      <xdr:col>7</xdr:col>
      <xdr:colOff>952499</xdr:colOff>
      <xdr:row>9</xdr:row>
      <xdr:rowOff>171450</xdr:rowOff>
    </xdr:to>
    <xdr:sp macro="" textlink="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700-000008000000}"/>
            </a:ext>
          </a:extLst>
        </xdr:cNvPr>
        <xdr:cNvSpPr/>
      </xdr:nvSpPr>
      <xdr:spPr>
        <a:xfrm>
          <a:off x="5448299" y="1123950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552D663C-9027-45C9-9803-E700FCD5E414}" type="TxLink">
            <a:rPr lang="id-ID" sz="1100" baseline="0">
              <a:solidFill>
                <a:schemeClr val="tx1"/>
              </a:solidFill>
            </a:rPr>
            <a:pPr/>
            <a:t>Penyusunan/Pendataan/Pemutakhiran Profil Desa 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114300</xdr:rowOff>
    </xdr:from>
    <xdr:to>
      <xdr:col>1</xdr:col>
      <xdr:colOff>1733550</xdr:colOff>
      <xdr:row>28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700-000009000000}"/>
            </a:ext>
          </a:extLst>
        </xdr:cNvPr>
        <xdr:cNvSpPr txBox="1"/>
      </xdr:nvSpPr>
      <xdr:spPr>
        <a:xfrm>
          <a:off x="0" y="418147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47626</xdr:colOff>
      <xdr:row>21</xdr:row>
      <xdr:rowOff>0</xdr:rowOff>
    </xdr:from>
    <xdr:to>
      <xdr:col>7</xdr:col>
      <xdr:colOff>923926</xdr:colOff>
      <xdr:row>29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700-00000A000000}"/>
            </a:ext>
          </a:extLst>
        </xdr:cNvPr>
        <xdr:cNvSpPr txBox="1"/>
      </xdr:nvSpPr>
      <xdr:spPr>
        <a:xfrm>
          <a:off x="4705351" y="4067175"/>
          <a:ext cx="2457450" cy="1533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Agustus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SpPr/>
      </xdr:nvSpPr>
      <xdr:spPr>
        <a:xfrm>
          <a:off x="0" y="581024"/>
          <a:ext cx="27812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23</xdr:row>
      <xdr:rowOff>114300</xdr:rowOff>
    </xdr:from>
    <xdr:to>
      <xdr:col>1</xdr:col>
      <xdr:colOff>1733550</xdr:colOff>
      <xdr:row>30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800-000009000000}"/>
            </a:ext>
          </a:extLst>
        </xdr:cNvPr>
        <xdr:cNvSpPr txBox="1"/>
      </xdr:nvSpPr>
      <xdr:spPr>
        <a:xfrm>
          <a:off x="0" y="3771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9</xdr:col>
      <xdr:colOff>495300</xdr:colOff>
      <xdr:row>2</xdr:row>
      <xdr:rowOff>190499</xdr:rowOff>
    </xdr:from>
    <xdr:to>
      <xdr:col>11</xdr:col>
      <xdr:colOff>85725</xdr:colOff>
      <xdr:row>8</xdr:row>
      <xdr:rowOff>28574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SpPr/>
      </xdr:nvSpPr>
      <xdr:spPr>
        <a:xfrm>
          <a:off x="3990975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</xdr:colOff>
      <xdr:row>3</xdr:row>
      <xdr:rowOff>9524</xdr:rowOff>
    </xdr:from>
    <xdr:to>
      <xdr:col>11</xdr:col>
      <xdr:colOff>190501</xdr:colOff>
      <xdr:row>8</xdr:row>
      <xdr:rowOff>38099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1800-000005000000}"/>
            </a:ext>
          </a:extLst>
        </xdr:cNvPr>
        <xdr:cNvSpPr/>
      </xdr:nvSpPr>
      <xdr:spPr>
        <a:xfrm>
          <a:off x="475297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104775</xdr:colOff>
      <xdr:row>2</xdr:row>
      <xdr:rowOff>171450</xdr:rowOff>
    </xdr:from>
    <xdr:to>
      <xdr:col>12</xdr:col>
      <xdr:colOff>1104900</xdr:colOff>
      <xdr:row>4</xdr:row>
      <xdr:rowOff>28576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1800-000006000000}"/>
            </a:ext>
          </a:extLst>
        </xdr:cNvPr>
        <xdr:cNvSpPr/>
      </xdr:nvSpPr>
      <xdr:spPr>
        <a:xfrm>
          <a:off x="4857750" y="552450"/>
          <a:ext cx="172402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1.13</a:t>
          </a:r>
        </a:p>
      </xdr:txBody>
    </xdr:sp>
    <xdr:clientData/>
  </xdr:twoCellAnchor>
  <xdr:twoCellAnchor>
    <xdr:from>
      <xdr:col>11</xdr:col>
      <xdr:colOff>95251</xdr:colOff>
      <xdr:row>4</xdr:row>
      <xdr:rowOff>9524</xdr:rowOff>
    </xdr:from>
    <xdr:to>
      <xdr:col>13</xdr:col>
      <xdr:colOff>142876</xdr:colOff>
      <xdr:row>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1800-000007000000}"/>
            </a:ext>
          </a:extLst>
        </xdr:cNvPr>
        <xdr:cNvSpPr/>
      </xdr:nvSpPr>
      <xdr:spPr>
        <a:xfrm>
          <a:off x="4848226" y="771524"/>
          <a:ext cx="187642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123824</xdr:colOff>
      <xdr:row>5</xdr:row>
      <xdr:rowOff>180975</xdr:rowOff>
    </xdr:from>
    <xdr:to>
      <xdr:col>13</xdr:col>
      <xdr:colOff>28574</xdr:colOff>
      <xdr:row>9</xdr:row>
      <xdr:rowOff>180975</xdr:rowOff>
    </xdr:to>
    <xdr:sp macro="" textlink="RKP!D20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1800-000008000000}"/>
            </a:ext>
          </a:extLst>
        </xdr:cNvPr>
        <xdr:cNvSpPr/>
      </xdr:nvSpPr>
      <xdr:spPr>
        <a:xfrm>
          <a:off x="4876799" y="1133475"/>
          <a:ext cx="173355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94EA6456-A2BF-40B0-9610-DE762083D2C1}" type="TxLink">
            <a:rPr lang="en-US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Administrasi Pajak Bumi dan Bangunan (PBB)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28576</xdr:colOff>
      <xdr:row>23</xdr:row>
      <xdr:rowOff>104775</xdr:rowOff>
    </xdr:from>
    <xdr:to>
      <xdr:col>12</xdr:col>
      <xdr:colOff>895351</xdr:colOff>
      <xdr:row>31</xdr:row>
      <xdr:rowOff>19050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1800-00000A000000}"/>
            </a:ext>
          </a:extLst>
        </xdr:cNvPr>
        <xdr:cNvSpPr txBox="1"/>
      </xdr:nvSpPr>
      <xdr:spPr>
        <a:xfrm>
          <a:off x="4057651" y="3762375"/>
          <a:ext cx="2457450" cy="143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114300</xdr:colOff>
      <xdr:row>5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>
        <a:xfrm>
          <a:off x="7191375" y="3810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900-000003000000}"/>
            </a:ext>
          </a:extLst>
        </xdr:cNvPr>
        <xdr:cNvSpPr/>
      </xdr:nvSpPr>
      <xdr:spPr>
        <a:xfrm>
          <a:off x="0" y="581024"/>
          <a:ext cx="34956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900-000004000000}"/>
            </a:ext>
          </a:extLst>
        </xdr:cNvPr>
        <xdr:cNvSpPr/>
      </xdr:nvSpPr>
      <xdr:spPr>
        <a:xfrm>
          <a:off x="3990975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900-000005000000}"/>
            </a:ext>
          </a:extLst>
        </xdr:cNvPr>
        <xdr:cNvSpPr/>
      </xdr:nvSpPr>
      <xdr:spPr>
        <a:xfrm>
          <a:off x="475297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900-000006000000}"/>
            </a:ext>
          </a:extLst>
        </xdr:cNvPr>
        <xdr:cNvSpPr/>
      </xdr:nvSpPr>
      <xdr:spPr>
        <a:xfrm>
          <a:off x="4857750" y="552450"/>
          <a:ext cx="172402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1.14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900-000007000000}"/>
            </a:ext>
          </a:extLst>
        </xdr:cNvPr>
        <xdr:cNvSpPr/>
      </xdr:nvSpPr>
      <xdr:spPr>
        <a:xfrm>
          <a:off x="4848226" y="771524"/>
          <a:ext cx="187642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D21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900-000008000000}"/>
            </a:ext>
          </a:extLst>
        </xdr:cNvPr>
        <xdr:cNvSpPr/>
      </xdr:nvSpPr>
      <xdr:spPr>
        <a:xfrm>
          <a:off x="4876799" y="1133475"/>
          <a:ext cx="173355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0A00FB77-7959-48CB-8F2F-6E6D0E63D458}" type="TxLink">
            <a:rPr lang="en-US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Pengelolaan/pemeliharaan tanah kas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25</xdr:row>
      <xdr:rowOff>114300</xdr:rowOff>
    </xdr:from>
    <xdr:to>
      <xdr:col>1</xdr:col>
      <xdr:colOff>1733550</xdr:colOff>
      <xdr:row>32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900-000009000000}"/>
            </a:ext>
          </a:extLst>
        </xdr:cNvPr>
        <xdr:cNvSpPr txBox="1"/>
      </xdr:nvSpPr>
      <xdr:spPr>
        <a:xfrm>
          <a:off x="0" y="47244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95251</xdr:colOff>
      <xdr:row>25</xdr:row>
      <xdr:rowOff>0</xdr:rowOff>
    </xdr:from>
    <xdr:to>
      <xdr:col>8</xdr:col>
      <xdr:colOff>1</xdr:colOff>
      <xdr:row>33</xdr:row>
      <xdr:rowOff>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900-00000A000000}"/>
            </a:ext>
          </a:extLst>
        </xdr:cNvPr>
        <xdr:cNvSpPr txBox="1"/>
      </xdr:nvSpPr>
      <xdr:spPr>
        <a:xfrm>
          <a:off x="4124326" y="4610100"/>
          <a:ext cx="24574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Agustus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  <xdr:twoCellAnchor>
    <xdr:from>
      <xdr:col>18</xdr:col>
      <xdr:colOff>104775</xdr:colOff>
      <xdr:row>5</xdr:row>
      <xdr:rowOff>171450</xdr:rowOff>
    </xdr:from>
    <xdr:to>
      <xdr:col>19</xdr:col>
      <xdr:colOff>1104900</xdr:colOff>
      <xdr:row>7</xdr:row>
      <xdr:rowOff>28576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xmlns="" id="{00000000-0008-0000-1900-000026000000}"/>
            </a:ext>
          </a:extLst>
        </xdr:cNvPr>
        <xdr:cNvSpPr/>
      </xdr:nvSpPr>
      <xdr:spPr>
        <a:xfrm>
          <a:off x="4857750" y="552450"/>
          <a:ext cx="172402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0</xdr:colOff>
      <xdr:row>28</xdr:row>
      <xdr:rowOff>114300</xdr:rowOff>
    </xdr:from>
    <xdr:to>
      <xdr:col>13</xdr:col>
      <xdr:colOff>1733550</xdr:colOff>
      <xdr:row>35</xdr:row>
      <xdr:rowOff>104775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00000000-0008-0000-1900-000029000000}"/>
            </a:ext>
          </a:extLst>
        </xdr:cNvPr>
        <xdr:cNvSpPr txBox="1"/>
      </xdr:nvSpPr>
      <xdr:spPr>
        <a:xfrm>
          <a:off x="0" y="47244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17</xdr:col>
      <xdr:colOff>95251</xdr:colOff>
      <xdr:row>28</xdr:row>
      <xdr:rowOff>0</xdr:rowOff>
    </xdr:from>
    <xdr:to>
      <xdr:col>20</xdr:col>
      <xdr:colOff>1</xdr:colOff>
      <xdr:row>36</xdr:row>
      <xdr:rowOff>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xmlns="" id="{00000000-0008-0000-1900-00002A000000}"/>
            </a:ext>
          </a:extLst>
        </xdr:cNvPr>
        <xdr:cNvSpPr txBox="1"/>
      </xdr:nvSpPr>
      <xdr:spPr>
        <a:xfrm>
          <a:off x="4124326" y="4610100"/>
          <a:ext cx="24574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September 2018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9</xdr:col>
      <xdr:colOff>726281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>
        <a:xfrm>
          <a:off x="6677025" y="190500"/>
          <a:ext cx="1335881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19049</xdr:rowOff>
    </xdr:from>
    <xdr:to>
      <xdr:col>3</xdr:col>
      <xdr:colOff>552449</xdr:colOff>
      <xdr:row>8</xdr:row>
      <xdr:rowOff>47624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200-000003000000}"/>
            </a:ext>
          </a:extLst>
        </xdr:cNvPr>
        <xdr:cNvSpPr/>
      </xdr:nvSpPr>
      <xdr:spPr>
        <a:xfrm>
          <a:off x="0" y="590549"/>
          <a:ext cx="34575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Mulya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200-000004000000}"/>
            </a:ext>
          </a:extLst>
        </xdr:cNvPr>
        <xdr:cNvSpPr/>
      </xdr:nvSpPr>
      <xdr:spPr>
        <a:xfrm>
          <a:off x="3952875" y="571499"/>
          <a:ext cx="9715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200-000005000000}"/>
            </a:ext>
          </a:extLst>
        </xdr:cNvPr>
        <xdr:cNvSpPr/>
      </xdr:nvSpPr>
      <xdr:spPr>
        <a:xfrm>
          <a:off x="48387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200-000006000000}"/>
            </a:ext>
          </a:extLst>
        </xdr:cNvPr>
        <xdr:cNvSpPr/>
      </xdr:nvSpPr>
      <xdr:spPr>
        <a:xfrm>
          <a:off x="49434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1</a:t>
          </a:r>
          <a:r>
            <a:rPr lang="id-ID" baseline="0">
              <a:solidFill>
                <a:sysClr val="windowText" lastClr="000000"/>
              </a:solidFill>
            </a:rPr>
            <a:t> </a:t>
          </a:r>
          <a:r>
            <a:rPr lang="en-US" baseline="0">
              <a:solidFill>
                <a:sysClr val="windowText" lastClr="000000"/>
              </a:solidFill>
            </a:rPr>
            <a:t>.8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95250</xdr:colOff>
      <xdr:row>4</xdr:row>
      <xdr:rowOff>9524</xdr:rowOff>
    </xdr:from>
    <xdr:to>
      <xdr:col>8</xdr:col>
      <xdr:colOff>95250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200-000007000000}"/>
            </a:ext>
          </a:extLst>
        </xdr:cNvPr>
        <xdr:cNvSpPr/>
      </xdr:nvSpPr>
      <xdr:spPr>
        <a:xfrm>
          <a:off x="4933950" y="771524"/>
          <a:ext cx="183832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97549</xdr:colOff>
      <xdr:row>6</xdr:row>
      <xdr:rowOff>3613</xdr:rowOff>
    </xdr:from>
    <xdr:to>
      <xdr:col>7</xdr:col>
      <xdr:colOff>945274</xdr:colOff>
      <xdr:row>10</xdr:row>
      <xdr:rowOff>3613</xdr:rowOff>
    </xdr:to>
    <xdr:sp macro="" textlink="RKP!D21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200-000008000000}"/>
            </a:ext>
          </a:extLst>
        </xdr:cNvPr>
        <xdr:cNvSpPr/>
      </xdr:nvSpPr>
      <xdr:spPr>
        <a:xfrm>
          <a:off x="4936249" y="1146613"/>
          <a:ext cx="17145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8800B556-62F7-4002-BC9A-D02EDAF6248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Pengelolaan/pemeliharaan tanah kas desa</a:t>
          </a:fld>
          <a:endParaRPr lang="en-US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22</xdr:row>
      <xdr:rowOff>114300</xdr:rowOff>
    </xdr:from>
    <xdr:to>
      <xdr:col>1</xdr:col>
      <xdr:colOff>1733550</xdr:colOff>
      <xdr:row>29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200-000009000000}"/>
            </a:ext>
          </a:extLst>
        </xdr:cNvPr>
        <xdr:cNvSpPr txBox="1"/>
      </xdr:nvSpPr>
      <xdr:spPr>
        <a:xfrm>
          <a:off x="0" y="43053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9526</xdr:colOff>
      <xdr:row>21</xdr:row>
      <xdr:rowOff>133350</xdr:rowOff>
    </xdr:from>
    <xdr:to>
      <xdr:col>7</xdr:col>
      <xdr:colOff>809626</xdr:colOff>
      <xdr:row>29</xdr:row>
      <xdr:rowOff>104775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200-00000A000000}"/>
            </a:ext>
          </a:extLst>
        </xdr:cNvPr>
        <xdr:cNvSpPr txBox="1"/>
      </xdr:nvSpPr>
      <xdr:spPr>
        <a:xfrm>
          <a:off x="4057651" y="4133850"/>
          <a:ext cx="2457450" cy="1495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Agustus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10</xdr:col>
      <xdr:colOff>590550</xdr:colOff>
      <xdr:row>2</xdr:row>
      <xdr:rowOff>150018</xdr:rowOff>
    </xdr:to>
    <xdr:sp macro="" textlink="">
      <xdr:nvSpPr>
        <xdr:cNvPr id="6" name="Left Arrow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A00-000006000000}"/>
            </a:ext>
          </a:extLst>
        </xdr:cNvPr>
        <xdr:cNvSpPr/>
      </xdr:nvSpPr>
      <xdr:spPr>
        <a:xfrm>
          <a:off x="7210425" y="190500"/>
          <a:ext cx="1200150" cy="340518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9</xdr:row>
      <xdr:rowOff>38099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A00-000007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Mulya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19050</xdr:colOff>
      <xdr:row>3</xdr:row>
      <xdr:rowOff>9524</xdr:rowOff>
    </xdr:from>
    <xdr:to>
      <xdr:col>5</xdr:col>
      <xdr:colOff>238125</xdr:colOff>
      <xdr:row>9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A00-000008000000}"/>
            </a:ext>
          </a:extLst>
        </xdr:cNvPr>
        <xdr:cNvSpPr/>
      </xdr:nvSpPr>
      <xdr:spPr>
        <a:xfrm>
          <a:off x="4086225" y="581024"/>
          <a:ext cx="8096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   :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     :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  :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9</xdr:row>
      <xdr:rowOff>38099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xmlns="" id="{00000000-0008-0000-1A00-000009000000}"/>
            </a:ext>
          </a:extLst>
        </xdr:cNvPr>
        <xdr:cNvSpPr/>
      </xdr:nvSpPr>
      <xdr:spPr>
        <a:xfrm>
          <a:off x="53721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38100</xdr:colOff>
      <xdr:row>3</xdr:row>
      <xdr:rowOff>19050</xdr:rowOff>
    </xdr:from>
    <xdr:to>
      <xdr:col>7</xdr:col>
      <xdr:colOff>190500</xdr:colOff>
      <xdr:row>4</xdr:row>
      <xdr:rowOff>66676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xmlns="" id="{00000000-0008-0000-1A00-00000A000000}"/>
            </a:ext>
          </a:extLst>
        </xdr:cNvPr>
        <xdr:cNvSpPr/>
      </xdr:nvSpPr>
      <xdr:spPr>
        <a:xfrm>
          <a:off x="4695825" y="590550"/>
          <a:ext cx="866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1</a:t>
          </a:r>
          <a:r>
            <a:rPr lang="en-US">
              <a:solidFill>
                <a:sysClr val="windowText" lastClr="000000"/>
              </a:solidFill>
            </a:rPr>
            <a:t>. 14</a:t>
          </a:r>
        </a:p>
      </xdr:txBody>
    </xdr:sp>
    <xdr:clientData/>
  </xdr:twoCellAnchor>
  <xdr:twoCellAnchor>
    <xdr:from>
      <xdr:col>5</xdr:col>
      <xdr:colOff>28575</xdr:colOff>
      <xdr:row>4</xdr:row>
      <xdr:rowOff>28574</xdr:rowOff>
    </xdr:from>
    <xdr:to>
      <xdr:col>8</xdr:col>
      <xdr:colOff>266700</xdr:colOff>
      <xdr:row>6</xdr:row>
      <xdr:rowOff>114299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00000000-0008-0000-1A00-00000B000000}"/>
            </a:ext>
          </a:extLst>
        </xdr:cNvPr>
        <xdr:cNvSpPr/>
      </xdr:nvSpPr>
      <xdr:spPr>
        <a:xfrm>
          <a:off x="4686300" y="790574"/>
          <a:ext cx="18192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Penyelenggaraan</a:t>
          </a:r>
          <a:r>
            <a:rPr lang="id-ID"/>
            <a:t>  </a:t>
          </a:r>
          <a:r>
            <a:rPr lang="id-ID">
              <a:solidFill>
                <a:sysClr val="windowText" lastClr="000000"/>
              </a:solidFill>
            </a:rPr>
            <a:t>Pemerintah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38100</xdr:colOff>
      <xdr:row>6</xdr:row>
      <xdr:rowOff>9525</xdr:rowOff>
    </xdr:from>
    <xdr:to>
      <xdr:col>8</xdr:col>
      <xdr:colOff>895350</xdr:colOff>
      <xdr:row>11</xdr:row>
      <xdr:rowOff>9525</xdr:rowOff>
    </xdr:to>
    <xdr:sp macro="" textlink="RKP!#REF!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1A00-00000C000000}"/>
            </a:ext>
          </a:extLst>
        </xdr:cNvPr>
        <xdr:cNvSpPr/>
      </xdr:nvSpPr>
      <xdr:spPr>
        <a:xfrm>
          <a:off x="4695825" y="1152525"/>
          <a:ext cx="2438400" cy="771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5DD8453-C468-49D3-B38D-D1B03B08606F}" type="TxLink">
            <a:rPr lang="id-ID" sz="1100" baseline="0">
              <a:solidFill>
                <a:schemeClr val="tx1"/>
              </a:solidFill>
            </a:rPr>
            <a:pPr/>
            <a:t>Penyelenggaraan Lomba antar kewilayahan dan pengiriman kontingen dalam mengikuti Lomba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33</xdr:row>
      <xdr:rowOff>114300</xdr:rowOff>
    </xdr:from>
    <xdr:to>
      <xdr:col>1</xdr:col>
      <xdr:colOff>1733550</xdr:colOff>
      <xdr:row>40</xdr:row>
      <xdr:rowOff>104775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00000000-0008-0000-1A00-00000D000000}"/>
            </a:ext>
          </a:extLst>
        </xdr:cNvPr>
        <xdr:cNvSpPr txBox="1"/>
      </xdr:nvSpPr>
      <xdr:spPr>
        <a:xfrm>
          <a:off x="0" y="6438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76201</xdr:colOff>
      <xdr:row>33</xdr:row>
      <xdr:rowOff>104775</xdr:rowOff>
    </xdr:from>
    <xdr:to>
      <xdr:col>8</xdr:col>
      <xdr:colOff>952501</xdr:colOff>
      <xdr:row>41</xdr:row>
      <xdr:rowOff>171450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xmlns="" id="{00000000-0008-0000-1A00-00000E000000}"/>
            </a:ext>
          </a:extLst>
        </xdr:cNvPr>
        <xdr:cNvSpPr txBox="1"/>
      </xdr:nvSpPr>
      <xdr:spPr>
        <a:xfrm>
          <a:off x="4733926" y="6429375"/>
          <a:ext cx="2457450" cy="1590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>
        <a:xfrm>
          <a:off x="7362825" y="190500"/>
          <a:ext cx="146685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SpPr/>
      </xdr:nvSpPr>
      <xdr:spPr>
        <a:xfrm>
          <a:off x="0" y="581024"/>
          <a:ext cx="362902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SpPr/>
      </xdr:nvSpPr>
      <xdr:spPr>
        <a:xfrm>
          <a:off x="4124325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SpPr/>
      </xdr:nvSpPr>
      <xdr:spPr>
        <a:xfrm>
          <a:off x="488632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SpPr/>
      </xdr:nvSpPr>
      <xdr:spPr>
        <a:xfrm>
          <a:off x="4991100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2.11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SpPr/>
      </xdr:nvSpPr>
      <xdr:spPr>
        <a:xfrm>
          <a:off x="4981576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Pembangunan Desa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10</xdr:row>
      <xdr:rowOff>184547</xdr:rowOff>
    </xdr:to>
    <xdr:sp macro="" textlink="[25]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SpPr/>
      </xdr:nvSpPr>
      <xdr:spPr>
        <a:xfrm>
          <a:off x="5010149" y="1133475"/>
          <a:ext cx="1638300" cy="9560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3378DBE-1D72-41B5-90C4-D771BE5601AB}" type="TxLink"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Pemeliharaan sambungan air bersih ke rumah tangga (Pipanisasi Dll)</a:t>
          </a:fld>
          <a:endParaRPr lang="en-US" sz="10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31</xdr:row>
      <xdr:rowOff>114300</xdr:rowOff>
    </xdr:from>
    <xdr:to>
      <xdr:col>1</xdr:col>
      <xdr:colOff>1733550</xdr:colOff>
      <xdr:row>38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B00-000009000000}"/>
            </a:ext>
          </a:extLst>
        </xdr:cNvPr>
        <xdr:cNvSpPr txBox="1"/>
      </xdr:nvSpPr>
      <xdr:spPr>
        <a:xfrm>
          <a:off x="0" y="6572250"/>
          <a:ext cx="2247900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</xdr:colOff>
      <xdr:row>31</xdr:row>
      <xdr:rowOff>0</xdr:rowOff>
    </xdr:from>
    <xdr:to>
      <xdr:col>8</xdr:col>
      <xdr:colOff>1</xdr:colOff>
      <xdr:row>39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B00-00000A000000}"/>
            </a:ext>
          </a:extLst>
        </xdr:cNvPr>
        <xdr:cNvSpPr txBox="1"/>
      </xdr:nvSpPr>
      <xdr:spPr>
        <a:xfrm>
          <a:off x="4162426" y="6457950"/>
          <a:ext cx="2457450" cy="1533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>
        <a:xfrm>
          <a:off x="7362825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SpPr/>
      </xdr:nvSpPr>
      <xdr:spPr>
        <a:xfrm>
          <a:off x="0" y="581024"/>
          <a:ext cx="362902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SpPr/>
      </xdr:nvSpPr>
      <xdr:spPr>
        <a:xfrm>
          <a:off x="4124325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SpPr/>
      </xdr:nvSpPr>
      <xdr:spPr>
        <a:xfrm>
          <a:off x="488632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SpPr/>
      </xdr:nvSpPr>
      <xdr:spPr>
        <a:xfrm>
          <a:off x="4991100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2.11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SpPr/>
      </xdr:nvSpPr>
      <xdr:spPr>
        <a:xfrm>
          <a:off x="4981576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Pembangunan Desa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10</xdr:row>
      <xdr:rowOff>184547</xdr:rowOff>
    </xdr:to>
    <xdr:sp macro="" textlink="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SpPr/>
      </xdr:nvSpPr>
      <xdr:spPr>
        <a:xfrm>
          <a:off x="5010149" y="1133475"/>
          <a:ext cx="1638300" cy="9560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3378DBE-1D72-41B5-90C4-D771BE5601AB}" type="TxLink"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Pemeliharaan sambungan air bersih ke rumah tangga (Pipanisasi Dll)</a:t>
          </a:fld>
          <a:endParaRPr lang="en-US" sz="10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31</xdr:row>
      <xdr:rowOff>114300</xdr:rowOff>
    </xdr:from>
    <xdr:to>
      <xdr:col>1</xdr:col>
      <xdr:colOff>1733550</xdr:colOff>
      <xdr:row>38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B00-000009000000}"/>
            </a:ext>
          </a:extLst>
        </xdr:cNvPr>
        <xdr:cNvSpPr txBox="1"/>
      </xdr:nvSpPr>
      <xdr:spPr>
        <a:xfrm>
          <a:off x="0" y="12792075"/>
          <a:ext cx="2247900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</xdr:colOff>
      <xdr:row>31</xdr:row>
      <xdr:rowOff>0</xdr:rowOff>
    </xdr:from>
    <xdr:to>
      <xdr:col>8</xdr:col>
      <xdr:colOff>1</xdr:colOff>
      <xdr:row>39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B00-00000A000000}"/>
            </a:ext>
          </a:extLst>
        </xdr:cNvPr>
        <xdr:cNvSpPr txBox="1"/>
      </xdr:nvSpPr>
      <xdr:spPr>
        <a:xfrm>
          <a:off x="4162426" y="12677775"/>
          <a:ext cx="2457450" cy="1533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>
        <a:xfrm>
          <a:off x="702945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C00-000004000000}"/>
            </a:ext>
          </a:extLst>
        </xdr:cNvPr>
        <xdr:cNvSpPr/>
      </xdr:nvSpPr>
      <xdr:spPr>
        <a:xfrm>
          <a:off x="4562475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C00-000005000000}"/>
            </a:ext>
          </a:extLst>
        </xdr:cNvPr>
        <xdr:cNvSpPr/>
      </xdr:nvSpPr>
      <xdr:spPr>
        <a:xfrm>
          <a:off x="53721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C00-000006000000}"/>
            </a:ext>
          </a:extLst>
        </xdr:cNvPr>
        <xdr:cNvSpPr/>
      </xdr:nvSpPr>
      <xdr:spPr>
        <a:xfrm>
          <a:off x="54768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2.1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C00-000007000000}"/>
            </a:ext>
          </a:extLst>
        </xdr:cNvPr>
        <xdr:cNvSpPr/>
      </xdr:nvSpPr>
      <xdr:spPr>
        <a:xfrm>
          <a:off x="5467351" y="771524"/>
          <a:ext cx="1885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Pembangunan Desa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D23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C00-000008000000}"/>
            </a:ext>
          </a:extLst>
        </xdr:cNvPr>
        <xdr:cNvSpPr/>
      </xdr:nvSpPr>
      <xdr:spPr>
        <a:xfrm>
          <a:off x="5495924" y="1133475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0AB5D299-2E00-49A9-9983-8C8DD1756486}" type="TxLink">
            <a:rPr lang="en-US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Penyelenggaraan PAUD/TPA/TKA/TPQ/Madrasah Non formal milik desa (Honor,pakaian dll)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22</xdr:row>
      <xdr:rowOff>114300</xdr:rowOff>
    </xdr:from>
    <xdr:to>
      <xdr:col>1</xdr:col>
      <xdr:colOff>1733550</xdr:colOff>
      <xdr:row>29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C00-000009000000}"/>
            </a:ext>
          </a:extLst>
        </xdr:cNvPr>
        <xdr:cNvSpPr txBox="1"/>
      </xdr:nvSpPr>
      <xdr:spPr>
        <a:xfrm>
          <a:off x="0" y="43529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</xdr:colOff>
      <xdr:row>22</xdr:row>
      <xdr:rowOff>0</xdr:rowOff>
    </xdr:from>
    <xdr:to>
      <xdr:col>8</xdr:col>
      <xdr:colOff>1</xdr:colOff>
      <xdr:row>30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C00-00000A000000}"/>
            </a:ext>
          </a:extLst>
        </xdr:cNvPr>
        <xdr:cNvSpPr txBox="1"/>
      </xdr:nvSpPr>
      <xdr:spPr>
        <a:xfrm>
          <a:off x="3962401" y="4238625"/>
          <a:ext cx="2457450" cy="1533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>
        <a:xfrm>
          <a:off x="702945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D00-000004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D00-000005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D00-000006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2.2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D00-000007000000}"/>
            </a:ext>
          </a:extLst>
        </xdr:cNvPr>
        <xdr:cNvSpPr/>
      </xdr:nvSpPr>
      <xdr:spPr>
        <a:xfrm>
          <a:off x="4781551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Pembangunan Desa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10</xdr:row>
      <xdr:rowOff>184547</xdr:rowOff>
    </xdr:to>
    <xdr:sp macro="" textlink="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D00-000008000000}"/>
            </a:ext>
          </a:extLst>
        </xdr:cNvPr>
        <xdr:cNvSpPr/>
      </xdr:nvSpPr>
      <xdr:spPr>
        <a:xfrm>
          <a:off x="4820840" y="1133475"/>
          <a:ext cx="1643062" cy="9560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D8B7D9C0-59F0-4462-B98D-8F727E7CB259}" type="TxLink"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Pemeliharaan sarana dan prasarana  PAUD/TPA/TKA/TPQ/Madrasah Non formal milik desa</a:t>
          </a:fld>
          <a:endParaRPr lang="en-US" sz="10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60</xdr:row>
      <xdr:rowOff>114300</xdr:rowOff>
    </xdr:from>
    <xdr:to>
      <xdr:col>1</xdr:col>
      <xdr:colOff>1733550</xdr:colOff>
      <xdr:row>67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D00-000009000000}"/>
            </a:ext>
          </a:extLst>
        </xdr:cNvPr>
        <xdr:cNvSpPr txBox="1"/>
      </xdr:nvSpPr>
      <xdr:spPr>
        <a:xfrm>
          <a:off x="0" y="43529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</xdr:colOff>
      <xdr:row>60</xdr:row>
      <xdr:rowOff>0</xdr:rowOff>
    </xdr:from>
    <xdr:to>
      <xdr:col>8</xdr:col>
      <xdr:colOff>1</xdr:colOff>
      <xdr:row>68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D00-00000A000000}"/>
            </a:ext>
          </a:extLst>
        </xdr:cNvPr>
        <xdr:cNvSpPr txBox="1"/>
      </xdr:nvSpPr>
      <xdr:spPr>
        <a:xfrm>
          <a:off x="3962401" y="4238625"/>
          <a:ext cx="2457450" cy="1533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>
        <a:xfrm>
          <a:off x="702945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E00-000003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1E00-000004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1E00-000005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1E00-000006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2.2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314325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1E00-000007000000}"/>
            </a:ext>
          </a:extLst>
        </xdr:cNvPr>
        <xdr:cNvSpPr/>
      </xdr:nvSpPr>
      <xdr:spPr>
        <a:xfrm>
          <a:off x="4781551" y="771524"/>
          <a:ext cx="1952624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Pelaksanaan Pembangunan</a:t>
          </a:r>
          <a:r>
            <a:rPr lang="en-US" baseline="0">
              <a:solidFill>
                <a:sysClr val="windowText" lastClr="000000"/>
              </a:solidFill>
            </a:rPr>
            <a:t>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1E00-000008000000}"/>
            </a:ext>
          </a:extLst>
        </xdr:cNvPr>
        <xdr:cNvSpPr/>
      </xdr:nvSpPr>
      <xdr:spPr>
        <a:xfrm>
          <a:off x="4810124" y="1133475"/>
          <a:ext cx="16383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D2ED2285-8922-4CEE-8D6F-587999B9CF1F}" type="TxLink">
            <a:rPr lang="en-US" sz="12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Penyelenggaraan  Madrasyah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20</xdr:row>
      <xdr:rowOff>114300</xdr:rowOff>
    </xdr:from>
    <xdr:to>
      <xdr:col>1</xdr:col>
      <xdr:colOff>1733550</xdr:colOff>
      <xdr:row>27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E00-000009000000}"/>
            </a:ext>
          </a:extLst>
        </xdr:cNvPr>
        <xdr:cNvSpPr txBox="1"/>
      </xdr:nvSpPr>
      <xdr:spPr>
        <a:xfrm>
          <a:off x="0" y="43529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504826</xdr:colOff>
      <xdr:row>20</xdr:row>
      <xdr:rowOff>0</xdr:rowOff>
    </xdr:from>
    <xdr:to>
      <xdr:col>7</xdr:col>
      <xdr:colOff>838201</xdr:colOff>
      <xdr:row>27</xdr:row>
      <xdr:rowOff>161925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1E00-00000A000000}"/>
            </a:ext>
          </a:extLst>
        </xdr:cNvPr>
        <xdr:cNvSpPr txBox="1"/>
      </xdr:nvSpPr>
      <xdr:spPr>
        <a:xfrm>
          <a:off x="3933826" y="4238625"/>
          <a:ext cx="2457450" cy="1495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1F00-000003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30</xdr:row>
      <xdr:rowOff>114300</xdr:rowOff>
    </xdr:from>
    <xdr:to>
      <xdr:col>1</xdr:col>
      <xdr:colOff>1733550</xdr:colOff>
      <xdr:row>37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1F00-000009000000}"/>
            </a:ext>
          </a:extLst>
        </xdr:cNvPr>
        <xdr:cNvSpPr txBox="1"/>
      </xdr:nvSpPr>
      <xdr:spPr>
        <a:xfrm>
          <a:off x="0" y="49625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9</xdr:col>
      <xdr:colOff>495300</xdr:colOff>
      <xdr:row>2</xdr:row>
      <xdr:rowOff>190499</xdr:rowOff>
    </xdr:from>
    <xdr:to>
      <xdr:col>11</xdr:col>
      <xdr:colOff>85725</xdr:colOff>
      <xdr:row>8</xdr:row>
      <xdr:rowOff>28574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00000000-0008-0000-1F00-000004000000}"/>
            </a:ext>
          </a:extLst>
        </xdr:cNvPr>
        <xdr:cNvSpPr/>
      </xdr:nvSpPr>
      <xdr:spPr>
        <a:xfrm>
          <a:off x="3924300" y="571499"/>
          <a:ext cx="850656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</xdr:colOff>
      <xdr:row>3</xdr:row>
      <xdr:rowOff>9524</xdr:rowOff>
    </xdr:from>
    <xdr:to>
      <xdr:col>11</xdr:col>
      <xdr:colOff>190501</xdr:colOff>
      <xdr:row>8</xdr:row>
      <xdr:rowOff>38099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1F00-000005000000}"/>
            </a:ext>
          </a:extLst>
        </xdr:cNvPr>
        <xdr:cNvSpPr/>
      </xdr:nvSpPr>
      <xdr:spPr>
        <a:xfrm>
          <a:off x="4689232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104775</xdr:colOff>
      <xdr:row>2</xdr:row>
      <xdr:rowOff>171450</xdr:rowOff>
    </xdr:from>
    <xdr:to>
      <xdr:col>12</xdr:col>
      <xdr:colOff>1104900</xdr:colOff>
      <xdr:row>4</xdr:row>
      <xdr:rowOff>28576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1F00-000006000000}"/>
            </a:ext>
          </a:extLst>
        </xdr:cNvPr>
        <xdr:cNvSpPr/>
      </xdr:nvSpPr>
      <xdr:spPr>
        <a:xfrm>
          <a:off x="4794006" y="552450"/>
          <a:ext cx="1626577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baseline="0">
              <a:solidFill>
                <a:sysClr val="windowText" lastClr="000000"/>
              </a:solidFill>
            </a:rPr>
            <a:t>2.3 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95251</xdr:colOff>
      <xdr:row>4</xdr:row>
      <xdr:rowOff>9524</xdr:rowOff>
    </xdr:from>
    <xdr:to>
      <xdr:col>13</xdr:col>
      <xdr:colOff>142876</xdr:colOff>
      <xdr:row>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1F00-000007000000}"/>
            </a:ext>
          </a:extLst>
        </xdr:cNvPr>
        <xdr:cNvSpPr/>
      </xdr:nvSpPr>
      <xdr:spPr>
        <a:xfrm>
          <a:off x="4784482" y="771524"/>
          <a:ext cx="1776779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Pelaksanaan Pembangunan Desa</a:t>
          </a:r>
        </a:p>
      </xdr:txBody>
    </xdr:sp>
    <xdr:clientData/>
  </xdr:twoCellAnchor>
  <xdr:twoCellAnchor>
    <xdr:from>
      <xdr:col>11</xdr:col>
      <xdr:colOff>123824</xdr:colOff>
      <xdr:row>5</xdr:row>
      <xdr:rowOff>180975</xdr:rowOff>
    </xdr:from>
    <xdr:to>
      <xdr:col>13</xdr:col>
      <xdr:colOff>28574</xdr:colOff>
      <xdr:row>9</xdr:row>
      <xdr:rowOff>180975</xdr:rowOff>
    </xdr:to>
    <xdr:sp macro="" textlink="RKP!#REF!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1F00-000008000000}"/>
            </a:ext>
          </a:extLst>
        </xdr:cNvPr>
        <xdr:cNvSpPr/>
      </xdr:nvSpPr>
      <xdr:spPr>
        <a:xfrm>
          <a:off x="4813055" y="1133475"/>
          <a:ext cx="1633904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09035BF6-8F7E-406B-AD25-0F368AD3B14E}" type="TxLink">
            <a:rPr lang="id-ID" sz="1100" baseline="0">
              <a:solidFill>
                <a:schemeClr val="tx1"/>
              </a:solidFill>
            </a:rPr>
            <a:pPr/>
            <a:t>Posyandu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581026</xdr:colOff>
      <xdr:row>30</xdr:row>
      <xdr:rowOff>47625</xdr:rowOff>
    </xdr:from>
    <xdr:to>
      <xdr:col>13</xdr:col>
      <xdr:colOff>581026</xdr:colOff>
      <xdr:row>40</xdr:row>
      <xdr:rowOff>85725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1F00-00000A000000}"/>
            </a:ext>
          </a:extLst>
        </xdr:cNvPr>
        <xdr:cNvSpPr txBox="1"/>
      </xdr:nvSpPr>
      <xdr:spPr>
        <a:xfrm>
          <a:off x="8086726" y="5829300"/>
          <a:ext cx="2457450" cy="1943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 RAHMAT HIDAYAT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11</xdr:col>
      <xdr:colOff>114300</xdr:colOff>
      <xdr:row>5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>
        <a:xfrm>
          <a:off x="7191375" y="3810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0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000-000004000000}"/>
            </a:ext>
          </a:extLst>
        </xdr:cNvPr>
        <xdr:cNvSpPr/>
      </xdr:nvSpPr>
      <xdr:spPr>
        <a:xfrm>
          <a:off x="4562475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000-000005000000}"/>
            </a:ext>
          </a:extLst>
        </xdr:cNvPr>
        <xdr:cNvSpPr/>
      </xdr:nvSpPr>
      <xdr:spPr>
        <a:xfrm>
          <a:off x="53721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000-000006000000}"/>
            </a:ext>
          </a:extLst>
        </xdr:cNvPr>
        <xdr:cNvSpPr/>
      </xdr:nvSpPr>
      <xdr:spPr>
        <a:xfrm>
          <a:off x="54768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3.1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000-000007000000}"/>
            </a:ext>
          </a:extLst>
        </xdr:cNvPr>
        <xdr:cNvSpPr/>
      </xdr:nvSpPr>
      <xdr:spPr>
        <a:xfrm>
          <a:off x="5467351" y="771524"/>
          <a:ext cx="1885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Pembinaan Kemasyarakatan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D32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2000-000008000000}"/>
            </a:ext>
          </a:extLst>
        </xdr:cNvPr>
        <xdr:cNvSpPr/>
      </xdr:nvSpPr>
      <xdr:spPr>
        <a:xfrm>
          <a:off x="5495924" y="1133475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600CB6CE-D1B0-4F0A-A30F-E49E88C2F862}" type="TxLink">
            <a:rPr lang="id-ID" sz="1100" baseline="0">
              <a:solidFill>
                <a:schemeClr val="tx1"/>
              </a:solidFill>
            </a:rPr>
            <a:pPr/>
            <a:t>Ketenteraman, Ketertiban Umum, dan Pelindungan Masyarakat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114300</xdr:rowOff>
    </xdr:from>
    <xdr:to>
      <xdr:col>1</xdr:col>
      <xdr:colOff>1733550</xdr:colOff>
      <xdr:row>28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000-000009000000}"/>
            </a:ext>
          </a:extLst>
        </xdr:cNvPr>
        <xdr:cNvSpPr txBox="1"/>
      </xdr:nvSpPr>
      <xdr:spPr>
        <a:xfrm>
          <a:off x="0" y="4152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114301</xdr:colOff>
      <xdr:row>20</xdr:row>
      <xdr:rowOff>142875</xdr:rowOff>
    </xdr:from>
    <xdr:to>
      <xdr:col>8</xdr:col>
      <xdr:colOff>19051</xdr:colOff>
      <xdr:row>29</xdr:row>
      <xdr:rowOff>9525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2000-00000A000000}"/>
            </a:ext>
          </a:extLst>
        </xdr:cNvPr>
        <xdr:cNvSpPr txBox="1"/>
      </xdr:nvSpPr>
      <xdr:spPr>
        <a:xfrm>
          <a:off x="4143376" y="3990975"/>
          <a:ext cx="2457450" cy="1581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1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23</xdr:row>
      <xdr:rowOff>114300</xdr:rowOff>
    </xdr:from>
    <xdr:to>
      <xdr:col>1</xdr:col>
      <xdr:colOff>1733550</xdr:colOff>
      <xdr:row>30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100-000009000000}"/>
            </a:ext>
          </a:extLst>
        </xdr:cNvPr>
        <xdr:cNvSpPr txBox="1"/>
      </xdr:nvSpPr>
      <xdr:spPr>
        <a:xfrm>
          <a:off x="0" y="47244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9</xdr:col>
      <xdr:colOff>495300</xdr:colOff>
      <xdr:row>2</xdr:row>
      <xdr:rowOff>190499</xdr:rowOff>
    </xdr:from>
    <xdr:to>
      <xdr:col>11</xdr:col>
      <xdr:colOff>85725</xdr:colOff>
      <xdr:row>8</xdr:row>
      <xdr:rowOff>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00000000-0008-0000-2100-000004000000}"/>
            </a:ext>
          </a:extLst>
        </xdr:cNvPr>
        <xdr:cNvSpPr/>
      </xdr:nvSpPr>
      <xdr:spPr>
        <a:xfrm>
          <a:off x="3924300" y="571499"/>
          <a:ext cx="85669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</xdr:colOff>
      <xdr:row>3</xdr:row>
      <xdr:rowOff>9524</xdr:rowOff>
    </xdr:from>
    <xdr:to>
      <xdr:col>11</xdr:col>
      <xdr:colOff>190501</xdr:colOff>
      <xdr:row>8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2100-000005000000}"/>
            </a:ext>
          </a:extLst>
        </xdr:cNvPr>
        <xdr:cNvSpPr/>
      </xdr:nvSpPr>
      <xdr:spPr>
        <a:xfrm>
          <a:off x="4695266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104775</xdr:colOff>
      <xdr:row>3</xdr:row>
      <xdr:rowOff>28575</xdr:rowOff>
    </xdr:from>
    <xdr:to>
      <xdr:col>13</xdr:col>
      <xdr:colOff>0</xdr:colOff>
      <xdr:row>4</xdr:row>
      <xdr:rowOff>76201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2100-000006000000}"/>
            </a:ext>
          </a:extLst>
        </xdr:cNvPr>
        <xdr:cNvSpPr/>
      </xdr:nvSpPr>
      <xdr:spPr>
        <a:xfrm>
          <a:off x="4800040" y="600075"/>
          <a:ext cx="1620931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3.2</a:t>
          </a:r>
        </a:p>
      </xdr:txBody>
    </xdr:sp>
    <xdr:clientData/>
  </xdr:twoCellAnchor>
  <xdr:twoCellAnchor>
    <xdr:from>
      <xdr:col>11</xdr:col>
      <xdr:colOff>95251</xdr:colOff>
      <xdr:row>4</xdr:row>
      <xdr:rowOff>9524</xdr:rowOff>
    </xdr:from>
    <xdr:to>
      <xdr:col>13</xdr:col>
      <xdr:colOff>142876</xdr:colOff>
      <xdr:row>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2100-000007000000}"/>
            </a:ext>
          </a:extLst>
        </xdr:cNvPr>
        <xdr:cNvSpPr/>
      </xdr:nvSpPr>
      <xdr:spPr>
        <a:xfrm>
          <a:off x="4790516" y="771524"/>
          <a:ext cx="1773331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P</a:t>
          </a:r>
          <a:r>
            <a:rPr lang="en-US">
              <a:solidFill>
                <a:sysClr val="windowText" lastClr="000000"/>
              </a:solidFill>
            </a:rPr>
            <a:t>embinaan</a:t>
          </a:r>
          <a:r>
            <a:rPr lang="en-US" baseline="0">
              <a:solidFill>
                <a:sysClr val="windowText" lastClr="000000"/>
              </a:solidFill>
            </a:rPr>
            <a:t>  Kemasyarakat Desa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123824</xdr:colOff>
      <xdr:row>5</xdr:row>
      <xdr:rowOff>180975</xdr:rowOff>
    </xdr:from>
    <xdr:to>
      <xdr:col>13</xdr:col>
      <xdr:colOff>762000</xdr:colOff>
      <xdr:row>8</xdr:row>
      <xdr:rowOff>0</xdr:rowOff>
    </xdr:to>
    <xdr:sp macro="" textlink="RKP!D33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2100-000008000000}"/>
            </a:ext>
          </a:extLst>
        </xdr:cNvPr>
        <xdr:cNvSpPr/>
      </xdr:nvSpPr>
      <xdr:spPr>
        <a:xfrm>
          <a:off x="8360148" y="1133475"/>
          <a:ext cx="2363881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E865F90A-B96A-441C-91EB-C9695D7B3789}" type="TxLink">
            <a:rPr lang="id-ID" sz="1100" baseline="0">
              <a:solidFill>
                <a:schemeClr val="tx1"/>
              </a:solidFill>
            </a:rPr>
            <a:pPr/>
            <a:t>Kebudayaan dan Keagamaan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67236</xdr:colOff>
      <xdr:row>23</xdr:row>
      <xdr:rowOff>11206</xdr:rowOff>
    </xdr:from>
    <xdr:to>
      <xdr:col>13</xdr:col>
      <xdr:colOff>795619</xdr:colOff>
      <xdr:row>31</xdr:row>
      <xdr:rowOff>87406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2100-00000A000000}"/>
            </a:ext>
          </a:extLst>
        </xdr:cNvPr>
        <xdr:cNvSpPr txBox="1"/>
      </xdr:nvSpPr>
      <xdr:spPr>
        <a:xfrm>
          <a:off x="8303560" y="4964206"/>
          <a:ext cx="2454088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2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29</xdr:row>
      <xdr:rowOff>114300</xdr:rowOff>
    </xdr:from>
    <xdr:to>
      <xdr:col>1</xdr:col>
      <xdr:colOff>1733550</xdr:colOff>
      <xdr:row>36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200-000009000000}"/>
            </a:ext>
          </a:extLst>
        </xdr:cNvPr>
        <xdr:cNvSpPr txBox="1"/>
      </xdr:nvSpPr>
      <xdr:spPr>
        <a:xfrm>
          <a:off x="0" y="5676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11</xdr:col>
      <xdr:colOff>835377</xdr:colOff>
      <xdr:row>29</xdr:row>
      <xdr:rowOff>32448</xdr:rowOff>
    </xdr:from>
    <xdr:to>
      <xdr:col>13</xdr:col>
      <xdr:colOff>893885</xdr:colOff>
      <xdr:row>37</xdr:row>
      <xdr:rowOff>32448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2200-00000A000000}"/>
            </a:ext>
          </a:extLst>
        </xdr:cNvPr>
        <xdr:cNvSpPr txBox="1"/>
      </xdr:nvSpPr>
      <xdr:spPr>
        <a:xfrm>
          <a:off x="9144108" y="5556948"/>
          <a:ext cx="1868258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 RAHMAT</a:t>
          </a:r>
          <a:r>
            <a:rPr lang="en-US" sz="1100" u="sng" baseline="0"/>
            <a:t> HIDAYAT</a:t>
          </a:r>
          <a:endParaRPr lang="en-US" sz="1100" u="sng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35719</xdr:rowOff>
    </xdr:from>
    <xdr:to>
      <xdr:col>2</xdr:col>
      <xdr:colOff>0</xdr:colOff>
      <xdr:row>55</xdr:row>
      <xdr:rowOff>23813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 txBox="1"/>
      </xdr:nvSpPr>
      <xdr:spPr>
        <a:xfrm>
          <a:off x="0" y="7798594"/>
          <a:ext cx="2095500" cy="16740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000"/>
        </a:p>
        <a:p>
          <a:pPr algn="ctr"/>
          <a:r>
            <a:rPr lang="en-US" sz="1200" baseline="0"/>
            <a:t>MENGETAHUI,</a:t>
          </a:r>
        </a:p>
        <a:p>
          <a:pPr algn="ctr"/>
          <a:r>
            <a:rPr lang="en-US" sz="1200" baseline="0"/>
            <a:t>KEPALA DESA TANJUNG MULIA</a:t>
          </a:r>
        </a:p>
        <a:p>
          <a:pPr algn="ctr"/>
          <a:endParaRPr lang="en-US" sz="1200" baseline="0"/>
        </a:p>
        <a:p>
          <a:pPr algn="ctr"/>
          <a:endParaRPr lang="en-US" sz="1200" baseline="0"/>
        </a:p>
        <a:p>
          <a:pPr algn="ctr"/>
          <a:endParaRPr lang="en-US" sz="1200" baseline="0"/>
        </a:p>
        <a:p>
          <a:pPr algn="ctr"/>
          <a:r>
            <a:rPr lang="en-US" sz="1200" u="sng" baseline="0"/>
            <a:t>TIRTONADI</a:t>
          </a:r>
        </a:p>
      </xdr:txBody>
    </xdr:sp>
    <xdr:clientData/>
  </xdr:twoCellAnchor>
  <xdr:twoCellAnchor>
    <xdr:from>
      <xdr:col>6</xdr:col>
      <xdr:colOff>531013</xdr:colOff>
      <xdr:row>46</xdr:row>
      <xdr:rowOff>42863</xdr:rowOff>
    </xdr:from>
    <xdr:to>
      <xdr:col>8</xdr:col>
      <xdr:colOff>1009644</xdr:colOff>
      <xdr:row>55</xdr:row>
      <xdr:rowOff>33337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 txBox="1"/>
      </xdr:nvSpPr>
      <xdr:spPr>
        <a:xfrm>
          <a:off x="4722013" y="7967663"/>
          <a:ext cx="2574131" cy="15144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Tanjung Mulia,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September  2019</a:t>
          </a:r>
          <a:endParaRPr lang="en-US" sz="1200">
            <a:effectLst/>
          </a:endParaRPr>
        </a:p>
        <a:p>
          <a:pPr algn="ctr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PENYUSUN RKPDES</a:t>
          </a:r>
          <a:endParaRPr lang="en-US" sz="1200">
            <a:effectLst/>
          </a:endParaRPr>
        </a:p>
        <a:p>
          <a:pPr algn="ctr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KETUA,</a:t>
          </a:r>
        </a:p>
        <a:p>
          <a:pPr algn="ctr"/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200">
            <a:effectLst/>
          </a:endParaRPr>
        </a:p>
        <a:p>
          <a:pPr algn="ctr"/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SUPARNO</a:t>
          </a:r>
          <a:endParaRPr lang="en-US" sz="1200">
            <a:effectLst/>
          </a:endParaRPr>
        </a:p>
      </xdr:txBody>
    </xdr:sp>
    <xdr:clientData/>
  </xdr:twoCellAnchor>
  <xdr:twoCellAnchor>
    <xdr:from>
      <xdr:col>11</xdr:col>
      <xdr:colOff>531013</xdr:colOff>
      <xdr:row>46</xdr:row>
      <xdr:rowOff>42863</xdr:rowOff>
    </xdr:from>
    <xdr:to>
      <xdr:col>13</xdr:col>
      <xdr:colOff>1009644</xdr:colOff>
      <xdr:row>55</xdr:row>
      <xdr:rowOff>33337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 txBox="1"/>
      </xdr:nvSpPr>
      <xdr:spPr>
        <a:xfrm>
          <a:off x="4722013" y="7752510"/>
          <a:ext cx="2574131" cy="14696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Tanjung Mulia,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September  2019</a:t>
          </a:r>
          <a:endParaRPr lang="en-US" sz="1200">
            <a:effectLst/>
          </a:endParaRPr>
        </a:p>
        <a:p>
          <a:pPr algn="ctr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PENYUSUN RKPDES</a:t>
          </a:r>
          <a:endParaRPr lang="en-US" sz="1200">
            <a:effectLst/>
          </a:endParaRPr>
        </a:p>
        <a:p>
          <a:pPr algn="ctr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KETUA,</a:t>
          </a:r>
        </a:p>
        <a:p>
          <a:pPr algn="ctr"/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200">
            <a:effectLst/>
          </a:endParaRPr>
        </a:p>
        <a:p>
          <a:pPr algn="ctr"/>
          <a:r>
            <a:rPr lang="en-US" sz="1100" b="1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SUPARNO</a:t>
          </a:r>
          <a:endParaRPr lang="en-US" sz="1200">
            <a:effectLst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3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20</xdr:row>
      <xdr:rowOff>114300</xdr:rowOff>
    </xdr:from>
    <xdr:to>
      <xdr:col>1</xdr:col>
      <xdr:colOff>1733550</xdr:colOff>
      <xdr:row>27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300-000009000000}"/>
            </a:ext>
          </a:extLst>
        </xdr:cNvPr>
        <xdr:cNvSpPr txBox="1"/>
      </xdr:nvSpPr>
      <xdr:spPr>
        <a:xfrm>
          <a:off x="0" y="4152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9</xdr:col>
      <xdr:colOff>495300</xdr:colOff>
      <xdr:row>2</xdr:row>
      <xdr:rowOff>190499</xdr:rowOff>
    </xdr:from>
    <xdr:to>
      <xdr:col>11</xdr:col>
      <xdr:colOff>85725</xdr:colOff>
      <xdr:row>8</xdr:row>
      <xdr:rowOff>28574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xmlns="" id="{00000000-0008-0000-2300-000004000000}"/>
            </a:ext>
          </a:extLst>
        </xdr:cNvPr>
        <xdr:cNvSpPr/>
      </xdr:nvSpPr>
      <xdr:spPr>
        <a:xfrm>
          <a:off x="45720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</xdr:colOff>
      <xdr:row>3</xdr:row>
      <xdr:rowOff>9524</xdr:rowOff>
    </xdr:from>
    <xdr:to>
      <xdr:col>11</xdr:col>
      <xdr:colOff>190501</xdr:colOff>
      <xdr:row>8</xdr:row>
      <xdr:rowOff>38099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2300-000005000000}"/>
            </a:ext>
          </a:extLst>
        </xdr:cNvPr>
        <xdr:cNvSpPr/>
      </xdr:nvSpPr>
      <xdr:spPr>
        <a:xfrm>
          <a:off x="53340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104775</xdr:colOff>
      <xdr:row>2</xdr:row>
      <xdr:rowOff>171450</xdr:rowOff>
    </xdr:from>
    <xdr:to>
      <xdr:col>12</xdr:col>
      <xdr:colOff>1104900</xdr:colOff>
      <xdr:row>4</xdr:row>
      <xdr:rowOff>28576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2300-000006000000}"/>
            </a:ext>
          </a:extLst>
        </xdr:cNvPr>
        <xdr:cNvSpPr/>
      </xdr:nvSpPr>
      <xdr:spPr>
        <a:xfrm>
          <a:off x="54387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baseline="0">
              <a:solidFill>
                <a:sysClr val="windowText" lastClr="000000"/>
              </a:solidFill>
            </a:rPr>
            <a:t>3.4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95251</xdr:colOff>
      <xdr:row>4</xdr:row>
      <xdr:rowOff>9524</xdr:rowOff>
    </xdr:from>
    <xdr:to>
      <xdr:col>13</xdr:col>
      <xdr:colOff>266700</xdr:colOff>
      <xdr:row>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2300-000007000000}"/>
            </a:ext>
          </a:extLst>
        </xdr:cNvPr>
        <xdr:cNvSpPr/>
      </xdr:nvSpPr>
      <xdr:spPr>
        <a:xfrm>
          <a:off x="5429251" y="771524"/>
          <a:ext cx="2009774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Pembinaan Kemasyarakatan </a:t>
          </a:r>
        </a:p>
      </xdr:txBody>
    </xdr:sp>
    <xdr:clientData/>
  </xdr:twoCellAnchor>
  <xdr:twoCellAnchor>
    <xdr:from>
      <xdr:col>11</xdr:col>
      <xdr:colOff>123824</xdr:colOff>
      <xdr:row>5</xdr:row>
      <xdr:rowOff>180975</xdr:rowOff>
    </xdr:from>
    <xdr:to>
      <xdr:col>13</xdr:col>
      <xdr:colOff>28574</xdr:colOff>
      <xdr:row>9</xdr:row>
      <xdr:rowOff>0</xdr:rowOff>
    </xdr:to>
    <xdr:sp macro="" textlink="RKP!#REF!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2300-000008000000}"/>
            </a:ext>
          </a:extLst>
        </xdr:cNvPr>
        <xdr:cNvSpPr/>
      </xdr:nvSpPr>
      <xdr:spPr>
        <a:xfrm>
          <a:off x="5457824" y="1133475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43BEE394-E984-44F0-B9E1-98560DF971AB}" type="TxLink">
            <a:rPr lang="id-ID" sz="1100" baseline="0">
              <a:solidFill>
                <a:schemeClr val="tx1"/>
              </a:solidFill>
            </a:rPr>
            <a:pPr/>
            <a:t>Pembinaan Karang Taruna/Kepemudaan/Klub Olah Raga Tinkgat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38101</xdr:colOff>
      <xdr:row>20</xdr:row>
      <xdr:rowOff>47625</xdr:rowOff>
    </xdr:from>
    <xdr:to>
      <xdr:col>13</xdr:col>
      <xdr:colOff>762001</xdr:colOff>
      <xdr:row>28</xdr:row>
      <xdr:rowOff>66675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xmlns="" id="{00000000-0008-0000-2300-00000A000000}"/>
            </a:ext>
          </a:extLst>
        </xdr:cNvPr>
        <xdr:cNvSpPr txBox="1"/>
      </xdr:nvSpPr>
      <xdr:spPr>
        <a:xfrm>
          <a:off x="9020176" y="3857625"/>
          <a:ext cx="2562225" cy="154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2400-000002000000}"/>
            </a:ext>
          </a:extLst>
        </xdr:cNvPr>
        <xdr:cNvSpPr/>
      </xdr:nvSpPr>
      <xdr:spPr>
        <a:xfrm>
          <a:off x="710565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4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400-000004000000}"/>
            </a:ext>
          </a:extLst>
        </xdr:cNvPr>
        <xdr:cNvSpPr/>
      </xdr:nvSpPr>
      <xdr:spPr>
        <a:xfrm>
          <a:off x="4562475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400-000005000000}"/>
            </a:ext>
          </a:extLst>
        </xdr:cNvPr>
        <xdr:cNvSpPr/>
      </xdr:nvSpPr>
      <xdr:spPr>
        <a:xfrm>
          <a:off x="53721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400-000006000000}"/>
            </a:ext>
          </a:extLst>
        </xdr:cNvPr>
        <xdr:cNvSpPr/>
      </xdr:nvSpPr>
      <xdr:spPr>
        <a:xfrm>
          <a:off x="54768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3</a:t>
          </a:r>
          <a:r>
            <a:rPr lang="en-US">
              <a:solidFill>
                <a:sysClr val="windowText" lastClr="000000"/>
              </a:solidFill>
            </a:rPr>
            <a:t> . 6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209550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400-000007000000}"/>
            </a:ext>
          </a:extLst>
        </xdr:cNvPr>
        <xdr:cNvSpPr/>
      </xdr:nvSpPr>
      <xdr:spPr>
        <a:xfrm>
          <a:off x="4857751" y="771524"/>
          <a:ext cx="1847849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Pembinaan</a:t>
          </a:r>
          <a:r>
            <a:rPr lang="en-US" baseline="0">
              <a:solidFill>
                <a:sysClr val="windowText" lastClr="000000"/>
              </a:solidFill>
            </a:rPr>
            <a:t> kemasyarakatan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D35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2400-000008000000}"/>
            </a:ext>
          </a:extLst>
        </xdr:cNvPr>
        <xdr:cNvSpPr/>
      </xdr:nvSpPr>
      <xdr:spPr>
        <a:xfrm>
          <a:off x="5495924" y="1133475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EB73EC46-6BEC-4455-B9D1-703A327E6485}" type="TxLink">
            <a:rPr lang="id-ID" sz="1100" baseline="0">
              <a:solidFill>
                <a:schemeClr val="tx1"/>
              </a:solidFill>
            </a:rPr>
            <a:pPr/>
            <a:t>Penyelenggaraan lembaga Adat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21</xdr:row>
      <xdr:rowOff>114300</xdr:rowOff>
    </xdr:from>
    <xdr:to>
      <xdr:col>1</xdr:col>
      <xdr:colOff>1733550</xdr:colOff>
      <xdr:row>28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400-000009000000}"/>
            </a:ext>
          </a:extLst>
        </xdr:cNvPr>
        <xdr:cNvSpPr txBox="1"/>
      </xdr:nvSpPr>
      <xdr:spPr>
        <a:xfrm>
          <a:off x="0" y="41529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466726</xdr:colOff>
      <xdr:row>21</xdr:row>
      <xdr:rowOff>0</xdr:rowOff>
    </xdr:from>
    <xdr:to>
      <xdr:col>7</xdr:col>
      <xdr:colOff>800101</xdr:colOff>
      <xdr:row>29</xdr:row>
      <xdr:rowOff>19050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2400-00000A000000}"/>
            </a:ext>
          </a:extLst>
        </xdr:cNvPr>
        <xdr:cNvSpPr txBox="1"/>
      </xdr:nvSpPr>
      <xdr:spPr>
        <a:xfrm>
          <a:off x="3971926" y="4038600"/>
          <a:ext cx="2457450" cy="154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2500-000002000000}"/>
            </a:ext>
          </a:extLst>
        </xdr:cNvPr>
        <xdr:cNvSpPr/>
      </xdr:nvSpPr>
      <xdr:spPr>
        <a:xfrm>
          <a:off x="710565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5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500-000004000000}"/>
            </a:ext>
          </a:extLst>
        </xdr:cNvPr>
        <xdr:cNvSpPr/>
      </xdr:nvSpPr>
      <xdr:spPr>
        <a:xfrm>
          <a:off x="4562475" y="571499"/>
          <a:ext cx="89535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500-000005000000}"/>
            </a:ext>
          </a:extLst>
        </xdr:cNvPr>
        <xdr:cNvSpPr/>
      </xdr:nvSpPr>
      <xdr:spPr>
        <a:xfrm>
          <a:off x="53721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500-000006000000}"/>
            </a:ext>
          </a:extLst>
        </xdr:cNvPr>
        <xdr:cNvSpPr/>
      </xdr:nvSpPr>
      <xdr:spPr>
        <a:xfrm>
          <a:off x="54768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3.7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500-000007000000}"/>
            </a:ext>
          </a:extLst>
        </xdr:cNvPr>
        <xdr:cNvSpPr/>
      </xdr:nvSpPr>
      <xdr:spPr>
        <a:xfrm>
          <a:off x="5467351" y="771524"/>
          <a:ext cx="1885950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Pembinaan Kemasyarakatan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D36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2500-000008000000}"/>
            </a:ext>
          </a:extLst>
        </xdr:cNvPr>
        <xdr:cNvSpPr/>
      </xdr:nvSpPr>
      <xdr:spPr>
        <a:xfrm>
          <a:off x="5495924" y="1133475"/>
          <a:ext cx="174307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5285269-7348-492B-8038-27791B1D82B1}" type="TxLink">
            <a:rPr lang="id-ID" sz="1100" baseline="0">
              <a:solidFill>
                <a:schemeClr val="tx1"/>
              </a:solidFill>
            </a:rPr>
            <a:pPr/>
            <a:t>Penyelenggaraan lembaga Kemasyarakatan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22</xdr:row>
      <xdr:rowOff>114300</xdr:rowOff>
    </xdr:from>
    <xdr:to>
      <xdr:col>1</xdr:col>
      <xdr:colOff>1733550</xdr:colOff>
      <xdr:row>29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500-000009000000}"/>
            </a:ext>
          </a:extLst>
        </xdr:cNvPr>
        <xdr:cNvSpPr txBox="1"/>
      </xdr:nvSpPr>
      <xdr:spPr>
        <a:xfrm>
          <a:off x="0" y="43434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5</xdr:col>
      <xdr:colOff>28576</xdr:colOff>
      <xdr:row>22</xdr:row>
      <xdr:rowOff>0</xdr:rowOff>
    </xdr:from>
    <xdr:to>
      <xdr:col>8</xdr:col>
      <xdr:colOff>28576</xdr:colOff>
      <xdr:row>30</xdr:row>
      <xdr:rowOff>161925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2500-00000A000000}"/>
            </a:ext>
          </a:extLst>
        </xdr:cNvPr>
        <xdr:cNvSpPr txBox="1"/>
      </xdr:nvSpPr>
      <xdr:spPr>
        <a:xfrm>
          <a:off x="4067176" y="4229100"/>
          <a:ext cx="2457450" cy="1685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600-000003000000}"/>
            </a:ext>
          </a:extLst>
        </xdr:cNvPr>
        <xdr:cNvSpPr/>
      </xdr:nvSpPr>
      <xdr:spPr>
        <a:xfrm>
          <a:off x="0" y="581024"/>
          <a:ext cx="4067174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58</xdr:row>
      <xdr:rowOff>114300</xdr:rowOff>
    </xdr:from>
    <xdr:to>
      <xdr:col>1</xdr:col>
      <xdr:colOff>1733550</xdr:colOff>
      <xdr:row>65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600-000009000000}"/>
            </a:ext>
          </a:extLst>
        </xdr:cNvPr>
        <xdr:cNvSpPr txBox="1"/>
      </xdr:nvSpPr>
      <xdr:spPr>
        <a:xfrm>
          <a:off x="0" y="1027747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9</xdr:col>
      <xdr:colOff>495300</xdr:colOff>
      <xdr:row>2</xdr:row>
      <xdr:rowOff>190499</xdr:rowOff>
    </xdr:from>
    <xdr:to>
      <xdr:col>11</xdr:col>
      <xdr:colOff>85725</xdr:colOff>
      <xdr:row>8</xdr:row>
      <xdr:rowOff>28574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0000000-0008-0000-2600-000004000000}"/>
            </a:ext>
          </a:extLst>
        </xdr:cNvPr>
        <xdr:cNvSpPr/>
      </xdr:nvSpPr>
      <xdr:spPr>
        <a:xfrm>
          <a:off x="3924300" y="571499"/>
          <a:ext cx="8410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</xdr:colOff>
      <xdr:row>3</xdr:row>
      <xdr:rowOff>9524</xdr:rowOff>
    </xdr:from>
    <xdr:to>
      <xdr:col>11</xdr:col>
      <xdr:colOff>190501</xdr:colOff>
      <xdr:row>8</xdr:row>
      <xdr:rowOff>38099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xmlns="" id="{00000000-0008-0000-2600-000005000000}"/>
            </a:ext>
          </a:extLst>
        </xdr:cNvPr>
        <xdr:cNvSpPr/>
      </xdr:nvSpPr>
      <xdr:spPr>
        <a:xfrm>
          <a:off x="4679675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104775</xdr:colOff>
      <xdr:row>2</xdr:row>
      <xdr:rowOff>171450</xdr:rowOff>
    </xdr:from>
    <xdr:to>
      <xdr:col>12</xdr:col>
      <xdr:colOff>1104900</xdr:colOff>
      <xdr:row>4</xdr:row>
      <xdr:rowOff>28576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xmlns="" id="{00000000-0008-0000-2600-000006000000}"/>
            </a:ext>
          </a:extLst>
        </xdr:cNvPr>
        <xdr:cNvSpPr/>
      </xdr:nvSpPr>
      <xdr:spPr>
        <a:xfrm>
          <a:off x="4784449" y="552450"/>
          <a:ext cx="1736449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3</a:t>
          </a:r>
          <a:r>
            <a:rPr lang="en-US">
              <a:solidFill>
                <a:sysClr val="windowText" lastClr="000000"/>
              </a:solidFill>
            </a:rPr>
            <a:t>. 8</a:t>
          </a:r>
        </a:p>
      </xdr:txBody>
    </xdr:sp>
    <xdr:clientData/>
  </xdr:twoCellAnchor>
  <xdr:twoCellAnchor>
    <xdr:from>
      <xdr:col>11</xdr:col>
      <xdr:colOff>95251</xdr:colOff>
      <xdr:row>4</xdr:row>
      <xdr:rowOff>9524</xdr:rowOff>
    </xdr:from>
    <xdr:to>
      <xdr:col>13</xdr:col>
      <xdr:colOff>142876</xdr:colOff>
      <xdr:row>6</xdr:row>
      <xdr:rowOff>95249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00000000-0008-0000-2600-000007000000}"/>
            </a:ext>
          </a:extLst>
        </xdr:cNvPr>
        <xdr:cNvSpPr/>
      </xdr:nvSpPr>
      <xdr:spPr>
        <a:xfrm>
          <a:off x="4774925" y="771524"/>
          <a:ext cx="1886364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Pembinaan Kemasyarakatan</a:t>
          </a:r>
        </a:p>
      </xdr:txBody>
    </xdr:sp>
    <xdr:clientData/>
  </xdr:twoCellAnchor>
  <xdr:twoCellAnchor>
    <xdr:from>
      <xdr:col>11</xdr:col>
      <xdr:colOff>123824</xdr:colOff>
      <xdr:row>5</xdr:row>
      <xdr:rowOff>180975</xdr:rowOff>
    </xdr:from>
    <xdr:to>
      <xdr:col>13</xdr:col>
      <xdr:colOff>114300</xdr:colOff>
      <xdr:row>9</xdr:row>
      <xdr:rowOff>180975</xdr:rowOff>
    </xdr:to>
    <xdr:sp macro="" textlink="RKP!D37">
      <xdr:nvSpPr>
        <xdr:cNvPr id="16" name="Rectangle 15">
          <a:extLst>
            <a:ext uri="{FF2B5EF4-FFF2-40B4-BE49-F238E27FC236}">
              <a16:creationId xmlns:a16="http://schemas.microsoft.com/office/drawing/2014/main" xmlns="" id="{00000000-0008-0000-2600-000008000000}"/>
            </a:ext>
          </a:extLst>
        </xdr:cNvPr>
        <xdr:cNvSpPr/>
      </xdr:nvSpPr>
      <xdr:spPr>
        <a:xfrm>
          <a:off x="4803498" y="1133475"/>
          <a:ext cx="1829215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CF6B026B-DB1E-4708-B31F-ED326F5B45E1}" type="TxLink">
            <a:rPr lang="id-ID" sz="1100" baseline="0">
              <a:solidFill>
                <a:schemeClr val="tx1"/>
              </a:solidFill>
            </a:rPr>
            <a:pPr/>
            <a:t>Pembinaan PKK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238126</xdr:colOff>
      <xdr:row>57</xdr:row>
      <xdr:rowOff>57150</xdr:rowOff>
    </xdr:from>
    <xdr:to>
      <xdr:col>13</xdr:col>
      <xdr:colOff>857251</xdr:colOff>
      <xdr:row>66</xdr:row>
      <xdr:rowOff>47625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00000000-0008-0000-2600-00000A000000}"/>
            </a:ext>
          </a:extLst>
        </xdr:cNvPr>
        <xdr:cNvSpPr txBox="1"/>
      </xdr:nvSpPr>
      <xdr:spPr>
        <a:xfrm>
          <a:off x="8572501" y="10944225"/>
          <a:ext cx="2457450" cy="1704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April 2020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UJANG</a:t>
          </a:r>
          <a:r>
            <a:rPr lang="en-US" sz="1100" u="sng" baseline="0"/>
            <a:t> RAHMAT HIDAYAT</a:t>
          </a:r>
          <a:endParaRPr lang="en-US" sz="1100" u="sng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11</xdr:col>
      <xdr:colOff>114300</xdr:colOff>
      <xdr:row>4</xdr:row>
      <xdr:rowOff>86591</xdr:rowOff>
    </xdr:to>
    <xdr:sp macro="" textlink="">
      <xdr:nvSpPr>
        <xdr:cNvPr id="2" name="Left Arrow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0000000-0008-0000-2700-000002000000}"/>
            </a:ext>
          </a:extLst>
        </xdr:cNvPr>
        <xdr:cNvSpPr/>
      </xdr:nvSpPr>
      <xdr:spPr>
        <a:xfrm>
          <a:off x="7029450" y="190500"/>
          <a:ext cx="1333500" cy="658091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700-000003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700-000004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700-000005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700-000006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</a:rPr>
            <a:t>3</a:t>
          </a:r>
          <a:r>
            <a:rPr lang="id-ID" baseline="0">
              <a:solidFill>
                <a:sysClr val="windowText" lastClr="000000"/>
              </a:solidFill>
            </a:rPr>
            <a:t> </a:t>
          </a:r>
          <a:r>
            <a:rPr lang="en-US" baseline="0">
              <a:solidFill>
                <a:sysClr val="windowText" lastClr="000000"/>
              </a:solidFill>
            </a:rPr>
            <a:t>.8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200025</xdr:colOff>
      <xdr:row>6</xdr:row>
      <xdr:rowOff>95249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700-000007000000}"/>
            </a:ext>
          </a:extLst>
        </xdr:cNvPr>
        <xdr:cNvSpPr/>
      </xdr:nvSpPr>
      <xdr:spPr>
        <a:xfrm>
          <a:off x="4781551" y="771524"/>
          <a:ext cx="1838324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Pembinaan kemasyarakatan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#REF!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2700-000008000000}"/>
            </a:ext>
          </a:extLst>
        </xdr:cNvPr>
        <xdr:cNvSpPr/>
      </xdr:nvSpPr>
      <xdr:spPr>
        <a:xfrm>
          <a:off x="4810124" y="1133475"/>
          <a:ext cx="16383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CB4F64D4-EC21-4DBD-B48D-2089550EC8FD}" type="TxLink">
            <a:rPr lang="id-ID" sz="1100" baseline="0">
              <a:solidFill>
                <a:schemeClr val="tx1"/>
              </a:solidFill>
            </a:rPr>
            <a:pPr/>
            <a:t>Penyelenggaraan lembaga Rukun Tetangga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22</xdr:row>
      <xdr:rowOff>114300</xdr:rowOff>
    </xdr:from>
    <xdr:to>
      <xdr:col>1</xdr:col>
      <xdr:colOff>1733550</xdr:colOff>
      <xdr:row>29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700-000009000000}"/>
            </a:ext>
          </a:extLst>
        </xdr:cNvPr>
        <xdr:cNvSpPr txBox="1"/>
      </xdr:nvSpPr>
      <xdr:spPr>
        <a:xfrm>
          <a:off x="0" y="435292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381001</xdr:colOff>
      <xdr:row>22</xdr:row>
      <xdr:rowOff>28575</xdr:rowOff>
    </xdr:from>
    <xdr:to>
      <xdr:col>7</xdr:col>
      <xdr:colOff>714376</xdr:colOff>
      <xdr:row>30</xdr:row>
      <xdr:rowOff>28575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xmlns="" id="{00000000-0008-0000-2700-00000A000000}"/>
            </a:ext>
          </a:extLst>
        </xdr:cNvPr>
        <xdr:cNvSpPr txBox="1"/>
      </xdr:nvSpPr>
      <xdr:spPr>
        <a:xfrm>
          <a:off x="3810001" y="4267200"/>
          <a:ext cx="2457450" cy="152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800-000002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800-000003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800-000004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800-000005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4.1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800-000006000000}"/>
            </a:ext>
          </a:extLst>
        </xdr:cNvPr>
        <xdr:cNvSpPr/>
      </xdr:nvSpPr>
      <xdr:spPr>
        <a:xfrm>
          <a:off x="4781551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Pemberdayaan</a:t>
          </a:r>
          <a:r>
            <a:rPr lang="en-US" baseline="0">
              <a:solidFill>
                <a:sysClr val="windowText" lastClr="000000"/>
              </a:solidFill>
            </a:rPr>
            <a:t> Masyarakat </a:t>
          </a:r>
          <a:endParaRPr 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#REF!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800-000007000000}"/>
            </a:ext>
          </a:extLst>
        </xdr:cNvPr>
        <xdr:cNvSpPr/>
      </xdr:nvSpPr>
      <xdr:spPr>
        <a:xfrm>
          <a:off x="4810124" y="1133475"/>
          <a:ext cx="16383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0969CACB-6C8E-4972-A9DB-35C50D3111AA}" type="TxLink">
            <a:rPr lang="id-ID" sz="1100" baseline="0">
              <a:solidFill>
                <a:schemeClr val="tx1"/>
              </a:solidFill>
            </a:rPr>
            <a:pPr/>
            <a:t>Peningkatan SDM Kepala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50</xdr:row>
      <xdr:rowOff>114300</xdr:rowOff>
    </xdr:from>
    <xdr:to>
      <xdr:col>1</xdr:col>
      <xdr:colOff>1733550</xdr:colOff>
      <xdr:row>58</xdr:row>
      <xdr:rowOff>142875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2800-000008000000}"/>
            </a:ext>
          </a:extLst>
        </xdr:cNvPr>
        <xdr:cNvSpPr txBox="1"/>
      </xdr:nvSpPr>
      <xdr:spPr>
        <a:xfrm>
          <a:off x="0" y="9867900"/>
          <a:ext cx="2047875" cy="155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581026</xdr:colOff>
      <xdr:row>50</xdr:row>
      <xdr:rowOff>0</xdr:rowOff>
    </xdr:from>
    <xdr:to>
      <xdr:col>8</xdr:col>
      <xdr:colOff>1</xdr:colOff>
      <xdr:row>58</xdr:row>
      <xdr:rowOff>28575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800-000009000000}"/>
            </a:ext>
          </a:extLst>
        </xdr:cNvPr>
        <xdr:cNvSpPr txBox="1"/>
      </xdr:nvSpPr>
      <xdr:spPr>
        <a:xfrm>
          <a:off x="4648201" y="9753600"/>
          <a:ext cx="2457450" cy="155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38099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900-000002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DESA	: Tanjung</a:t>
          </a:r>
          <a:r>
            <a:rPr lang="en-US" sz="1100" baseline="0">
              <a:solidFill>
                <a:schemeClr val="tx1"/>
              </a:solidFill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PROPINSI	: Jambi</a:t>
          </a:r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495300</xdr:colOff>
      <xdr:row>2</xdr:row>
      <xdr:rowOff>190499</xdr:rowOff>
    </xdr:from>
    <xdr:to>
      <xdr:col>6</xdr:col>
      <xdr:colOff>85725</xdr:colOff>
      <xdr:row>8</xdr:row>
      <xdr:rowOff>28574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900-000003000000}"/>
            </a:ext>
          </a:extLst>
        </xdr:cNvPr>
        <xdr:cNvSpPr/>
      </xdr:nvSpPr>
      <xdr:spPr>
        <a:xfrm>
          <a:off x="3924300" y="571499"/>
          <a:ext cx="847725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r>
            <a:rPr lang="id-ID" sz="1100" baseline="0">
              <a:solidFill>
                <a:schemeClr val="tx1"/>
              </a:solidFill>
            </a:rPr>
            <a:t>Kegiatan</a:t>
          </a:r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38099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900-000004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900-000005000000}"/>
            </a:ext>
          </a:extLst>
        </xdr:cNvPr>
        <xdr:cNvSpPr/>
      </xdr:nvSpPr>
      <xdr:spPr>
        <a:xfrm>
          <a:off x="4791075" y="552450"/>
          <a:ext cx="1628775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4.2</a:t>
          </a:r>
        </a:p>
      </xdr:txBody>
    </xdr:sp>
    <xdr:clientData/>
  </xdr:twoCellAnchor>
  <xdr:twoCellAnchor>
    <xdr:from>
      <xdr:col>6</xdr:col>
      <xdr:colOff>95251</xdr:colOff>
      <xdr:row>4</xdr:row>
      <xdr:rowOff>9524</xdr:rowOff>
    </xdr:from>
    <xdr:to>
      <xdr:col>8</xdr:col>
      <xdr:colOff>142876</xdr:colOff>
      <xdr:row>6</xdr:row>
      <xdr:rowOff>95249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900-000006000000}"/>
            </a:ext>
          </a:extLst>
        </xdr:cNvPr>
        <xdr:cNvSpPr/>
      </xdr:nvSpPr>
      <xdr:spPr>
        <a:xfrm>
          <a:off x="4781551" y="771524"/>
          <a:ext cx="1781175" cy="4667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</a:rPr>
            <a:t>Pemberdayaa Masyarakat</a:t>
          </a:r>
        </a:p>
      </xdr:txBody>
    </xdr:sp>
    <xdr:clientData/>
  </xdr:twoCellAnchor>
  <xdr:twoCellAnchor>
    <xdr:from>
      <xdr:col>6</xdr:col>
      <xdr:colOff>123824</xdr:colOff>
      <xdr:row>5</xdr:row>
      <xdr:rowOff>180975</xdr:rowOff>
    </xdr:from>
    <xdr:to>
      <xdr:col>8</xdr:col>
      <xdr:colOff>28574</xdr:colOff>
      <xdr:row>9</xdr:row>
      <xdr:rowOff>180975</xdr:rowOff>
    </xdr:to>
    <xdr:sp macro="" textlink="RKP!#REF!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900-000007000000}"/>
            </a:ext>
          </a:extLst>
        </xdr:cNvPr>
        <xdr:cNvSpPr/>
      </xdr:nvSpPr>
      <xdr:spPr>
        <a:xfrm>
          <a:off x="4810124" y="1133475"/>
          <a:ext cx="1638300" cy="762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7CD61BF6-561E-4DA4-9351-3B77CC74AE1F}" type="TxLink">
            <a:rPr lang="id-ID" sz="1100" baseline="0">
              <a:solidFill>
                <a:schemeClr val="tx1"/>
              </a:solidFill>
            </a:rPr>
            <a:pPr/>
            <a:t>Peningkatan SDM Perangkat Desa</a:t>
          </a:fld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53</xdr:row>
      <xdr:rowOff>114300</xdr:rowOff>
    </xdr:from>
    <xdr:to>
      <xdr:col>1</xdr:col>
      <xdr:colOff>1733550</xdr:colOff>
      <xdr:row>60</xdr:row>
      <xdr:rowOff>104775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00000000-0008-0000-2900-000008000000}"/>
            </a:ext>
          </a:extLst>
        </xdr:cNvPr>
        <xdr:cNvSpPr txBox="1"/>
      </xdr:nvSpPr>
      <xdr:spPr>
        <a:xfrm>
          <a:off x="0" y="10658475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Mulia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561976</xdr:colOff>
      <xdr:row>53</xdr:row>
      <xdr:rowOff>0</xdr:rowOff>
    </xdr:from>
    <xdr:to>
      <xdr:col>7</xdr:col>
      <xdr:colOff>847726</xdr:colOff>
      <xdr:row>61</xdr:row>
      <xdr:rowOff>133350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xmlns="" id="{00000000-0008-0000-2900-000009000000}"/>
            </a:ext>
          </a:extLst>
        </xdr:cNvPr>
        <xdr:cNvSpPr txBox="1"/>
      </xdr:nvSpPr>
      <xdr:spPr>
        <a:xfrm>
          <a:off x="4629151" y="10544175"/>
          <a:ext cx="2457450" cy="1657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Mulia,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2</xdr:row>
      <xdr:rowOff>133350</xdr:rowOff>
    </xdr:from>
    <xdr:to>
      <xdr:col>1</xdr:col>
      <xdr:colOff>885825</xdr:colOff>
      <xdr:row>7</xdr:row>
      <xdr:rowOff>47625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C00-000002000000}"/>
            </a:ext>
          </a:extLst>
        </xdr:cNvPr>
        <xdr:cNvSpPr/>
      </xdr:nvSpPr>
      <xdr:spPr>
        <a:xfrm>
          <a:off x="1019175" y="514350"/>
          <a:ext cx="180975" cy="8667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200"/>
            <a:t>:</a:t>
          </a:r>
        </a:p>
        <a:p>
          <a:pPr algn="ctr"/>
          <a:r>
            <a:rPr lang="id-ID" sz="1200"/>
            <a:t>:</a:t>
          </a:r>
        </a:p>
        <a:p>
          <a:pPr algn="ctr"/>
          <a:r>
            <a:rPr lang="id-ID" sz="1200"/>
            <a:t>:</a:t>
          </a:r>
        </a:p>
        <a:p>
          <a:pPr algn="ctr"/>
          <a:r>
            <a:rPr lang="id-ID" sz="1200"/>
            <a:t>:</a:t>
          </a:r>
        </a:p>
      </xdr:txBody>
    </xdr:sp>
    <xdr:clientData/>
  </xdr:twoCellAnchor>
  <xdr:twoCellAnchor>
    <xdr:from>
      <xdr:col>1</xdr:col>
      <xdr:colOff>971550</xdr:colOff>
      <xdr:row>3</xdr:row>
      <xdr:rowOff>19050</xdr:rowOff>
    </xdr:from>
    <xdr:to>
      <xdr:col>1</xdr:col>
      <xdr:colOff>2247900</xdr:colOff>
      <xdr:row>7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C00-000003000000}"/>
            </a:ext>
          </a:extLst>
        </xdr:cNvPr>
        <xdr:cNvSpPr/>
      </xdr:nvSpPr>
      <xdr:spPr>
        <a:xfrm>
          <a:off x="1285875" y="590550"/>
          <a:ext cx="1276350" cy="81915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100">
              <a:latin typeface="Bookman Old Style" pitchFamily="18" charset="0"/>
            </a:rPr>
            <a:t>Jambi</a:t>
          </a:r>
        </a:p>
        <a:p>
          <a:pPr algn="l"/>
          <a:r>
            <a:rPr lang="id-ID" sz="1100">
              <a:latin typeface="Bookman Old Style" pitchFamily="18" charset="0"/>
            </a:rPr>
            <a:t>Muaro</a:t>
          </a:r>
          <a:r>
            <a:rPr lang="id-ID" sz="1100" baseline="0">
              <a:latin typeface="Bookman Old Style" pitchFamily="18" charset="0"/>
            </a:rPr>
            <a:t> Jambi</a:t>
          </a:r>
        </a:p>
        <a:p>
          <a:pPr algn="l"/>
          <a:r>
            <a:rPr lang="id-ID" sz="1100" baseline="0">
              <a:latin typeface="Bookman Old Style" pitchFamily="18" charset="0"/>
            </a:rPr>
            <a:t>Bahar Selatan</a:t>
          </a:r>
        </a:p>
        <a:p>
          <a:pPr algn="l"/>
          <a:r>
            <a:rPr lang="id-ID" sz="1100" baseline="0">
              <a:latin typeface="Bookman Old Style" pitchFamily="18" charset="0"/>
            </a:rPr>
            <a:t>Tanjung Baru</a:t>
          </a:r>
          <a:endParaRPr lang="id-ID" sz="1100">
            <a:latin typeface="Bookman Old Style" pitchFamily="18" charset="0"/>
          </a:endParaRPr>
        </a:p>
      </xdr:txBody>
    </xdr:sp>
    <xdr:clientData/>
  </xdr:twoCellAnchor>
  <xdr:twoCellAnchor>
    <xdr:from>
      <xdr:col>1</xdr:col>
      <xdr:colOff>704850</xdr:colOff>
      <xdr:row>2</xdr:row>
      <xdr:rowOff>133350</xdr:rowOff>
    </xdr:from>
    <xdr:to>
      <xdr:col>1</xdr:col>
      <xdr:colOff>885825</xdr:colOff>
      <xdr:row>7</xdr:row>
      <xdr:rowOff>47625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C00-000004000000}"/>
            </a:ext>
          </a:extLst>
        </xdr:cNvPr>
        <xdr:cNvSpPr/>
      </xdr:nvSpPr>
      <xdr:spPr>
        <a:xfrm>
          <a:off x="1019175" y="514350"/>
          <a:ext cx="180975" cy="8667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200"/>
            <a:t>:</a:t>
          </a:r>
        </a:p>
        <a:p>
          <a:pPr algn="ctr"/>
          <a:r>
            <a:rPr lang="id-ID" sz="1200"/>
            <a:t>:</a:t>
          </a:r>
        </a:p>
        <a:p>
          <a:pPr algn="ctr"/>
          <a:r>
            <a:rPr lang="id-ID" sz="1200"/>
            <a:t>:</a:t>
          </a:r>
        </a:p>
        <a:p>
          <a:pPr algn="ctr"/>
          <a:r>
            <a:rPr lang="id-ID" sz="1200"/>
            <a:t>:</a:t>
          </a:r>
        </a:p>
      </xdr:txBody>
    </xdr:sp>
    <xdr:clientData/>
  </xdr:twoCellAnchor>
  <xdr:twoCellAnchor>
    <xdr:from>
      <xdr:col>1</xdr:col>
      <xdr:colOff>971550</xdr:colOff>
      <xdr:row>3</xdr:row>
      <xdr:rowOff>19050</xdr:rowOff>
    </xdr:from>
    <xdr:to>
      <xdr:col>1</xdr:col>
      <xdr:colOff>2247900</xdr:colOff>
      <xdr:row>7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C00-000005000000}"/>
            </a:ext>
          </a:extLst>
        </xdr:cNvPr>
        <xdr:cNvSpPr/>
      </xdr:nvSpPr>
      <xdr:spPr>
        <a:xfrm>
          <a:off x="1285875" y="590550"/>
          <a:ext cx="1276350" cy="81915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100">
              <a:latin typeface="Bookman Old Style" pitchFamily="18" charset="0"/>
            </a:rPr>
            <a:t>Jambi</a:t>
          </a:r>
        </a:p>
        <a:p>
          <a:pPr algn="l"/>
          <a:r>
            <a:rPr lang="id-ID" sz="1100">
              <a:latin typeface="Bookman Old Style" pitchFamily="18" charset="0"/>
            </a:rPr>
            <a:t>Muaro</a:t>
          </a:r>
          <a:r>
            <a:rPr lang="id-ID" sz="1100" baseline="0">
              <a:latin typeface="Bookman Old Style" pitchFamily="18" charset="0"/>
            </a:rPr>
            <a:t> Jambi</a:t>
          </a:r>
        </a:p>
        <a:p>
          <a:pPr algn="l"/>
          <a:r>
            <a:rPr lang="id-ID" sz="1100" baseline="0">
              <a:latin typeface="Bookman Old Style" pitchFamily="18" charset="0"/>
            </a:rPr>
            <a:t>Bahar Selatan</a:t>
          </a:r>
        </a:p>
        <a:p>
          <a:pPr algn="l"/>
          <a:r>
            <a:rPr lang="id-ID" sz="1100" baseline="0">
              <a:latin typeface="Bookman Old Style" pitchFamily="18" charset="0"/>
            </a:rPr>
            <a:t>Tanjung Baru</a:t>
          </a:r>
          <a:endParaRPr lang="id-ID" sz="1100">
            <a:latin typeface="Bookman Old Style" pitchFamily="18" charset="0"/>
          </a:endParaRPr>
        </a:p>
      </xdr:txBody>
    </xdr:sp>
    <xdr:clientData/>
  </xdr:twoCellAnchor>
  <xdr:twoCellAnchor>
    <xdr:from>
      <xdr:col>0</xdr:col>
      <xdr:colOff>0</xdr:colOff>
      <xdr:row>23</xdr:row>
      <xdr:rowOff>114300</xdr:rowOff>
    </xdr:from>
    <xdr:to>
      <xdr:col>1</xdr:col>
      <xdr:colOff>1733550</xdr:colOff>
      <xdr:row>30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xmlns="" id="{00000000-0008-0000-2C00-000006000000}"/>
            </a:ext>
          </a:extLst>
        </xdr:cNvPr>
        <xdr:cNvSpPr txBox="1"/>
      </xdr:nvSpPr>
      <xdr:spPr>
        <a:xfrm>
          <a:off x="0" y="9677400"/>
          <a:ext cx="2047875" cy="1323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Mengetahui,</a:t>
          </a:r>
        </a:p>
        <a:p>
          <a:r>
            <a:rPr lang="en-US" sz="1100"/>
            <a:t>Kepala Desa Tanjung Mulya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TIRTONADI</a:t>
          </a:r>
        </a:p>
      </xdr:txBody>
    </xdr:sp>
    <xdr:clientData/>
  </xdr:twoCellAnchor>
  <xdr:twoCellAnchor>
    <xdr:from>
      <xdr:col>4</xdr:col>
      <xdr:colOff>552451</xdr:colOff>
      <xdr:row>23</xdr:row>
      <xdr:rowOff>0</xdr:rowOff>
    </xdr:from>
    <xdr:to>
      <xdr:col>8</xdr:col>
      <xdr:colOff>838201</xdr:colOff>
      <xdr:row>31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00000000-0008-0000-2C00-000007000000}"/>
            </a:ext>
          </a:extLst>
        </xdr:cNvPr>
        <xdr:cNvSpPr txBox="1"/>
      </xdr:nvSpPr>
      <xdr:spPr>
        <a:xfrm>
          <a:off x="4619626" y="4229100"/>
          <a:ext cx="2457450" cy="1619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Tanjung Mulya,</a:t>
          </a:r>
          <a:r>
            <a:rPr lang="en-US" sz="1100" baseline="0"/>
            <a:t>       September 2019</a:t>
          </a:r>
          <a:endParaRPr lang="en-US" sz="1100"/>
        </a:p>
        <a:p>
          <a:r>
            <a:rPr lang="en-US" sz="1100"/>
            <a:t>Tim Penyusun RKPDes</a:t>
          </a:r>
        </a:p>
        <a:p>
          <a:r>
            <a:rPr lang="en-US" sz="1100"/>
            <a:t>Ketua,</a:t>
          </a:r>
        </a:p>
        <a:p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SUPARNO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600-000003000000}"/>
            </a:ext>
          </a:extLst>
        </xdr:cNvPr>
        <xdr:cNvSpPr/>
      </xdr:nvSpPr>
      <xdr:spPr>
        <a:xfrm>
          <a:off x="0" y="581024"/>
          <a:ext cx="3428999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DESA	: Tanjung</a:t>
          </a:r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PROPINSI	: Jambi</a:t>
          </a:r>
          <a:endParaRPr lang="en-US" sz="110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4</xdr:col>
      <xdr:colOff>495300</xdr:colOff>
      <xdr:row>2</xdr:row>
      <xdr:rowOff>114299</xdr:rowOff>
    </xdr:from>
    <xdr:to>
      <xdr:col>6</xdr:col>
      <xdr:colOff>85725</xdr:colOff>
      <xdr:row>9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600-000004000000}"/>
            </a:ext>
          </a:extLst>
        </xdr:cNvPr>
        <xdr:cNvSpPr/>
      </xdr:nvSpPr>
      <xdr:spPr>
        <a:xfrm>
          <a:off x="3924300" y="495299"/>
          <a:ext cx="847725" cy="1066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endParaRPr lang="id-ID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endParaRPr lang="id-ID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Kegiatan</a:t>
          </a:r>
          <a:endParaRPr lang="en-US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600-000005000000}"/>
            </a:ext>
          </a:extLst>
        </xdr:cNvPr>
        <xdr:cNvSpPr/>
      </xdr:nvSpPr>
      <xdr:spPr>
        <a:xfrm>
          <a:off x="4686301" y="581024"/>
          <a:ext cx="190500" cy="981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1100" baseline="0">
            <a:solidFill>
              <a:schemeClr val="tx1"/>
            </a:solidFill>
          </a:endParaRP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600-000006000000}"/>
            </a:ext>
          </a:extLst>
        </xdr:cNvPr>
        <xdr:cNvSpPr/>
      </xdr:nvSpPr>
      <xdr:spPr>
        <a:xfrm>
          <a:off x="4791075" y="552450"/>
          <a:ext cx="1733550" cy="2381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3</a:t>
          </a:r>
          <a:r>
            <a:rPr lang="en-US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. 8</a:t>
          </a:r>
        </a:p>
      </xdr:txBody>
    </xdr:sp>
    <xdr:clientData/>
  </xdr:twoCellAnchor>
  <xdr:twoCellAnchor>
    <xdr:from>
      <xdr:col>6</xdr:col>
      <xdr:colOff>76200</xdr:colOff>
      <xdr:row>3</xdr:row>
      <xdr:rowOff>171449</xdr:rowOff>
    </xdr:from>
    <xdr:to>
      <xdr:col>8</xdr:col>
      <xdr:colOff>38100</xdr:colOff>
      <xdr:row>7</xdr:row>
      <xdr:rowOff>19050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600-000007000000}"/>
            </a:ext>
          </a:extLst>
        </xdr:cNvPr>
        <xdr:cNvSpPr/>
      </xdr:nvSpPr>
      <xdr:spPr>
        <a:xfrm>
          <a:off x="4762500" y="666749"/>
          <a:ext cx="1800225" cy="6096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="0" i="0" u="none" strike="noStrike" baseline="0" smtClean="0">
              <a:solidFill>
                <a:sysClr val="windowText" lastClr="000000"/>
              </a:solidFill>
              <a:latin typeface="Times New Roman" pitchFamily="18" charset="0"/>
              <a:ea typeface="+mn-ea"/>
              <a:cs typeface="Times New Roman" pitchFamily="18" charset="0"/>
            </a:rPr>
            <a:t>Penanggulangan Bencana, Keadaan Darurat, dan Mendesak Desa</a:t>
          </a:r>
          <a:endParaRPr lang="en-US">
            <a:solidFill>
              <a:sysClr val="windowText" lastClr="00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</xdr:col>
      <xdr:colOff>85724</xdr:colOff>
      <xdr:row>6</xdr:row>
      <xdr:rowOff>133350</xdr:rowOff>
    </xdr:from>
    <xdr:to>
      <xdr:col>8</xdr:col>
      <xdr:colOff>76200</xdr:colOff>
      <xdr:row>9</xdr:row>
      <xdr:rowOff>133350</xdr:rowOff>
    </xdr:to>
    <xdr:sp macro="" textlink="RKP!D41">
      <xdr:nvSpPr>
        <xdr:cNvPr id="8" name="Rectangle 7">
          <a:extLst>
            <a:ext uri="{FF2B5EF4-FFF2-40B4-BE49-F238E27FC236}">
              <a16:creationId xmlns:a16="http://schemas.microsoft.com/office/drawing/2014/main" xmlns="" id="{00000000-0008-0000-2600-000008000000}"/>
            </a:ext>
          </a:extLst>
        </xdr:cNvPr>
        <xdr:cNvSpPr/>
      </xdr:nvSpPr>
      <xdr:spPr>
        <a:xfrm>
          <a:off x="4772024" y="1200150"/>
          <a:ext cx="1828801" cy="495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849BE6EE-2226-4A48-BF92-AA49A39C8646}" type="TxLink"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pPr/>
            <a:t>Penanggulangan Bencana</a:t>
          </a:fld>
          <a:endParaRPr lang="en-US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600-000003000000}"/>
            </a:ext>
          </a:extLst>
        </xdr:cNvPr>
        <xdr:cNvSpPr/>
      </xdr:nvSpPr>
      <xdr:spPr>
        <a:xfrm>
          <a:off x="0" y="504824"/>
          <a:ext cx="3428999" cy="942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DESA	: Tanjung</a:t>
          </a:r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PROPINSI	: Jambi</a:t>
          </a:r>
          <a:endParaRPr lang="en-US" sz="110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4</xdr:col>
      <xdr:colOff>495300</xdr:colOff>
      <xdr:row>2</xdr:row>
      <xdr:rowOff>114299</xdr:rowOff>
    </xdr:from>
    <xdr:to>
      <xdr:col>6</xdr:col>
      <xdr:colOff>85725</xdr:colOff>
      <xdr:row>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600-000004000000}"/>
            </a:ext>
          </a:extLst>
        </xdr:cNvPr>
        <xdr:cNvSpPr/>
      </xdr:nvSpPr>
      <xdr:spPr>
        <a:xfrm>
          <a:off x="3924300" y="495299"/>
          <a:ext cx="847725" cy="1066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endParaRPr lang="id-ID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endParaRPr lang="id-ID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Kegiatan</a:t>
          </a:r>
          <a:endParaRPr lang="en-US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600-000005000000}"/>
            </a:ext>
          </a:extLst>
        </xdr:cNvPr>
        <xdr:cNvSpPr/>
      </xdr:nvSpPr>
      <xdr:spPr>
        <a:xfrm>
          <a:off x="4686301" y="504824"/>
          <a:ext cx="190500" cy="942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1100" baseline="0">
            <a:solidFill>
              <a:schemeClr val="tx1"/>
            </a:solidFill>
          </a:endParaRP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600-000006000000}"/>
            </a:ext>
          </a:extLst>
        </xdr:cNvPr>
        <xdr:cNvSpPr/>
      </xdr:nvSpPr>
      <xdr:spPr>
        <a:xfrm>
          <a:off x="4791075" y="495300"/>
          <a:ext cx="1733550" cy="2190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3</a:t>
          </a:r>
          <a:r>
            <a:rPr lang="en-US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. 8</a:t>
          </a:r>
        </a:p>
      </xdr:txBody>
    </xdr:sp>
    <xdr:clientData/>
  </xdr:twoCellAnchor>
  <xdr:twoCellAnchor>
    <xdr:from>
      <xdr:col>6</xdr:col>
      <xdr:colOff>76200</xdr:colOff>
      <xdr:row>3</xdr:row>
      <xdr:rowOff>171449</xdr:rowOff>
    </xdr:from>
    <xdr:to>
      <xdr:col>8</xdr:col>
      <xdr:colOff>38100</xdr:colOff>
      <xdr:row>7</xdr:row>
      <xdr:rowOff>19050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600-000007000000}"/>
            </a:ext>
          </a:extLst>
        </xdr:cNvPr>
        <xdr:cNvSpPr/>
      </xdr:nvSpPr>
      <xdr:spPr>
        <a:xfrm>
          <a:off x="4762500" y="666749"/>
          <a:ext cx="1800225" cy="6096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="0" i="0" u="none" strike="noStrike" baseline="0" smtClean="0">
              <a:solidFill>
                <a:sysClr val="windowText" lastClr="000000"/>
              </a:solidFill>
              <a:latin typeface="Times New Roman" pitchFamily="18" charset="0"/>
              <a:ea typeface="+mn-ea"/>
              <a:cs typeface="Times New Roman" pitchFamily="18" charset="0"/>
            </a:rPr>
            <a:t>Penanggulangan Bencana, Keadaan Darurat, dan Mendesak Desa</a:t>
          </a:r>
          <a:endParaRPr lang="en-US">
            <a:solidFill>
              <a:sysClr val="windowText" lastClr="00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</xdr:col>
      <xdr:colOff>85724</xdr:colOff>
      <xdr:row>6</xdr:row>
      <xdr:rowOff>133350</xdr:rowOff>
    </xdr:from>
    <xdr:to>
      <xdr:col>8</xdr:col>
      <xdr:colOff>76200</xdr:colOff>
      <xdr:row>9</xdr:row>
      <xdr:rowOff>133350</xdr:rowOff>
    </xdr:to>
    <xdr:sp macro="" textlink="[25]RKP!D47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600-000008000000}"/>
            </a:ext>
          </a:extLst>
        </xdr:cNvPr>
        <xdr:cNvSpPr/>
      </xdr:nvSpPr>
      <xdr:spPr>
        <a:xfrm>
          <a:off x="4772024" y="1200150"/>
          <a:ext cx="1828801" cy="495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849BE6EE-2226-4A48-BF92-AA49A39C8646}" type="TxLink"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pPr/>
            <a:t>Penanggulangan Bencana</a:t>
          </a:fld>
          <a:endParaRPr lang="en-US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9524</xdr:rowOff>
    </xdr:from>
    <xdr:to>
      <xdr:col>3</xdr:col>
      <xdr:colOff>685799</xdr:colOff>
      <xdr:row>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00000000-0008-0000-2600-000003000000}"/>
            </a:ext>
          </a:extLst>
        </xdr:cNvPr>
        <xdr:cNvSpPr/>
      </xdr:nvSpPr>
      <xdr:spPr>
        <a:xfrm>
          <a:off x="0" y="504824"/>
          <a:ext cx="3428999" cy="942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DESA	: Tanjung</a:t>
          </a:r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 Mulia 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KECAMATAN	: Bahar Selatan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KABUPATEN	: Muaro Jambi</a:t>
          </a:r>
        </a:p>
        <a:p>
          <a:pPr algn="l"/>
          <a:endParaRPr lang="en-US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en-US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PROPINSI	: Jambi</a:t>
          </a:r>
          <a:endParaRPr lang="en-US" sz="110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4</xdr:col>
      <xdr:colOff>495300</xdr:colOff>
      <xdr:row>2</xdr:row>
      <xdr:rowOff>114299</xdr:rowOff>
    </xdr:from>
    <xdr:to>
      <xdr:col>6</xdr:col>
      <xdr:colOff>85725</xdr:colOff>
      <xdr:row>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00000000-0008-0000-2600-000004000000}"/>
            </a:ext>
          </a:extLst>
        </xdr:cNvPr>
        <xdr:cNvSpPr/>
      </xdr:nvSpPr>
      <xdr:spPr>
        <a:xfrm>
          <a:off x="3924300" y="495299"/>
          <a:ext cx="847725" cy="10668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No  RAB</a:t>
          </a:r>
        </a:p>
        <a:p>
          <a:pPr algn="l"/>
          <a:endParaRPr lang="id-ID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Bidang</a:t>
          </a:r>
        </a:p>
        <a:p>
          <a:pPr algn="l"/>
          <a:endParaRPr lang="id-ID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endParaRPr lang="id-ID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endParaRPr lang="id-ID" sz="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  <a:p>
          <a:pPr algn="l"/>
          <a:r>
            <a:rPr lang="id-ID" sz="1100" baseline="0">
              <a:solidFill>
                <a:schemeClr val="tx1"/>
              </a:solidFill>
              <a:latin typeface="Times New Roman" pitchFamily="18" charset="0"/>
              <a:cs typeface="Times New Roman" pitchFamily="18" charset="0"/>
            </a:rPr>
            <a:t>Kegiatan</a:t>
          </a:r>
          <a:endParaRPr lang="en-US" sz="11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</xdr:col>
      <xdr:colOff>1</xdr:colOff>
      <xdr:row>3</xdr:row>
      <xdr:rowOff>9524</xdr:rowOff>
    </xdr:from>
    <xdr:to>
      <xdr:col>6</xdr:col>
      <xdr:colOff>190501</xdr:colOff>
      <xdr:row>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00000000-0008-0000-2600-000005000000}"/>
            </a:ext>
          </a:extLst>
        </xdr:cNvPr>
        <xdr:cNvSpPr/>
      </xdr:nvSpPr>
      <xdr:spPr>
        <a:xfrm>
          <a:off x="4686301" y="504824"/>
          <a:ext cx="190500" cy="9429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aseline="0">
              <a:solidFill>
                <a:schemeClr val="tx1"/>
              </a:solidFill>
            </a:rPr>
            <a:t>::</a:t>
          </a:r>
        </a:p>
        <a:p>
          <a:endParaRPr lang="id-ID" sz="1100" baseline="0">
            <a:solidFill>
              <a:schemeClr val="tx1"/>
            </a:solidFill>
          </a:endParaRPr>
        </a:p>
        <a:p>
          <a:endParaRPr lang="id-ID" sz="2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endParaRPr lang="id-ID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:</a:t>
          </a:r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id-ID"/>
        </a:p>
        <a:p>
          <a:pPr fontAlgn="base"/>
          <a:endParaRPr lang="id-ID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fontAlgn="base"/>
          <a:r>
            <a:rPr lang="id-ID" sz="1100" baseline="0">
              <a:solidFill>
                <a:schemeClr val="lt1"/>
              </a:solidFill>
              <a:latin typeface="+mn-lt"/>
              <a:ea typeface="+mn-ea"/>
              <a:cs typeface="+mn-cs"/>
            </a:rPr>
            <a:t>:</a:t>
          </a:r>
          <a:endParaRPr lang="en-US" sz="1100" baseline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id-ID" sz="1100" baseline="0">
            <a:solidFill>
              <a:schemeClr val="tx1"/>
            </a:solidFill>
          </a:endParaRPr>
        </a:p>
        <a:p>
          <a:pPr algn="l"/>
          <a:endParaRPr lang="id-ID" sz="100" baseline="0">
            <a:solidFill>
              <a:schemeClr val="tx1"/>
            </a:solidFill>
          </a:endParaRPr>
        </a:p>
        <a:p>
          <a:pPr algn="l"/>
          <a:endParaRPr lang="en-US" sz="11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104775</xdr:colOff>
      <xdr:row>2</xdr:row>
      <xdr:rowOff>171450</xdr:rowOff>
    </xdr:from>
    <xdr:to>
      <xdr:col>7</xdr:col>
      <xdr:colOff>1104900</xdr:colOff>
      <xdr:row>4</xdr:row>
      <xdr:rowOff>28576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xmlns="" id="{00000000-0008-0000-2600-000006000000}"/>
            </a:ext>
          </a:extLst>
        </xdr:cNvPr>
        <xdr:cNvSpPr/>
      </xdr:nvSpPr>
      <xdr:spPr>
        <a:xfrm>
          <a:off x="4791075" y="495300"/>
          <a:ext cx="2228850" cy="2190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>
              <a:solidFill>
                <a:sysClr val="windowText" lastClr="000000"/>
              </a:solidFill>
              <a:latin typeface="Times New Roman" pitchFamily="18" charset="0"/>
              <a:cs typeface="Times New Roman" pitchFamily="18" charset="0"/>
            </a:rPr>
            <a:t>5. 2</a:t>
          </a:r>
        </a:p>
      </xdr:txBody>
    </xdr:sp>
    <xdr:clientData/>
  </xdr:twoCellAnchor>
  <xdr:twoCellAnchor>
    <xdr:from>
      <xdr:col>6</xdr:col>
      <xdr:colOff>76200</xdr:colOff>
      <xdr:row>3</xdr:row>
      <xdr:rowOff>171449</xdr:rowOff>
    </xdr:from>
    <xdr:to>
      <xdr:col>8</xdr:col>
      <xdr:colOff>38100</xdr:colOff>
      <xdr:row>7</xdr:row>
      <xdr:rowOff>19050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xmlns="" id="{00000000-0008-0000-2600-000007000000}"/>
            </a:ext>
          </a:extLst>
        </xdr:cNvPr>
        <xdr:cNvSpPr/>
      </xdr:nvSpPr>
      <xdr:spPr>
        <a:xfrm>
          <a:off x="4762500" y="666749"/>
          <a:ext cx="2295525" cy="6096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id-ID" sz="1100" b="0" i="0" u="none" strike="noStrike" baseline="0" smtClean="0">
              <a:solidFill>
                <a:sysClr val="windowText" lastClr="000000"/>
              </a:solidFill>
              <a:latin typeface="Times New Roman" pitchFamily="18" charset="0"/>
              <a:ea typeface="+mn-ea"/>
              <a:cs typeface="Times New Roman" pitchFamily="18" charset="0"/>
            </a:rPr>
            <a:t>Penanggulangan Bencana, Keadaan Darurat, dan Mendesak Desa</a:t>
          </a:r>
          <a:endParaRPr lang="en-US">
            <a:solidFill>
              <a:sysClr val="windowText" lastClr="000000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  <xdr:twoCellAnchor>
    <xdr:from>
      <xdr:col>6</xdr:col>
      <xdr:colOff>66017</xdr:colOff>
      <xdr:row>6</xdr:row>
      <xdr:rowOff>133350</xdr:rowOff>
    </xdr:from>
    <xdr:to>
      <xdr:col>8</xdr:col>
      <xdr:colOff>56493</xdr:colOff>
      <xdr:row>9</xdr:row>
      <xdr:rowOff>133350</xdr:rowOff>
    </xdr:to>
    <xdr:sp macro="" textlink="[25]RKP!D48">
      <xdr:nvSpPr>
        <xdr:cNvPr id="7" name="Rectangle 6">
          <a:extLst>
            <a:ext uri="{FF2B5EF4-FFF2-40B4-BE49-F238E27FC236}">
              <a16:creationId xmlns:a16="http://schemas.microsoft.com/office/drawing/2014/main" xmlns="" id="{00000000-0008-0000-2600-000008000000}"/>
            </a:ext>
          </a:extLst>
        </xdr:cNvPr>
        <xdr:cNvSpPr/>
      </xdr:nvSpPr>
      <xdr:spPr>
        <a:xfrm>
          <a:off x="4752317" y="1200150"/>
          <a:ext cx="2324101" cy="4953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fld id="{9AC4F24B-D473-4973-BE6B-301D586F2447}" type="TxLink"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pPr/>
            <a:t>Bantuan Langsung Tunai (BLT) Dana Desa</a:t>
          </a:fld>
          <a:endParaRPr lang="en-US" sz="800" baseline="0">
            <a:solidFill>
              <a:schemeClr val="tx1"/>
            </a:solidFill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9\D\DWI%20R\PEMBAHASAN%20PROYEK\PONCOL\RAP%20PONCOL%2014%2003%2007%20%20(1051%20M)\RAB%20%20BLOK%20~%20B_PRASARANA_PU_PAS_Harsat_SK.MEI%2022-05-06_Baru_44000_28-02-2007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ESA/2017/AGGR%20jl%20dm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tra_master\bintang%20(d)\RAB%20JALAN%202006\DENTE%20-%20DEN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ESA/2017/Work/PADANG%20PANJANG/IGD/Draft%20Penawaran%20RSUD%20Padang%20Panjang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ESA/2017/Work/PADANG%20PANJANG/contoh%20dokumen%20penawaran%20-%20teknis%20adm/PNW%20BIP2B%20LAMPUNG%20OK_rev1-09.04.12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PROJECT%20DISINI\ACHALIQ%20PROJECT%20FILE\ATD-PLAZA\EST.%20SERVICEHEATEXCHANGER-ATD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&amp;%20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_sc_5\hdd-c\schedule-ugm\Schedule\Master%20Sch%201.0-sro2.Adari%20disk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A/2017/2011/ACEH/TENDER/OE/oe%20Selat%20AKAR20M.TAHUN.20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Data\D\A214-3rd%20Firing%20Plant%20&amp;%20Showroom\Main%20Works%20-%20Tenderers\Proyek\SP3082%20Hero%20PIM\020201%20HERO%20PIM%20R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Proyek\SP%20Sport%20Center%20Gading%20Serpong\120601Sport%20Center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i\Desktop\3.%20RKPDESA\ARSIP%20DUK%20TANJUNG%20MULYA%20%202018\RKPDES_2018\Form_Rapermen_Pemdes_141007\Form_Rapermen_PPD_Perancanaan_141007\FORM%20PELAKSANAAN%20PEMBANGUNAN%20DESA\Form.25.b.%20Lembar%20Catatan%20Pemeriksaan%20Desain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13%20Nov%2009\Titip%20Devri\3.%20Riau\Kantor%20DPRD%20Pku\UNTUNG%20Zheeraid\PROYEK%20USU\ALI\RAB\gedung\a5\CAIXA%20&amp;%20HUSNI\CONSULTANT%20FILE\ANALISA%20STANDAR%20BINA%20MARGA\BINA%20MARGA%20FILE\OE-EE\6-AGGR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r05\hd%203%20(e)\bangkalan\pasar%20tradisional%202\GETZ\21%2002%2007\RAP%20KLAKAH%20NEW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ta\C\F_TEJA%20ROBERT\AGUS%20WIJAYA\DWI%20R%202%20JUNI%202006%20FILE%20FIX\TMNL%20TLOGAWARU%2029%20JAN%20'07\BUKU%204\TRMNL%20TLOGOWARU%2029%20JAN%20'07%20(%20ANYAR%20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OKUMEN/1.%20DESA/1.%20PERENCANAAN/2020/7.%20ANALISA,RAB,PRONIS,%20DAN%20GAMBAR%20TEKNIS/RENCANA%20RAB%20TIMBUNAN%20AUL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OKUMEN/1.%20DESA/1.%20KAUR%20PERENCANAAN%20DESA/2020/7.%20ANALISA,RAB,PRONIS,%20DAN%20GAMBAR%20TEKNIS/02.%20GEDUNG%20SORGA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A/03%20PERENCANAAN/RKP-PERUBAHAN-covid%2019/ANALISA,RAB,PRONIS,%20DAN%20GAMBAR%20TEKNIS/02.%20GEDUNG%20SORGA%20DIKURANGI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RKPDes%202020%20Harmonisasi%20tr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ESA/03%20PERENCANAAN/RKP-PERUBAHAN-covid%2019/RKPDESA/RKPDes%202020%20Perubahan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OKUMEN/1.%20DESA/1.%20KAUR%20PERENCANAAN%20DESA/2020/7.%20ANALISA,RAB,PRONIS,%20DAN%20GAMBAR%20TEKNIS/03.%20TEMPAT%20MAIN%20PAU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equipment"/>
      <sheetName val="B - Norelec"/>
      <sheetName val="A"/>
      <sheetName val="AC"/>
      <sheetName val="lintec-sumicon"/>
      <sheetName val="SUM-PRO_(4)"/>
      <sheetName val="SUM-PRO_(3)"/>
      <sheetName val="SUM-PRO_(2)"/>
      <sheetName val="SEX_(4)"/>
      <sheetName val="SEX_(3)"/>
      <sheetName val="SEX_(2)"/>
      <sheetName val="B_-_Norelec"/>
      <sheetName val="Unit Rate"/>
      <sheetName val="Pipe"/>
      <sheetName val="tifico"/>
      <sheetName val="sor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  <sheetName val="HB "/>
      <sheetName val="Rincian"/>
      <sheetName val="Material"/>
      <sheetName val="ESCON"/>
      <sheetName val="listplank"/>
      <sheetName val="sanitary"/>
      <sheetName val="instalasi air bersih"/>
      <sheetName val="instalasi air kotor_bekas"/>
      <sheetName val="paving"/>
      <sheetName val="jadw"/>
      <sheetName val="I-KAMAR"/>
      <sheetName val="I_KAMAR"/>
      <sheetName val="daffin"/>
      <sheetName val="BQ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MAT NON STD okk"/>
      <sheetName val="HRG BAHAN &amp; UPAH okk"/>
      <sheetName val="Analis Kusen okk"/>
      <sheetName val="Analisa K"/>
      <sheetName val="Analis ME okk"/>
      <sheetName val="REKAP TOTAL BLOK A &amp; BLOK B"/>
      <sheetName val="ANALISA-SNI-BLOK B"/>
      <sheetName val="REKAP_SNI_BLOK B"/>
      <sheetName val="COMPARASI"/>
      <sheetName val="REKAP TOTAL A+B+FASUM "/>
      <sheetName val="REKAP BLOK B"/>
      <sheetName val="BLOK - B1"/>
      <sheetName val="PLUMBING B1"/>
      <sheetName val="ELEKTRIKAL B1"/>
      <sheetName val="PONTEN"/>
      <sheetName val="POS JAGA"/>
      <sheetName val="KTR PENGELOLA"/>
      <sheetName val="PAGAR KEL &amp; BRC"/>
      <sheetName val="PAVING BLOK DAN ASPAL"/>
      <sheetName val="PJU"/>
      <sheetName val="SAMBUNG DAYA"/>
      <sheetName val="DRAINASE"/>
      <sheetName val="FIRE HIDRAN"/>
      <sheetName val="REKAP ME &amp; PLUMBING OK "/>
      <sheetName val="ELEKTRIKAL A+B+C"/>
      <sheetName val="MEKANIKAL LINGKUNGAN"/>
      <sheetName val="MUSHOLLA"/>
      <sheetName val="REKAP BANG. PRASARANA "/>
      <sheetName val="REKAP BLOK C"/>
      <sheetName val="BLOK -C"/>
      <sheetName val="BLOK - B 2"/>
      <sheetName val="PARKIR RODA 2  2 UNIT"/>
      <sheetName val="PARKIR RODA 2  1 UNIT"/>
      <sheetName val="SHELTER"/>
      <sheetName val="DEPO SAMPAH"/>
      <sheetName val="POWER HOUSE"/>
      <sheetName val="pengelompok"/>
      <sheetName val="rekap std M.E"/>
      <sheetName val="RKP BLOK A TDK DIPAKAI"/>
      <sheetName val="BLOK - A OKKK TDK DIPAKAI"/>
      <sheetName val="REKAP TOTAL  "/>
      <sheetName val="REKAP LANSCAPE DRAINAGE"/>
      <sheetName val="rKP PRASARANA YANG DITUNDA"/>
      <sheetName val="REKAP &amp; BAHAN UPAH ME-tdk pake"/>
      <sheetName val="RKP TOT BANG+ME(TDK DIPAKAI)"/>
      <sheetName val="HRG BAHAN _ UPAH okk"/>
      <sheetName val="A"/>
      <sheetName val="HARGA_MAT_NON_STD_okk"/>
      <sheetName val="HRG_BAHAN_&amp;_UPAH_okk"/>
      <sheetName val="Analis_Kusen_okk"/>
      <sheetName val="Analisa_K"/>
      <sheetName val="Analis_ME_okk"/>
      <sheetName val="REKAP_TOTAL_BLOK_A_&amp;_BLOK_B"/>
      <sheetName val="ANALISA-SNI-BLOK_B"/>
      <sheetName val="REKAP_SNI_BLOK_B"/>
      <sheetName val="REKAP_TOTAL_A+B+FASUM_"/>
      <sheetName val="REKAP_BLOK_B"/>
      <sheetName val="BLOK_-_B1"/>
      <sheetName val="PLUMBING_B1"/>
      <sheetName val="ELEKTRIKAL_B1"/>
      <sheetName val="POS_JAGA"/>
      <sheetName val="KTR_PENGELOLA"/>
      <sheetName val="PAGAR_KEL_&amp;_BRC"/>
      <sheetName val="PAVING_BLOK_DAN_ASPAL"/>
      <sheetName val="SAMBUNG_DAYA"/>
      <sheetName val="FIRE_HIDRAN"/>
      <sheetName val="REKAP_ME_&amp;_PLUMBING_OK_"/>
      <sheetName val="ELEKTRIKAL_A+B+C"/>
      <sheetName val="MEKANIKAL_LINGKUNGAN"/>
      <sheetName val="REKAP_BANG__PRASARANA_"/>
      <sheetName val="REKAP_BLOK_C"/>
      <sheetName val="BLOK_-C"/>
      <sheetName val="BLOK_-_B_2"/>
      <sheetName val="PARKIR_RODA_2__2_UNIT"/>
      <sheetName val="PARKIR_RODA_2__1_UNIT"/>
      <sheetName val="DEPO_SAMPAH"/>
      <sheetName val="POWER_HOUSE"/>
      <sheetName val="rekap_std_M_E"/>
      <sheetName val="RKP_BLOK_A_TDK_DIPAKAI"/>
      <sheetName val="BLOK_-_A_OKKK_TDK_DIPAKAI"/>
      <sheetName val="REKAP_TOTAL__"/>
      <sheetName val="REKAP_LANSCAPE_DRAINAGE"/>
      <sheetName val="rKP_PRASARANA_YANG_DITUNDA"/>
      <sheetName val="REKAP_&amp;_BAHAN_UPAH_ME-tdk_pake"/>
      <sheetName val="RKP_TOT_BANG+ME(TDK_DIPAKAI)"/>
      <sheetName val="HRG_BAHAN___UPAH_okk"/>
      <sheetName val="escon"/>
      <sheetName val="QTO-11P"/>
      <sheetName val="Har Sat"/>
      <sheetName val="H.Satuan"/>
      <sheetName val="Analisa"/>
      <sheetName val="Anal Alat BID"/>
      <sheetName val="D _ W sizes"/>
      <sheetName val="harsat_upah"/>
    </sheetNames>
    <sheetDataSet>
      <sheetData sheetId="0" refreshError="1"/>
      <sheetData sheetId="1">
        <row r="17">
          <cell r="A17">
            <v>2</v>
          </cell>
        </row>
      </sheetData>
      <sheetData sheetId="2" refreshError="1">
        <row r="17">
          <cell r="A17">
            <v>2</v>
          </cell>
          <cell r="B17" t="str">
            <v xml:space="preserve">Rangka Daun Jendela Alumunium </v>
          </cell>
          <cell r="C17" t="str">
            <v>M'</v>
          </cell>
          <cell r="D17">
            <v>124948</v>
          </cell>
          <cell r="E17" t="str">
            <v>tidak pakai</v>
          </cell>
        </row>
        <row r="18">
          <cell r="A18">
            <v>3</v>
          </cell>
          <cell r="B18" t="str">
            <v>Rangka Tiang Sirip Alumunium 1/1 Putih</v>
          </cell>
          <cell r="C18" t="str">
            <v>M'</v>
          </cell>
          <cell r="D18">
            <v>62474</v>
          </cell>
          <cell r="E18" t="str">
            <v>tidak pakai</v>
          </cell>
        </row>
        <row r="19">
          <cell r="A19">
            <v>4</v>
          </cell>
          <cell r="B19" t="str">
            <v>Pasang Shading Sirip Alumunium 0.2/10 +Rangka</v>
          </cell>
          <cell r="C19" t="str">
            <v>M2</v>
          </cell>
          <cell r="D19">
            <v>0</v>
          </cell>
          <cell r="E19" t="str">
            <v>tidak pakai</v>
          </cell>
        </row>
        <row r="20">
          <cell r="A20">
            <v>5</v>
          </cell>
          <cell r="B20" t="str">
            <v>Alumunium Tipis</v>
          </cell>
          <cell r="C20" t="str">
            <v>M2</v>
          </cell>
          <cell r="D20">
            <v>124948</v>
          </cell>
        </row>
        <row r="25">
          <cell r="A25">
            <v>6</v>
          </cell>
          <cell r="B25" t="str">
            <v>Kunci Pintu Handle stainleess (dorma)</v>
          </cell>
          <cell r="C25" t="str">
            <v>Set</v>
          </cell>
          <cell r="D25">
            <v>650000</v>
          </cell>
          <cell r="E25" t="str">
            <v>tidak pakai</v>
          </cell>
        </row>
        <row r="26">
          <cell r="A26">
            <v>7</v>
          </cell>
          <cell r="B26" t="str">
            <v>Kunci tanam Antik</v>
          </cell>
          <cell r="C26" t="str">
            <v>Set</v>
          </cell>
          <cell r="D26">
            <v>265000</v>
          </cell>
          <cell r="E26" t="str">
            <v>tidak pakai</v>
          </cell>
        </row>
        <row r="28">
          <cell r="A28">
            <v>9</v>
          </cell>
          <cell r="B28" t="str">
            <v>Kunci Silinder</v>
          </cell>
          <cell r="C28" t="str">
            <v>Set</v>
          </cell>
          <cell r="D28">
            <v>217900</v>
          </cell>
          <cell r="E28" t="str">
            <v>tidak pakai</v>
          </cell>
        </row>
        <row r="29">
          <cell r="A29">
            <v>10</v>
          </cell>
          <cell r="B29" t="str">
            <v>Kunci Selot</v>
          </cell>
          <cell r="C29" t="str">
            <v>Set</v>
          </cell>
          <cell r="D29">
            <v>48300</v>
          </cell>
          <cell r="E29" t="str">
            <v>tidak pakai</v>
          </cell>
        </row>
        <row r="30">
          <cell r="A30">
            <v>11</v>
          </cell>
          <cell r="B30" t="str">
            <v>Engsel jendela</v>
          </cell>
          <cell r="C30" t="str">
            <v>Bh</v>
          </cell>
          <cell r="D30">
            <v>16600</v>
          </cell>
          <cell r="E30" t="str">
            <v>tidak pakai</v>
          </cell>
        </row>
        <row r="33">
          <cell r="A33">
            <v>14</v>
          </cell>
          <cell r="B33" t="str">
            <v>Kait/hak angin</v>
          </cell>
          <cell r="C33" t="str">
            <v>Set</v>
          </cell>
          <cell r="D33">
            <v>27000</v>
          </cell>
          <cell r="E33" t="str">
            <v>tidak pakai</v>
          </cell>
        </row>
        <row r="34">
          <cell r="A34">
            <v>15</v>
          </cell>
          <cell r="B34" t="str">
            <v>Grendel pintu kuningan</v>
          </cell>
          <cell r="C34" t="str">
            <v>Bh</v>
          </cell>
          <cell r="D34">
            <v>125000</v>
          </cell>
          <cell r="E34" t="str">
            <v>tidak pakai</v>
          </cell>
        </row>
        <row r="35">
          <cell r="A35">
            <v>16</v>
          </cell>
          <cell r="B35" t="str">
            <v xml:space="preserve">Grendel jendela </v>
          </cell>
          <cell r="C35" t="str">
            <v>Bh</v>
          </cell>
          <cell r="D35">
            <v>8100</v>
          </cell>
          <cell r="E35" t="str">
            <v>tidak pakai</v>
          </cell>
        </row>
        <row r="36">
          <cell r="A36">
            <v>17</v>
          </cell>
          <cell r="B36" t="str">
            <v>Grendel pintu</v>
          </cell>
          <cell r="C36" t="str">
            <v>Bh</v>
          </cell>
          <cell r="D36">
            <v>14200</v>
          </cell>
          <cell r="E36" t="str">
            <v>tidak pakai</v>
          </cell>
        </row>
        <row r="37">
          <cell r="A37">
            <v>18</v>
          </cell>
          <cell r="B37" t="str">
            <v>Stripting Knip</v>
          </cell>
          <cell r="C37" t="str">
            <v>Set</v>
          </cell>
          <cell r="D37">
            <v>13700</v>
          </cell>
          <cell r="E37" t="str">
            <v>tidak pakai</v>
          </cell>
        </row>
        <row r="38">
          <cell r="A38">
            <v>19</v>
          </cell>
          <cell r="B38" t="str">
            <v>Door Closer</v>
          </cell>
          <cell r="C38" t="str">
            <v>Set</v>
          </cell>
          <cell r="D38">
            <v>260800</v>
          </cell>
          <cell r="E38" t="str">
            <v>tidak pakai</v>
          </cell>
        </row>
        <row r="39">
          <cell r="A39">
            <v>20</v>
          </cell>
          <cell r="B39" t="str">
            <v>Door Holder</v>
          </cell>
          <cell r="C39" t="str">
            <v>Set</v>
          </cell>
          <cell r="D39">
            <v>500000</v>
          </cell>
          <cell r="E39" t="str">
            <v>tidak pakai</v>
          </cell>
        </row>
        <row r="40">
          <cell r="A40">
            <v>21</v>
          </cell>
          <cell r="B40" t="str">
            <v>Door Stop</v>
          </cell>
          <cell r="C40" t="str">
            <v>Set</v>
          </cell>
          <cell r="D40">
            <v>32100</v>
          </cell>
          <cell r="E40" t="str">
            <v>tidak pakai</v>
          </cell>
        </row>
        <row r="41">
          <cell r="A41">
            <v>22</v>
          </cell>
          <cell r="B41" t="str">
            <v>Kaca bening 3 mm</v>
          </cell>
          <cell r="C41" t="str">
            <v>M2</v>
          </cell>
          <cell r="D41">
            <v>57900</v>
          </cell>
          <cell r="E41" t="str">
            <v>tidak pakai</v>
          </cell>
        </row>
        <row r="42">
          <cell r="A42">
            <v>23</v>
          </cell>
          <cell r="B42" t="str">
            <v>Kaca bening 5 mm</v>
          </cell>
          <cell r="C42" t="str">
            <v>M2</v>
          </cell>
          <cell r="D42">
            <v>66700</v>
          </cell>
          <cell r="E42" t="str">
            <v>tidak pakai</v>
          </cell>
        </row>
        <row r="44">
          <cell r="A44">
            <v>25</v>
          </cell>
          <cell r="B44" t="str">
            <v>Kaca Bening 12 mm</v>
          </cell>
          <cell r="C44" t="str">
            <v>M2</v>
          </cell>
          <cell r="D44">
            <v>403787.64062499994</v>
          </cell>
          <cell r="E44" t="str">
            <v>tidak pakai</v>
          </cell>
        </row>
        <row r="47">
          <cell r="A47">
            <v>28</v>
          </cell>
          <cell r="B47" t="str">
            <v>Besi hollow 2.5/5</v>
          </cell>
          <cell r="C47" t="str">
            <v>Kg</v>
          </cell>
          <cell r="D47">
            <v>74462.500000000058</v>
          </cell>
          <cell r="E47">
            <v>0.82</v>
          </cell>
          <cell r="F47" t="str">
            <v>Koefieann</v>
          </cell>
        </row>
        <row r="48">
          <cell r="A48">
            <v>29</v>
          </cell>
          <cell r="B48" t="str">
            <v>Besi hollow 5/5</v>
          </cell>
          <cell r="C48" t="str">
            <v>Kg</v>
          </cell>
          <cell r="D48">
            <v>74462.500000000058</v>
          </cell>
          <cell r="E48">
            <v>0</v>
          </cell>
          <cell r="F48" t="str">
            <v>Koefieann</v>
          </cell>
        </row>
        <row r="49">
          <cell r="A49">
            <v>30</v>
          </cell>
          <cell r="B49" t="str">
            <v>Besi hollow 2/2</v>
          </cell>
          <cell r="C49" t="str">
            <v>Kg</v>
          </cell>
          <cell r="D49">
            <v>74462.500000000058</v>
          </cell>
          <cell r="E49">
            <v>0.82</v>
          </cell>
          <cell r="F49" t="str">
            <v>Koefieann</v>
          </cell>
        </row>
        <row r="50">
          <cell r="A50">
            <v>31</v>
          </cell>
          <cell r="B50" t="str">
            <v>Besi hollow 2/4</v>
          </cell>
          <cell r="C50" t="str">
            <v>Kg</v>
          </cell>
          <cell r="D50">
            <v>74462.500000000058</v>
          </cell>
          <cell r="E50">
            <v>0.82</v>
          </cell>
          <cell r="F50" t="str">
            <v>Koefieann</v>
          </cell>
        </row>
        <row r="52">
          <cell r="A52">
            <v>33</v>
          </cell>
          <cell r="B52" t="str">
            <v>Glass Block</v>
          </cell>
          <cell r="C52" t="str">
            <v>Bh</v>
          </cell>
          <cell r="D52">
            <v>45000</v>
          </cell>
          <cell r="E52" t="str">
            <v>tidak pakai</v>
          </cell>
        </row>
        <row r="53">
          <cell r="A53">
            <v>34</v>
          </cell>
          <cell r="B53" t="str">
            <v>Kaca Es</v>
          </cell>
          <cell r="C53" t="str">
            <v>M2</v>
          </cell>
          <cell r="D53">
            <v>66700</v>
          </cell>
          <cell r="E53" t="str">
            <v>tidak pakai</v>
          </cell>
        </row>
        <row r="54">
          <cell r="A54">
            <v>35</v>
          </cell>
          <cell r="B54" t="str">
            <v>Krepyak Kaca Nako + Kerangka</v>
          </cell>
          <cell r="C54" t="str">
            <v>M2</v>
          </cell>
          <cell r="D54">
            <v>81300</v>
          </cell>
          <cell r="E54" t="str">
            <v>tidak pakai</v>
          </cell>
        </row>
        <row r="55">
          <cell r="A55">
            <v>36</v>
          </cell>
          <cell r="B55" t="str">
            <v>Sticker Efek Kaca Es</v>
          </cell>
          <cell r="C55" t="str">
            <v>M2</v>
          </cell>
          <cell r="D55">
            <v>150000</v>
          </cell>
          <cell r="E55" t="str">
            <v>tidak pakai</v>
          </cell>
        </row>
        <row r="56">
          <cell r="A56">
            <v>37</v>
          </cell>
          <cell r="B56" t="str">
            <v>Rel Pintu Dorong</v>
          </cell>
          <cell r="C56" t="str">
            <v>M'</v>
          </cell>
          <cell r="D56">
            <v>275000</v>
          </cell>
          <cell r="E56" t="str">
            <v>tidak pakai</v>
          </cell>
        </row>
        <row r="57">
          <cell r="A57">
            <v>38</v>
          </cell>
          <cell r="B57" t="str">
            <v>Rolling Door</v>
          </cell>
          <cell r="C57" t="str">
            <v>M2</v>
          </cell>
          <cell r="D57">
            <v>358100</v>
          </cell>
          <cell r="E57" t="str">
            <v>tidak pakai</v>
          </cell>
        </row>
        <row r="58">
          <cell r="A58">
            <v>39</v>
          </cell>
          <cell r="B58" t="str">
            <v>Roster</v>
          </cell>
          <cell r="C58" t="str">
            <v>M2</v>
          </cell>
          <cell r="D58">
            <v>133850</v>
          </cell>
          <cell r="E58" t="str">
            <v>tidak pakai</v>
          </cell>
        </row>
        <row r="59">
          <cell r="A59">
            <v>40</v>
          </cell>
          <cell r="B59" t="str">
            <v>Gipsum Board</v>
          </cell>
          <cell r="C59" t="str">
            <v>M2</v>
          </cell>
          <cell r="D59">
            <v>29000</v>
          </cell>
          <cell r="E59" t="str">
            <v>tidak pakai</v>
          </cell>
        </row>
        <row r="60">
          <cell r="A60">
            <v>41</v>
          </cell>
          <cell r="B60" t="str">
            <v>List Gipsum</v>
          </cell>
          <cell r="C60" t="str">
            <v>M'</v>
          </cell>
          <cell r="D60">
            <v>17300</v>
          </cell>
          <cell r="E60" t="str">
            <v>tidak pakai</v>
          </cell>
        </row>
        <row r="65">
          <cell r="A65">
            <v>46</v>
          </cell>
          <cell r="B65" t="str">
            <v>Cat Dinding</v>
          </cell>
          <cell r="C65" t="str">
            <v>M2</v>
          </cell>
          <cell r="D65">
            <v>9900</v>
          </cell>
          <cell r="E65" t="str">
            <v>tidak pakai</v>
          </cell>
        </row>
        <row r="66">
          <cell r="A66">
            <v>47</v>
          </cell>
          <cell r="B66" t="str">
            <v>Plesteran Camprot</v>
          </cell>
          <cell r="C66" t="str">
            <v>M2</v>
          </cell>
          <cell r="D66">
            <v>14600</v>
          </cell>
          <cell r="E66" t="str">
            <v>tidak pakai</v>
          </cell>
        </row>
        <row r="67">
          <cell r="A67">
            <v>48</v>
          </cell>
          <cell r="B67" t="str">
            <v>Rangka Metal Furring</v>
          </cell>
          <cell r="C67" t="str">
            <v>M'</v>
          </cell>
          <cell r="D67">
            <v>90000</v>
          </cell>
          <cell r="E67" t="str">
            <v>tidak pakai</v>
          </cell>
        </row>
        <row r="143">
          <cell r="A143" t="str">
            <v>No.</v>
          </cell>
          <cell r="B143" t="str">
            <v>Item Pekerjaan</v>
          </cell>
          <cell r="C143" t="str">
            <v>Satuan</v>
          </cell>
          <cell r="D143" t="str">
            <v>Harga Satuan</v>
          </cell>
          <cell r="E143" t="str">
            <v>P1</v>
          </cell>
          <cell r="G143" t="str">
            <v>P1'</v>
          </cell>
          <cell r="I143" t="str">
            <v>P2</v>
          </cell>
          <cell r="K143" t="str">
            <v>P3</v>
          </cell>
          <cell r="M143" t="str">
            <v>P4</v>
          </cell>
          <cell r="O143" t="str">
            <v>P5</v>
          </cell>
          <cell r="Q143" t="str">
            <v>P6</v>
          </cell>
          <cell r="S143" t="str">
            <v>J1</v>
          </cell>
          <cell r="U143" t="str">
            <v>J1'</v>
          </cell>
          <cell r="W143" t="str">
            <v>J2</v>
          </cell>
          <cell r="Y143" t="str">
            <v>J3</v>
          </cell>
          <cell r="AA143" t="str">
            <v>J4</v>
          </cell>
          <cell r="AC143" t="str">
            <v>J5</v>
          </cell>
          <cell r="AE143" t="str">
            <v>J6</v>
          </cell>
          <cell r="AG143" t="str">
            <v>J7</v>
          </cell>
          <cell r="AI143" t="str">
            <v>J8</v>
          </cell>
          <cell r="AK143" t="str">
            <v>J9</v>
          </cell>
          <cell r="AM143" t="str">
            <v>J10</v>
          </cell>
          <cell r="AO143" t="str">
            <v>J11</v>
          </cell>
          <cell r="AQ143" t="str">
            <v>BV1</v>
          </cell>
          <cell r="AS143" t="str">
            <v>BV 2</v>
          </cell>
          <cell r="AU143" t="str">
            <v>BV 3</v>
          </cell>
          <cell r="AW143" t="str">
            <v>Shading Lt. 1 = 3 Buah</v>
          </cell>
          <cell r="AY143" t="str">
            <v>Shading Lt. 1 = 2 Buah</v>
          </cell>
          <cell r="BA143" t="str">
            <v>Shading Lt. 1 = 2 Buah</v>
          </cell>
          <cell r="BC143" t="str">
            <v>Pintu Pagar TK</v>
          </cell>
          <cell r="BE143" t="str">
            <v>R1</v>
          </cell>
          <cell r="BG143" t="str">
            <v>R2</v>
          </cell>
          <cell r="BI143" t="str">
            <v>R3</v>
          </cell>
          <cell r="BK143" t="str">
            <v>R3'</v>
          </cell>
          <cell r="BM143" t="str">
            <v>R4</v>
          </cell>
          <cell r="BO143" t="str">
            <v>R5</v>
          </cell>
        </row>
        <row r="144">
          <cell r="D144" t="str">
            <v>Rp.</v>
          </cell>
          <cell r="E144" t="str">
            <v>Vol.</v>
          </cell>
          <cell r="F144" t="str">
            <v>Jumlah Harga</v>
          </cell>
          <cell r="G144" t="str">
            <v>Vol.</v>
          </cell>
          <cell r="H144" t="str">
            <v>Jumlah Harga</v>
          </cell>
          <cell r="I144" t="str">
            <v>Vol.</v>
          </cell>
          <cell r="J144" t="str">
            <v>Jumlah Harga</v>
          </cell>
          <cell r="K144" t="str">
            <v>Vol.</v>
          </cell>
          <cell r="L144" t="str">
            <v>Jumlah Harga</v>
          </cell>
          <cell r="M144" t="str">
            <v>Vol.</v>
          </cell>
          <cell r="N144" t="str">
            <v>Jumlah Harga</v>
          </cell>
          <cell r="O144" t="str">
            <v>Vol.</v>
          </cell>
          <cell r="P144" t="str">
            <v>Jumlah Harga</v>
          </cell>
          <cell r="Q144" t="str">
            <v>Vol.</v>
          </cell>
          <cell r="R144" t="str">
            <v>Jumlah Harga</v>
          </cell>
          <cell r="S144" t="str">
            <v>Vol.</v>
          </cell>
          <cell r="T144" t="str">
            <v>Jumlah Harga</v>
          </cell>
          <cell r="U144" t="str">
            <v>Vol.</v>
          </cell>
          <cell r="V144" t="str">
            <v>Jumlah Harga</v>
          </cell>
          <cell r="W144" t="str">
            <v>Vol.</v>
          </cell>
          <cell r="X144" t="str">
            <v>Jumlah Harga</v>
          </cell>
          <cell r="Y144" t="str">
            <v>Vol.</v>
          </cell>
          <cell r="Z144" t="str">
            <v>Jumlah Harga</v>
          </cell>
          <cell r="AA144" t="str">
            <v>Vol.</v>
          </cell>
          <cell r="AB144" t="str">
            <v>Jumlah Harga</v>
          </cell>
          <cell r="AC144" t="str">
            <v>Vol.</v>
          </cell>
          <cell r="AD144" t="str">
            <v>Jumlah Harga</v>
          </cell>
          <cell r="AE144" t="str">
            <v>Vol.</v>
          </cell>
          <cell r="AF144" t="str">
            <v>Jumlah Harga</v>
          </cell>
          <cell r="AG144" t="str">
            <v>Vol.</v>
          </cell>
          <cell r="AH144" t="str">
            <v>Jumlah Harga</v>
          </cell>
          <cell r="AI144" t="str">
            <v>Vol.</v>
          </cell>
          <cell r="AJ144" t="str">
            <v>Jumlah Harga</v>
          </cell>
          <cell r="AK144" t="str">
            <v>Vol.</v>
          </cell>
          <cell r="AL144" t="str">
            <v>Jumlah Harga</v>
          </cell>
          <cell r="AM144" t="str">
            <v>Vol.</v>
          </cell>
          <cell r="AN144" t="str">
            <v>Jumlah Harga</v>
          </cell>
          <cell r="AO144" t="str">
            <v>Vol.</v>
          </cell>
          <cell r="AP144" t="str">
            <v>Jumlah Harga</v>
          </cell>
          <cell r="AQ144" t="str">
            <v>Vol.</v>
          </cell>
          <cell r="AR144" t="str">
            <v>Jumlah Harga</v>
          </cell>
          <cell r="AS144" t="str">
            <v>Vol.</v>
          </cell>
          <cell r="AT144" t="str">
            <v>Jumlah Harga</v>
          </cell>
          <cell r="AU144" t="str">
            <v>Vol.</v>
          </cell>
          <cell r="AV144" t="str">
            <v>Jumlah Harga</v>
          </cell>
          <cell r="AW144" t="str">
            <v>Vol.</v>
          </cell>
          <cell r="AX144" t="str">
            <v>Jumlah Harga</v>
          </cell>
          <cell r="AY144" t="str">
            <v>Vol.</v>
          </cell>
          <cell r="AZ144" t="str">
            <v>Jumlah Harga</v>
          </cell>
          <cell r="BA144" t="str">
            <v>Vol.</v>
          </cell>
          <cell r="BB144" t="str">
            <v>Jumlah Harga</v>
          </cell>
          <cell r="BC144" t="str">
            <v>Vol.</v>
          </cell>
          <cell r="BD144" t="str">
            <v>Jumlah Harga</v>
          </cell>
          <cell r="BE144" t="str">
            <v>Vol.</v>
          </cell>
          <cell r="BF144" t="str">
            <v>Jumlah Harga</v>
          </cell>
          <cell r="BG144" t="str">
            <v>Vol.</v>
          </cell>
          <cell r="BH144" t="str">
            <v>Jumlah Harga</v>
          </cell>
          <cell r="BI144" t="str">
            <v>Vol.</v>
          </cell>
          <cell r="BJ144" t="str">
            <v>Jumlah Harga</v>
          </cell>
          <cell r="BK144" t="str">
            <v>Vol.</v>
          </cell>
          <cell r="BL144" t="str">
            <v>Jumlah Harga</v>
          </cell>
          <cell r="BM144" t="str">
            <v>Vol.</v>
          </cell>
          <cell r="BN144" t="str">
            <v>Jumlah Harga</v>
          </cell>
          <cell r="BO144" t="str">
            <v>Vol.</v>
          </cell>
          <cell r="BP144" t="str">
            <v>Jumlah Harga</v>
          </cell>
        </row>
        <row r="145">
          <cell r="A145" t="str">
            <v>IV.</v>
          </cell>
          <cell r="B145" t="str">
            <v>UNIT BANGUNAN TK</v>
          </cell>
          <cell r="Q145">
            <v>0</v>
          </cell>
        </row>
        <row r="146">
          <cell r="Q146">
            <v>0</v>
          </cell>
        </row>
        <row r="147">
          <cell r="A147">
            <v>1</v>
          </cell>
          <cell r="B147" t="str">
            <v>Kayu 6/12</v>
          </cell>
          <cell r="C147" t="str">
            <v>M3</v>
          </cell>
          <cell r="D147">
            <v>0</v>
          </cell>
          <cell r="E147">
            <v>0</v>
          </cell>
          <cell r="F147">
            <v>0</v>
          </cell>
          <cell r="G147">
            <v>2.0400000000000001E-2</v>
          </cell>
          <cell r="H147">
            <v>0</v>
          </cell>
          <cell r="I147">
            <v>2.2800000000000001E-2</v>
          </cell>
          <cell r="J147">
            <v>0</v>
          </cell>
          <cell r="K147">
            <v>0</v>
          </cell>
          <cell r="L147">
            <v>0</v>
          </cell>
          <cell r="M147">
            <v>3.6144000000000003E-2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X147">
            <v>0</v>
          </cell>
          <cell r="AZ147">
            <v>0</v>
          </cell>
          <cell r="BB147">
            <v>0</v>
          </cell>
          <cell r="BD147">
            <v>0</v>
          </cell>
          <cell r="BF147">
            <v>0</v>
          </cell>
          <cell r="BH147">
            <v>0</v>
          </cell>
          <cell r="BJ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</row>
        <row r="148">
          <cell r="A148">
            <v>2</v>
          </cell>
          <cell r="B148" t="str">
            <v>Kayu Slimar 3/10</v>
          </cell>
          <cell r="C148" t="str">
            <v>M3</v>
          </cell>
          <cell r="D148">
            <v>0</v>
          </cell>
          <cell r="E148">
            <v>0</v>
          </cell>
          <cell r="F148">
            <v>0</v>
          </cell>
          <cell r="G148">
            <v>4.7999999999999996E-3</v>
          </cell>
          <cell r="H148">
            <v>0</v>
          </cell>
          <cell r="I148">
            <v>4.0000000000000001E-3</v>
          </cell>
          <cell r="J148">
            <v>0</v>
          </cell>
          <cell r="K148">
            <v>0</v>
          </cell>
          <cell r="L148">
            <v>0</v>
          </cell>
          <cell r="M148">
            <v>1.4159999999999999E-2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X148">
            <v>0</v>
          </cell>
          <cell r="AZ148">
            <v>0</v>
          </cell>
          <cell r="BB148">
            <v>0</v>
          </cell>
          <cell r="BD148">
            <v>0</v>
          </cell>
          <cell r="BF148">
            <v>0</v>
          </cell>
          <cell r="BH148">
            <v>0</v>
          </cell>
          <cell r="BJ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</row>
        <row r="149">
          <cell r="A149">
            <v>3</v>
          </cell>
          <cell r="B149" t="str">
            <v>Kayu Slimar 3/15</v>
          </cell>
          <cell r="C149" t="str">
            <v>M3</v>
          </cell>
          <cell r="D149">
            <v>0</v>
          </cell>
          <cell r="E149">
            <v>0</v>
          </cell>
          <cell r="F149">
            <v>0</v>
          </cell>
          <cell r="G149">
            <v>3.2</v>
          </cell>
          <cell r="H149">
            <v>0</v>
          </cell>
          <cell r="I149">
            <v>6</v>
          </cell>
          <cell r="J149">
            <v>0</v>
          </cell>
          <cell r="K149">
            <v>0</v>
          </cell>
          <cell r="L149">
            <v>0</v>
          </cell>
          <cell r="M149">
            <v>2.6999999999999997E-3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X149">
            <v>0</v>
          </cell>
          <cell r="AZ149">
            <v>0</v>
          </cell>
          <cell r="BB149">
            <v>0</v>
          </cell>
          <cell r="BD149">
            <v>0</v>
          </cell>
          <cell r="BF149">
            <v>0</v>
          </cell>
          <cell r="BH149">
            <v>0</v>
          </cell>
          <cell r="BJ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</row>
        <row r="150">
          <cell r="A150">
            <v>4</v>
          </cell>
          <cell r="B150" t="str">
            <v>Kayu Slimar 3/20</v>
          </cell>
          <cell r="C150" t="str">
            <v>M3</v>
          </cell>
          <cell r="D150">
            <v>0</v>
          </cell>
          <cell r="E150">
            <v>0</v>
          </cell>
          <cell r="F150">
            <v>0</v>
          </cell>
          <cell r="G150">
            <v>4.68</v>
          </cell>
          <cell r="H150">
            <v>0</v>
          </cell>
          <cell r="I150">
            <v>4.7</v>
          </cell>
          <cell r="J150">
            <v>0</v>
          </cell>
          <cell r="K150">
            <v>0</v>
          </cell>
          <cell r="L150">
            <v>0</v>
          </cell>
          <cell r="M150">
            <v>3.5999999999999999E-3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1.6751999999999996</v>
          </cell>
          <cell r="AL150">
            <v>0</v>
          </cell>
          <cell r="AM150">
            <v>1.1447999999999998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X150">
            <v>0</v>
          </cell>
          <cell r="AZ150">
            <v>0</v>
          </cell>
          <cell r="BB150">
            <v>0</v>
          </cell>
          <cell r="BD150">
            <v>0</v>
          </cell>
          <cell r="BF150">
            <v>0</v>
          </cell>
          <cell r="BH150">
            <v>0</v>
          </cell>
          <cell r="BJ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</row>
        <row r="151">
          <cell r="A151">
            <v>5</v>
          </cell>
          <cell r="B151" t="str">
            <v>Kayu 2/10</v>
          </cell>
          <cell r="C151" t="str">
            <v>M3</v>
          </cell>
          <cell r="D151">
            <v>0</v>
          </cell>
          <cell r="E151">
            <v>0</v>
          </cell>
          <cell r="F151">
            <v>0</v>
          </cell>
          <cell r="G151">
            <v>5.3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5.4000000000000012E-3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29.499999999999993</v>
          </cell>
          <cell r="T151">
            <v>0</v>
          </cell>
          <cell r="U151">
            <v>29.499999999999993</v>
          </cell>
          <cell r="V151">
            <v>0</v>
          </cell>
          <cell r="W151">
            <v>3.2</v>
          </cell>
          <cell r="X151">
            <v>0</v>
          </cell>
          <cell r="Y151">
            <v>3.2</v>
          </cell>
          <cell r="Z151">
            <v>0</v>
          </cell>
          <cell r="AA151">
            <v>16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12</v>
          </cell>
          <cell r="AP151">
            <v>0</v>
          </cell>
          <cell r="AQ151">
            <v>2</v>
          </cell>
          <cell r="AR151">
            <v>0</v>
          </cell>
          <cell r="AS151">
            <v>2</v>
          </cell>
          <cell r="AT151">
            <v>0</v>
          </cell>
          <cell r="AU151">
            <v>2</v>
          </cell>
          <cell r="AV151">
            <v>0</v>
          </cell>
          <cell r="AW151">
            <v>14</v>
          </cell>
          <cell r="AX151">
            <v>0</v>
          </cell>
          <cell r="AY151">
            <v>14.04</v>
          </cell>
          <cell r="AZ151">
            <v>0</v>
          </cell>
          <cell r="BA151">
            <v>26.4</v>
          </cell>
          <cell r="BB151">
            <v>0</v>
          </cell>
          <cell r="BD151">
            <v>0</v>
          </cell>
          <cell r="BF151">
            <v>0</v>
          </cell>
          <cell r="BH151">
            <v>0</v>
          </cell>
          <cell r="BJ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</row>
        <row r="152">
          <cell r="A152">
            <v>6</v>
          </cell>
          <cell r="B152" t="str">
            <v>Panil t = 3 cm</v>
          </cell>
          <cell r="C152" t="str">
            <v>M2</v>
          </cell>
          <cell r="D152">
            <v>0</v>
          </cell>
          <cell r="E152">
            <v>0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0.49500000000000005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12.700000000000001</v>
          </cell>
          <cell r="AD152">
            <v>0</v>
          </cell>
          <cell r="AE152">
            <v>6.66</v>
          </cell>
          <cell r="AF152">
            <v>0</v>
          </cell>
          <cell r="AG152">
            <v>5</v>
          </cell>
          <cell r="AH152">
            <v>0</v>
          </cell>
          <cell r="AI152">
            <v>5.8199999999999994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X152">
            <v>0</v>
          </cell>
          <cell r="AZ152">
            <v>0</v>
          </cell>
          <cell r="BB152">
            <v>0</v>
          </cell>
          <cell r="BD152">
            <v>0</v>
          </cell>
          <cell r="BF152">
            <v>0</v>
          </cell>
          <cell r="BH152">
            <v>0</v>
          </cell>
          <cell r="BJ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</row>
        <row r="153">
          <cell r="A153">
            <v>1</v>
          </cell>
          <cell r="B153" t="str">
            <v>Kusen Aluminium 5/10</v>
          </cell>
          <cell r="C153" t="str">
            <v>M'</v>
          </cell>
          <cell r="D153">
            <v>124948</v>
          </cell>
          <cell r="E153">
            <v>6.1999999999999993</v>
          </cell>
          <cell r="F153">
            <v>774677.59999999986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</v>
          </cell>
          <cell r="N153">
            <v>624740</v>
          </cell>
          <cell r="O153">
            <v>27.3</v>
          </cell>
          <cell r="P153">
            <v>3411080.4</v>
          </cell>
          <cell r="Q153">
            <v>16.45</v>
          </cell>
          <cell r="R153">
            <v>2055394.5999999999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X153">
            <v>0</v>
          </cell>
          <cell r="AZ153">
            <v>0</v>
          </cell>
          <cell r="BB153">
            <v>0</v>
          </cell>
          <cell r="BD153">
            <v>0</v>
          </cell>
          <cell r="BF153">
            <v>0</v>
          </cell>
          <cell r="BH153">
            <v>0</v>
          </cell>
          <cell r="BJ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</row>
        <row r="154">
          <cell r="A154">
            <v>2</v>
          </cell>
          <cell r="B154" t="str">
            <v xml:space="preserve">Rangka Daun Jendela Alumunium </v>
          </cell>
          <cell r="C154" t="str">
            <v>M'</v>
          </cell>
          <cell r="D154">
            <v>124948</v>
          </cell>
          <cell r="E154">
            <v>0</v>
          </cell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X154">
            <v>0</v>
          </cell>
          <cell r="AZ154">
            <v>0</v>
          </cell>
          <cell r="BB154">
            <v>0</v>
          </cell>
          <cell r="BD154">
            <v>0</v>
          </cell>
          <cell r="BF154">
            <v>0</v>
          </cell>
          <cell r="BH154">
            <v>0</v>
          </cell>
          <cell r="BJ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</row>
        <row r="155">
          <cell r="A155">
            <v>3</v>
          </cell>
          <cell r="B155" t="str">
            <v>Rangka Tiang Sirip Alumunium 1/1 Putih</v>
          </cell>
          <cell r="C155" t="str">
            <v>M'</v>
          </cell>
          <cell r="D155">
            <v>62474</v>
          </cell>
          <cell r="E155">
            <v>0</v>
          </cell>
          <cell r="F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4.9000000000000004</v>
          </cell>
          <cell r="AB155">
            <v>306122.60000000003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2.9</v>
          </cell>
          <cell r="AP155">
            <v>181174.6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1.6400000000000001</v>
          </cell>
          <cell r="AV155">
            <v>102457.36</v>
          </cell>
          <cell r="AW155">
            <v>15.75</v>
          </cell>
          <cell r="AX155">
            <v>983965.5</v>
          </cell>
          <cell r="AY155">
            <v>15.599999999999998</v>
          </cell>
          <cell r="AZ155">
            <v>974594.39999999991</v>
          </cell>
          <cell r="BA155">
            <v>31.199999999999996</v>
          </cell>
          <cell r="BB155">
            <v>1949188.7999999998</v>
          </cell>
          <cell r="BD155">
            <v>0</v>
          </cell>
          <cell r="BF155">
            <v>0</v>
          </cell>
          <cell r="BH155">
            <v>0</v>
          </cell>
          <cell r="BJ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</row>
        <row r="156">
          <cell r="A156">
            <v>4</v>
          </cell>
          <cell r="B156" t="str">
            <v>Pasang Shading Sirip Alumunium 0.2/10 +Rangka</v>
          </cell>
          <cell r="C156" t="str">
            <v>M2</v>
          </cell>
          <cell r="D156">
            <v>0</v>
          </cell>
          <cell r="E156">
            <v>0</v>
          </cell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0.38250000000000001</v>
          </cell>
          <cell r="T156">
            <v>0</v>
          </cell>
          <cell r="U156">
            <v>0.38250000000000001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0.45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0.22500000000000001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0.15809999999999999</v>
          </cell>
          <cell r="AV156">
            <v>0</v>
          </cell>
          <cell r="AW156">
            <v>5.1450000000000005</v>
          </cell>
          <cell r="AX156">
            <v>0</v>
          </cell>
          <cell r="AY156">
            <v>5.04</v>
          </cell>
          <cell r="AZ156">
            <v>0</v>
          </cell>
          <cell r="BA156">
            <v>10.08</v>
          </cell>
          <cell r="BB156">
            <v>0</v>
          </cell>
          <cell r="BD156">
            <v>0</v>
          </cell>
          <cell r="BF156">
            <v>0</v>
          </cell>
          <cell r="BH156">
            <v>0</v>
          </cell>
          <cell r="BJ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</row>
        <row r="157">
          <cell r="A157">
            <v>5</v>
          </cell>
          <cell r="B157" t="str">
            <v>Daun Pintu Panil Kamper</v>
          </cell>
          <cell r="C157" t="str">
            <v>bh</v>
          </cell>
          <cell r="D157">
            <v>550000</v>
          </cell>
          <cell r="E157">
            <v>0</v>
          </cell>
          <cell r="F157">
            <v>0</v>
          </cell>
          <cell r="G157">
            <v>0.15839999999999999</v>
          </cell>
          <cell r="H157">
            <v>87119.999999999985</v>
          </cell>
          <cell r="I157">
            <v>9.6000000000000002E-2</v>
          </cell>
          <cell r="J157">
            <v>52800</v>
          </cell>
          <cell r="K157">
            <v>0</v>
          </cell>
          <cell r="L157">
            <v>0</v>
          </cell>
          <cell r="M157">
            <v>1.2</v>
          </cell>
          <cell r="N157">
            <v>660000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X157">
            <v>0</v>
          </cell>
          <cell r="AZ157">
            <v>0</v>
          </cell>
          <cell r="BB157">
            <v>0</v>
          </cell>
          <cell r="BD157">
            <v>0</v>
          </cell>
          <cell r="BF157">
            <v>0</v>
          </cell>
          <cell r="BH157">
            <v>0</v>
          </cell>
          <cell r="BJ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</row>
        <row r="158">
          <cell r="A158">
            <v>6</v>
          </cell>
          <cell r="B158" t="str">
            <v>Plat besi t = 2 mm</v>
          </cell>
          <cell r="C158" t="str">
            <v>Kg</v>
          </cell>
          <cell r="D158">
            <v>0</v>
          </cell>
          <cell r="E158">
            <v>0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57.085200000000007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4.0440000000000005</v>
          </cell>
          <cell r="AL158">
            <v>0</v>
          </cell>
          <cell r="AM158">
            <v>2.6789999999999998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X158">
            <v>0</v>
          </cell>
          <cell r="AZ158">
            <v>0</v>
          </cell>
          <cell r="BB158">
            <v>0</v>
          </cell>
          <cell r="BD158">
            <v>0</v>
          </cell>
          <cell r="BF158">
            <v>0</v>
          </cell>
          <cell r="BH158">
            <v>0</v>
          </cell>
          <cell r="BJ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</row>
        <row r="159">
          <cell r="A159">
            <v>7</v>
          </cell>
          <cell r="B159" t="str">
            <v>C 40.40.2  (pesan khusus)</v>
          </cell>
          <cell r="C159" t="str">
            <v>Kg</v>
          </cell>
          <cell r="D159">
            <v>14122.3</v>
          </cell>
          <cell r="E159">
            <v>0</v>
          </cell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42.56</v>
          </cell>
          <cell r="L159">
            <v>601045.08799999999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1.68</v>
          </cell>
          <cell r="AL159">
            <v>23725.463999999996</v>
          </cell>
          <cell r="AM159">
            <v>1.1447999999999998</v>
          </cell>
          <cell r="AN159">
            <v>16167.209039999996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X159">
            <v>0</v>
          </cell>
          <cell r="AZ159">
            <v>0</v>
          </cell>
          <cell r="BB159">
            <v>0</v>
          </cell>
          <cell r="BD159">
            <v>0</v>
          </cell>
          <cell r="BF159">
            <v>0</v>
          </cell>
          <cell r="BH159">
            <v>0</v>
          </cell>
          <cell r="BJ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</row>
        <row r="160">
          <cell r="A160">
            <v>8</v>
          </cell>
          <cell r="B160" t="str">
            <v>Handle besi dia 16 mm</v>
          </cell>
          <cell r="C160" t="str">
            <v>Set</v>
          </cell>
          <cell r="D160">
            <v>129652.5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1</v>
          </cell>
          <cell r="L160">
            <v>129652.5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15.8</v>
          </cell>
          <cell r="AL160">
            <v>2048509.5</v>
          </cell>
          <cell r="AM160">
            <v>12.166</v>
          </cell>
          <cell r="AN160">
            <v>1577352.3149999999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X160">
            <v>0</v>
          </cell>
          <cell r="AZ160">
            <v>0</v>
          </cell>
          <cell r="BB160">
            <v>0</v>
          </cell>
          <cell r="BD160">
            <v>0</v>
          </cell>
          <cell r="BF160">
            <v>0</v>
          </cell>
          <cell r="BH160">
            <v>0</v>
          </cell>
          <cell r="BJ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</row>
        <row r="161">
          <cell r="A161">
            <v>9</v>
          </cell>
          <cell r="B161" t="str">
            <v>Hendle pintu Stainless</v>
          </cell>
          <cell r="C161" t="str">
            <v>Set</v>
          </cell>
          <cell r="D161">
            <v>261652.5</v>
          </cell>
          <cell r="E161">
            <v>2</v>
          </cell>
          <cell r="F161">
            <v>523305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X161">
            <v>0</v>
          </cell>
          <cell r="AZ161">
            <v>0</v>
          </cell>
          <cell r="BB161">
            <v>0</v>
          </cell>
          <cell r="BC161">
            <v>2</v>
          </cell>
          <cell r="BD161">
            <v>523305</v>
          </cell>
          <cell r="BF161">
            <v>0</v>
          </cell>
          <cell r="BH161">
            <v>0</v>
          </cell>
          <cell r="BJ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</row>
        <row r="162">
          <cell r="A162">
            <v>10</v>
          </cell>
          <cell r="B162" t="str">
            <v>Kunci Pintu Handle stainleess (dorma)</v>
          </cell>
          <cell r="C162" t="str">
            <v>Set</v>
          </cell>
          <cell r="D162">
            <v>650000</v>
          </cell>
          <cell r="E162">
            <v>0</v>
          </cell>
          <cell r="F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X162">
            <v>0</v>
          </cell>
          <cell r="AZ162">
            <v>0</v>
          </cell>
          <cell r="BB162">
            <v>0</v>
          </cell>
          <cell r="BD162">
            <v>0</v>
          </cell>
          <cell r="BF162">
            <v>0</v>
          </cell>
          <cell r="BH162">
            <v>0</v>
          </cell>
          <cell r="BJ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</row>
        <row r="163">
          <cell r="A163">
            <v>11</v>
          </cell>
          <cell r="B163" t="str">
            <v>Kunci tanam Antik</v>
          </cell>
          <cell r="C163" t="str">
            <v>Set</v>
          </cell>
          <cell r="D163">
            <v>265000</v>
          </cell>
          <cell r="E163">
            <v>0</v>
          </cell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X163">
            <v>0</v>
          </cell>
          <cell r="AZ163">
            <v>0</v>
          </cell>
          <cell r="BB163">
            <v>0</v>
          </cell>
          <cell r="BD163">
            <v>0</v>
          </cell>
          <cell r="BF163">
            <v>0</v>
          </cell>
          <cell r="BH163">
            <v>0</v>
          </cell>
          <cell r="BJ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</row>
        <row r="164">
          <cell r="A164">
            <v>12</v>
          </cell>
          <cell r="B164" t="str">
            <v>Kunci tanam biasa</v>
          </cell>
          <cell r="C164" t="str">
            <v>Set</v>
          </cell>
          <cell r="D164">
            <v>168565</v>
          </cell>
          <cell r="E164">
            <v>0</v>
          </cell>
          <cell r="F164">
            <v>0</v>
          </cell>
          <cell r="G164">
            <v>1</v>
          </cell>
          <cell r="H164">
            <v>168565</v>
          </cell>
          <cell r="I164">
            <v>0</v>
          </cell>
          <cell r="J164">
            <v>0</v>
          </cell>
          <cell r="K164">
            <v>1</v>
          </cell>
          <cell r="L164">
            <v>168565</v>
          </cell>
          <cell r="M164">
            <v>1</v>
          </cell>
          <cell r="N164">
            <v>168565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X164">
            <v>0</v>
          </cell>
          <cell r="AZ164">
            <v>0</v>
          </cell>
          <cell r="BB164">
            <v>0</v>
          </cell>
          <cell r="BC164">
            <v>2</v>
          </cell>
          <cell r="BD164">
            <v>337130</v>
          </cell>
          <cell r="BF164">
            <v>0</v>
          </cell>
          <cell r="BH164">
            <v>0</v>
          </cell>
          <cell r="BJ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</row>
        <row r="165">
          <cell r="A165">
            <v>13</v>
          </cell>
          <cell r="B165" t="str">
            <v>Kunci Silinder</v>
          </cell>
          <cell r="C165" t="str">
            <v>Set</v>
          </cell>
          <cell r="D165">
            <v>217900</v>
          </cell>
          <cell r="E165">
            <v>0</v>
          </cell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X165">
            <v>0</v>
          </cell>
          <cell r="AZ165">
            <v>0</v>
          </cell>
          <cell r="BB165">
            <v>0</v>
          </cell>
          <cell r="BD165">
            <v>0</v>
          </cell>
          <cell r="BF165">
            <v>0</v>
          </cell>
          <cell r="BH165">
            <v>0</v>
          </cell>
          <cell r="BJ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</row>
        <row r="166">
          <cell r="A166">
            <v>14</v>
          </cell>
          <cell r="B166" t="str">
            <v>Kunci Selot</v>
          </cell>
          <cell r="C166" t="str">
            <v>Set</v>
          </cell>
          <cell r="D166">
            <v>48300</v>
          </cell>
          <cell r="E166">
            <v>0</v>
          </cell>
          <cell r="F166">
            <v>0</v>
          </cell>
          <cell r="G166">
            <v>1</v>
          </cell>
          <cell r="H166">
            <v>48300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X166">
            <v>0</v>
          </cell>
          <cell r="AZ166">
            <v>0</v>
          </cell>
          <cell r="BB166">
            <v>0</v>
          </cell>
          <cell r="BD166">
            <v>0</v>
          </cell>
          <cell r="BF166">
            <v>0</v>
          </cell>
          <cell r="BH166">
            <v>0</v>
          </cell>
          <cell r="BJ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</row>
        <row r="167">
          <cell r="A167">
            <v>15</v>
          </cell>
          <cell r="B167" t="str">
            <v>Engsel jendela</v>
          </cell>
          <cell r="C167" t="str">
            <v>Bh</v>
          </cell>
          <cell r="D167">
            <v>16600</v>
          </cell>
          <cell r="E167">
            <v>0</v>
          </cell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X167">
            <v>0</v>
          </cell>
          <cell r="AZ167">
            <v>0</v>
          </cell>
          <cell r="BB167">
            <v>0</v>
          </cell>
          <cell r="BD167">
            <v>0</v>
          </cell>
          <cell r="BF167">
            <v>0</v>
          </cell>
          <cell r="BH167">
            <v>0</v>
          </cell>
          <cell r="BJ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</row>
        <row r="168">
          <cell r="A168">
            <v>16</v>
          </cell>
          <cell r="B168" t="str">
            <v>Engsel pintu</v>
          </cell>
          <cell r="C168" t="str">
            <v>Bh</v>
          </cell>
          <cell r="D168">
            <v>44395.75</v>
          </cell>
          <cell r="E168">
            <v>4</v>
          </cell>
          <cell r="F168">
            <v>177583</v>
          </cell>
          <cell r="G168">
            <v>4</v>
          </cell>
          <cell r="H168">
            <v>177583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</v>
          </cell>
          <cell r="N168">
            <v>133187.25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X168">
            <v>0</v>
          </cell>
          <cell r="AZ168">
            <v>0</v>
          </cell>
          <cell r="BB168">
            <v>0</v>
          </cell>
          <cell r="BC168">
            <v>4</v>
          </cell>
          <cell r="BD168">
            <v>177583</v>
          </cell>
          <cell r="BF168">
            <v>0</v>
          </cell>
          <cell r="BH168">
            <v>0</v>
          </cell>
          <cell r="BJ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CO168">
            <v>0</v>
          </cell>
          <cell r="CP168">
            <v>0</v>
          </cell>
        </row>
        <row r="169">
          <cell r="A169">
            <v>17</v>
          </cell>
          <cell r="B169" t="str">
            <v>Engsel Pintu dari pipa besi dia 2 cm</v>
          </cell>
          <cell r="C169" t="str">
            <v>Bh</v>
          </cell>
          <cell r="D169">
            <v>66593.625</v>
          </cell>
          <cell r="E169">
            <v>0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</v>
          </cell>
          <cell r="L169">
            <v>133187.25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X169">
            <v>0</v>
          </cell>
          <cell r="AZ169">
            <v>0</v>
          </cell>
          <cell r="BB169">
            <v>0</v>
          </cell>
          <cell r="BD169">
            <v>0</v>
          </cell>
          <cell r="BF169">
            <v>0</v>
          </cell>
          <cell r="BH169">
            <v>0</v>
          </cell>
          <cell r="BJ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</row>
        <row r="170">
          <cell r="A170">
            <v>18</v>
          </cell>
          <cell r="B170" t="str">
            <v>Kait/hak angin</v>
          </cell>
          <cell r="C170" t="str">
            <v>Set</v>
          </cell>
          <cell r="D170">
            <v>27000</v>
          </cell>
          <cell r="E170">
            <v>0</v>
          </cell>
          <cell r="F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X170">
            <v>0</v>
          </cell>
          <cell r="AZ170">
            <v>0</v>
          </cell>
          <cell r="BB170">
            <v>0</v>
          </cell>
          <cell r="BD170">
            <v>0</v>
          </cell>
          <cell r="BF170">
            <v>0</v>
          </cell>
          <cell r="BH170">
            <v>0</v>
          </cell>
          <cell r="BJ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</row>
        <row r="171">
          <cell r="A171">
            <v>19</v>
          </cell>
          <cell r="B171" t="str">
            <v>Grendel pintu kuningan</v>
          </cell>
          <cell r="C171" t="str">
            <v>Bh</v>
          </cell>
          <cell r="D171">
            <v>125000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X171">
            <v>0</v>
          </cell>
          <cell r="AZ171">
            <v>0</v>
          </cell>
          <cell r="BB171">
            <v>0</v>
          </cell>
          <cell r="BD171">
            <v>0</v>
          </cell>
          <cell r="BF171">
            <v>0</v>
          </cell>
          <cell r="BH171">
            <v>0</v>
          </cell>
          <cell r="BJ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</row>
        <row r="172">
          <cell r="A172">
            <v>20</v>
          </cell>
          <cell r="B172" t="str">
            <v xml:space="preserve">Grendel jendela </v>
          </cell>
          <cell r="C172" t="str">
            <v>Bh</v>
          </cell>
          <cell r="D172">
            <v>8100</v>
          </cell>
          <cell r="E172">
            <v>0</v>
          </cell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X172">
            <v>0</v>
          </cell>
          <cell r="AZ172">
            <v>0</v>
          </cell>
          <cell r="BB172">
            <v>0</v>
          </cell>
          <cell r="BD172">
            <v>0</v>
          </cell>
          <cell r="BF172">
            <v>0</v>
          </cell>
          <cell r="BH172">
            <v>0</v>
          </cell>
          <cell r="BJ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</row>
        <row r="173">
          <cell r="A173">
            <v>21</v>
          </cell>
          <cell r="B173" t="str">
            <v>Grendel pintu</v>
          </cell>
          <cell r="C173" t="str">
            <v>Bh</v>
          </cell>
          <cell r="D173">
            <v>14200</v>
          </cell>
          <cell r="E173">
            <v>0</v>
          </cell>
          <cell r="F173">
            <v>0</v>
          </cell>
          <cell r="G173">
            <v>2</v>
          </cell>
          <cell r="H173">
            <v>28400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X173">
            <v>0</v>
          </cell>
          <cell r="AZ173">
            <v>0</v>
          </cell>
          <cell r="BB173">
            <v>0</v>
          </cell>
          <cell r="BC173">
            <v>1</v>
          </cell>
          <cell r="BD173">
            <v>14200</v>
          </cell>
          <cell r="BF173">
            <v>0</v>
          </cell>
          <cell r="BH173">
            <v>0</v>
          </cell>
          <cell r="BJ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</row>
        <row r="174">
          <cell r="A174">
            <v>22</v>
          </cell>
          <cell r="B174" t="str">
            <v>Stripting Knip</v>
          </cell>
          <cell r="C174" t="str">
            <v>Set</v>
          </cell>
          <cell r="D174">
            <v>13700</v>
          </cell>
          <cell r="E174">
            <v>0</v>
          </cell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X174">
            <v>0</v>
          </cell>
          <cell r="AZ174">
            <v>0</v>
          </cell>
          <cell r="BB174">
            <v>0</v>
          </cell>
          <cell r="BD174">
            <v>0</v>
          </cell>
          <cell r="BF174">
            <v>0</v>
          </cell>
          <cell r="BH174">
            <v>0</v>
          </cell>
          <cell r="BJ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</row>
        <row r="175">
          <cell r="A175">
            <v>23</v>
          </cell>
          <cell r="B175" t="str">
            <v>Door Closer</v>
          </cell>
          <cell r="C175" t="str">
            <v>Set</v>
          </cell>
          <cell r="D175">
            <v>260800</v>
          </cell>
          <cell r="E175">
            <v>0</v>
          </cell>
          <cell r="F175">
            <v>0</v>
          </cell>
          <cell r="G175">
            <v>2</v>
          </cell>
          <cell r="H175">
            <v>521600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X175">
            <v>0</v>
          </cell>
          <cell r="AZ175">
            <v>0</v>
          </cell>
          <cell r="BB175">
            <v>0</v>
          </cell>
          <cell r="BD175">
            <v>0</v>
          </cell>
          <cell r="BF175">
            <v>0</v>
          </cell>
          <cell r="BH175">
            <v>0</v>
          </cell>
          <cell r="BJ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</row>
        <row r="176">
          <cell r="A176">
            <v>24</v>
          </cell>
          <cell r="B176" t="str">
            <v>Door Holder</v>
          </cell>
          <cell r="C176" t="str">
            <v>Set</v>
          </cell>
          <cell r="D176">
            <v>500000</v>
          </cell>
          <cell r="E176">
            <v>0</v>
          </cell>
          <cell r="F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X176">
            <v>0</v>
          </cell>
          <cell r="AZ176">
            <v>0</v>
          </cell>
          <cell r="BB176">
            <v>0</v>
          </cell>
          <cell r="BD176">
            <v>0</v>
          </cell>
          <cell r="BF176">
            <v>0</v>
          </cell>
          <cell r="BH176">
            <v>0</v>
          </cell>
          <cell r="BJ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</row>
        <row r="177">
          <cell r="A177">
            <v>25</v>
          </cell>
          <cell r="B177" t="str">
            <v>Door Stop</v>
          </cell>
          <cell r="C177" t="str">
            <v>Set</v>
          </cell>
          <cell r="D177">
            <v>32100</v>
          </cell>
          <cell r="E177">
            <v>0</v>
          </cell>
          <cell r="F177">
            <v>0</v>
          </cell>
          <cell r="G177">
            <v>0.10319999999999999</v>
          </cell>
          <cell r="H177">
            <v>3312.7199999999993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X177">
            <v>0</v>
          </cell>
          <cell r="AZ177">
            <v>0</v>
          </cell>
          <cell r="BB177">
            <v>0</v>
          </cell>
          <cell r="BD177">
            <v>0</v>
          </cell>
          <cell r="BF177">
            <v>0</v>
          </cell>
          <cell r="BH177">
            <v>0</v>
          </cell>
          <cell r="BJ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</row>
        <row r="178">
          <cell r="A178">
            <v>26</v>
          </cell>
          <cell r="B178" t="str">
            <v>Kaca bening 5 mm</v>
          </cell>
          <cell r="C178" t="str">
            <v>M2</v>
          </cell>
          <cell r="D178">
            <v>66700</v>
          </cell>
          <cell r="E178">
            <v>0</v>
          </cell>
          <cell r="F178">
            <v>0</v>
          </cell>
          <cell r="H178">
            <v>0</v>
          </cell>
          <cell r="I178">
            <v>0.10319999999999999</v>
          </cell>
          <cell r="J178">
            <v>6883.4399999999987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0.15809999999999999</v>
          </cell>
          <cell r="AR178">
            <v>10545.269999999999</v>
          </cell>
          <cell r="AS178">
            <v>0.15809999999999999</v>
          </cell>
          <cell r="AT178">
            <v>10545.269999999999</v>
          </cell>
          <cell r="AU178">
            <v>0</v>
          </cell>
          <cell r="AV178">
            <v>0</v>
          </cell>
          <cell r="AX178">
            <v>0</v>
          </cell>
          <cell r="AZ178">
            <v>0</v>
          </cell>
          <cell r="BB178">
            <v>0</v>
          </cell>
          <cell r="BD178">
            <v>0</v>
          </cell>
          <cell r="BF178">
            <v>0</v>
          </cell>
          <cell r="BH178">
            <v>0</v>
          </cell>
          <cell r="BJ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</row>
        <row r="179">
          <cell r="A179">
            <v>27</v>
          </cell>
          <cell r="B179" t="str">
            <v>Kaca bening 10 mm</v>
          </cell>
          <cell r="C179" t="str">
            <v>M2</v>
          </cell>
          <cell r="D179">
            <v>280895.75</v>
          </cell>
          <cell r="E179">
            <v>0</v>
          </cell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23.1525</v>
          </cell>
          <cell r="P179">
            <v>6503438.8518749997</v>
          </cell>
          <cell r="Q179">
            <v>11.025</v>
          </cell>
          <cell r="R179">
            <v>3096875.6437500003</v>
          </cell>
          <cell r="S179">
            <v>6.6389999999999993</v>
          </cell>
          <cell r="T179">
            <v>1864866.8842499999</v>
          </cell>
          <cell r="U179">
            <v>6.6389999999999993</v>
          </cell>
          <cell r="V179">
            <v>1864866.8842499999</v>
          </cell>
          <cell r="W179">
            <v>0.34410000000000002</v>
          </cell>
          <cell r="X179">
            <v>96656.227575000012</v>
          </cell>
          <cell r="Y179">
            <v>0.34410000000000002</v>
          </cell>
          <cell r="Z179">
            <v>96656.227575000012</v>
          </cell>
          <cell r="AA179">
            <v>2.8280000000000003</v>
          </cell>
          <cell r="AB179">
            <v>794373.1810000001</v>
          </cell>
          <cell r="AC179">
            <v>2.8280000000000003</v>
          </cell>
          <cell r="AD179">
            <v>794373.1810000001</v>
          </cell>
          <cell r="AE179">
            <v>2.8839999999999999</v>
          </cell>
          <cell r="AF179">
            <v>810103.34299999999</v>
          </cell>
          <cell r="AG179">
            <v>1.26</v>
          </cell>
          <cell r="AH179">
            <v>353928.64500000002</v>
          </cell>
          <cell r="AI179">
            <v>1.57605</v>
          </cell>
          <cell r="AJ179">
            <v>442705.74678749999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1.375</v>
          </cell>
          <cell r="AP179">
            <v>386231.65625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X179">
            <v>0</v>
          </cell>
          <cell r="AZ179">
            <v>0</v>
          </cell>
          <cell r="BB179">
            <v>0</v>
          </cell>
          <cell r="BD179">
            <v>0</v>
          </cell>
          <cell r="BF179">
            <v>0</v>
          </cell>
          <cell r="BH179">
            <v>0</v>
          </cell>
          <cell r="BJ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</row>
        <row r="180">
          <cell r="A180">
            <v>28</v>
          </cell>
          <cell r="B180" t="str">
            <v>Kaca Bening 12 mm</v>
          </cell>
          <cell r="C180" t="str">
            <v>M2</v>
          </cell>
          <cell r="D180">
            <v>403787.64062499994</v>
          </cell>
          <cell r="E180">
            <v>0</v>
          </cell>
          <cell r="F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X180">
            <v>0</v>
          </cell>
          <cell r="AZ180">
            <v>0</v>
          </cell>
          <cell r="BB180">
            <v>0</v>
          </cell>
          <cell r="BD180">
            <v>0</v>
          </cell>
          <cell r="BF180">
            <v>0</v>
          </cell>
          <cell r="BH180">
            <v>0</v>
          </cell>
          <cell r="BJ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</row>
        <row r="181">
          <cell r="A181">
            <v>29</v>
          </cell>
          <cell r="B181" t="str">
            <v>Besi hollow 4/4</v>
          </cell>
          <cell r="C181" t="str">
            <v>M'</v>
          </cell>
          <cell r="D181">
            <v>48625.000000000051</v>
          </cell>
          <cell r="E181">
            <v>0</v>
          </cell>
          <cell r="F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5.09</v>
          </cell>
          <cell r="L181">
            <v>247501.25000000026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X181">
            <v>0</v>
          </cell>
          <cell r="AZ181">
            <v>0</v>
          </cell>
          <cell r="BB181">
            <v>0</v>
          </cell>
          <cell r="BC181">
            <v>0</v>
          </cell>
          <cell r="BD181">
            <v>0</v>
          </cell>
          <cell r="BF181">
            <v>0</v>
          </cell>
          <cell r="BH181">
            <v>0</v>
          </cell>
          <cell r="BJ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</row>
        <row r="182">
          <cell r="A182">
            <v>30</v>
          </cell>
          <cell r="B182" t="str">
            <v>Besi hollow 6/6</v>
          </cell>
          <cell r="C182" t="str">
            <v>M'</v>
          </cell>
          <cell r="D182">
            <v>74462.500000000058</v>
          </cell>
          <cell r="E182">
            <v>0</v>
          </cell>
          <cell r="F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5.09</v>
          </cell>
          <cell r="L182">
            <v>379014.12500000029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X182">
            <v>0</v>
          </cell>
          <cell r="AZ182">
            <v>0</v>
          </cell>
          <cell r="BB182">
            <v>0</v>
          </cell>
          <cell r="BD182">
            <v>0</v>
          </cell>
          <cell r="BF182">
            <v>0</v>
          </cell>
          <cell r="BH182">
            <v>0</v>
          </cell>
          <cell r="BJ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</row>
        <row r="183">
          <cell r="A183">
            <v>31</v>
          </cell>
          <cell r="B183" t="str">
            <v>Besi hollow 2.5/5</v>
          </cell>
          <cell r="C183" t="str">
            <v>Kg</v>
          </cell>
          <cell r="D183">
            <v>74462.500000000058</v>
          </cell>
          <cell r="E183">
            <v>0</v>
          </cell>
          <cell r="F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X183">
            <v>0</v>
          </cell>
          <cell r="AZ183">
            <v>0</v>
          </cell>
          <cell r="BB183">
            <v>0</v>
          </cell>
          <cell r="BD183">
            <v>0</v>
          </cell>
          <cell r="BF183">
            <v>0</v>
          </cell>
          <cell r="BH183">
            <v>0</v>
          </cell>
          <cell r="BJ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</row>
        <row r="184">
          <cell r="A184">
            <v>32</v>
          </cell>
          <cell r="B184" t="str">
            <v>Besi hollow 5/5</v>
          </cell>
          <cell r="C184" t="str">
            <v>Kg</v>
          </cell>
          <cell r="D184">
            <v>74462.500000000058</v>
          </cell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X184">
            <v>0</v>
          </cell>
          <cell r="AZ184">
            <v>0</v>
          </cell>
          <cell r="BB184">
            <v>0</v>
          </cell>
          <cell r="BD184">
            <v>0</v>
          </cell>
          <cell r="BF184">
            <v>0</v>
          </cell>
          <cell r="BH184">
            <v>0</v>
          </cell>
          <cell r="BJ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</row>
        <row r="185">
          <cell r="A185">
            <v>33</v>
          </cell>
          <cell r="B185" t="str">
            <v>Besi hollow 2/2</v>
          </cell>
          <cell r="C185" t="str">
            <v>Kg</v>
          </cell>
          <cell r="D185">
            <v>74462.500000000058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X185">
            <v>0</v>
          </cell>
          <cell r="AZ185">
            <v>0</v>
          </cell>
          <cell r="BB185">
            <v>0</v>
          </cell>
          <cell r="BD185">
            <v>0</v>
          </cell>
          <cell r="BF185">
            <v>0</v>
          </cell>
          <cell r="BH185">
            <v>0</v>
          </cell>
          <cell r="BJ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</row>
        <row r="186">
          <cell r="A186">
            <v>34</v>
          </cell>
          <cell r="B186" t="str">
            <v>Besi hollow 2/4</v>
          </cell>
          <cell r="C186" t="str">
            <v>Kg</v>
          </cell>
          <cell r="D186">
            <v>74462.500000000058</v>
          </cell>
          <cell r="E186">
            <v>0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X186">
            <v>0</v>
          </cell>
          <cell r="AZ186">
            <v>0</v>
          </cell>
          <cell r="BB186">
            <v>0</v>
          </cell>
          <cell r="BC186">
            <v>6.1991999999999994</v>
          </cell>
          <cell r="BD186">
            <v>461607.93000000034</v>
          </cell>
          <cell r="BF186">
            <v>0</v>
          </cell>
          <cell r="BH186">
            <v>0</v>
          </cell>
          <cell r="BJ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</row>
        <row r="187">
          <cell r="A187">
            <v>35</v>
          </cell>
          <cell r="B187" t="str">
            <v>Kaca Tempered 12 mm</v>
          </cell>
          <cell r="C187" t="str">
            <v>M2</v>
          </cell>
          <cell r="D187">
            <v>528395.75</v>
          </cell>
          <cell r="E187">
            <v>4.3049999999999997</v>
          </cell>
          <cell r="F187">
            <v>2274743.7037499999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X187">
            <v>0</v>
          </cell>
          <cell r="AZ187">
            <v>0</v>
          </cell>
          <cell r="BB187">
            <v>0</v>
          </cell>
          <cell r="BD187">
            <v>0</v>
          </cell>
          <cell r="BF187">
            <v>0</v>
          </cell>
          <cell r="BH187">
            <v>0</v>
          </cell>
          <cell r="BJ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</row>
        <row r="188">
          <cell r="A188">
            <v>36</v>
          </cell>
          <cell r="B188" t="str">
            <v>Glass Block</v>
          </cell>
          <cell r="C188" t="str">
            <v>Bh</v>
          </cell>
          <cell r="D188">
            <v>45000</v>
          </cell>
          <cell r="E188">
            <v>0</v>
          </cell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X188">
            <v>0</v>
          </cell>
          <cell r="AZ188">
            <v>0</v>
          </cell>
          <cell r="BB188">
            <v>0</v>
          </cell>
          <cell r="BD188">
            <v>0</v>
          </cell>
          <cell r="BF188">
            <v>0</v>
          </cell>
          <cell r="BH188">
            <v>0</v>
          </cell>
          <cell r="BJ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</row>
        <row r="189">
          <cell r="A189">
            <v>37</v>
          </cell>
          <cell r="B189" t="str">
            <v>Kaca Es</v>
          </cell>
          <cell r="C189" t="str">
            <v>M2</v>
          </cell>
          <cell r="D189">
            <v>66700</v>
          </cell>
          <cell r="E189">
            <v>0</v>
          </cell>
          <cell r="F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X189">
            <v>0</v>
          </cell>
          <cell r="AZ189">
            <v>0</v>
          </cell>
          <cell r="BB189">
            <v>0</v>
          </cell>
          <cell r="BD189">
            <v>0</v>
          </cell>
          <cell r="BF189">
            <v>0</v>
          </cell>
          <cell r="BH189">
            <v>0</v>
          </cell>
          <cell r="BJ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</row>
        <row r="190">
          <cell r="A190">
            <v>38</v>
          </cell>
          <cell r="B190" t="str">
            <v>Krepyak Kaca Nako + Kerangka</v>
          </cell>
          <cell r="C190" t="str">
            <v>M2</v>
          </cell>
          <cell r="D190">
            <v>81300</v>
          </cell>
          <cell r="E190">
            <v>0</v>
          </cell>
          <cell r="F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X190">
            <v>0</v>
          </cell>
          <cell r="AZ190">
            <v>0</v>
          </cell>
          <cell r="BB190">
            <v>0</v>
          </cell>
          <cell r="BD190">
            <v>0</v>
          </cell>
          <cell r="BF190">
            <v>0</v>
          </cell>
          <cell r="BH190">
            <v>0</v>
          </cell>
          <cell r="BJ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</row>
        <row r="191">
          <cell r="A191">
            <v>39</v>
          </cell>
          <cell r="B191" t="str">
            <v>Sticker Efek Kaca Es</v>
          </cell>
          <cell r="C191" t="str">
            <v>M2</v>
          </cell>
          <cell r="D191">
            <v>150000</v>
          </cell>
          <cell r="E191">
            <v>0</v>
          </cell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4.1899999999999995</v>
          </cell>
          <cell r="T191">
            <v>628499.99999999988</v>
          </cell>
          <cell r="U191">
            <v>3.9323999999999999</v>
          </cell>
          <cell r="V191">
            <v>589860</v>
          </cell>
          <cell r="W191">
            <v>0</v>
          </cell>
          <cell r="X191">
            <v>0</v>
          </cell>
          <cell r="Y191">
            <v>0.16500000000000001</v>
          </cell>
          <cell r="Z191">
            <v>24750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0.31619999999999998</v>
          </cell>
          <cell r="AT191">
            <v>47430</v>
          </cell>
          <cell r="AU191">
            <v>0</v>
          </cell>
          <cell r="AV191">
            <v>0</v>
          </cell>
          <cell r="AX191">
            <v>0</v>
          </cell>
          <cell r="AZ191">
            <v>0</v>
          </cell>
          <cell r="BB191">
            <v>0</v>
          </cell>
          <cell r="BD191">
            <v>0</v>
          </cell>
          <cell r="BF191">
            <v>0</v>
          </cell>
          <cell r="BH191">
            <v>0</v>
          </cell>
          <cell r="BJ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</row>
        <row r="192">
          <cell r="A192">
            <v>40</v>
          </cell>
          <cell r="B192" t="str">
            <v>Rel Pintu Dorong</v>
          </cell>
          <cell r="C192" t="str">
            <v>M'</v>
          </cell>
          <cell r="D192">
            <v>275000</v>
          </cell>
          <cell r="E192">
            <v>0</v>
          </cell>
          <cell r="F192">
            <v>0</v>
          </cell>
          <cell r="H192">
            <v>0</v>
          </cell>
          <cell r="I192">
            <v>8.8000000000000007</v>
          </cell>
          <cell r="J192">
            <v>2420000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X192">
            <v>0</v>
          </cell>
          <cell r="AZ192">
            <v>0</v>
          </cell>
          <cell r="BB192">
            <v>0</v>
          </cell>
          <cell r="BD192">
            <v>0</v>
          </cell>
          <cell r="BF192">
            <v>0</v>
          </cell>
          <cell r="BH192">
            <v>0</v>
          </cell>
          <cell r="BJ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</row>
        <row r="193">
          <cell r="A193">
            <v>41</v>
          </cell>
          <cell r="B193" t="str">
            <v>Rolling Door</v>
          </cell>
          <cell r="C193" t="str">
            <v>M2</v>
          </cell>
          <cell r="D193">
            <v>358100</v>
          </cell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X193">
            <v>0</v>
          </cell>
          <cell r="AZ193">
            <v>0</v>
          </cell>
          <cell r="BB193">
            <v>0</v>
          </cell>
          <cell r="BD193">
            <v>0</v>
          </cell>
          <cell r="BF193">
            <v>0</v>
          </cell>
          <cell r="BH193">
            <v>0</v>
          </cell>
          <cell r="BJ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</row>
        <row r="194">
          <cell r="A194">
            <v>42</v>
          </cell>
          <cell r="B194" t="str">
            <v>Roster</v>
          </cell>
          <cell r="C194" t="str">
            <v>M2</v>
          </cell>
          <cell r="D194">
            <v>133850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X194">
            <v>0</v>
          </cell>
          <cell r="AZ194">
            <v>0</v>
          </cell>
          <cell r="BB194">
            <v>0</v>
          </cell>
          <cell r="BD194">
            <v>0</v>
          </cell>
          <cell r="BE194">
            <v>3.9600000000000004</v>
          </cell>
          <cell r="BF194">
            <v>530046</v>
          </cell>
          <cell r="BG194">
            <v>7.2700000000000014</v>
          </cell>
          <cell r="BH194">
            <v>973089.50000000023</v>
          </cell>
          <cell r="BI194">
            <v>0.64000000000000012</v>
          </cell>
          <cell r="BJ194">
            <v>85664.000000000015</v>
          </cell>
          <cell r="BK194">
            <v>0.64000000000000012</v>
          </cell>
          <cell r="BL194">
            <v>85664.000000000015</v>
          </cell>
          <cell r="BM194">
            <v>0.32000000000000006</v>
          </cell>
          <cell r="BN194">
            <v>42832.000000000007</v>
          </cell>
          <cell r="BO194">
            <v>0.72000000000000008</v>
          </cell>
          <cell r="BP194">
            <v>96372.000000000015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</row>
        <row r="195">
          <cell r="A195">
            <v>43</v>
          </cell>
          <cell r="B195" t="str">
            <v>Gipsum Board</v>
          </cell>
          <cell r="C195" t="str">
            <v>M2</v>
          </cell>
          <cell r="D195">
            <v>29000</v>
          </cell>
          <cell r="E195">
            <v>0</v>
          </cell>
          <cell r="F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X195">
            <v>0</v>
          </cell>
          <cell r="AZ195">
            <v>0</v>
          </cell>
          <cell r="BB195">
            <v>0</v>
          </cell>
          <cell r="BD195">
            <v>0</v>
          </cell>
          <cell r="BF195">
            <v>0</v>
          </cell>
          <cell r="BH195">
            <v>0</v>
          </cell>
          <cell r="BJ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</row>
        <row r="196">
          <cell r="A196">
            <v>44</v>
          </cell>
          <cell r="B196" t="str">
            <v>List Gipsum</v>
          </cell>
          <cell r="C196" t="str">
            <v>M'</v>
          </cell>
          <cell r="D196">
            <v>17300</v>
          </cell>
          <cell r="E196">
            <v>0</v>
          </cell>
          <cell r="F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X196">
            <v>0</v>
          </cell>
          <cell r="AZ196">
            <v>0</v>
          </cell>
          <cell r="BB196">
            <v>0</v>
          </cell>
          <cell r="BD196">
            <v>0</v>
          </cell>
          <cell r="BF196">
            <v>0</v>
          </cell>
          <cell r="BH196">
            <v>0</v>
          </cell>
          <cell r="BJ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</row>
        <row r="197">
          <cell r="A197">
            <v>45</v>
          </cell>
          <cell r="B197" t="str">
            <v>Sealent</v>
          </cell>
          <cell r="C197" t="str">
            <v>M'</v>
          </cell>
          <cell r="D197">
            <v>8400</v>
          </cell>
          <cell r="E197">
            <v>0</v>
          </cell>
          <cell r="F197">
            <v>0</v>
          </cell>
          <cell r="G197">
            <v>4.88</v>
          </cell>
          <cell r="H197">
            <v>40992</v>
          </cell>
          <cell r="I197">
            <v>4.88</v>
          </cell>
          <cell r="J197">
            <v>40992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40.319999999999993</v>
          </cell>
          <cell r="P197">
            <v>338687.99999999994</v>
          </cell>
          <cell r="Q197">
            <v>19.600000000000001</v>
          </cell>
          <cell r="R197">
            <v>164640</v>
          </cell>
          <cell r="S197">
            <v>58.63</v>
          </cell>
          <cell r="T197">
            <v>492492</v>
          </cell>
          <cell r="U197">
            <v>58.63</v>
          </cell>
          <cell r="V197">
            <v>492492</v>
          </cell>
          <cell r="W197">
            <v>5.6800000000000006</v>
          </cell>
          <cell r="X197">
            <v>47712.000000000007</v>
          </cell>
          <cell r="Y197">
            <v>5.6800000000000006</v>
          </cell>
          <cell r="Z197">
            <v>47712.000000000007</v>
          </cell>
          <cell r="AA197">
            <v>31</v>
          </cell>
          <cell r="AB197">
            <v>260400</v>
          </cell>
          <cell r="AC197">
            <v>31.400000000000002</v>
          </cell>
          <cell r="AD197">
            <v>263760</v>
          </cell>
          <cell r="AE197">
            <v>19.439999999999998</v>
          </cell>
          <cell r="AF197">
            <v>163295.99999999997</v>
          </cell>
          <cell r="AG197">
            <v>4.5999999999999996</v>
          </cell>
          <cell r="AH197">
            <v>38640</v>
          </cell>
          <cell r="AI197">
            <v>10.76</v>
          </cell>
          <cell r="AJ197">
            <v>90384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3.2800000000000002</v>
          </cell>
          <cell r="AR197">
            <v>27552.000000000004</v>
          </cell>
          <cell r="AS197">
            <v>3.2800000000000002</v>
          </cell>
          <cell r="AT197">
            <v>27552.000000000004</v>
          </cell>
          <cell r="AU197">
            <v>0</v>
          </cell>
          <cell r="AV197">
            <v>0</v>
          </cell>
          <cell r="AX197">
            <v>0</v>
          </cell>
          <cell r="AZ197">
            <v>0</v>
          </cell>
          <cell r="BB197">
            <v>0</v>
          </cell>
          <cell r="BD197">
            <v>0</v>
          </cell>
          <cell r="BF197">
            <v>0</v>
          </cell>
          <cell r="BH197">
            <v>0</v>
          </cell>
          <cell r="BJ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</row>
        <row r="198">
          <cell r="A198">
            <v>46</v>
          </cell>
          <cell r="B198" t="str">
            <v>Benangan Kusen</v>
          </cell>
          <cell r="C198" t="str">
            <v>M'</v>
          </cell>
          <cell r="D198">
            <v>4296.0074999999997</v>
          </cell>
          <cell r="E198">
            <v>6.1999999999999993</v>
          </cell>
          <cell r="F198">
            <v>26635.246499999994</v>
          </cell>
          <cell r="G198">
            <v>10.6</v>
          </cell>
          <cell r="H198">
            <v>45537.679499999998</v>
          </cell>
          <cell r="I198">
            <v>0</v>
          </cell>
          <cell r="J198">
            <v>0</v>
          </cell>
          <cell r="K198">
            <v>5.5990000000000002</v>
          </cell>
          <cell r="L198">
            <v>24053.345992499999</v>
          </cell>
          <cell r="M198">
            <v>5.7839999999999998</v>
          </cell>
          <cell r="N198">
            <v>24848.107379999998</v>
          </cell>
          <cell r="O198">
            <v>23.320000000000004</v>
          </cell>
          <cell r="P198">
            <v>100182.89490000001</v>
          </cell>
          <cell r="Q198">
            <v>13.5</v>
          </cell>
          <cell r="R198">
            <v>57996.101249999992</v>
          </cell>
          <cell r="S198">
            <v>21.6</v>
          </cell>
          <cell r="T198">
            <v>92793.762000000002</v>
          </cell>
          <cell r="U198">
            <v>21.6</v>
          </cell>
          <cell r="V198">
            <v>92793.762000000002</v>
          </cell>
          <cell r="W198">
            <v>6.4</v>
          </cell>
          <cell r="X198">
            <v>27494.448</v>
          </cell>
          <cell r="Y198">
            <v>6.4</v>
          </cell>
          <cell r="Z198">
            <v>27494.448</v>
          </cell>
          <cell r="AA198">
            <v>18.8</v>
          </cell>
          <cell r="AB198">
            <v>80764.940999999992</v>
          </cell>
          <cell r="AC198">
            <v>16.600000000000001</v>
          </cell>
          <cell r="AD198">
            <v>71313.724499999997</v>
          </cell>
          <cell r="AE198">
            <v>10.120000000000001</v>
          </cell>
          <cell r="AF198">
            <v>43475.5959</v>
          </cell>
          <cell r="AG198">
            <v>10</v>
          </cell>
          <cell r="AH198">
            <v>42960.074999999997</v>
          </cell>
          <cell r="AI198">
            <v>11.639999999999999</v>
          </cell>
          <cell r="AJ198">
            <v>50005.527299999994</v>
          </cell>
          <cell r="AK198">
            <v>20</v>
          </cell>
          <cell r="AL198">
            <v>85920.15</v>
          </cell>
          <cell r="AM198">
            <v>15.4</v>
          </cell>
          <cell r="AN198">
            <v>66158.515499999994</v>
          </cell>
          <cell r="AO198">
            <v>16.8</v>
          </cell>
          <cell r="AP198">
            <v>72172.925999999992</v>
          </cell>
          <cell r="AQ198">
            <v>4</v>
          </cell>
          <cell r="AR198">
            <v>17184.03</v>
          </cell>
          <cell r="AS198">
            <v>4</v>
          </cell>
          <cell r="AT198">
            <v>17184.03</v>
          </cell>
          <cell r="AU198">
            <v>4</v>
          </cell>
          <cell r="AV198">
            <v>17184.03</v>
          </cell>
          <cell r="AW198">
            <v>22.8</v>
          </cell>
          <cell r="AX198">
            <v>97948.97099999999</v>
          </cell>
          <cell r="AY198">
            <v>22.9</v>
          </cell>
          <cell r="AZ198">
            <v>98378.571749999988</v>
          </cell>
          <cell r="BA198">
            <v>39.200000000000003</v>
          </cell>
          <cell r="BB198">
            <v>168403.49400000001</v>
          </cell>
          <cell r="BD198">
            <v>0</v>
          </cell>
          <cell r="BE198">
            <v>69.599999999999994</v>
          </cell>
          <cell r="BF198">
            <v>299002.12199999997</v>
          </cell>
          <cell r="BG198">
            <v>117.6</v>
          </cell>
          <cell r="BH198">
            <v>505210.48199999996</v>
          </cell>
          <cell r="BI198">
            <v>8</v>
          </cell>
          <cell r="BJ198">
            <v>34368.06</v>
          </cell>
          <cell r="BK198">
            <v>8</v>
          </cell>
          <cell r="BL198">
            <v>34368.06</v>
          </cell>
          <cell r="BM198">
            <v>4.8000000000000007</v>
          </cell>
          <cell r="BN198">
            <v>20620.836000000003</v>
          </cell>
          <cell r="BO198">
            <v>15.200000000000001</v>
          </cell>
          <cell r="BP198">
            <v>65299.313999999998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</row>
        <row r="199">
          <cell r="A199">
            <v>47</v>
          </cell>
          <cell r="B199" t="str">
            <v xml:space="preserve">Cat Kayu </v>
          </cell>
          <cell r="C199" t="str">
            <v>M2</v>
          </cell>
          <cell r="D199">
            <v>19370.5</v>
          </cell>
          <cell r="E199">
            <v>0</v>
          </cell>
          <cell r="F199">
            <v>0</v>
          </cell>
          <cell r="G199">
            <v>4.68</v>
          </cell>
          <cell r="H199">
            <v>90653.939999999988</v>
          </cell>
          <cell r="I199">
            <v>4.7</v>
          </cell>
          <cell r="J199">
            <v>91041.35</v>
          </cell>
          <cell r="K199">
            <v>0</v>
          </cell>
          <cell r="L199">
            <v>0</v>
          </cell>
          <cell r="M199">
            <v>4.0991999999999997</v>
          </cell>
          <cell r="N199">
            <v>79403.553599999999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3.3503999999999992</v>
          </cell>
          <cell r="AL199">
            <v>64898.923199999983</v>
          </cell>
          <cell r="AM199">
            <v>2.2895999999999996</v>
          </cell>
          <cell r="AN199">
            <v>44350.696799999991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X199">
            <v>0</v>
          </cell>
          <cell r="AZ199">
            <v>0</v>
          </cell>
          <cell r="BB199">
            <v>0</v>
          </cell>
          <cell r="BD199">
            <v>0</v>
          </cell>
          <cell r="BF199">
            <v>0</v>
          </cell>
          <cell r="BH199">
            <v>0</v>
          </cell>
          <cell r="BJ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</row>
        <row r="200">
          <cell r="A200">
            <v>48</v>
          </cell>
          <cell r="B200" t="str">
            <v>Cat Besi</v>
          </cell>
          <cell r="C200" t="str">
            <v>M2</v>
          </cell>
          <cell r="D200">
            <v>13698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5.6445590696960588</v>
          </cell>
          <cell r="L200">
            <v>77319.170136696615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0.12169439999999999</v>
          </cell>
          <cell r="AL200">
            <v>1666.9698911999999</v>
          </cell>
          <cell r="AM200">
            <v>0.15644160000000001</v>
          </cell>
          <cell r="AN200">
            <v>2142.9370368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X200">
            <v>0</v>
          </cell>
          <cell r="AZ200">
            <v>0</v>
          </cell>
          <cell r="BB200">
            <v>0</v>
          </cell>
          <cell r="BC200">
            <v>0.7439039999999999</v>
          </cell>
          <cell r="BD200">
            <v>10189.996991999998</v>
          </cell>
          <cell r="BF200">
            <v>0</v>
          </cell>
          <cell r="BH200">
            <v>0</v>
          </cell>
          <cell r="BJ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</row>
        <row r="201">
          <cell r="A201">
            <v>49</v>
          </cell>
          <cell r="B201" t="str">
            <v>Cat Dinding</v>
          </cell>
          <cell r="C201" t="str">
            <v>M2</v>
          </cell>
          <cell r="D201">
            <v>9900</v>
          </cell>
          <cell r="E201">
            <v>0</v>
          </cell>
          <cell r="F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X201">
            <v>0</v>
          </cell>
          <cell r="AZ201">
            <v>0</v>
          </cell>
          <cell r="BB201">
            <v>0</v>
          </cell>
          <cell r="BD201">
            <v>0</v>
          </cell>
          <cell r="BE201">
            <v>7.9200000000000008</v>
          </cell>
          <cell r="BF201">
            <v>78408.000000000015</v>
          </cell>
          <cell r="BG201">
            <v>14.540000000000003</v>
          </cell>
          <cell r="BH201">
            <v>143946.00000000003</v>
          </cell>
          <cell r="BI201">
            <v>1.2800000000000002</v>
          </cell>
          <cell r="BJ201">
            <v>12672.000000000002</v>
          </cell>
          <cell r="BK201">
            <v>1.2800000000000002</v>
          </cell>
          <cell r="BL201">
            <v>12672.000000000002</v>
          </cell>
          <cell r="BM201">
            <v>0.64000000000000012</v>
          </cell>
          <cell r="BN201">
            <v>6336.0000000000009</v>
          </cell>
          <cell r="BO201">
            <v>1.4400000000000002</v>
          </cell>
          <cell r="BP201">
            <v>14256.000000000002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</row>
        <row r="202">
          <cell r="A202">
            <v>50</v>
          </cell>
          <cell r="B202" t="str">
            <v>Plesteran Camprot</v>
          </cell>
          <cell r="C202" t="str">
            <v>M2</v>
          </cell>
          <cell r="D202">
            <v>14600</v>
          </cell>
          <cell r="E202">
            <v>0</v>
          </cell>
          <cell r="F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F202">
            <v>0</v>
          </cell>
          <cell r="BH202">
            <v>0</v>
          </cell>
          <cell r="BJ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</row>
        <row r="203">
          <cell r="A203">
            <v>51</v>
          </cell>
          <cell r="B203" t="str">
            <v>Rangka Metal Furring</v>
          </cell>
          <cell r="C203" t="str">
            <v>M'</v>
          </cell>
          <cell r="D203">
            <v>90000</v>
          </cell>
          <cell r="BD203">
            <v>0</v>
          </cell>
          <cell r="BF203">
            <v>0</v>
          </cell>
          <cell r="BH203">
            <v>0</v>
          </cell>
          <cell r="BJ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</row>
        <row r="204">
          <cell r="A204">
            <v>0</v>
          </cell>
        </row>
        <row r="205">
          <cell r="B205" t="str">
            <v>Jumlah Harga</v>
          </cell>
          <cell r="F205">
            <v>3776944.5502499999</v>
          </cell>
          <cell r="H205">
            <v>1212064.3395</v>
          </cell>
          <cell r="J205">
            <v>2611716.79</v>
          </cell>
          <cell r="L205">
            <v>1760337.7291291971</v>
          </cell>
          <cell r="N205">
            <v>1690743.9109799999</v>
          </cell>
          <cell r="P205">
            <v>10353390.146775</v>
          </cell>
          <cell r="R205">
            <v>5374906.3450000007</v>
          </cell>
          <cell r="T205">
            <v>3078652.6462499998</v>
          </cell>
          <cell r="V205">
            <v>3040012.6462500002</v>
          </cell>
          <cell r="X205">
            <v>171862.67557500003</v>
          </cell>
          <cell r="Z205">
            <v>196612.67557500003</v>
          </cell>
          <cell r="AB205">
            <v>1441660.7220000001</v>
          </cell>
          <cell r="AD205">
            <v>1129446.9055000001</v>
          </cell>
          <cell r="AF205">
            <v>1016874.9389</v>
          </cell>
          <cell r="AG205">
            <v>0</v>
          </cell>
          <cell r="AH205">
            <v>435528.72000000003</v>
          </cell>
          <cell r="AI205">
            <v>0</v>
          </cell>
          <cell r="AJ205">
            <v>583095.27408749994</v>
          </cell>
          <cell r="AK205">
            <v>0</v>
          </cell>
          <cell r="AL205">
            <v>2224721.0070912</v>
          </cell>
          <cell r="AM205">
            <v>0</v>
          </cell>
          <cell r="AN205">
            <v>1706171.6733768</v>
          </cell>
          <cell r="AO205">
            <v>0</v>
          </cell>
          <cell r="AP205">
            <v>639579.18224999995</v>
          </cell>
          <cell r="AQ205">
            <v>0</v>
          </cell>
          <cell r="AR205">
            <v>55281.3</v>
          </cell>
          <cell r="AS205">
            <v>0</v>
          </cell>
          <cell r="AT205">
            <v>102711.3</v>
          </cell>
          <cell r="AU205">
            <v>0</v>
          </cell>
          <cell r="AV205">
            <v>119641.39</v>
          </cell>
          <cell r="AW205">
            <v>0</v>
          </cell>
          <cell r="AX205">
            <v>1081914.4709999999</v>
          </cell>
          <cell r="AY205">
            <v>0</v>
          </cell>
          <cell r="AZ205">
            <v>1072972.9717499998</v>
          </cell>
          <cell r="BA205">
            <v>0</v>
          </cell>
          <cell r="BB205">
            <v>2117592.2939999998</v>
          </cell>
          <cell r="BC205">
            <v>0</v>
          </cell>
          <cell r="BD205">
            <v>1524015.9269920003</v>
          </cell>
          <cell r="BE205">
            <v>0</v>
          </cell>
          <cell r="BF205">
            <v>907456.12199999997</v>
          </cell>
          <cell r="BG205">
            <v>0</v>
          </cell>
          <cell r="BH205">
            <v>1622245.9820000003</v>
          </cell>
          <cell r="BI205">
            <v>0</v>
          </cell>
          <cell r="BJ205">
            <v>132704.06000000003</v>
          </cell>
          <cell r="BL205">
            <v>132704.06000000003</v>
          </cell>
          <cell r="BM205">
            <v>0</v>
          </cell>
          <cell r="BN205">
            <v>69788.83600000001</v>
          </cell>
          <cell r="BO205">
            <v>0</v>
          </cell>
          <cell r="BP205">
            <v>175927.31400000001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</row>
        <row r="206">
          <cell r="F206">
            <v>6424805.5502499994</v>
          </cell>
          <cell r="J206">
            <v>4349487.5559539944</v>
          </cell>
          <cell r="L206">
            <v>2566512.0490891971</v>
          </cell>
          <cell r="N206">
            <v>1690743.9109799999</v>
          </cell>
          <cell r="P206">
            <v>10353390.146775</v>
          </cell>
          <cell r="R206">
            <v>5374906.3450000007</v>
          </cell>
          <cell r="T206">
            <v>3126445.2562500001</v>
          </cell>
          <cell r="V206">
            <v>3087805.2562500001</v>
          </cell>
          <cell r="X206">
            <v>171862.67557500003</v>
          </cell>
          <cell r="Z206">
            <v>196612.67557500003</v>
          </cell>
          <cell r="AB206">
            <v>1497887.3220000002</v>
          </cell>
          <cell r="AD206">
            <v>1129446.9055000001</v>
          </cell>
          <cell r="AH206" t="str">
            <v>J7 TK = J9 SD</v>
          </cell>
          <cell r="AJ206" t="str">
            <v>J8 TK = J10 SD</v>
          </cell>
        </row>
        <row r="207">
          <cell r="J207">
            <v>-1737770.7659539944</v>
          </cell>
          <cell r="L207">
            <v>-806174.31995999999</v>
          </cell>
          <cell r="N207">
            <v>0</v>
          </cell>
          <cell r="P207">
            <v>0</v>
          </cell>
          <cell r="R207">
            <v>0</v>
          </cell>
        </row>
        <row r="209">
          <cell r="A209" t="str">
            <v>No.</v>
          </cell>
          <cell r="B209" t="str">
            <v>Item Pekerjaan</v>
          </cell>
          <cell r="C209" t="str">
            <v>Satuan</v>
          </cell>
          <cell r="D209" t="str">
            <v>Harga Satuan</v>
          </cell>
          <cell r="E209" t="str">
            <v>P1</v>
          </cell>
          <cell r="G209" t="str">
            <v>P2</v>
          </cell>
          <cell r="I209" t="str">
            <v>P3</v>
          </cell>
          <cell r="K209" t="str">
            <v>P4</v>
          </cell>
          <cell r="M209" t="str">
            <v>P5</v>
          </cell>
          <cell r="O209" t="str">
            <v>P6</v>
          </cell>
          <cell r="Q209" t="str">
            <v>P7</v>
          </cell>
          <cell r="S209" t="str">
            <v>P8</v>
          </cell>
          <cell r="U209" t="str">
            <v>P9</v>
          </cell>
          <cell r="W209" t="str">
            <v>J1</v>
          </cell>
          <cell r="Y209" t="str">
            <v>J1'</v>
          </cell>
          <cell r="AA209" t="str">
            <v>J2</v>
          </cell>
          <cell r="AC209" t="str">
            <v>J2'</v>
          </cell>
          <cell r="AE209" t="str">
            <v>J3</v>
          </cell>
          <cell r="AG209" t="str">
            <v>J4</v>
          </cell>
          <cell r="AI209" t="str">
            <v>J5</v>
          </cell>
          <cell r="AK209" t="str">
            <v>J6</v>
          </cell>
          <cell r="AM209" t="str">
            <v>J7</v>
          </cell>
          <cell r="AO209" t="str">
            <v>J8</v>
          </cell>
          <cell r="AQ209" t="str">
            <v>BV1</v>
          </cell>
          <cell r="AS209" t="str">
            <v>M1</v>
          </cell>
          <cell r="AU209" t="str">
            <v>M2</v>
          </cell>
          <cell r="AW209" t="str">
            <v>M3</v>
          </cell>
          <cell r="AY209" t="str">
            <v>R1</v>
          </cell>
          <cell r="BA209" t="str">
            <v>R1'</v>
          </cell>
          <cell r="BC209" t="str">
            <v>R2</v>
          </cell>
          <cell r="BE209" t="str">
            <v>R2'</v>
          </cell>
          <cell r="BG209" t="str">
            <v>R3</v>
          </cell>
          <cell r="BI209" t="str">
            <v>R4</v>
          </cell>
          <cell r="BK209" t="str">
            <v>R5</v>
          </cell>
          <cell r="BM209" t="str">
            <v>R6</v>
          </cell>
          <cell r="BO209" t="str">
            <v>R7</v>
          </cell>
          <cell r="BQ209" t="str">
            <v>R8</v>
          </cell>
          <cell r="BS209" t="str">
            <v>R9</v>
          </cell>
          <cell r="BU209" t="str">
            <v>R10</v>
          </cell>
          <cell r="BW209" t="str">
            <v>R10'</v>
          </cell>
          <cell r="BY209" t="str">
            <v>R11</v>
          </cell>
          <cell r="CA209" t="str">
            <v>R11'</v>
          </cell>
          <cell r="CC209" t="str">
            <v>R12</v>
          </cell>
          <cell r="CE209" t="str">
            <v>R13</v>
          </cell>
          <cell r="CG209" t="str">
            <v>R14</v>
          </cell>
          <cell r="CI209" t="str">
            <v>R15</v>
          </cell>
          <cell r="CK209" t="str">
            <v>R16</v>
          </cell>
          <cell r="CM209" t="str">
            <v>R17</v>
          </cell>
          <cell r="CO209" t="str">
            <v>R18</v>
          </cell>
        </row>
        <row r="210">
          <cell r="D210" t="str">
            <v>Rp.</v>
          </cell>
          <cell r="E210" t="str">
            <v>Vol.</v>
          </cell>
          <cell r="F210" t="str">
            <v>Jumlah Harga</v>
          </cell>
          <cell r="G210" t="str">
            <v>Vol.</v>
          </cell>
          <cell r="H210" t="str">
            <v>Jumlah Harga</v>
          </cell>
          <cell r="I210" t="str">
            <v>Vol.</v>
          </cell>
          <cell r="J210" t="str">
            <v>Jumlah Harga</v>
          </cell>
          <cell r="K210" t="str">
            <v>Vol.</v>
          </cell>
          <cell r="L210" t="str">
            <v>Jumlah Harga</v>
          </cell>
          <cell r="M210" t="str">
            <v>Vol.</v>
          </cell>
          <cell r="N210" t="str">
            <v>Jumlah Harga</v>
          </cell>
          <cell r="O210" t="str">
            <v>Vol.</v>
          </cell>
          <cell r="P210" t="str">
            <v>Jumlah Harga</v>
          </cell>
          <cell r="Q210" t="str">
            <v>Vol.</v>
          </cell>
          <cell r="R210" t="str">
            <v>Jumlah Harga</v>
          </cell>
          <cell r="S210" t="str">
            <v>Vol.</v>
          </cell>
          <cell r="T210" t="str">
            <v>Jumlah Harga</v>
          </cell>
          <cell r="U210" t="str">
            <v>Vol.</v>
          </cell>
          <cell r="V210" t="str">
            <v>Jumlah Harga</v>
          </cell>
          <cell r="W210" t="str">
            <v>Vol.</v>
          </cell>
          <cell r="X210" t="str">
            <v>Jumlah Harga</v>
          </cell>
          <cell r="Y210" t="str">
            <v>Vol.</v>
          </cell>
          <cell r="Z210" t="str">
            <v>Jumlah Harga</v>
          </cell>
          <cell r="AA210" t="str">
            <v>Vol.</v>
          </cell>
          <cell r="AB210" t="str">
            <v>Jumlah Harga</v>
          </cell>
          <cell r="AC210" t="str">
            <v>Vol.</v>
          </cell>
          <cell r="AD210" t="str">
            <v>Jumlah Harga</v>
          </cell>
          <cell r="AE210" t="str">
            <v>Vol.</v>
          </cell>
          <cell r="AF210" t="str">
            <v>Jumlah Harga</v>
          </cell>
          <cell r="AG210" t="str">
            <v>Vol.</v>
          </cell>
          <cell r="AH210" t="str">
            <v>Jumlah Harga</v>
          </cell>
          <cell r="AI210" t="str">
            <v>Vol.</v>
          </cell>
          <cell r="AJ210" t="str">
            <v>Jumlah Harga</v>
          </cell>
          <cell r="AK210" t="str">
            <v>Vol.</v>
          </cell>
          <cell r="AL210" t="str">
            <v>Jumlah Harga</v>
          </cell>
          <cell r="AM210" t="str">
            <v>Vol.</v>
          </cell>
          <cell r="AN210" t="str">
            <v>Jumlah Harga</v>
          </cell>
          <cell r="AO210" t="str">
            <v>Vol.</v>
          </cell>
          <cell r="AP210" t="str">
            <v>Jumlah Harga</v>
          </cell>
          <cell r="AQ210" t="str">
            <v>Vol.</v>
          </cell>
          <cell r="AR210" t="str">
            <v>Jumlah Harga</v>
          </cell>
          <cell r="AS210" t="str">
            <v>Vol.</v>
          </cell>
          <cell r="AT210" t="str">
            <v>Jumlah Harga</v>
          </cell>
          <cell r="AU210" t="str">
            <v>Vol.</v>
          </cell>
          <cell r="AV210" t="str">
            <v>Jumlah Harga</v>
          </cell>
          <cell r="AW210" t="str">
            <v>Vol.</v>
          </cell>
          <cell r="AX210" t="str">
            <v>Jumlah Harga</v>
          </cell>
          <cell r="AY210" t="str">
            <v>Vol.</v>
          </cell>
          <cell r="AZ210" t="str">
            <v>Jumlah Harga</v>
          </cell>
          <cell r="BA210" t="str">
            <v>Vol.</v>
          </cell>
          <cell r="BB210" t="str">
            <v>Jumlah Harga</v>
          </cell>
          <cell r="BC210" t="str">
            <v>Vol.</v>
          </cell>
          <cell r="BD210" t="str">
            <v>Jumlah Harga</v>
          </cell>
          <cell r="BE210" t="str">
            <v>Vol.</v>
          </cell>
          <cell r="BF210" t="str">
            <v>Jumlah Harga</v>
          </cell>
          <cell r="BG210" t="str">
            <v>Vol.</v>
          </cell>
          <cell r="BH210" t="str">
            <v>Jumlah Harga</v>
          </cell>
          <cell r="BI210" t="str">
            <v>Vol.</v>
          </cell>
          <cell r="BJ210" t="str">
            <v>Jumlah Harga</v>
          </cell>
          <cell r="BK210" t="str">
            <v>Vol.</v>
          </cell>
          <cell r="BL210" t="str">
            <v>Jumlah Harga</v>
          </cell>
          <cell r="BM210" t="str">
            <v>Vol.</v>
          </cell>
          <cell r="BN210" t="str">
            <v>Jumlah Harga</v>
          </cell>
          <cell r="BO210" t="str">
            <v>Vol.</v>
          </cell>
          <cell r="BP210" t="str">
            <v>Jumlah Harga</v>
          </cell>
          <cell r="BQ210" t="str">
            <v>Vol.</v>
          </cell>
          <cell r="BR210" t="str">
            <v>Jumlah Harga</v>
          </cell>
          <cell r="BS210" t="str">
            <v>Vol.</v>
          </cell>
          <cell r="BT210" t="str">
            <v>Jumlah Harga</v>
          </cell>
          <cell r="BU210" t="str">
            <v>Vol.</v>
          </cell>
          <cell r="BV210" t="str">
            <v>Jumlah Harga</v>
          </cell>
          <cell r="BW210" t="str">
            <v>Vol.</v>
          </cell>
          <cell r="BX210" t="str">
            <v>Jumlah Harga</v>
          </cell>
          <cell r="BY210" t="str">
            <v>Vol.</v>
          </cell>
          <cell r="BZ210" t="str">
            <v>Jumlah Harga</v>
          </cell>
          <cell r="CA210" t="str">
            <v>Vol.</v>
          </cell>
          <cell r="CB210" t="str">
            <v>Jumlah Harga</v>
          </cell>
          <cell r="CC210" t="str">
            <v>Vol.</v>
          </cell>
          <cell r="CD210" t="str">
            <v>Jumlah Harga</v>
          </cell>
          <cell r="CE210" t="str">
            <v>Vol.</v>
          </cell>
          <cell r="CF210" t="str">
            <v>Jumlah Harga</v>
          </cell>
          <cell r="CG210" t="str">
            <v>Vol.</v>
          </cell>
          <cell r="CH210" t="str">
            <v>Jumlah Harga</v>
          </cell>
          <cell r="CI210" t="str">
            <v>Vol.</v>
          </cell>
          <cell r="CJ210" t="str">
            <v>Jumlah Harga</v>
          </cell>
          <cell r="CK210" t="str">
            <v>Vol.</v>
          </cell>
          <cell r="CL210" t="str">
            <v>Jumlah Harga</v>
          </cell>
          <cell r="CM210" t="str">
            <v>Vol.</v>
          </cell>
          <cell r="CN210" t="str">
            <v>Jumlah Harga</v>
          </cell>
          <cell r="CO210" t="str">
            <v>Vol.</v>
          </cell>
          <cell r="CP210" t="str">
            <v>Jumlah Harga</v>
          </cell>
        </row>
        <row r="211">
          <cell r="A211" t="str">
            <v>I.</v>
          </cell>
          <cell r="B211" t="str">
            <v>UNIT BANGUNAN SMA</v>
          </cell>
        </row>
        <row r="213">
          <cell r="A213">
            <v>1</v>
          </cell>
          <cell r="B213" t="str">
            <v>Kayu 6/12</v>
          </cell>
          <cell r="C213" t="str">
            <v>M3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3.6144000000000003E-2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6.0400000000000011E-3</v>
          </cell>
          <cell r="R213">
            <v>0</v>
          </cell>
          <cell r="S213">
            <v>2.8E-3</v>
          </cell>
          <cell r="T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1.12E-2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</row>
        <row r="214">
          <cell r="A214">
            <v>2</v>
          </cell>
          <cell r="B214" t="str">
            <v>Kayu Slimar 3/10</v>
          </cell>
          <cell r="C214" t="str">
            <v>M3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1.4159999999999999E-2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2.8E-3</v>
          </cell>
          <cell r="T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3.2000000000000006E-3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</row>
        <row r="215">
          <cell r="A215">
            <v>3</v>
          </cell>
          <cell r="B215" t="str">
            <v>Kayu Slimar 3/15</v>
          </cell>
          <cell r="C215" t="str">
            <v>M3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2.6999999999999997E-3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1.28</v>
          </cell>
          <cell r="R215">
            <v>0</v>
          </cell>
          <cell r="S215">
            <v>2.8</v>
          </cell>
          <cell r="T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3.2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</row>
        <row r="216">
          <cell r="A216">
            <v>4</v>
          </cell>
          <cell r="B216" t="str">
            <v>Kayu Slimar 3/20</v>
          </cell>
          <cell r="C216" t="str">
            <v>M3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3.5999999999999999E-3</v>
          </cell>
          <cell r="L216">
            <v>0</v>
          </cell>
          <cell r="M216">
            <v>0</v>
          </cell>
          <cell r="N216">
            <v>0</v>
          </cell>
          <cell r="O216">
            <v>1.44</v>
          </cell>
          <cell r="P216">
            <v>0</v>
          </cell>
          <cell r="Q216">
            <v>1.1000000000000001</v>
          </cell>
          <cell r="R216">
            <v>0</v>
          </cell>
          <cell r="S216">
            <v>1.2949999999999999</v>
          </cell>
          <cell r="T216">
            <v>0</v>
          </cell>
          <cell r="U216">
            <v>0.48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3.6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</row>
        <row r="217">
          <cell r="A217">
            <v>5</v>
          </cell>
          <cell r="B217" t="str">
            <v>Kayu 2/10</v>
          </cell>
          <cell r="C217" t="str">
            <v>M3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5.4000000000000012E-3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3.5999999999999996</v>
          </cell>
          <cell r="R217">
            <v>0</v>
          </cell>
          <cell r="S217">
            <v>4.5999999999999996</v>
          </cell>
          <cell r="T217">
            <v>0</v>
          </cell>
          <cell r="V217">
            <v>0</v>
          </cell>
          <cell r="W217">
            <v>12.399999999999999</v>
          </cell>
          <cell r="X217">
            <v>0</v>
          </cell>
          <cell r="Y217">
            <v>12.399999999999999</v>
          </cell>
          <cell r="Z217">
            <v>0</v>
          </cell>
          <cell r="AA217">
            <v>17.399999999999999</v>
          </cell>
          <cell r="AB217">
            <v>0</v>
          </cell>
          <cell r="AC217">
            <v>17.399999999999999</v>
          </cell>
          <cell r="AD217">
            <v>0</v>
          </cell>
          <cell r="AE217">
            <v>9.3500000000000014</v>
          </cell>
          <cell r="AF217">
            <v>0</v>
          </cell>
          <cell r="AG217">
            <v>4</v>
          </cell>
          <cell r="AH217">
            <v>0</v>
          </cell>
          <cell r="AI217">
            <v>6.3999999999999995</v>
          </cell>
          <cell r="AJ217">
            <v>0</v>
          </cell>
          <cell r="AK217">
            <v>5.9</v>
          </cell>
          <cell r="AL217">
            <v>0</v>
          </cell>
          <cell r="AM217">
            <v>46.699999999999996</v>
          </cell>
          <cell r="AN217">
            <v>0</v>
          </cell>
          <cell r="AO217">
            <v>4</v>
          </cell>
          <cell r="AP217">
            <v>0</v>
          </cell>
          <cell r="AQ217">
            <v>3.2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4.9000000000000004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</row>
        <row r="218">
          <cell r="A218">
            <v>6</v>
          </cell>
          <cell r="B218" t="str">
            <v>Panil t = 3 cm</v>
          </cell>
          <cell r="C218" t="str">
            <v>M2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0.49500000000000005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</row>
        <row r="219">
          <cell r="A219">
            <v>1</v>
          </cell>
          <cell r="B219" t="str">
            <v>Kusen Aluminium 5/10</v>
          </cell>
          <cell r="C219" t="str">
            <v>M'</v>
          </cell>
          <cell r="D219">
            <v>124948</v>
          </cell>
          <cell r="E219">
            <v>6.1999999999999993</v>
          </cell>
          <cell r="F219">
            <v>774677.59999999986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</v>
          </cell>
          <cell r="L219">
            <v>624740</v>
          </cell>
          <cell r="M219">
            <v>6.1999999999999993</v>
          </cell>
          <cell r="N219">
            <v>774677.59999999986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</row>
        <row r="220">
          <cell r="A220">
            <v>2</v>
          </cell>
          <cell r="B220" t="str">
            <v xml:space="preserve">Rangka Daun Jendela Alumunium </v>
          </cell>
          <cell r="C220" t="str">
            <v>M'</v>
          </cell>
          <cell r="D220">
            <v>124948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</row>
        <row r="221">
          <cell r="A221">
            <v>3</v>
          </cell>
          <cell r="B221" t="str">
            <v>Rangka Tiang Sirip Alumunium 1/1 Putih</v>
          </cell>
          <cell r="C221" t="str">
            <v>M'</v>
          </cell>
          <cell r="D221">
            <v>62474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0</v>
          </cell>
          <cell r="V221">
            <v>0</v>
          </cell>
          <cell r="W221">
            <v>2.8499999999999996</v>
          </cell>
          <cell r="X221">
            <v>178050.89999999997</v>
          </cell>
          <cell r="Y221">
            <v>2.8499999999999996</v>
          </cell>
          <cell r="Z221">
            <v>178050.89999999997</v>
          </cell>
          <cell r="AA221">
            <v>2.8499999999999996</v>
          </cell>
          <cell r="AB221">
            <v>178050.89999999997</v>
          </cell>
          <cell r="AC221">
            <v>2.8499999999999996</v>
          </cell>
          <cell r="AD221">
            <v>178050.89999999997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1.85</v>
          </cell>
          <cell r="AL221">
            <v>115576.90000000001</v>
          </cell>
          <cell r="AM221">
            <v>16.600000000000001</v>
          </cell>
          <cell r="AN221">
            <v>1037068.4000000001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</row>
        <row r="222">
          <cell r="A222">
            <v>4</v>
          </cell>
          <cell r="B222" t="str">
            <v>Pasang Shading Sirip Alumunium 0.2/10 +Rangka</v>
          </cell>
          <cell r="C222" t="str">
            <v>M2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V222">
            <v>0</v>
          </cell>
          <cell r="W222">
            <v>0.50749999999999995</v>
          </cell>
          <cell r="X222">
            <v>0</v>
          </cell>
          <cell r="Y222">
            <v>0.50749999999999995</v>
          </cell>
          <cell r="Z222">
            <v>0</v>
          </cell>
          <cell r="AA222">
            <v>0.50749999999999995</v>
          </cell>
          <cell r="AB222">
            <v>0</v>
          </cell>
          <cell r="AC222">
            <v>0.50749999999999995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0.14499999999999999</v>
          </cell>
          <cell r="AL222">
            <v>0</v>
          </cell>
          <cell r="AM222">
            <v>1.9249999999999996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</row>
        <row r="223">
          <cell r="A223">
            <v>5</v>
          </cell>
          <cell r="B223" t="str">
            <v>Daun Pintu Panil Kamper</v>
          </cell>
          <cell r="C223" t="str">
            <v>bh</v>
          </cell>
          <cell r="D223">
            <v>550000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1.2</v>
          </cell>
          <cell r="L223">
            <v>660000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2.4E-2</v>
          </cell>
          <cell r="R223">
            <v>13200</v>
          </cell>
          <cell r="S223">
            <v>1.2E-2</v>
          </cell>
          <cell r="T223">
            <v>6600</v>
          </cell>
          <cell r="U223">
            <v>6.339599999999999</v>
          </cell>
          <cell r="V223">
            <v>3486779.9999999995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2.1599999999999998E-2</v>
          </cell>
          <cell r="AX223">
            <v>11879.999999999998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</row>
        <row r="224">
          <cell r="A224">
            <v>6</v>
          </cell>
          <cell r="B224" t="str">
            <v>Plat besi t = 2 mm</v>
          </cell>
          <cell r="C224" t="str">
            <v>Kg</v>
          </cell>
          <cell r="D224">
            <v>0</v>
          </cell>
          <cell r="E224">
            <v>0</v>
          </cell>
          <cell r="F224">
            <v>0</v>
          </cell>
          <cell r="G224">
            <v>107.44703200000002</v>
          </cell>
          <cell r="H224">
            <v>0</v>
          </cell>
          <cell r="I224">
            <v>57.085200000000007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</row>
        <row r="225">
          <cell r="A225">
            <v>7</v>
          </cell>
          <cell r="B225" t="str">
            <v>C 40.40.2  (pesan khusus)</v>
          </cell>
          <cell r="C225" t="str">
            <v>Kg</v>
          </cell>
          <cell r="D225">
            <v>14122.3</v>
          </cell>
          <cell r="E225">
            <v>0</v>
          </cell>
          <cell r="F225">
            <v>0</v>
          </cell>
          <cell r="G225">
            <v>86.141440000000003</v>
          </cell>
          <cell r="H225">
            <v>1216515.2581120001</v>
          </cell>
          <cell r="I225">
            <v>42.56</v>
          </cell>
          <cell r="J225">
            <v>601045.08799999999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3.5711999999999997</v>
          </cell>
          <cell r="P225">
            <v>50433.557759999996</v>
          </cell>
          <cell r="Q225">
            <v>0</v>
          </cell>
          <cell r="R225">
            <v>0</v>
          </cell>
          <cell r="T225">
            <v>0</v>
          </cell>
          <cell r="U225">
            <v>0.90624000000000005</v>
          </cell>
          <cell r="V225">
            <v>12798.193152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</row>
        <row r="226">
          <cell r="A226">
            <v>8</v>
          </cell>
          <cell r="B226" t="str">
            <v>Handle besi dia 16 mm</v>
          </cell>
          <cell r="C226" t="str">
            <v>Set</v>
          </cell>
          <cell r="D226">
            <v>129652.5</v>
          </cell>
          <cell r="E226">
            <v>0</v>
          </cell>
          <cell r="F226">
            <v>0</v>
          </cell>
          <cell r="G226">
            <v>2</v>
          </cell>
          <cell r="H226">
            <v>259305</v>
          </cell>
          <cell r="I226">
            <v>1</v>
          </cell>
          <cell r="J226">
            <v>129652.5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</row>
        <row r="227">
          <cell r="A227">
            <v>9</v>
          </cell>
          <cell r="B227" t="str">
            <v>Hendle pintu Stainless</v>
          </cell>
          <cell r="C227" t="str">
            <v>Set</v>
          </cell>
          <cell r="D227">
            <v>261652.5</v>
          </cell>
          <cell r="E227">
            <v>2</v>
          </cell>
          <cell r="F227">
            <v>523305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</v>
          </cell>
          <cell r="N227">
            <v>523305</v>
          </cell>
          <cell r="O227">
            <v>2</v>
          </cell>
          <cell r="P227">
            <v>523305</v>
          </cell>
          <cell r="Q227">
            <v>0</v>
          </cell>
          <cell r="R227">
            <v>0</v>
          </cell>
          <cell r="T227">
            <v>0</v>
          </cell>
          <cell r="U227">
            <v>2</v>
          </cell>
          <cell r="V227">
            <v>523305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</row>
        <row r="228">
          <cell r="A228">
            <v>10</v>
          </cell>
          <cell r="B228" t="str">
            <v>Kunci Pintu Handle stainleess (dorma)</v>
          </cell>
          <cell r="C228" t="str">
            <v>Set</v>
          </cell>
          <cell r="D228">
            <v>650000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</v>
          </cell>
          <cell r="P228">
            <v>1300000</v>
          </cell>
          <cell r="Q228">
            <v>0</v>
          </cell>
          <cell r="R228">
            <v>0</v>
          </cell>
          <cell r="T228">
            <v>0</v>
          </cell>
          <cell r="U228">
            <v>2</v>
          </cell>
          <cell r="V228">
            <v>1300000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</row>
        <row r="229">
          <cell r="A229">
            <v>11</v>
          </cell>
          <cell r="B229" t="str">
            <v>Kunci tanam Antik</v>
          </cell>
          <cell r="C229" t="str">
            <v>Set</v>
          </cell>
          <cell r="D229">
            <v>265000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</row>
        <row r="230">
          <cell r="A230">
            <v>12</v>
          </cell>
          <cell r="B230" t="str">
            <v>Kunci tanam biasa</v>
          </cell>
          <cell r="C230" t="str">
            <v>Set</v>
          </cell>
          <cell r="D230">
            <v>168565</v>
          </cell>
          <cell r="E230">
            <v>0</v>
          </cell>
          <cell r="F230">
            <v>0</v>
          </cell>
          <cell r="G230">
            <v>1</v>
          </cell>
          <cell r="H230">
            <v>168565</v>
          </cell>
          <cell r="I230">
            <v>1</v>
          </cell>
          <cell r="J230">
            <v>168565</v>
          </cell>
          <cell r="K230">
            <v>1</v>
          </cell>
          <cell r="L230">
            <v>168565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</v>
          </cell>
          <cell r="T230">
            <v>168565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</row>
        <row r="231">
          <cell r="A231">
            <v>13</v>
          </cell>
          <cell r="B231" t="str">
            <v>Kunci Silinder</v>
          </cell>
          <cell r="C231" t="str">
            <v>Set</v>
          </cell>
          <cell r="D231">
            <v>217900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</row>
        <row r="232">
          <cell r="A232">
            <v>14</v>
          </cell>
          <cell r="B232" t="str">
            <v>Kunci Selot</v>
          </cell>
          <cell r="C232" t="str">
            <v>Set</v>
          </cell>
          <cell r="D232">
            <v>48300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48300</v>
          </cell>
          <cell r="S232">
            <v>1</v>
          </cell>
          <cell r="T232">
            <v>48300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1</v>
          </cell>
          <cell r="AX232">
            <v>48300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</row>
        <row r="233">
          <cell r="A233">
            <v>15</v>
          </cell>
          <cell r="B233" t="str">
            <v>Engsel jendela</v>
          </cell>
          <cell r="C233" t="str">
            <v>Bh</v>
          </cell>
          <cell r="D233">
            <v>16600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</row>
        <row r="234">
          <cell r="A234">
            <v>16</v>
          </cell>
          <cell r="B234" t="str">
            <v>Engsel pintu</v>
          </cell>
          <cell r="C234" t="str">
            <v>Bh</v>
          </cell>
          <cell r="D234">
            <v>44395.75</v>
          </cell>
          <cell r="E234">
            <v>4</v>
          </cell>
          <cell r="F234">
            <v>177583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</v>
          </cell>
          <cell r="L234">
            <v>133187.25</v>
          </cell>
          <cell r="M234">
            <v>4</v>
          </cell>
          <cell r="N234">
            <v>177583</v>
          </cell>
          <cell r="O234">
            <v>0</v>
          </cell>
          <cell r="P234">
            <v>0</v>
          </cell>
          <cell r="Q234">
            <v>2</v>
          </cell>
          <cell r="R234">
            <v>88791.5</v>
          </cell>
          <cell r="S234">
            <v>2</v>
          </cell>
          <cell r="T234">
            <v>88791.5</v>
          </cell>
          <cell r="U234">
            <v>6</v>
          </cell>
          <cell r="V234">
            <v>266374.5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2</v>
          </cell>
          <cell r="AX234">
            <v>88791.5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</row>
        <row r="235">
          <cell r="A235">
            <v>17</v>
          </cell>
          <cell r="B235" t="str">
            <v>Engsel Pintu dari pipa besi dia 2 cm</v>
          </cell>
          <cell r="C235" t="str">
            <v>Bh</v>
          </cell>
          <cell r="D235">
            <v>66593.625</v>
          </cell>
          <cell r="E235">
            <v>0</v>
          </cell>
          <cell r="F235">
            <v>0</v>
          </cell>
          <cell r="G235">
            <v>4</v>
          </cell>
          <cell r="H235">
            <v>266374.5</v>
          </cell>
          <cell r="I235">
            <v>2</v>
          </cell>
          <cell r="J235">
            <v>133187.25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T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</row>
        <row r="236">
          <cell r="A236">
            <v>18</v>
          </cell>
          <cell r="B236" t="str">
            <v>Kait/hak angin</v>
          </cell>
          <cell r="C236" t="str">
            <v>Set</v>
          </cell>
          <cell r="D236">
            <v>27000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</row>
        <row r="237">
          <cell r="A237">
            <v>19</v>
          </cell>
          <cell r="B237" t="str">
            <v>Grendel pintu kuningan</v>
          </cell>
          <cell r="C237" t="str">
            <v>Bh</v>
          </cell>
          <cell r="D237">
            <v>125000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</row>
        <row r="238">
          <cell r="A238">
            <v>20</v>
          </cell>
          <cell r="B238" t="str">
            <v xml:space="preserve">Grendel jendela </v>
          </cell>
          <cell r="C238" t="str">
            <v>Bh</v>
          </cell>
          <cell r="D238">
            <v>8100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T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</row>
        <row r="239">
          <cell r="A239">
            <v>21</v>
          </cell>
          <cell r="B239" t="str">
            <v>Grendel pintu</v>
          </cell>
          <cell r="C239" t="str">
            <v>Bh</v>
          </cell>
          <cell r="D239">
            <v>14200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</v>
          </cell>
          <cell r="R239">
            <v>14200</v>
          </cell>
          <cell r="S239">
            <v>1</v>
          </cell>
          <cell r="T239">
            <v>14200</v>
          </cell>
          <cell r="U239">
            <v>2</v>
          </cell>
          <cell r="V239">
            <v>28400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1</v>
          </cell>
          <cell r="AX239">
            <v>14200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</row>
        <row r="240">
          <cell r="A240">
            <v>22</v>
          </cell>
          <cell r="B240" t="str">
            <v>Stripting Knip</v>
          </cell>
          <cell r="C240" t="str">
            <v>Set</v>
          </cell>
          <cell r="D240">
            <v>13700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T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</row>
        <row r="241">
          <cell r="A241">
            <v>23</v>
          </cell>
          <cell r="B241" t="str">
            <v>Door Closer</v>
          </cell>
          <cell r="C241" t="str">
            <v>Set</v>
          </cell>
          <cell r="D241">
            <v>260800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</v>
          </cell>
          <cell r="T241">
            <v>260800</v>
          </cell>
          <cell r="U241">
            <v>1</v>
          </cell>
          <cell r="V241">
            <v>260800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</v>
          </cell>
          <cell r="AX241">
            <v>260800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</row>
        <row r="242">
          <cell r="A242">
            <v>24</v>
          </cell>
          <cell r="B242" t="str">
            <v>Door Holder</v>
          </cell>
          <cell r="C242" t="str">
            <v>Set</v>
          </cell>
          <cell r="D242">
            <v>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</row>
        <row r="243">
          <cell r="A243">
            <v>25</v>
          </cell>
          <cell r="B243" t="str">
            <v>Door Stop</v>
          </cell>
          <cell r="C243" t="str">
            <v>Set</v>
          </cell>
          <cell r="D243">
            <v>32100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</v>
          </cell>
          <cell r="T243">
            <v>32100</v>
          </cell>
          <cell r="U243">
            <v>1</v>
          </cell>
          <cell r="V243">
            <v>32100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</v>
          </cell>
          <cell r="AX243">
            <v>32100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</row>
        <row r="244">
          <cell r="A244">
            <v>26</v>
          </cell>
          <cell r="B244" t="str">
            <v>Kaca bening 5 mm</v>
          </cell>
          <cell r="C244" t="str">
            <v>M2</v>
          </cell>
          <cell r="D244">
            <v>66700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T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0.48</v>
          </cell>
          <cell r="AR244">
            <v>32016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5.0399999999999993E-2</v>
          </cell>
          <cell r="AX244">
            <v>3361.6799999999994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</row>
        <row r="245">
          <cell r="A245">
            <v>27</v>
          </cell>
          <cell r="B245" t="str">
            <v>Kaca bening 10 mm</v>
          </cell>
          <cell r="C245" t="str">
            <v>M2</v>
          </cell>
          <cell r="D245">
            <v>280895.75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T245">
            <v>0</v>
          </cell>
          <cell r="V245">
            <v>0</v>
          </cell>
          <cell r="W245">
            <v>1.1875</v>
          </cell>
          <cell r="X245">
            <v>333563.703125</v>
          </cell>
          <cell r="Y245">
            <v>1.1875</v>
          </cell>
          <cell r="Z245">
            <v>333563.703125</v>
          </cell>
          <cell r="AA245">
            <v>1.3174999999999999</v>
          </cell>
          <cell r="AB245">
            <v>370080.15062499995</v>
          </cell>
          <cell r="AC245">
            <v>1.3174999999999999</v>
          </cell>
          <cell r="AD245">
            <v>370080.15062499995</v>
          </cell>
          <cell r="AE245">
            <v>0.90999999999999992</v>
          </cell>
          <cell r="AF245">
            <v>255615.13249999998</v>
          </cell>
          <cell r="AG245">
            <v>0.46810000000000002</v>
          </cell>
          <cell r="AH245">
            <v>131487.300575</v>
          </cell>
          <cell r="AI245">
            <v>0</v>
          </cell>
          <cell r="AJ245">
            <v>0</v>
          </cell>
          <cell r="AK245">
            <v>0.57999999999999996</v>
          </cell>
          <cell r="AL245">
            <v>162919.53499999997</v>
          </cell>
          <cell r="AM245">
            <v>9.1875</v>
          </cell>
          <cell r="AN245">
            <v>2580729.703125</v>
          </cell>
          <cell r="AO245">
            <v>0.495</v>
          </cell>
          <cell r="AP245">
            <v>139043.39624999999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</row>
        <row r="246">
          <cell r="A246">
            <v>28</v>
          </cell>
          <cell r="B246" t="str">
            <v>Kaca Bening 12 mm</v>
          </cell>
          <cell r="C246" t="str">
            <v>M2</v>
          </cell>
          <cell r="D246">
            <v>403787.64062499994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T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0.84009999999999996</v>
          </cell>
          <cell r="AJ246">
            <v>339221.99688906246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</row>
        <row r="247">
          <cell r="A247">
            <v>29</v>
          </cell>
          <cell r="B247" t="str">
            <v>Besi hollow 4/4</v>
          </cell>
          <cell r="C247" t="str">
            <v>M'</v>
          </cell>
          <cell r="D247">
            <v>48625.000000000051</v>
          </cell>
          <cell r="E247">
            <v>0</v>
          </cell>
          <cell r="F247">
            <v>0</v>
          </cell>
          <cell r="G247">
            <v>6.3140000000000009</v>
          </cell>
          <cell r="H247">
            <v>307018.25000000035</v>
          </cell>
          <cell r="I247">
            <v>5.09</v>
          </cell>
          <cell r="J247">
            <v>247501.25000000026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</row>
        <row r="248">
          <cell r="A248">
            <v>30</v>
          </cell>
          <cell r="B248" t="str">
            <v>Besi hollow 6/6</v>
          </cell>
          <cell r="C248" t="str">
            <v>M'</v>
          </cell>
          <cell r="D248">
            <v>74462.500000000058</v>
          </cell>
          <cell r="E248">
            <v>0</v>
          </cell>
          <cell r="F248">
            <v>0</v>
          </cell>
          <cell r="G248">
            <v>6.3140000000000009</v>
          </cell>
          <cell r="H248">
            <v>470156.22500000044</v>
          </cell>
          <cell r="I248">
            <v>5.09</v>
          </cell>
          <cell r="J248">
            <v>379014.12500000029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</row>
        <row r="249">
          <cell r="A249">
            <v>31</v>
          </cell>
          <cell r="B249" t="str">
            <v>Besi hollow 2.5/5</v>
          </cell>
          <cell r="C249" t="str">
            <v>Kg</v>
          </cell>
          <cell r="D249">
            <v>74462.500000000058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116.68600000000001</v>
          </cell>
          <cell r="V249">
            <v>8688731.2750000078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</row>
        <row r="250">
          <cell r="A250">
            <v>32</v>
          </cell>
          <cell r="B250" t="str">
            <v>Besi hollow 5/5</v>
          </cell>
          <cell r="C250" t="str">
            <v>Kg</v>
          </cell>
          <cell r="D250">
            <v>74462.500000000058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</row>
        <row r="251">
          <cell r="A251">
            <v>33</v>
          </cell>
          <cell r="B251" t="str">
            <v>Besi hollow 2/2</v>
          </cell>
          <cell r="C251" t="str">
            <v>Kg</v>
          </cell>
          <cell r="D251">
            <v>74462.500000000058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T251">
            <v>0</v>
          </cell>
          <cell r="U251">
            <v>37.725575999999997</v>
          </cell>
          <cell r="V251">
            <v>2809140.7029000018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</row>
        <row r="252">
          <cell r="A252">
            <v>34</v>
          </cell>
          <cell r="B252" t="str">
            <v>Besi hollow 2/4</v>
          </cell>
          <cell r="C252" t="str">
            <v>Kg</v>
          </cell>
          <cell r="D252">
            <v>74462.500000000058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31.488000000000003</v>
          </cell>
          <cell r="P252">
            <v>2344675.200000002</v>
          </cell>
          <cell r="Q252">
            <v>0</v>
          </cell>
          <cell r="R252">
            <v>0</v>
          </cell>
          <cell r="T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</row>
        <row r="253">
          <cell r="A253">
            <v>35</v>
          </cell>
          <cell r="B253" t="str">
            <v>Kaca Tempered 12 mm</v>
          </cell>
          <cell r="C253" t="str">
            <v>M2</v>
          </cell>
          <cell r="D253">
            <v>528395.75</v>
          </cell>
          <cell r="E253">
            <v>4.3049999999999997</v>
          </cell>
          <cell r="F253">
            <v>2274743.7037499999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4.3049999999999997</v>
          </cell>
          <cell r="N253">
            <v>2274743.7037499999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T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</row>
        <row r="254">
          <cell r="A254">
            <v>36</v>
          </cell>
          <cell r="B254" t="str">
            <v>Glass Block</v>
          </cell>
          <cell r="C254" t="str">
            <v>Bh</v>
          </cell>
          <cell r="D254">
            <v>45000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T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</row>
        <row r="255">
          <cell r="A255">
            <v>37</v>
          </cell>
          <cell r="B255" t="str">
            <v>Kaca Es</v>
          </cell>
          <cell r="C255" t="str">
            <v>M2</v>
          </cell>
          <cell r="D255">
            <v>66700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3.8399999999999997E-2</v>
          </cell>
          <cell r="R255">
            <v>2561.2799999999997</v>
          </cell>
          <cell r="S255">
            <v>0.126</v>
          </cell>
          <cell r="T255">
            <v>8404.2000000000007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</row>
        <row r="256">
          <cell r="A256">
            <v>38</v>
          </cell>
          <cell r="B256" t="str">
            <v>Krepyak Kaca Nako + Kerangka</v>
          </cell>
          <cell r="C256" t="str">
            <v>M2</v>
          </cell>
          <cell r="D256">
            <v>81300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</row>
        <row r="257">
          <cell r="A257">
            <v>39</v>
          </cell>
          <cell r="B257" t="str">
            <v>Sticker Efek Kaca Es</v>
          </cell>
          <cell r="C257" t="str">
            <v>M2</v>
          </cell>
          <cell r="D257">
            <v>150000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</row>
        <row r="258">
          <cell r="A258">
            <v>40</v>
          </cell>
          <cell r="B258" t="str">
            <v>Rel Pintu Dorong</v>
          </cell>
          <cell r="C258" t="str">
            <v>M'</v>
          </cell>
          <cell r="D258">
            <v>275000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0</v>
          </cell>
          <cell r="V258">
            <v>0</v>
          </cell>
          <cell r="W258">
            <v>4</v>
          </cell>
          <cell r="X258">
            <v>1100000</v>
          </cell>
          <cell r="Y258">
            <v>4</v>
          </cell>
          <cell r="Z258">
            <v>1100000</v>
          </cell>
          <cell r="AA258">
            <v>6.4</v>
          </cell>
          <cell r="AB258">
            <v>1760000</v>
          </cell>
          <cell r="AC258">
            <v>6.4</v>
          </cell>
          <cell r="AD258">
            <v>1760000</v>
          </cell>
          <cell r="AE258">
            <v>3</v>
          </cell>
          <cell r="AF258">
            <v>825000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</row>
        <row r="259">
          <cell r="A259">
            <v>41</v>
          </cell>
          <cell r="B259" t="str">
            <v>Rolling Door</v>
          </cell>
          <cell r="C259" t="str">
            <v>M2</v>
          </cell>
          <cell r="D259">
            <v>358100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</row>
        <row r="260">
          <cell r="A260">
            <v>42</v>
          </cell>
          <cell r="B260" t="str">
            <v>Roster</v>
          </cell>
          <cell r="C260" t="str">
            <v>M2</v>
          </cell>
          <cell r="D260">
            <v>133850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0.96</v>
          </cell>
          <cell r="AZ260">
            <v>128496</v>
          </cell>
          <cell r="BA260">
            <v>0.96</v>
          </cell>
          <cell r="BB260">
            <v>128496</v>
          </cell>
          <cell r="BC260">
            <v>1.28</v>
          </cell>
          <cell r="BD260">
            <v>171328</v>
          </cell>
          <cell r="BE260">
            <v>1.28</v>
          </cell>
          <cell r="BF260">
            <v>171328</v>
          </cell>
          <cell r="BG260">
            <v>0.32000000000000006</v>
          </cell>
          <cell r="BH260">
            <v>42832.000000000007</v>
          </cell>
          <cell r="BI260">
            <v>1.92</v>
          </cell>
          <cell r="BJ260">
            <v>256992</v>
          </cell>
          <cell r="BK260">
            <v>2.8</v>
          </cell>
          <cell r="BL260">
            <v>374780</v>
          </cell>
          <cell r="BM260">
            <v>2.04</v>
          </cell>
          <cell r="BN260">
            <v>273054</v>
          </cell>
          <cell r="BO260">
            <v>0.8</v>
          </cell>
          <cell r="BP260">
            <v>107080</v>
          </cell>
          <cell r="BQ260">
            <v>0.48</v>
          </cell>
          <cell r="BR260">
            <v>64248</v>
          </cell>
          <cell r="BS260">
            <v>1.6</v>
          </cell>
          <cell r="BT260">
            <v>214160</v>
          </cell>
          <cell r="BU260">
            <v>1.4</v>
          </cell>
          <cell r="BV260">
            <v>187390</v>
          </cell>
          <cell r="BW260">
            <v>1.4</v>
          </cell>
          <cell r="BX260">
            <v>187390</v>
          </cell>
          <cell r="BY260">
            <v>0.32000000000000006</v>
          </cell>
          <cell r="BZ260">
            <v>42832.000000000007</v>
          </cell>
          <cell r="CA260">
            <v>0.32000000000000006</v>
          </cell>
          <cell r="CB260">
            <v>42832.000000000007</v>
          </cell>
          <cell r="CC260">
            <v>0.48</v>
          </cell>
          <cell r="CD260">
            <v>64248</v>
          </cell>
          <cell r="CE260">
            <v>0.64000000000000012</v>
          </cell>
          <cell r="CF260">
            <v>85664.000000000015</v>
          </cell>
          <cell r="CG260">
            <v>5.6</v>
          </cell>
          <cell r="CH260">
            <v>749560</v>
          </cell>
          <cell r="CI260">
            <v>3.6</v>
          </cell>
          <cell r="CJ260">
            <v>481860</v>
          </cell>
          <cell r="CK260">
            <v>7.0359999999999987</v>
          </cell>
          <cell r="CL260">
            <v>941768.59999999986</v>
          </cell>
          <cell r="CM260">
            <v>6.58</v>
          </cell>
          <cell r="CN260">
            <v>880733</v>
          </cell>
          <cell r="CO260">
            <v>4.4000000000000004</v>
          </cell>
          <cell r="CP260">
            <v>588940</v>
          </cell>
        </row>
        <row r="261">
          <cell r="A261">
            <v>43</v>
          </cell>
          <cell r="B261" t="str">
            <v>Gipsum Board</v>
          </cell>
          <cell r="C261" t="str">
            <v>M2</v>
          </cell>
          <cell r="D261">
            <v>29000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0.95</v>
          </cell>
          <cell r="AT261">
            <v>27550</v>
          </cell>
          <cell r="AU261">
            <v>3.3439999999999999</v>
          </cell>
          <cell r="AV261">
            <v>96976</v>
          </cell>
          <cell r="AW261">
            <v>19.399999999999999</v>
          </cell>
          <cell r="AX261">
            <v>562600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</row>
        <row r="262">
          <cell r="A262">
            <v>44</v>
          </cell>
          <cell r="B262" t="str">
            <v>List Gipsum</v>
          </cell>
          <cell r="C262" t="str">
            <v>M'</v>
          </cell>
          <cell r="D262">
            <v>17300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</row>
        <row r="263">
          <cell r="A263">
            <v>45</v>
          </cell>
          <cell r="B263" t="str">
            <v>Sealent</v>
          </cell>
          <cell r="C263" t="str">
            <v>M'</v>
          </cell>
          <cell r="D263">
            <v>8400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1.76</v>
          </cell>
          <cell r="R263">
            <v>14784</v>
          </cell>
          <cell r="T263">
            <v>0</v>
          </cell>
          <cell r="V263">
            <v>0</v>
          </cell>
          <cell r="W263">
            <v>12.5</v>
          </cell>
          <cell r="X263">
            <v>105000</v>
          </cell>
          <cell r="Y263">
            <v>12.5</v>
          </cell>
          <cell r="Z263">
            <v>105000</v>
          </cell>
          <cell r="AA263">
            <v>15.899999999999999</v>
          </cell>
          <cell r="AB263">
            <v>133560</v>
          </cell>
          <cell r="AC263">
            <v>15.899999999999999</v>
          </cell>
          <cell r="AD263">
            <v>133560</v>
          </cell>
          <cell r="AE263">
            <v>10.799999999999999</v>
          </cell>
          <cell r="AF263">
            <v>90719.999999999985</v>
          </cell>
          <cell r="AG263">
            <v>7.28</v>
          </cell>
          <cell r="AH263">
            <v>61152</v>
          </cell>
          <cell r="AI263">
            <v>12.08</v>
          </cell>
          <cell r="AJ263">
            <v>101472</v>
          </cell>
          <cell r="AK263">
            <v>3.05</v>
          </cell>
          <cell r="AL263">
            <v>25620</v>
          </cell>
          <cell r="AM263">
            <v>67.374999999999986</v>
          </cell>
          <cell r="AN263">
            <v>565949.99999999988</v>
          </cell>
          <cell r="AO263">
            <v>7.2</v>
          </cell>
          <cell r="AP263">
            <v>60480</v>
          </cell>
          <cell r="AQ263">
            <v>6.4000000000000012</v>
          </cell>
          <cell r="AR263">
            <v>53760.000000000007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2.16</v>
          </cell>
          <cell r="AX263">
            <v>18144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</row>
        <row r="264">
          <cell r="A264">
            <v>46</v>
          </cell>
          <cell r="B264" t="str">
            <v>Benangan Kusen</v>
          </cell>
          <cell r="C264" t="str">
            <v>M'</v>
          </cell>
          <cell r="D264">
            <v>4296.0074999999997</v>
          </cell>
          <cell r="E264">
            <v>6.1999999999999993</v>
          </cell>
          <cell r="F264">
            <v>26635.246499999994</v>
          </cell>
          <cell r="G264">
            <v>6.3140000000000009</v>
          </cell>
          <cell r="H264">
            <v>27124.991355000002</v>
          </cell>
          <cell r="I264">
            <v>5.5990000000000002</v>
          </cell>
          <cell r="J264">
            <v>24053.345992499999</v>
          </cell>
          <cell r="K264">
            <v>5.7839999999999998</v>
          </cell>
          <cell r="L264">
            <v>24848.107379999998</v>
          </cell>
          <cell r="M264">
            <v>6.1999999999999993</v>
          </cell>
          <cell r="N264">
            <v>26635.246499999994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2.2799999999999998</v>
          </cell>
          <cell r="T264">
            <v>9794.8970999999983</v>
          </cell>
          <cell r="U264">
            <v>51.899999999999991</v>
          </cell>
          <cell r="V264">
            <v>222962.78924999994</v>
          </cell>
          <cell r="W264">
            <v>14.399999999999999</v>
          </cell>
          <cell r="X264">
            <v>61862.507999999987</v>
          </cell>
          <cell r="Y264">
            <v>14.399999999999999</v>
          </cell>
          <cell r="Z264">
            <v>61862.507999999987</v>
          </cell>
          <cell r="AA264">
            <v>16</v>
          </cell>
          <cell r="AB264">
            <v>68736.12</v>
          </cell>
          <cell r="AC264">
            <v>16</v>
          </cell>
          <cell r="AD264">
            <v>68736.12</v>
          </cell>
          <cell r="AE264">
            <v>4.8000000000000007</v>
          </cell>
          <cell r="AF264">
            <v>20620.836000000003</v>
          </cell>
          <cell r="AG264">
            <v>8</v>
          </cell>
          <cell r="AH264">
            <v>34368.06</v>
          </cell>
          <cell r="AI264">
            <v>12.799999999999999</v>
          </cell>
          <cell r="AJ264">
            <v>54988.895999999993</v>
          </cell>
          <cell r="AK264">
            <v>8.5</v>
          </cell>
          <cell r="AL264">
            <v>36516.063750000001</v>
          </cell>
          <cell r="AM264">
            <v>30.599999999999998</v>
          </cell>
          <cell r="AN264">
            <v>131457.82949999999</v>
          </cell>
          <cell r="AO264">
            <v>8</v>
          </cell>
          <cell r="AP264">
            <v>34368.06</v>
          </cell>
          <cell r="AQ264">
            <v>6.4</v>
          </cell>
          <cell r="AR264">
            <v>27494.448</v>
          </cell>
          <cell r="AS264">
            <v>0</v>
          </cell>
          <cell r="AT264">
            <v>0</v>
          </cell>
          <cell r="AU264">
            <v>11.12</v>
          </cell>
          <cell r="AV264">
            <v>47771.603399999993</v>
          </cell>
          <cell r="AW264">
            <v>26.86</v>
          </cell>
          <cell r="AX264">
            <v>115390.76144999999</v>
          </cell>
          <cell r="AY264">
            <v>11.2</v>
          </cell>
          <cell r="AZ264">
            <v>48115.283999999992</v>
          </cell>
          <cell r="BA264">
            <v>11.2</v>
          </cell>
          <cell r="BB264">
            <v>48115.283999999992</v>
          </cell>
          <cell r="BC264">
            <v>16</v>
          </cell>
          <cell r="BD264">
            <v>68736.12</v>
          </cell>
          <cell r="BE264">
            <v>16</v>
          </cell>
          <cell r="BF264">
            <v>68736.12</v>
          </cell>
          <cell r="BG264">
            <v>4.8000000000000007</v>
          </cell>
          <cell r="BH264">
            <v>20620.836000000003</v>
          </cell>
          <cell r="BI264">
            <v>18</v>
          </cell>
          <cell r="BJ264">
            <v>77328.134999999995</v>
          </cell>
          <cell r="BK264">
            <v>19.599999999999998</v>
          </cell>
          <cell r="BL264">
            <v>84201.746999999988</v>
          </cell>
          <cell r="BM264">
            <v>60.400000000000006</v>
          </cell>
          <cell r="BN264">
            <v>259478.853</v>
          </cell>
          <cell r="BO264">
            <v>9.6</v>
          </cell>
          <cell r="BP264">
            <v>41241.671999999999</v>
          </cell>
          <cell r="BQ264">
            <v>6.4</v>
          </cell>
          <cell r="BR264">
            <v>27494.448</v>
          </cell>
          <cell r="BS264">
            <v>16.600000000000001</v>
          </cell>
          <cell r="BT264">
            <v>71313.724499999997</v>
          </cell>
          <cell r="BU264">
            <v>14.399999999999999</v>
          </cell>
          <cell r="BV264">
            <v>61862.507999999987</v>
          </cell>
          <cell r="BW264">
            <v>14.399999999999999</v>
          </cell>
          <cell r="BX264">
            <v>61862.507999999987</v>
          </cell>
          <cell r="BY264">
            <v>4.8000000000000007</v>
          </cell>
          <cell r="BZ264">
            <v>20620.836000000003</v>
          </cell>
          <cell r="CA264">
            <v>4.8000000000000007</v>
          </cell>
          <cell r="CB264">
            <v>20620.836000000003</v>
          </cell>
          <cell r="CC264">
            <v>6.4</v>
          </cell>
          <cell r="CD264">
            <v>27494.448</v>
          </cell>
          <cell r="CE264">
            <v>8</v>
          </cell>
          <cell r="CF264">
            <v>34368.06</v>
          </cell>
          <cell r="CG264">
            <v>30.799999999999997</v>
          </cell>
          <cell r="CH264">
            <v>132317.03099999999</v>
          </cell>
          <cell r="CI264">
            <v>22.8</v>
          </cell>
          <cell r="CJ264">
            <v>97948.97099999999</v>
          </cell>
          <cell r="CK264">
            <v>50.839999999999996</v>
          </cell>
          <cell r="CL264">
            <v>218409.02129999996</v>
          </cell>
          <cell r="CM264">
            <v>35.4</v>
          </cell>
          <cell r="CN264">
            <v>152078.66549999997</v>
          </cell>
          <cell r="CO264">
            <v>16.8</v>
          </cell>
          <cell r="CP264">
            <v>72172.925999999992</v>
          </cell>
        </row>
        <row r="265">
          <cell r="A265">
            <v>47</v>
          </cell>
          <cell r="B265" t="str">
            <v xml:space="preserve">Cat Kayu </v>
          </cell>
          <cell r="C265" t="str">
            <v>M2</v>
          </cell>
          <cell r="D265">
            <v>19370.5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4.0991999999999997</v>
          </cell>
          <cell r="L265">
            <v>79403.553599999999</v>
          </cell>
          <cell r="M265">
            <v>0</v>
          </cell>
          <cell r="N265">
            <v>0</v>
          </cell>
          <cell r="O265">
            <v>2.88</v>
          </cell>
          <cell r="P265">
            <v>55787.040000000001</v>
          </cell>
          <cell r="Q265">
            <v>1.1420000000000001</v>
          </cell>
          <cell r="R265">
            <v>22121.111000000001</v>
          </cell>
          <cell r="S265">
            <v>2.59</v>
          </cell>
          <cell r="T265">
            <v>50169.594999999994</v>
          </cell>
          <cell r="U265">
            <v>0.48</v>
          </cell>
          <cell r="V265">
            <v>9297.84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3.6</v>
          </cell>
          <cell r="AX265">
            <v>69733.8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</row>
        <row r="266">
          <cell r="A266">
            <v>48</v>
          </cell>
          <cell r="B266" t="str">
            <v>Cat Besi</v>
          </cell>
          <cell r="C266" t="str">
            <v>M2</v>
          </cell>
          <cell r="D266">
            <v>13698</v>
          </cell>
          <cell r="E266">
            <v>0</v>
          </cell>
          <cell r="F266">
            <v>0</v>
          </cell>
          <cell r="G266">
            <v>8.543518139392118</v>
          </cell>
          <cell r="H266">
            <v>117029.11147339323</v>
          </cell>
          <cell r="I266">
            <v>5.6445590696960588</v>
          </cell>
          <cell r="J266">
            <v>77319.170136696615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3.7785600000000001</v>
          </cell>
          <cell r="P266">
            <v>51758.71488</v>
          </cell>
          <cell r="Q266">
            <v>0</v>
          </cell>
          <cell r="R266">
            <v>0</v>
          </cell>
          <cell r="T266">
            <v>0</v>
          </cell>
          <cell r="U266">
            <v>28.369569120000001</v>
          </cell>
          <cell r="V266">
            <v>388606.35780576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</row>
        <row r="267">
          <cell r="A267">
            <v>49</v>
          </cell>
          <cell r="B267" t="str">
            <v>Cat Dinding</v>
          </cell>
          <cell r="C267" t="str">
            <v>M2</v>
          </cell>
          <cell r="D267">
            <v>9900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0.95</v>
          </cell>
          <cell r="AT267">
            <v>9405</v>
          </cell>
          <cell r="AU267">
            <v>3.3439999999999999</v>
          </cell>
          <cell r="AV267">
            <v>33105.599999999999</v>
          </cell>
          <cell r="AW267">
            <v>19.399999999999999</v>
          </cell>
          <cell r="AX267">
            <v>192060</v>
          </cell>
          <cell r="AY267">
            <v>1.92</v>
          </cell>
          <cell r="AZ267">
            <v>19008</v>
          </cell>
          <cell r="BA267">
            <v>1.92</v>
          </cell>
          <cell r="BB267">
            <v>19008</v>
          </cell>
          <cell r="BC267">
            <v>2.56</v>
          </cell>
          <cell r="BD267">
            <v>25344</v>
          </cell>
          <cell r="BE267">
            <v>2.56</v>
          </cell>
          <cell r="BF267">
            <v>25344</v>
          </cell>
          <cell r="BG267">
            <v>0.64000000000000012</v>
          </cell>
          <cell r="BH267">
            <v>6336.0000000000009</v>
          </cell>
          <cell r="BI267">
            <v>3.84</v>
          </cell>
          <cell r="BJ267">
            <v>38016</v>
          </cell>
          <cell r="BK267">
            <v>5.6</v>
          </cell>
          <cell r="BL267">
            <v>55440</v>
          </cell>
          <cell r="BM267">
            <v>14.4</v>
          </cell>
          <cell r="BN267">
            <v>142560</v>
          </cell>
          <cell r="BO267">
            <v>1.6</v>
          </cell>
          <cell r="BP267">
            <v>15840</v>
          </cell>
          <cell r="BQ267">
            <v>0.96</v>
          </cell>
          <cell r="BR267">
            <v>9504</v>
          </cell>
          <cell r="BS267">
            <v>3.2</v>
          </cell>
          <cell r="BT267">
            <v>31680</v>
          </cell>
          <cell r="BU267">
            <v>2.8</v>
          </cell>
          <cell r="BV267">
            <v>27720</v>
          </cell>
          <cell r="BW267">
            <v>2.8</v>
          </cell>
          <cell r="BX267">
            <v>27720</v>
          </cell>
          <cell r="BY267">
            <v>0.64000000000000012</v>
          </cell>
          <cell r="BZ267">
            <v>6336.0000000000009</v>
          </cell>
          <cell r="CA267">
            <v>0.64000000000000012</v>
          </cell>
          <cell r="CB267">
            <v>6336.0000000000009</v>
          </cell>
          <cell r="CC267">
            <v>0.96</v>
          </cell>
          <cell r="CD267">
            <v>9504</v>
          </cell>
          <cell r="CE267">
            <v>1.2800000000000002</v>
          </cell>
          <cell r="CF267">
            <v>12672.000000000002</v>
          </cell>
          <cell r="CG267">
            <v>11.2</v>
          </cell>
          <cell r="CH267">
            <v>110880</v>
          </cell>
          <cell r="CI267">
            <v>7.2</v>
          </cell>
          <cell r="CJ267">
            <v>71280</v>
          </cell>
          <cell r="CK267">
            <v>16.799999999999997</v>
          </cell>
          <cell r="CL267">
            <v>166319.99999999997</v>
          </cell>
          <cell r="CM267">
            <v>13.16</v>
          </cell>
          <cell r="CN267">
            <v>130284</v>
          </cell>
          <cell r="CO267">
            <v>8.8000000000000007</v>
          </cell>
          <cell r="CP267">
            <v>87120</v>
          </cell>
        </row>
        <row r="268">
          <cell r="A268">
            <v>50</v>
          </cell>
          <cell r="B268" t="str">
            <v>Plesteran Camprot</v>
          </cell>
          <cell r="C268" t="str">
            <v>M2</v>
          </cell>
          <cell r="D268">
            <v>14600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K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</row>
        <row r="269">
          <cell r="A269">
            <v>51</v>
          </cell>
          <cell r="B269" t="str">
            <v>Rangka Metal Furring</v>
          </cell>
          <cell r="C269" t="str">
            <v>M'</v>
          </cell>
          <cell r="D269">
            <v>90000</v>
          </cell>
          <cell r="AS269">
            <v>4.05</v>
          </cell>
          <cell r="AT269">
            <v>364500</v>
          </cell>
          <cell r="AU269">
            <v>6.4399999999999995</v>
          </cell>
          <cell r="AV269">
            <v>579600</v>
          </cell>
          <cell r="AW269">
            <v>32.550000000000004</v>
          </cell>
          <cell r="AX269">
            <v>2929500.0000000005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</row>
        <row r="270">
          <cell r="V270">
            <v>0</v>
          </cell>
        </row>
        <row r="271">
          <cell r="B271" t="str">
            <v>Jumlah Harga</v>
          </cell>
          <cell r="F271">
            <v>3776944.5502499999</v>
          </cell>
          <cell r="H271">
            <v>2832088.3359403941</v>
          </cell>
          <cell r="J271">
            <v>1760337.7291291971</v>
          </cell>
          <cell r="L271">
            <v>1690743.9109799999</v>
          </cell>
          <cell r="N271">
            <v>3776944.5502499999</v>
          </cell>
          <cell r="P271">
            <v>4325959.5126400022</v>
          </cell>
          <cell r="R271">
            <v>203957.891</v>
          </cell>
          <cell r="T271">
            <v>687725.19209999987</v>
          </cell>
          <cell r="V271">
            <v>18029296.658107769</v>
          </cell>
          <cell r="X271">
            <v>1778477.1111249998</v>
          </cell>
          <cell r="Z271">
            <v>1778477.1111249998</v>
          </cell>
          <cell r="AB271">
            <v>2510427.1706250003</v>
          </cell>
          <cell r="AD271">
            <v>2510427.1706250003</v>
          </cell>
          <cell r="AF271">
            <v>1191955.9685</v>
          </cell>
          <cell r="AG271">
            <v>0</v>
          </cell>
          <cell r="AH271">
            <v>227007.360575</v>
          </cell>
          <cell r="AI271">
            <v>0</v>
          </cell>
          <cell r="AJ271">
            <v>495682.89288906247</v>
          </cell>
          <cell r="AK271">
            <v>0</v>
          </cell>
          <cell r="AL271">
            <v>340632.49875000003</v>
          </cell>
          <cell r="AM271">
            <v>0</v>
          </cell>
          <cell r="AN271">
            <v>4315205.9326250004</v>
          </cell>
          <cell r="AO271">
            <v>0</v>
          </cell>
          <cell r="AP271">
            <v>233891.45624999999</v>
          </cell>
          <cell r="AQ271">
            <v>0</v>
          </cell>
          <cell r="AR271">
            <v>113270.448</v>
          </cell>
          <cell r="AS271">
            <v>0</v>
          </cell>
          <cell r="AT271">
            <v>401455</v>
          </cell>
          <cell r="AU271">
            <v>0</v>
          </cell>
          <cell r="AV271">
            <v>757453.2034</v>
          </cell>
          <cell r="AW271">
            <v>0</v>
          </cell>
          <cell r="AX271">
            <v>4346861.7414500006</v>
          </cell>
          <cell r="AY271">
            <v>0</v>
          </cell>
          <cell r="AZ271">
            <v>195619.28399999999</v>
          </cell>
          <cell r="BA271">
            <v>0</v>
          </cell>
          <cell r="BB271">
            <v>195619.28399999999</v>
          </cell>
          <cell r="BC271">
            <v>0</v>
          </cell>
          <cell r="BD271">
            <v>265408.12</v>
          </cell>
          <cell r="BE271">
            <v>0</v>
          </cell>
          <cell r="BF271">
            <v>265408.12</v>
          </cell>
          <cell r="BG271">
            <v>0</v>
          </cell>
          <cell r="BH271">
            <v>69788.83600000001</v>
          </cell>
          <cell r="BI271">
            <v>0</v>
          </cell>
          <cell r="BJ271">
            <v>372336.13500000001</v>
          </cell>
          <cell r="BL271">
            <v>514421.74699999997</v>
          </cell>
          <cell r="BM271">
            <v>0</v>
          </cell>
          <cell r="BN271">
            <v>675092.853</v>
          </cell>
          <cell r="BO271">
            <v>0</v>
          </cell>
          <cell r="BP271">
            <v>164161.67199999999</v>
          </cell>
          <cell r="BQ271">
            <v>0</v>
          </cell>
          <cell r="BR271">
            <v>101246.448</v>
          </cell>
          <cell r="BS271">
            <v>0</v>
          </cell>
          <cell r="BT271">
            <v>317153.72450000001</v>
          </cell>
          <cell r="BU271">
            <v>0</v>
          </cell>
          <cell r="BV271">
            <v>276972.50799999997</v>
          </cell>
          <cell r="BW271">
            <v>0</v>
          </cell>
          <cell r="BX271">
            <v>276972.50799999997</v>
          </cell>
          <cell r="BY271">
            <v>0</v>
          </cell>
          <cell r="BZ271">
            <v>69788.83600000001</v>
          </cell>
          <cell r="CA271">
            <v>0</v>
          </cell>
          <cell r="CB271">
            <v>69788.83600000001</v>
          </cell>
          <cell r="CC271">
            <v>0</v>
          </cell>
          <cell r="CD271">
            <v>101246.448</v>
          </cell>
          <cell r="CE271">
            <v>0</v>
          </cell>
          <cell r="CF271">
            <v>132704.06000000003</v>
          </cell>
          <cell r="CG271">
            <v>0</v>
          </cell>
          <cell r="CH271">
            <v>992757.03099999996</v>
          </cell>
          <cell r="CI271">
            <v>0</v>
          </cell>
          <cell r="CJ271">
            <v>651088.97100000002</v>
          </cell>
          <cell r="CK271">
            <v>0</v>
          </cell>
          <cell r="CL271">
            <v>1326497.6212999998</v>
          </cell>
          <cell r="CM271">
            <v>0</v>
          </cell>
          <cell r="CN271">
            <v>1163095.6655000001</v>
          </cell>
          <cell r="CO271">
            <v>0</v>
          </cell>
          <cell r="CP271">
            <v>748232.92599999998</v>
          </cell>
        </row>
        <row r="275">
          <cell r="A275" t="str">
            <v>No.</v>
          </cell>
          <cell r="B275" t="str">
            <v>Item Pekerjaan</v>
          </cell>
          <cell r="C275" t="str">
            <v>Satuan</v>
          </cell>
          <cell r="D275" t="str">
            <v>Harga Satuan</v>
          </cell>
          <cell r="E275" t="str">
            <v>P1</v>
          </cell>
          <cell r="G275" t="str">
            <v>P2</v>
          </cell>
          <cell r="I275" t="str">
            <v>P3</v>
          </cell>
          <cell r="K275" t="str">
            <v>J1</v>
          </cell>
          <cell r="M275" t="str">
            <v>J1'</v>
          </cell>
          <cell r="O275" t="str">
            <v>J2</v>
          </cell>
          <cell r="Q275" t="str">
            <v>J3</v>
          </cell>
          <cell r="S275" t="str">
            <v>J4</v>
          </cell>
          <cell r="U275" t="str">
            <v>J4'</v>
          </cell>
          <cell r="W275" t="str">
            <v>R1</v>
          </cell>
          <cell r="Y275" t="str">
            <v>R2</v>
          </cell>
          <cell r="AA275" t="str">
            <v>R3</v>
          </cell>
        </row>
        <row r="276">
          <cell r="D276" t="str">
            <v>Rp.</v>
          </cell>
          <cell r="E276" t="str">
            <v>Vol.</v>
          </cell>
          <cell r="F276" t="str">
            <v>Jumlah Harga</v>
          </cell>
          <cell r="G276" t="str">
            <v>Vol.</v>
          </cell>
          <cell r="H276" t="str">
            <v>Jumlah Harga</v>
          </cell>
          <cell r="I276" t="str">
            <v>Vol.</v>
          </cell>
          <cell r="J276" t="str">
            <v>Jumlah Harga</v>
          </cell>
          <cell r="K276" t="str">
            <v>Vol.</v>
          </cell>
          <cell r="L276" t="str">
            <v>Jumlah Harga</v>
          </cell>
          <cell r="M276" t="str">
            <v>Vol.</v>
          </cell>
          <cell r="N276" t="str">
            <v>Jumlah Harga</v>
          </cell>
          <cell r="O276" t="str">
            <v>Vol.</v>
          </cell>
          <cell r="P276" t="str">
            <v>Jumlah Harga</v>
          </cell>
          <cell r="Q276" t="str">
            <v>Vol.</v>
          </cell>
          <cell r="R276" t="str">
            <v>Jumlah Harga</v>
          </cell>
          <cell r="S276" t="str">
            <v>Vol.</v>
          </cell>
          <cell r="T276" t="str">
            <v>Jumlah Harga</v>
          </cell>
          <cell r="U276" t="str">
            <v>Vol.</v>
          </cell>
          <cell r="V276" t="str">
            <v>Jumlah Harga</v>
          </cell>
          <cell r="W276" t="str">
            <v>Vol.</v>
          </cell>
          <cell r="X276" t="str">
            <v>Jumlah Harga</v>
          </cell>
          <cell r="Y276" t="str">
            <v>Vol.</v>
          </cell>
          <cell r="Z276" t="str">
            <v>Jumlah Harga</v>
          </cell>
          <cell r="AA276" t="str">
            <v>Vol.</v>
          </cell>
          <cell r="AB276" t="str">
            <v>Jumlah Harga</v>
          </cell>
        </row>
        <row r="277">
          <cell r="A277" t="str">
            <v>V.</v>
          </cell>
          <cell r="B277" t="str">
            <v>UNIT BANGUNAN KANTOR PUSAT</v>
          </cell>
        </row>
        <row r="279">
          <cell r="A279">
            <v>1</v>
          </cell>
          <cell r="B279" t="str">
            <v>Kayu 6/12</v>
          </cell>
          <cell r="C279" t="str">
            <v>M3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3.6144000000000003E-2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</row>
        <row r="280">
          <cell r="A280">
            <v>2</v>
          </cell>
          <cell r="B280" t="str">
            <v>Kayu Slimar 3/10</v>
          </cell>
          <cell r="C280" t="str">
            <v>M3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1.4159999999999999E-2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</row>
        <row r="281">
          <cell r="A281">
            <v>3</v>
          </cell>
          <cell r="B281" t="str">
            <v>Kayu Slimar 3/15</v>
          </cell>
          <cell r="C281" t="str">
            <v>M3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2.6999999999999997E-3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</row>
        <row r="282">
          <cell r="A282">
            <v>4</v>
          </cell>
          <cell r="B282" t="str">
            <v>Kayu Slimar 3/20</v>
          </cell>
          <cell r="C282" t="str">
            <v>M3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3.5999999999999999E-3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</row>
        <row r="283">
          <cell r="A283">
            <v>5</v>
          </cell>
          <cell r="B283" t="str">
            <v>Kayu 2/10</v>
          </cell>
          <cell r="C283" t="str">
            <v>M3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5.4000000000000012E-3</v>
          </cell>
          <cell r="J283">
            <v>0</v>
          </cell>
          <cell r="K283">
            <v>12.399999999999999</v>
          </cell>
          <cell r="L283">
            <v>0</v>
          </cell>
          <cell r="M283">
            <v>12.399999999999999</v>
          </cell>
          <cell r="N283">
            <v>0</v>
          </cell>
          <cell r="O283">
            <v>6.4</v>
          </cell>
          <cell r="P283">
            <v>0</v>
          </cell>
          <cell r="Q283">
            <v>93.25</v>
          </cell>
          <cell r="R283">
            <v>0</v>
          </cell>
          <cell r="S283">
            <v>13.814999999999998</v>
          </cell>
          <cell r="T283">
            <v>0</v>
          </cell>
          <cell r="U283">
            <v>13.814999999999998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</row>
        <row r="284">
          <cell r="A284">
            <v>6</v>
          </cell>
          <cell r="B284" t="str">
            <v>Panil t = 3 cm</v>
          </cell>
          <cell r="C284" t="str">
            <v>M2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0.49500000000000005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</row>
        <row r="285">
          <cell r="A285">
            <v>1</v>
          </cell>
          <cell r="B285" t="str">
            <v>Kusen Aluminium 5/10</v>
          </cell>
          <cell r="C285" t="str">
            <v>M'</v>
          </cell>
          <cell r="D285">
            <v>124948</v>
          </cell>
          <cell r="F285">
            <v>0</v>
          </cell>
          <cell r="G285">
            <v>0</v>
          </cell>
          <cell r="H285">
            <v>0</v>
          </cell>
          <cell r="I285">
            <v>5</v>
          </cell>
          <cell r="J285">
            <v>624740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</row>
        <row r="286">
          <cell r="A286">
            <v>2</v>
          </cell>
          <cell r="B286" t="str">
            <v xml:space="preserve">Rangka Daun Jendela Alumunium </v>
          </cell>
          <cell r="C286" t="str">
            <v>M'</v>
          </cell>
          <cell r="D286">
            <v>124948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</row>
        <row r="287">
          <cell r="A287">
            <v>3</v>
          </cell>
          <cell r="B287" t="str">
            <v>Rangka Tiang Sirip Alumunium 1/1 Putih</v>
          </cell>
          <cell r="C287" t="str">
            <v>M'</v>
          </cell>
          <cell r="D287">
            <v>62474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2.8499999999999996</v>
          </cell>
          <cell r="L287">
            <v>178050.89999999997</v>
          </cell>
          <cell r="M287">
            <v>2.8499999999999996</v>
          </cell>
          <cell r="N287">
            <v>178050.89999999997</v>
          </cell>
          <cell r="O287">
            <v>0</v>
          </cell>
          <cell r="P287">
            <v>0</v>
          </cell>
          <cell r="Q287">
            <v>14.100000000000003</v>
          </cell>
          <cell r="R287">
            <v>880883.40000000026</v>
          </cell>
          <cell r="S287">
            <v>2.12</v>
          </cell>
          <cell r="T287">
            <v>132444.88</v>
          </cell>
          <cell r="U287">
            <v>2.12</v>
          </cell>
          <cell r="V287">
            <v>132444.88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</row>
        <row r="288">
          <cell r="A288">
            <v>4</v>
          </cell>
          <cell r="B288" t="str">
            <v>Pasang Shading Sirip Alumunium 0.2/10 +Rangka</v>
          </cell>
          <cell r="C288" t="str">
            <v>M2</v>
          </cell>
          <cell r="D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0.50749999999999995</v>
          </cell>
          <cell r="L288">
            <v>0</v>
          </cell>
          <cell r="M288">
            <v>0.50749999999999995</v>
          </cell>
          <cell r="N288">
            <v>0</v>
          </cell>
          <cell r="O288">
            <v>0</v>
          </cell>
          <cell r="P288">
            <v>0</v>
          </cell>
          <cell r="Q288">
            <v>1.4649999999999999</v>
          </cell>
          <cell r="R288">
            <v>0</v>
          </cell>
          <cell r="S288">
            <v>0.252</v>
          </cell>
          <cell r="T288">
            <v>0</v>
          </cell>
          <cell r="U288">
            <v>0.252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</row>
        <row r="289">
          <cell r="A289">
            <v>5</v>
          </cell>
          <cell r="B289" t="str">
            <v>Daun Pintu Panil Kamper</v>
          </cell>
          <cell r="C289" t="str">
            <v>bh</v>
          </cell>
          <cell r="D289">
            <v>550000</v>
          </cell>
          <cell r="F289">
            <v>0</v>
          </cell>
          <cell r="G289">
            <v>0</v>
          </cell>
          <cell r="H289">
            <v>0</v>
          </cell>
          <cell r="I289">
            <v>1.2</v>
          </cell>
          <cell r="J289">
            <v>660000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>
            <v>6</v>
          </cell>
          <cell r="B290" t="str">
            <v>Plat besi t = 2 mm</v>
          </cell>
          <cell r="C290" t="str">
            <v>Kg</v>
          </cell>
          <cell r="D290">
            <v>0</v>
          </cell>
          <cell r="F290">
            <v>0</v>
          </cell>
          <cell r="G290">
            <v>57.085200000000007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>
            <v>7</v>
          </cell>
          <cell r="B291" t="str">
            <v>C 40.40.2  (pesan khusus)</v>
          </cell>
          <cell r="C291" t="str">
            <v>Kg</v>
          </cell>
          <cell r="D291">
            <v>14122.3</v>
          </cell>
          <cell r="F291">
            <v>0</v>
          </cell>
          <cell r="G291">
            <v>42.56</v>
          </cell>
          <cell r="H291">
            <v>601045.08799999999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</row>
        <row r="292">
          <cell r="A292">
            <v>8</v>
          </cell>
          <cell r="B292" t="str">
            <v>Handle besi dia 16 mm</v>
          </cell>
          <cell r="C292" t="str">
            <v>Set</v>
          </cell>
          <cell r="D292">
            <v>129652.5</v>
          </cell>
          <cell r="F292">
            <v>0</v>
          </cell>
          <cell r="G292">
            <v>1</v>
          </cell>
          <cell r="H292">
            <v>129652.5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</row>
        <row r="293">
          <cell r="A293">
            <v>9</v>
          </cell>
          <cell r="B293" t="str">
            <v>Hendle pintu Stainless</v>
          </cell>
          <cell r="C293" t="str">
            <v>Set</v>
          </cell>
          <cell r="D293">
            <v>261652.5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</row>
        <row r="294">
          <cell r="A294">
            <v>10</v>
          </cell>
          <cell r="B294" t="str">
            <v>Kunci Pintu Handle stainleess (dorma)</v>
          </cell>
          <cell r="C294" t="str">
            <v>Set</v>
          </cell>
          <cell r="D294">
            <v>650000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</row>
        <row r="295">
          <cell r="A295">
            <v>11</v>
          </cell>
          <cell r="B295" t="str">
            <v>Kunci tanam Antik</v>
          </cell>
          <cell r="C295" t="str">
            <v>Set</v>
          </cell>
          <cell r="D295">
            <v>265000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</row>
        <row r="296">
          <cell r="A296">
            <v>12</v>
          </cell>
          <cell r="B296" t="str">
            <v>Kunci tanam biasa</v>
          </cell>
          <cell r="C296" t="str">
            <v>Set</v>
          </cell>
          <cell r="D296">
            <v>168565</v>
          </cell>
          <cell r="F296">
            <v>0</v>
          </cell>
          <cell r="G296">
            <v>1</v>
          </cell>
          <cell r="H296">
            <v>168565</v>
          </cell>
          <cell r="I296">
            <v>1</v>
          </cell>
          <cell r="J296">
            <v>168565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</row>
        <row r="297">
          <cell r="A297">
            <v>13</v>
          </cell>
          <cell r="B297" t="str">
            <v>Kunci Silinder</v>
          </cell>
          <cell r="C297" t="str">
            <v>Set</v>
          </cell>
          <cell r="D297">
            <v>217900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</row>
        <row r="298">
          <cell r="A298">
            <v>14</v>
          </cell>
          <cell r="B298" t="str">
            <v>Kunci Selot</v>
          </cell>
          <cell r="C298" t="str">
            <v>Set</v>
          </cell>
          <cell r="D298">
            <v>48300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</row>
        <row r="299">
          <cell r="A299">
            <v>15</v>
          </cell>
          <cell r="B299" t="str">
            <v>Engsel jendela</v>
          </cell>
          <cell r="C299" t="str">
            <v>Bh</v>
          </cell>
          <cell r="D299">
            <v>16600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</row>
        <row r="300">
          <cell r="A300">
            <v>16</v>
          </cell>
          <cell r="B300" t="str">
            <v>Engsel pintu</v>
          </cell>
          <cell r="C300" t="str">
            <v>Bh</v>
          </cell>
          <cell r="D300">
            <v>44395.75</v>
          </cell>
          <cell r="F300">
            <v>0</v>
          </cell>
          <cell r="G300">
            <v>0</v>
          </cell>
          <cell r="H300">
            <v>0</v>
          </cell>
          <cell r="I300">
            <v>3</v>
          </cell>
          <cell r="J300">
            <v>133187.25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</row>
        <row r="301">
          <cell r="A301">
            <v>17</v>
          </cell>
          <cell r="B301" t="str">
            <v>Engsel Pintu dari pipa besi dia 2 cm</v>
          </cell>
          <cell r="C301" t="str">
            <v>Bh</v>
          </cell>
          <cell r="D301">
            <v>66593.625</v>
          </cell>
          <cell r="F301">
            <v>0</v>
          </cell>
          <cell r="G301">
            <v>2</v>
          </cell>
          <cell r="H301">
            <v>133187.25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>
            <v>18</v>
          </cell>
          <cell r="B302" t="str">
            <v>Kait/hak angin</v>
          </cell>
          <cell r="C302" t="str">
            <v>Set</v>
          </cell>
          <cell r="D302">
            <v>27000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</row>
        <row r="303">
          <cell r="A303">
            <v>19</v>
          </cell>
          <cell r="B303" t="str">
            <v>Grendel pintu kuningan</v>
          </cell>
          <cell r="C303" t="str">
            <v>Bh</v>
          </cell>
          <cell r="D303">
            <v>125000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>
            <v>20</v>
          </cell>
          <cell r="B304" t="str">
            <v xml:space="preserve">Grendel jendela </v>
          </cell>
          <cell r="C304" t="str">
            <v>Bh</v>
          </cell>
          <cell r="D304">
            <v>8100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1</v>
          </cell>
          <cell r="P304">
            <v>8100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</row>
        <row r="305">
          <cell r="A305">
            <v>21</v>
          </cell>
          <cell r="B305" t="str">
            <v>Grendel pintu</v>
          </cell>
          <cell r="C305" t="str">
            <v>Bh</v>
          </cell>
          <cell r="D305">
            <v>14200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</row>
        <row r="306">
          <cell r="A306">
            <v>22</v>
          </cell>
          <cell r="B306" t="str">
            <v>Stripting Knip</v>
          </cell>
          <cell r="C306" t="str">
            <v>Set</v>
          </cell>
          <cell r="D306">
            <v>13700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</row>
        <row r="307">
          <cell r="A307">
            <v>23</v>
          </cell>
          <cell r="B307" t="str">
            <v>Door Closer</v>
          </cell>
          <cell r="C307" t="str">
            <v>Set</v>
          </cell>
          <cell r="D307">
            <v>260800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</row>
        <row r="308">
          <cell r="A308">
            <v>24</v>
          </cell>
          <cell r="B308" t="str">
            <v>Door Holder</v>
          </cell>
          <cell r="C308" t="str">
            <v>Set</v>
          </cell>
          <cell r="D308">
            <v>500000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</row>
        <row r="309">
          <cell r="A309">
            <v>25</v>
          </cell>
          <cell r="B309" t="str">
            <v>Door Stop</v>
          </cell>
          <cell r="C309" t="str">
            <v>Set</v>
          </cell>
          <cell r="D309">
            <v>32100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</row>
        <row r="310">
          <cell r="A310">
            <v>26</v>
          </cell>
          <cell r="B310" t="str">
            <v>Kaca bening 5 mm</v>
          </cell>
          <cell r="C310" t="str">
            <v>M2</v>
          </cell>
          <cell r="D310">
            <v>66700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</row>
        <row r="311">
          <cell r="A311">
            <v>27</v>
          </cell>
          <cell r="B311" t="str">
            <v>Kaca bening 10 mm</v>
          </cell>
          <cell r="C311" t="str">
            <v>M2</v>
          </cell>
          <cell r="D311">
            <v>280895.75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1.1875</v>
          </cell>
          <cell r="L311">
            <v>333563.703125</v>
          </cell>
          <cell r="M311">
            <v>1.1875</v>
          </cell>
          <cell r="N311">
            <v>333563.703125</v>
          </cell>
          <cell r="O311">
            <v>0.64749999999999996</v>
          </cell>
          <cell r="P311">
            <v>181879.99812499998</v>
          </cell>
          <cell r="Q311">
            <v>4.5719999999999992</v>
          </cell>
          <cell r="R311">
            <v>1284255.3689999997</v>
          </cell>
          <cell r="S311">
            <v>1.3035499999999998</v>
          </cell>
          <cell r="T311">
            <v>366161.65491249994</v>
          </cell>
          <cell r="U311">
            <v>1.3035499999999998</v>
          </cell>
          <cell r="V311">
            <v>366161.65491249994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</row>
        <row r="312">
          <cell r="A312">
            <v>28</v>
          </cell>
          <cell r="B312" t="str">
            <v>Kaca Bening 12 mm</v>
          </cell>
          <cell r="C312" t="str">
            <v>M2</v>
          </cell>
          <cell r="D312">
            <v>403787.64062499994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</row>
        <row r="313">
          <cell r="A313">
            <v>29</v>
          </cell>
          <cell r="B313" t="str">
            <v>Besi hollow 4/4</v>
          </cell>
          <cell r="C313" t="str">
            <v>M'</v>
          </cell>
          <cell r="D313">
            <v>48625.000000000051</v>
          </cell>
          <cell r="F313">
            <v>0</v>
          </cell>
          <cell r="G313">
            <v>5.09</v>
          </cell>
          <cell r="H313">
            <v>247501.25000000026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</row>
        <row r="314">
          <cell r="A314">
            <v>30</v>
          </cell>
          <cell r="B314" t="str">
            <v>Besi hollow 6/6</v>
          </cell>
          <cell r="C314" t="str">
            <v>M'</v>
          </cell>
          <cell r="D314">
            <v>74462.500000000058</v>
          </cell>
          <cell r="E314">
            <v>1.413793103448276</v>
          </cell>
          <cell r="F314">
            <v>105274.56896551733</v>
          </cell>
          <cell r="G314">
            <v>5.09</v>
          </cell>
          <cell r="H314">
            <v>379014.12500000029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</row>
        <row r="315">
          <cell r="A315">
            <v>31</v>
          </cell>
          <cell r="B315" t="str">
            <v>Besi hollow 2.5/5</v>
          </cell>
          <cell r="C315" t="str">
            <v>Kg</v>
          </cell>
          <cell r="D315">
            <v>74462.500000000058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>
            <v>32</v>
          </cell>
          <cell r="B316" t="str">
            <v>Besi hollow 5/5</v>
          </cell>
          <cell r="C316" t="str">
            <v>Kg</v>
          </cell>
          <cell r="D316">
            <v>74462.500000000058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>
            <v>33</v>
          </cell>
          <cell r="B317" t="str">
            <v>Besi hollow 2/2</v>
          </cell>
          <cell r="C317" t="str">
            <v>Kg</v>
          </cell>
          <cell r="D317">
            <v>74462.500000000058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</row>
        <row r="318">
          <cell r="A318">
            <v>34</v>
          </cell>
          <cell r="B318" t="str">
            <v>Besi hollow 2/4</v>
          </cell>
          <cell r="C318" t="str">
            <v>Kg</v>
          </cell>
          <cell r="D318">
            <v>74462.500000000058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</row>
        <row r="319">
          <cell r="A319">
            <v>35</v>
          </cell>
          <cell r="B319" t="str">
            <v>Kaca Tempered 12 mm</v>
          </cell>
          <cell r="C319" t="str">
            <v>M2</v>
          </cell>
          <cell r="D319">
            <v>528395.75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</row>
        <row r="320">
          <cell r="A320">
            <v>36</v>
          </cell>
          <cell r="B320" t="str">
            <v>Glass Block</v>
          </cell>
          <cell r="C320" t="str">
            <v>Bh</v>
          </cell>
          <cell r="D320">
            <v>45000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</row>
        <row r="321">
          <cell r="A321">
            <v>37</v>
          </cell>
          <cell r="B321" t="str">
            <v>Kaca Es</v>
          </cell>
          <cell r="C321" t="str">
            <v>M2</v>
          </cell>
          <cell r="D321">
            <v>66700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</row>
        <row r="322">
          <cell r="A322">
            <v>38</v>
          </cell>
          <cell r="B322" t="str">
            <v>Krepyak Kaca Nako + Kerangka</v>
          </cell>
          <cell r="C322" t="str">
            <v>M2</v>
          </cell>
          <cell r="D322">
            <v>81300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>
            <v>39</v>
          </cell>
          <cell r="B323" t="str">
            <v>Sticker Efek Kaca Es</v>
          </cell>
          <cell r="C323" t="str">
            <v>M2</v>
          </cell>
          <cell r="D323">
            <v>150000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>
            <v>40</v>
          </cell>
          <cell r="B324" t="str">
            <v>Rel Pintu Dorong</v>
          </cell>
          <cell r="C324" t="str">
            <v>M'</v>
          </cell>
          <cell r="D324">
            <v>275000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4</v>
          </cell>
          <cell r="L324">
            <v>1100000</v>
          </cell>
          <cell r="M324">
            <v>4</v>
          </cell>
          <cell r="N324">
            <v>1100000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>
            <v>41</v>
          </cell>
          <cell r="B325" t="str">
            <v>Rolling Door</v>
          </cell>
          <cell r="C325" t="str">
            <v>M2</v>
          </cell>
          <cell r="D325">
            <v>358100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>
            <v>42</v>
          </cell>
          <cell r="B326" t="str">
            <v>Roster</v>
          </cell>
          <cell r="C326" t="str">
            <v>M2</v>
          </cell>
          <cell r="D326">
            <v>133850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0.2</v>
          </cell>
          <cell r="X326">
            <v>26770</v>
          </cell>
          <cell r="Y326">
            <v>5.15</v>
          </cell>
          <cell r="Z326">
            <v>689327.5</v>
          </cell>
          <cell r="AA326">
            <v>0.8</v>
          </cell>
          <cell r="AB326">
            <v>107080</v>
          </cell>
        </row>
        <row r="327">
          <cell r="A327">
            <v>43</v>
          </cell>
          <cell r="B327" t="str">
            <v>Gipsum Board</v>
          </cell>
          <cell r="C327" t="str">
            <v>M2</v>
          </cell>
          <cell r="D327">
            <v>29000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>
            <v>44</v>
          </cell>
          <cell r="B328" t="str">
            <v>List Gipsum</v>
          </cell>
          <cell r="C328" t="str">
            <v>M'</v>
          </cell>
          <cell r="D328">
            <v>17300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</row>
        <row r="329">
          <cell r="A329">
            <v>45</v>
          </cell>
          <cell r="B329" t="str">
            <v>Sealent</v>
          </cell>
          <cell r="C329" t="str">
            <v>M'</v>
          </cell>
          <cell r="D329">
            <v>8400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12.5</v>
          </cell>
          <cell r="L329">
            <v>105000</v>
          </cell>
          <cell r="M329">
            <v>12.5</v>
          </cell>
          <cell r="N329">
            <v>105000</v>
          </cell>
          <cell r="O329">
            <v>9.1999999999999993</v>
          </cell>
          <cell r="P329">
            <v>77280</v>
          </cell>
          <cell r="Q329">
            <v>69.260000000000005</v>
          </cell>
          <cell r="R329">
            <v>581784</v>
          </cell>
          <cell r="S329">
            <v>19.54</v>
          </cell>
          <cell r="T329">
            <v>164136</v>
          </cell>
          <cell r="U329">
            <v>19.54</v>
          </cell>
          <cell r="V329">
            <v>164136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</row>
        <row r="330">
          <cell r="A330">
            <v>46</v>
          </cell>
          <cell r="B330" t="str">
            <v>Benangan Kusen</v>
          </cell>
          <cell r="C330" t="str">
            <v>M'</v>
          </cell>
          <cell r="D330">
            <v>4296.0074999999997</v>
          </cell>
          <cell r="F330">
            <v>0</v>
          </cell>
          <cell r="G330">
            <v>5.5990000000000002</v>
          </cell>
          <cell r="H330">
            <v>24053.345992499999</v>
          </cell>
          <cell r="I330">
            <v>5.7839999999999998</v>
          </cell>
          <cell r="J330">
            <v>24848.107379999998</v>
          </cell>
          <cell r="K330">
            <v>14.399999999999999</v>
          </cell>
          <cell r="L330">
            <v>61862.507999999987</v>
          </cell>
          <cell r="M330">
            <v>14.399999999999999</v>
          </cell>
          <cell r="N330">
            <v>61862.507999999987</v>
          </cell>
          <cell r="O330">
            <v>8</v>
          </cell>
          <cell r="P330">
            <v>34368.06</v>
          </cell>
          <cell r="Q330">
            <v>23</v>
          </cell>
          <cell r="R330">
            <v>98808.172499999986</v>
          </cell>
          <cell r="S330">
            <v>14.32</v>
          </cell>
          <cell r="T330">
            <v>61518.827399999995</v>
          </cell>
          <cell r="U330">
            <v>14.32</v>
          </cell>
          <cell r="V330">
            <v>61518.827399999995</v>
          </cell>
          <cell r="W330">
            <v>0.8</v>
          </cell>
          <cell r="X330">
            <v>3436.806</v>
          </cell>
          <cell r="Y330">
            <v>55.800000000000004</v>
          </cell>
          <cell r="Z330">
            <v>239717.21849999999</v>
          </cell>
          <cell r="AA330">
            <v>69.2</v>
          </cell>
          <cell r="AB330">
            <v>297283.71899999998</v>
          </cell>
        </row>
        <row r="331">
          <cell r="A331">
            <v>47</v>
          </cell>
          <cell r="B331" t="str">
            <v xml:space="preserve">Cat Kayu </v>
          </cell>
          <cell r="C331" t="str">
            <v>M2</v>
          </cell>
          <cell r="D331">
            <v>19370.5</v>
          </cell>
          <cell r="F331">
            <v>0</v>
          </cell>
          <cell r="G331">
            <v>0</v>
          </cell>
          <cell r="H331">
            <v>0</v>
          </cell>
          <cell r="I331">
            <v>4.0991999999999997</v>
          </cell>
          <cell r="J331">
            <v>79403.553599999999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</row>
        <row r="332">
          <cell r="A332">
            <v>48</v>
          </cell>
          <cell r="B332" t="str">
            <v>Cat Besi</v>
          </cell>
          <cell r="C332" t="str">
            <v>M2</v>
          </cell>
          <cell r="D332">
            <v>13698</v>
          </cell>
          <cell r="F332">
            <v>0</v>
          </cell>
          <cell r="G332">
            <v>5.6445590696960588</v>
          </cell>
          <cell r="H332">
            <v>77319.170136696615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</row>
        <row r="333">
          <cell r="A333">
            <v>49</v>
          </cell>
          <cell r="B333" t="str">
            <v>Cat Dinding</v>
          </cell>
          <cell r="C333" t="str">
            <v>M2</v>
          </cell>
          <cell r="D333">
            <v>9900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0.4</v>
          </cell>
          <cell r="X333">
            <v>3960</v>
          </cell>
          <cell r="Y333">
            <v>10.3</v>
          </cell>
          <cell r="Z333">
            <v>101970</v>
          </cell>
          <cell r="AA333">
            <v>13.025</v>
          </cell>
          <cell r="AB333">
            <v>128947.5</v>
          </cell>
        </row>
        <row r="334">
          <cell r="A334">
            <v>50</v>
          </cell>
          <cell r="B334" t="str">
            <v>Plesteran Camprot</v>
          </cell>
          <cell r="C334" t="str">
            <v>M2</v>
          </cell>
          <cell r="D334">
            <v>14600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K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1.6</v>
          </cell>
          <cell r="Z334">
            <v>23360</v>
          </cell>
          <cell r="AA334">
            <v>0.8</v>
          </cell>
          <cell r="AB334">
            <v>11680</v>
          </cell>
        </row>
        <row r="336">
          <cell r="B336" t="str">
            <v>Jumlah Harga</v>
          </cell>
          <cell r="F336">
            <v>105274.56896551733</v>
          </cell>
          <cell r="H336">
            <v>1760337.7291291971</v>
          </cell>
          <cell r="J336">
            <v>1690743.9109799999</v>
          </cell>
          <cell r="L336">
            <v>1778477.1111249998</v>
          </cell>
          <cell r="N336">
            <v>1778477.1111249998</v>
          </cell>
          <cell r="P336">
            <v>301628.05812499998</v>
          </cell>
          <cell r="R336">
            <v>2845730.9414999997</v>
          </cell>
          <cell r="T336">
            <v>724261.3623124999</v>
          </cell>
          <cell r="V336">
            <v>724261.3623124999</v>
          </cell>
          <cell r="X336">
            <v>34166.805999999997</v>
          </cell>
          <cell r="Z336">
            <v>1054374.7185</v>
          </cell>
          <cell r="AB336">
            <v>544991.21900000004</v>
          </cell>
        </row>
        <row r="340">
          <cell r="A340" t="str">
            <v>No.</v>
          </cell>
          <cell r="B340" t="str">
            <v>Item Pekerjaan</v>
          </cell>
          <cell r="C340" t="str">
            <v>Satuan</v>
          </cell>
          <cell r="D340" t="str">
            <v>Harga Satuan</v>
          </cell>
          <cell r="E340" t="str">
            <v>P1A</v>
          </cell>
          <cell r="G340" t="str">
            <v>P1B</v>
          </cell>
          <cell r="I340" t="str">
            <v>P2</v>
          </cell>
          <cell r="K340" t="str">
            <v>P3A</v>
          </cell>
          <cell r="M340" t="str">
            <v>P3B</v>
          </cell>
          <cell r="O340" t="str">
            <v>P4A</v>
          </cell>
          <cell r="Q340" t="str">
            <v>P4B</v>
          </cell>
          <cell r="S340" t="str">
            <v>J2A</v>
          </cell>
          <cell r="U340" t="str">
            <v>J2B</v>
          </cell>
          <cell r="W340" t="str">
            <v>J3</v>
          </cell>
          <cell r="Y340" t="str">
            <v>J4</v>
          </cell>
          <cell r="AA340" t="str">
            <v>J5 atau J8</v>
          </cell>
          <cell r="AC340" t="str">
            <v>BV1</v>
          </cell>
          <cell r="AE340" t="str">
            <v>BV2</v>
          </cell>
        </row>
        <row r="341">
          <cell r="D341" t="str">
            <v>Rp.</v>
          </cell>
          <cell r="E341" t="str">
            <v>Vol.</v>
          </cell>
          <cell r="F341" t="str">
            <v>Jumlah Harga</v>
          </cell>
          <cell r="G341" t="str">
            <v>Vol.</v>
          </cell>
          <cell r="H341" t="str">
            <v>Jumlah Harga</v>
          </cell>
          <cell r="I341" t="str">
            <v>Vol.</v>
          </cell>
          <cell r="J341" t="str">
            <v>Jumlah Harga</v>
          </cell>
          <cell r="K341" t="str">
            <v>Vol.</v>
          </cell>
          <cell r="L341" t="str">
            <v>Jumlah Harga</v>
          </cell>
          <cell r="M341" t="str">
            <v>Vol.</v>
          </cell>
          <cell r="N341" t="str">
            <v>Jumlah Harga</v>
          </cell>
          <cell r="O341" t="str">
            <v>Vol.</v>
          </cell>
          <cell r="P341" t="str">
            <v>Jumlah Harga</v>
          </cell>
          <cell r="Q341" t="str">
            <v>Vol.</v>
          </cell>
          <cell r="R341" t="str">
            <v>Jumlah Harga</v>
          </cell>
          <cell r="S341" t="str">
            <v>Vol.</v>
          </cell>
          <cell r="T341" t="str">
            <v>Jumlah Harga</v>
          </cell>
          <cell r="U341" t="str">
            <v>Vol.</v>
          </cell>
          <cell r="V341" t="str">
            <v>Jumlah Harga</v>
          </cell>
          <cell r="W341" t="str">
            <v>Vol.</v>
          </cell>
          <cell r="X341" t="str">
            <v>Jumlah Harga</v>
          </cell>
          <cell r="Y341" t="str">
            <v>Vol.</v>
          </cell>
          <cell r="Z341" t="str">
            <v>Jumlah Harga</v>
          </cell>
          <cell r="AA341" t="str">
            <v>Vol.</v>
          </cell>
          <cell r="AB341" t="str">
            <v>Jumlah Harga</v>
          </cell>
          <cell r="AC341" t="str">
            <v>Vol.</v>
          </cell>
          <cell r="AD341" t="str">
            <v>Jumlah Harga</v>
          </cell>
          <cell r="AE341" t="str">
            <v>Vol.</v>
          </cell>
          <cell r="AF341" t="str">
            <v>Jumlah Harga</v>
          </cell>
        </row>
        <row r="342">
          <cell r="A342" t="str">
            <v>VI.</v>
          </cell>
          <cell r="B342" t="str">
            <v>UNIT BANGUNAN ASRAMA</v>
          </cell>
        </row>
        <row r="344">
          <cell r="A344">
            <v>1</v>
          </cell>
          <cell r="B344" t="str">
            <v>Kayu 6/12</v>
          </cell>
          <cell r="C344" t="str">
            <v>M3</v>
          </cell>
          <cell r="D344">
            <v>0</v>
          </cell>
          <cell r="E344">
            <v>1.12E-2</v>
          </cell>
          <cell r="F344">
            <v>0</v>
          </cell>
          <cell r="G344">
            <v>1.12E-2</v>
          </cell>
          <cell r="H344">
            <v>0</v>
          </cell>
          <cell r="I344">
            <v>0</v>
          </cell>
          <cell r="J344">
            <v>0</v>
          </cell>
          <cell r="K344">
            <v>3.6144000000000003E-2</v>
          </cell>
          <cell r="L344">
            <v>0</v>
          </cell>
          <cell r="M344">
            <v>3.6144000000000003E-2</v>
          </cell>
          <cell r="N344">
            <v>0</v>
          </cell>
          <cell r="O344">
            <v>8.0000000000000002E-3</v>
          </cell>
          <cell r="P344">
            <v>0</v>
          </cell>
          <cell r="Q344">
            <v>8.0000000000000002E-3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A345">
            <v>2</v>
          </cell>
          <cell r="B345" t="str">
            <v>Kayu Slimar 3/10</v>
          </cell>
          <cell r="C345" t="str">
            <v>M3</v>
          </cell>
          <cell r="D345">
            <v>0</v>
          </cell>
          <cell r="E345">
            <v>3.2000000000000002E-3</v>
          </cell>
          <cell r="F345">
            <v>0</v>
          </cell>
          <cell r="G345">
            <v>3.2000000000000002E-3</v>
          </cell>
          <cell r="H345">
            <v>0</v>
          </cell>
          <cell r="I345">
            <v>0</v>
          </cell>
          <cell r="J345">
            <v>0</v>
          </cell>
          <cell r="K345">
            <v>1.4159999999999999E-2</v>
          </cell>
          <cell r="L345">
            <v>0</v>
          </cell>
          <cell r="M345">
            <v>1.4159999999999999E-2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A346">
            <v>3</v>
          </cell>
          <cell r="B346" t="str">
            <v>Kayu Slimar 3/15</v>
          </cell>
          <cell r="C346" t="str">
            <v>M3</v>
          </cell>
          <cell r="D346">
            <v>0</v>
          </cell>
          <cell r="E346">
            <v>3.2</v>
          </cell>
          <cell r="F346">
            <v>0</v>
          </cell>
          <cell r="G346">
            <v>3.2</v>
          </cell>
          <cell r="H346">
            <v>0</v>
          </cell>
          <cell r="I346">
            <v>0</v>
          </cell>
          <cell r="J346">
            <v>0</v>
          </cell>
          <cell r="K346">
            <v>2.6999999999999997E-3</v>
          </cell>
          <cell r="L346">
            <v>0</v>
          </cell>
          <cell r="M346">
            <v>2.6999999999999997E-3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A347">
            <v>4</v>
          </cell>
          <cell r="B347" t="str">
            <v>Kayu Slimar 3/20</v>
          </cell>
          <cell r="C347" t="str">
            <v>M3</v>
          </cell>
          <cell r="D347">
            <v>0</v>
          </cell>
          <cell r="E347">
            <v>3.2</v>
          </cell>
          <cell r="F347">
            <v>0</v>
          </cell>
          <cell r="G347">
            <v>3.2</v>
          </cell>
          <cell r="H347">
            <v>0</v>
          </cell>
          <cell r="I347">
            <v>0</v>
          </cell>
          <cell r="J347">
            <v>0</v>
          </cell>
          <cell r="K347">
            <v>3.5999999999999999E-3</v>
          </cell>
          <cell r="L347">
            <v>0</v>
          </cell>
          <cell r="M347">
            <v>3.5999999999999999E-3</v>
          </cell>
          <cell r="N347">
            <v>0</v>
          </cell>
          <cell r="O347">
            <v>1.32</v>
          </cell>
          <cell r="P347">
            <v>0</v>
          </cell>
          <cell r="Q347">
            <v>1.32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A348">
            <v>5</v>
          </cell>
          <cell r="B348" t="str">
            <v>Kayu 2/10</v>
          </cell>
          <cell r="C348" t="str">
            <v>M3</v>
          </cell>
          <cell r="D348">
            <v>0</v>
          </cell>
          <cell r="E348">
            <v>5</v>
          </cell>
          <cell r="F348">
            <v>0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  <cell r="K348">
            <v>5.4000000000000012E-3</v>
          </cell>
          <cell r="L348">
            <v>0</v>
          </cell>
          <cell r="M348">
            <v>5.4000000000000012E-3</v>
          </cell>
          <cell r="N348">
            <v>0</v>
          </cell>
          <cell r="O348">
            <v>3.8</v>
          </cell>
          <cell r="P348">
            <v>0</v>
          </cell>
          <cell r="Q348">
            <v>3.8</v>
          </cell>
          <cell r="R348">
            <v>0</v>
          </cell>
          <cell r="S348">
            <v>10.85</v>
          </cell>
          <cell r="T348">
            <v>0</v>
          </cell>
          <cell r="U348">
            <v>10.85</v>
          </cell>
          <cell r="V348">
            <v>0</v>
          </cell>
          <cell r="W348">
            <v>0</v>
          </cell>
          <cell r="X348">
            <v>0</v>
          </cell>
          <cell r="Y348">
            <v>4.5999999999999996</v>
          </cell>
          <cell r="Z348">
            <v>0</v>
          </cell>
          <cell r="AA348">
            <v>3.5999999999999996</v>
          </cell>
          <cell r="AB348">
            <v>0</v>
          </cell>
          <cell r="AC348">
            <v>4</v>
          </cell>
          <cell r="AD348">
            <v>0</v>
          </cell>
          <cell r="AE348">
            <v>4</v>
          </cell>
          <cell r="AF348">
            <v>0</v>
          </cell>
        </row>
        <row r="349">
          <cell r="A349">
            <v>6</v>
          </cell>
          <cell r="B349" t="str">
            <v>Panil t = 3 cm</v>
          </cell>
          <cell r="C349" t="str">
            <v>M2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0.49500000000000005</v>
          </cell>
          <cell r="L349">
            <v>0</v>
          </cell>
          <cell r="M349">
            <v>0.49500000000000005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6.66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A350">
            <v>1</v>
          </cell>
          <cell r="B350" t="str">
            <v>Kusen Aluminium 5/10</v>
          </cell>
          <cell r="C350" t="str">
            <v>M'</v>
          </cell>
          <cell r="D350">
            <v>124948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6.1999999999999993</v>
          </cell>
          <cell r="J350">
            <v>774677.59999999986</v>
          </cell>
          <cell r="K350">
            <v>5</v>
          </cell>
          <cell r="L350">
            <v>624740</v>
          </cell>
          <cell r="M350">
            <v>5</v>
          </cell>
          <cell r="N350">
            <v>624740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A351">
            <v>2</v>
          </cell>
          <cell r="B351" t="str">
            <v xml:space="preserve">Rangka Daun Jendela Alumunium </v>
          </cell>
          <cell r="C351" t="str">
            <v>M'</v>
          </cell>
          <cell r="D351">
            <v>124948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</v>
          </cell>
          <cell r="T351">
            <v>874636</v>
          </cell>
          <cell r="U351">
            <v>7</v>
          </cell>
          <cell r="V351">
            <v>874636</v>
          </cell>
          <cell r="W351">
            <v>0</v>
          </cell>
          <cell r="X351">
            <v>0</v>
          </cell>
          <cell r="Y351">
            <v>4.2</v>
          </cell>
          <cell r="Z351">
            <v>524781.6</v>
          </cell>
          <cell r="AA351">
            <v>3.2</v>
          </cell>
          <cell r="AB351">
            <v>399833.60000000003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A352">
            <v>3</v>
          </cell>
          <cell r="B352" t="str">
            <v>Rangka Tiang Sirip Alumunium 1/1 Putih</v>
          </cell>
          <cell r="C352" t="str">
            <v>M'</v>
          </cell>
          <cell r="D352">
            <v>62474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2.6</v>
          </cell>
          <cell r="T352">
            <v>162432.4</v>
          </cell>
          <cell r="U352">
            <v>2.6</v>
          </cell>
          <cell r="V352">
            <v>162432.4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A353">
            <v>4</v>
          </cell>
          <cell r="B353" t="str">
            <v>Pasang Shading Sirip Alumunium 0.2/10 +Rangka</v>
          </cell>
          <cell r="C353" t="str">
            <v>M2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0.26250000000000001</v>
          </cell>
          <cell r="T353">
            <v>0</v>
          </cell>
          <cell r="U353">
            <v>0.26250000000000001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</row>
        <row r="354">
          <cell r="A354">
            <v>5</v>
          </cell>
          <cell r="B354" t="str">
            <v>Daun Pintu Panil Kamper</v>
          </cell>
          <cell r="C354" t="str">
            <v>bh</v>
          </cell>
          <cell r="D354">
            <v>550000</v>
          </cell>
          <cell r="E354">
            <v>1.2E-2</v>
          </cell>
          <cell r="F354">
            <v>6600</v>
          </cell>
          <cell r="G354">
            <v>1.2E-2</v>
          </cell>
          <cell r="H354">
            <v>6600</v>
          </cell>
          <cell r="I354">
            <v>0</v>
          </cell>
          <cell r="J354">
            <v>0</v>
          </cell>
          <cell r="K354">
            <v>1.2</v>
          </cell>
          <cell r="L354">
            <v>660000</v>
          </cell>
          <cell r="M354">
            <v>1.2</v>
          </cell>
          <cell r="N354">
            <v>660000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5">
          <cell r="A355">
            <v>6</v>
          </cell>
          <cell r="B355" t="str">
            <v>Plat besi t = 2 mm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</row>
        <row r="356">
          <cell r="A356">
            <v>7</v>
          </cell>
          <cell r="B356" t="str">
            <v>C 40.40.2  (pesan khusus)</v>
          </cell>
          <cell r="C356" t="str">
            <v>Kg</v>
          </cell>
          <cell r="D356">
            <v>14122.3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</row>
        <row r="357">
          <cell r="A357">
            <v>8</v>
          </cell>
          <cell r="B357" t="str">
            <v>Handle besi dia 16 mm</v>
          </cell>
          <cell r="C357" t="str">
            <v>Set</v>
          </cell>
          <cell r="D357">
            <v>129652.5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8">
          <cell r="A358">
            <v>9</v>
          </cell>
          <cell r="B358" t="str">
            <v>Hendle pintu Stainless</v>
          </cell>
          <cell r="C358" t="str">
            <v>Set</v>
          </cell>
          <cell r="D358">
            <v>261652.5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</v>
          </cell>
          <cell r="J358">
            <v>523305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</row>
        <row r="359">
          <cell r="A359">
            <v>10</v>
          </cell>
          <cell r="B359" t="str">
            <v>Kunci Pintu Handle stainleess (dorma)</v>
          </cell>
          <cell r="C359" t="str">
            <v>Set</v>
          </cell>
          <cell r="D359">
            <v>650000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</row>
        <row r="360">
          <cell r="A360">
            <v>11</v>
          </cell>
          <cell r="B360" t="str">
            <v>Kunci tanam Antik</v>
          </cell>
          <cell r="C360" t="str">
            <v>Set</v>
          </cell>
          <cell r="D360">
            <v>265000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</row>
        <row r="361">
          <cell r="A361">
            <v>12</v>
          </cell>
          <cell r="B361" t="str">
            <v>Kunci tanam biasa</v>
          </cell>
          <cell r="C361" t="str">
            <v>Set</v>
          </cell>
          <cell r="D361">
            <v>168565</v>
          </cell>
          <cell r="E361">
            <v>1</v>
          </cell>
          <cell r="F361">
            <v>168565</v>
          </cell>
          <cell r="G361">
            <v>1</v>
          </cell>
          <cell r="H361">
            <v>168565</v>
          </cell>
          <cell r="I361">
            <v>0</v>
          </cell>
          <cell r="J361">
            <v>0</v>
          </cell>
          <cell r="K361">
            <v>1</v>
          </cell>
          <cell r="L361">
            <v>168565</v>
          </cell>
          <cell r="M361">
            <v>1</v>
          </cell>
          <cell r="N361">
            <v>168565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2">
          <cell r="A362">
            <v>13</v>
          </cell>
          <cell r="B362" t="str">
            <v>Kunci Silinder</v>
          </cell>
          <cell r="C362" t="str">
            <v>Set</v>
          </cell>
          <cell r="D362">
            <v>217900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</row>
        <row r="363">
          <cell r="A363">
            <v>14</v>
          </cell>
          <cell r="B363" t="str">
            <v>Kunci Selot</v>
          </cell>
          <cell r="C363" t="str">
            <v>Set</v>
          </cell>
          <cell r="D363">
            <v>48300</v>
          </cell>
          <cell r="E363">
            <v>1</v>
          </cell>
          <cell r="F363">
            <v>48300</v>
          </cell>
          <cell r="G363">
            <v>1</v>
          </cell>
          <cell r="H363">
            <v>48300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48300</v>
          </cell>
          <cell r="Q363">
            <v>1</v>
          </cell>
          <cell r="R363">
            <v>48300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</row>
        <row r="364">
          <cell r="A364">
            <v>15</v>
          </cell>
          <cell r="B364" t="str">
            <v>Engsel jendela</v>
          </cell>
          <cell r="C364" t="str">
            <v>Bh</v>
          </cell>
          <cell r="D364">
            <v>16600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</v>
          </cell>
          <cell r="T364">
            <v>66400</v>
          </cell>
          <cell r="U364">
            <v>4</v>
          </cell>
          <cell r="V364">
            <v>66400</v>
          </cell>
          <cell r="W364">
            <v>0</v>
          </cell>
          <cell r="X364">
            <v>0</v>
          </cell>
          <cell r="Y364">
            <v>2</v>
          </cell>
          <cell r="Z364">
            <v>33200</v>
          </cell>
          <cell r="AA364">
            <v>2</v>
          </cell>
          <cell r="AB364">
            <v>33200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</row>
        <row r="365">
          <cell r="A365">
            <v>16</v>
          </cell>
          <cell r="B365" t="str">
            <v>Engsel pintu</v>
          </cell>
          <cell r="C365" t="str">
            <v>Bh</v>
          </cell>
          <cell r="D365">
            <v>44395.75</v>
          </cell>
          <cell r="E365">
            <v>2</v>
          </cell>
          <cell r="F365">
            <v>88791.5</v>
          </cell>
          <cell r="G365">
            <v>2</v>
          </cell>
          <cell r="H365">
            <v>88791.5</v>
          </cell>
          <cell r="I365">
            <v>4</v>
          </cell>
          <cell r="J365">
            <v>177583</v>
          </cell>
          <cell r="K365">
            <v>3</v>
          </cell>
          <cell r="L365">
            <v>133187.25</v>
          </cell>
          <cell r="M365">
            <v>3</v>
          </cell>
          <cell r="N365">
            <v>133187.25</v>
          </cell>
          <cell r="O365">
            <v>2</v>
          </cell>
          <cell r="P365">
            <v>88791.5</v>
          </cell>
          <cell r="Q365">
            <v>2</v>
          </cell>
          <cell r="R365">
            <v>88791.5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6">
          <cell r="A366">
            <v>17</v>
          </cell>
          <cell r="B366" t="str">
            <v>Engsel Pintu dari pipa besi dia 2 cm</v>
          </cell>
          <cell r="C366" t="str">
            <v>Bh</v>
          </cell>
          <cell r="D366">
            <v>66593.625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</row>
        <row r="367">
          <cell r="A367">
            <v>18</v>
          </cell>
          <cell r="B367" t="str">
            <v>Kait/hak angin</v>
          </cell>
          <cell r="C367" t="str">
            <v>Set</v>
          </cell>
          <cell r="D367">
            <v>27000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</v>
          </cell>
          <cell r="T367">
            <v>162000</v>
          </cell>
          <cell r="U367">
            <v>6</v>
          </cell>
          <cell r="V367">
            <v>162000</v>
          </cell>
          <cell r="W367">
            <v>0</v>
          </cell>
          <cell r="X367">
            <v>0</v>
          </cell>
          <cell r="Y367">
            <v>2</v>
          </cell>
          <cell r="Z367">
            <v>54000</v>
          </cell>
          <cell r="AA367">
            <v>2</v>
          </cell>
          <cell r="AB367">
            <v>54000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A368">
            <v>19</v>
          </cell>
          <cell r="B368" t="str">
            <v>Grendel pintu kuningan</v>
          </cell>
          <cell r="C368" t="str">
            <v>Bh</v>
          </cell>
          <cell r="D368">
            <v>125000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A369">
            <v>20</v>
          </cell>
          <cell r="B369" t="str">
            <v xml:space="preserve">Grendel jendela </v>
          </cell>
          <cell r="C369" t="str">
            <v>Bh</v>
          </cell>
          <cell r="D369">
            <v>8100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3</v>
          </cell>
          <cell r="T369">
            <v>24300</v>
          </cell>
          <cell r="U369">
            <v>3</v>
          </cell>
          <cell r="V369">
            <v>24300</v>
          </cell>
          <cell r="W369">
            <v>0</v>
          </cell>
          <cell r="X369">
            <v>0</v>
          </cell>
          <cell r="Y369">
            <v>1</v>
          </cell>
          <cell r="Z369">
            <v>8100</v>
          </cell>
          <cell r="AA369">
            <v>1</v>
          </cell>
          <cell r="AB369">
            <v>8100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A370">
            <v>21</v>
          </cell>
          <cell r="B370" t="str">
            <v>Grendel pintu</v>
          </cell>
          <cell r="C370" t="str">
            <v>Bh</v>
          </cell>
          <cell r="D370">
            <v>14200</v>
          </cell>
          <cell r="E370">
            <v>1</v>
          </cell>
          <cell r="F370">
            <v>14200</v>
          </cell>
          <cell r="G370">
            <v>1</v>
          </cell>
          <cell r="H370">
            <v>14200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1</v>
          </cell>
          <cell r="P370">
            <v>14200</v>
          </cell>
          <cell r="Q370">
            <v>1</v>
          </cell>
          <cell r="R370">
            <v>14200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A371">
            <v>22</v>
          </cell>
          <cell r="B371" t="str">
            <v>Stripting Knip</v>
          </cell>
          <cell r="C371" t="str">
            <v>Set</v>
          </cell>
          <cell r="D371">
            <v>13700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A372">
            <v>23</v>
          </cell>
          <cell r="B372" t="str">
            <v>Door Closer</v>
          </cell>
          <cell r="C372" t="str">
            <v>Set</v>
          </cell>
          <cell r="D372">
            <v>260800</v>
          </cell>
          <cell r="E372">
            <v>1</v>
          </cell>
          <cell r="F372">
            <v>260800</v>
          </cell>
          <cell r="G372">
            <v>1</v>
          </cell>
          <cell r="H372">
            <v>260800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</row>
        <row r="373">
          <cell r="A373">
            <v>24</v>
          </cell>
          <cell r="B373" t="str">
            <v>Door Holder</v>
          </cell>
          <cell r="C373" t="str">
            <v>Set</v>
          </cell>
          <cell r="D373">
            <v>500000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</row>
        <row r="374">
          <cell r="A374">
            <v>25</v>
          </cell>
          <cell r="B374" t="str">
            <v>Door Stop</v>
          </cell>
          <cell r="C374" t="str">
            <v>Set</v>
          </cell>
          <cell r="D374">
            <v>32100</v>
          </cell>
          <cell r="E374">
            <v>1</v>
          </cell>
          <cell r="F374">
            <v>32100</v>
          </cell>
          <cell r="G374">
            <v>1</v>
          </cell>
          <cell r="H374">
            <v>32100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</row>
        <row r="375">
          <cell r="A375">
            <v>26</v>
          </cell>
          <cell r="B375" t="str">
            <v>Kaca bening 5 mm</v>
          </cell>
          <cell r="C375" t="str">
            <v>M2</v>
          </cell>
          <cell r="D375">
            <v>66700</v>
          </cell>
          <cell r="E375">
            <v>5.0399999999999993E-2</v>
          </cell>
          <cell r="F375">
            <v>3361.6799999999994</v>
          </cell>
          <cell r="G375">
            <v>5.0399999999999993E-2</v>
          </cell>
          <cell r="H375">
            <v>3361.6799999999994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0.25919999999999999</v>
          </cell>
          <cell r="T375">
            <v>17288.64</v>
          </cell>
          <cell r="U375">
            <v>0.25919999999999999</v>
          </cell>
          <cell r="V375">
            <v>17288.64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0.4</v>
          </cell>
          <cell r="AF375">
            <v>26680</v>
          </cell>
        </row>
        <row r="376">
          <cell r="A376">
            <v>27</v>
          </cell>
          <cell r="B376" t="str">
            <v>Kaca bening 10 mm</v>
          </cell>
          <cell r="C376" t="str">
            <v>M2</v>
          </cell>
          <cell r="D376">
            <v>280895.75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1.1326000000000001</v>
          </cell>
          <cell r="T376">
            <v>318142.52645</v>
          </cell>
          <cell r="U376">
            <v>1.1326000000000001</v>
          </cell>
          <cell r="V376">
            <v>318142.52645</v>
          </cell>
          <cell r="W376">
            <v>2.8839999999999999</v>
          </cell>
          <cell r="X376">
            <v>810103.34299999999</v>
          </cell>
          <cell r="Y376">
            <v>0.50749999999999995</v>
          </cell>
          <cell r="Z376">
            <v>142554.59312499998</v>
          </cell>
          <cell r="AA376">
            <v>0.33249999999999996</v>
          </cell>
          <cell r="AB376">
            <v>93397.836874999994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</row>
        <row r="377">
          <cell r="A377">
            <v>28</v>
          </cell>
          <cell r="B377" t="str">
            <v>Kaca Bening 12 mm</v>
          </cell>
          <cell r="C377" t="str">
            <v>M2</v>
          </cell>
          <cell r="D377">
            <v>403787.64062499994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</row>
        <row r="378">
          <cell r="A378">
            <v>29</v>
          </cell>
          <cell r="B378" t="str">
            <v>Besi hollow 4/4</v>
          </cell>
          <cell r="C378" t="str">
            <v>M'</v>
          </cell>
          <cell r="D378">
            <v>48625.000000000051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</row>
        <row r="379">
          <cell r="A379">
            <v>30</v>
          </cell>
          <cell r="B379" t="str">
            <v>Besi hollow 6/6</v>
          </cell>
          <cell r="C379" t="str">
            <v>M'</v>
          </cell>
          <cell r="D379">
            <v>74462.500000000058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</row>
        <row r="380">
          <cell r="A380">
            <v>31</v>
          </cell>
          <cell r="B380" t="str">
            <v>Besi hollow 2.5/5</v>
          </cell>
          <cell r="C380" t="str">
            <v>Kg</v>
          </cell>
          <cell r="D380">
            <v>74462.500000000058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</row>
        <row r="381">
          <cell r="A381">
            <v>32</v>
          </cell>
          <cell r="B381" t="str">
            <v>Besi hollow 5/5</v>
          </cell>
          <cell r="C381" t="str">
            <v>Kg</v>
          </cell>
          <cell r="D381">
            <v>74462.500000000058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A382">
            <v>33</v>
          </cell>
          <cell r="B382" t="str">
            <v>Besi hollow 2/2</v>
          </cell>
          <cell r="C382" t="str">
            <v>Kg</v>
          </cell>
          <cell r="D382">
            <v>74462.500000000058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</row>
        <row r="383">
          <cell r="A383">
            <v>34</v>
          </cell>
          <cell r="B383" t="str">
            <v>Besi hollow 2/4</v>
          </cell>
          <cell r="C383" t="str">
            <v>Kg</v>
          </cell>
          <cell r="D383">
            <v>74462.500000000058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</row>
        <row r="384">
          <cell r="A384">
            <v>35</v>
          </cell>
          <cell r="B384" t="str">
            <v>Kaca Tempered 12 mm</v>
          </cell>
          <cell r="C384" t="str">
            <v>M2</v>
          </cell>
          <cell r="D384">
            <v>528395.75</v>
          </cell>
          <cell r="E384">
            <v>4.3049999999999997</v>
          </cell>
          <cell r="F384">
            <v>2274743.7037499999</v>
          </cell>
          <cell r="G384">
            <v>4.3049999999999997</v>
          </cell>
          <cell r="H384">
            <v>2274743.7037499999</v>
          </cell>
          <cell r="I384">
            <v>4.3049999999999997</v>
          </cell>
          <cell r="J384">
            <v>2274743.7037499999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A385">
            <v>36</v>
          </cell>
          <cell r="B385" t="str">
            <v>Glass Block</v>
          </cell>
          <cell r="C385" t="str">
            <v>Bh</v>
          </cell>
          <cell r="D385">
            <v>45000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</row>
        <row r="386">
          <cell r="A386">
            <v>37</v>
          </cell>
          <cell r="B386" t="str">
            <v>Kaca Es</v>
          </cell>
          <cell r="C386" t="str">
            <v>M2</v>
          </cell>
          <cell r="D386">
            <v>66700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0.4</v>
          </cell>
          <cell r="AD386">
            <v>26680</v>
          </cell>
          <cell r="AE386">
            <v>0</v>
          </cell>
          <cell r="AF386">
            <v>0</v>
          </cell>
        </row>
        <row r="387">
          <cell r="A387">
            <v>38</v>
          </cell>
          <cell r="B387" t="str">
            <v>Krepyak Kaca Nako + Kerangka</v>
          </cell>
          <cell r="C387" t="str">
            <v>M2</v>
          </cell>
          <cell r="D387">
            <v>81300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</row>
        <row r="388">
          <cell r="A388">
            <v>39</v>
          </cell>
          <cell r="B388" t="str">
            <v>Sticker Efek Kaca Es</v>
          </cell>
          <cell r="C388" t="str">
            <v>M2</v>
          </cell>
          <cell r="D388">
            <v>150000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</row>
        <row r="389">
          <cell r="A389">
            <v>40</v>
          </cell>
          <cell r="B389" t="str">
            <v>Rel Pintu Dorong</v>
          </cell>
          <cell r="C389" t="str">
            <v>M'</v>
          </cell>
          <cell r="D389">
            <v>275000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</row>
        <row r="390">
          <cell r="A390">
            <v>41</v>
          </cell>
          <cell r="B390" t="str">
            <v>Rolling Door</v>
          </cell>
          <cell r="C390" t="str">
            <v>M2</v>
          </cell>
          <cell r="D390">
            <v>358100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</row>
        <row r="391">
          <cell r="A391">
            <v>42</v>
          </cell>
          <cell r="B391" t="str">
            <v>Roster</v>
          </cell>
          <cell r="C391" t="str">
            <v>M2</v>
          </cell>
          <cell r="D391">
            <v>133850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</row>
        <row r="392">
          <cell r="A392">
            <v>43</v>
          </cell>
          <cell r="B392" t="str">
            <v>Gipsum Board</v>
          </cell>
          <cell r="C392" t="str">
            <v>M2</v>
          </cell>
          <cell r="D392">
            <v>29000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</row>
        <row r="393">
          <cell r="A393">
            <v>44</v>
          </cell>
          <cell r="B393" t="str">
            <v>List Gipsum</v>
          </cell>
          <cell r="C393" t="str">
            <v>M'</v>
          </cell>
          <cell r="D393">
            <v>17300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</row>
        <row r="394">
          <cell r="A394">
            <v>45</v>
          </cell>
          <cell r="B394" t="str">
            <v>Sealent</v>
          </cell>
          <cell r="C394" t="str">
            <v>M'</v>
          </cell>
          <cell r="D394">
            <v>8400</v>
          </cell>
          <cell r="E394">
            <v>2.16</v>
          </cell>
          <cell r="F394">
            <v>18144</v>
          </cell>
          <cell r="G394">
            <v>2.16</v>
          </cell>
          <cell r="H394">
            <v>18144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18.080000000000002</v>
          </cell>
          <cell r="T394">
            <v>151872.00000000003</v>
          </cell>
          <cell r="U394">
            <v>18.080000000000002</v>
          </cell>
          <cell r="V394">
            <v>151872.00000000003</v>
          </cell>
          <cell r="W394">
            <v>19.439999999999998</v>
          </cell>
          <cell r="X394">
            <v>163295.99999999997</v>
          </cell>
          <cell r="Y394">
            <v>7.1999999999999993</v>
          </cell>
          <cell r="Z394">
            <v>60479.999999999993</v>
          </cell>
          <cell r="AA394">
            <v>5.1999999999999993</v>
          </cell>
          <cell r="AB394">
            <v>43679.999999999993</v>
          </cell>
          <cell r="AC394">
            <v>7.1999999999999993</v>
          </cell>
          <cell r="AD394">
            <v>60479.999999999993</v>
          </cell>
          <cell r="AE394">
            <v>7.1999999999999993</v>
          </cell>
          <cell r="AF394">
            <v>60479.999999999993</v>
          </cell>
        </row>
        <row r="395">
          <cell r="A395">
            <v>46</v>
          </cell>
          <cell r="B395" t="str">
            <v>Benangan Kusen</v>
          </cell>
          <cell r="C395" t="str">
            <v>M'</v>
          </cell>
          <cell r="D395">
            <v>4296.0074999999997</v>
          </cell>
          <cell r="E395">
            <v>9.8000000000000007</v>
          </cell>
          <cell r="F395">
            <v>42100.873500000002</v>
          </cell>
          <cell r="G395">
            <v>9.8000000000000007</v>
          </cell>
          <cell r="H395">
            <v>42100.873500000002</v>
          </cell>
          <cell r="I395">
            <v>6.1999999999999993</v>
          </cell>
          <cell r="J395">
            <v>26635.246499999994</v>
          </cell>
          <cell r="K395">
            <v>5.7839999999999998</v>
          </cell>
          <cell r="L395">
            <v>24848.107379999998</v>
          </cell>
          <cell r="M395">
            <v>5.7839999999999998</v>
          </cell>
          <cell r="N395">
            <v>24848.107379999998</v>
          </cell>
          <cell r="O395">
            <v>7.6</v>
          </cell>
          <cell r="P395">
            <v>32649.656999999996</v>
          </cell>
          <cell r="Q395">
            <v>7.6</v>
          </cell>
          <cell r="R395">
            <v>32649.656999999996</v>
          </cell>
          <cell r="S395">
            <v>13.600000000000001</v>
          </cell>
          <cell r="T395">
            <v>58425.702000000005</v>
          </cell>
          <cell r="U395">
            <v>13.600000000000001</v>
          </cell>
          <cell r="V395">
            <v>58425.702000000005</v>
          </cell>
          <cell r="W395">
            <v>10.120000000000001</v>
          </cell>
          <cell r="X395">
            <v>43475.5959</v>
          </cell>
          <cell r="Y395">
            <v>9.1999999999999993</v>
          </cell>
          <cell r="Z395">
            <v>39523.268999999993</v>
          </cell>
          <cell r="AA395">
            <v>7.1999999999999993</v>
          </cell>
          <cell r="AB395">
            <v>30931.253999999994</v>
          </cell>
          <cell r="AC395">
            <v>16</v>
          </cell>
          <cell r="AD395">
            <v>68736.12</v>
          </cell>
          <cell r="AE395">
            <v>16</v>
          </cell>
          <cell r="AF395">
            <v>68736.12</v>
          </cell>
        </row>
        <row r="396">
          <cell r="A396">
            <v>47</v>
          </cell>
          <cell r="B396" t="str">
            <v xml:space="preserve">Cat Kayu </v>
          </cell>
          <cell r="C396" t="str">
            <v>M2</v>
          </cell>
          <cell r="D396">
            <v>19370.5</v>
          </cell>
          <cell r="E396">
            <v>3.2720000000000002</v>
          </cell>
          <cell r="F396">
            <v>63380.276000000005</v>
          </cell>
          <cell r="G396">
            <v>3.2720000000000002</v>
          </cell>
          <cell r="H396">
            <v>63380.276000000005</v>
          </cell>
          <cell r="I396">
            <v>0</v>
          </cell>
          <cell r="J396">
            <v>0</v>
          </cell>
          <cell r="K396">
            <v>4.0991999999999997</v>
          </cell>
          <cell r="L396">
            <v>79403.553599999999</v>
          </cell>
          <cell r="M396">
            <v>4.0991999999999997</v>
          </cell>
          <cell r="N396">
            <v>79403.553599999999</v>
          </cell>
          <cell r="O396">
            <v>1.3960000000000001</v>
          </cell>
          <cell r="P396">
            <v>27041.218000000001</v>
          </cell>
          <cell r="Q396">
            <v>1.3960000000000001</v>
          </cell>
          <cell r="R396">
            <v>27041.218000000001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</row>
        <row r="397">
          <cell r="A397">
            <v>48</v>
          </cell>
          <cell r="B397" t="str">
            <v>Cat Besi</v>
          </cell>
          <cell r="C397" t="str">
            <v>M2</v>
          </cell>
          <cell r="D397">
            <v>13698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</row>
        <row r="398">
          <cell r="A398">
            <v>49</v>
          </cell>
          <cell r="B398" t="str">
            <v>Cat Dinding</v>
          </cell>
          <cell r="C398" t="str">
            <v>M2</v>
          </cell>
          <cell r="D398">
            <v>9900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</row>
        <row r="399">
          <cell r="A399">
            <v>50</v>
          </cell>
          <cell r="B399" t="str">
            <v>Plesteran Camprot</v>
          </cell>
          <cell r="C399" t="str">
            <v>M2</v>
          </cell>
          <cell r="D399">
            <v>14600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</row>
        <row r="401">
          <cell r="B401" t="str">
            <v>Jumlah Harga</v>
          </cell>
          <cell r="F401">
            <v>3021087.0332500003</v>
          </cell>
          <cell r="H401">
            <v>3021087.0332500003</v>
          </cell>
          <cell r="J401">
            <v>3776944.5502499999</v>
          </cell>
          <cell r="L401">
            <v>1690743.9109799999</v>
          </cell>
          <cell r="N401">
            <v>1690743.9109799999</v>
          </cell>
          <cell r="P401">
            <v>210982.375</v>
          </cell>
          <cell r="R401">
            <v>210982.375</v>
          </cell>
          <cell r="T401">
            <v>1835497.2684499999</v>
          </cell>
          <cell r="V401">
            <v>1835497.2684499999</v>
          </cell>
          <cell r="X401">
            <v>1016874.9389</v>
          </cell>
          <cell r="Z401">
            <v>862639.46212499996</v>
          </cell>
          <cell r="AB401">
            <v>663142.69087499997</v>
          </cell>
          <cell r="AD401">
            <v>155896.12</v>
          </cell>
          <cell r="AF401">
            <v>155896.12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</row>
        <row r="402">
          <cell r="L402" t="str">
            <v>P3A ASR = P4 SD</v>
          </cell>
        </row>
        <row r="405">
          <cell r="A405" t="str">
            <v>No.</v>
          </cell>
          <cell r="B405" t="str">
            <v>Item Pekerjaan</v>
          </cell>
          <cell r="C405" t="str">
            <v>Satuan</v>
          </cell>
          <cell r="D405" t="str">
            <v>Harga Satuan</v>
          </cell>
          <cell r="E405" t="str">
            <v>P1</v>
          </cell>
          <cell r="G405" t="str">
            <v>P2</v>
          </cell>
          <cell r="I405" t="str">
            <v>P3</v>
          </cell>
          <cell r="K405" t="str">
            <v>P4</v>
          </cell>
          <cell r="M405" t="str">
            <v>J1</v>
          </cell>
          <cell r="O405" t="str">
            <v>BV1</v>
          </cell>
          <cell r="Q405" t="str">
            <v>R2B</v>
          </cell>
          <cell r="S405" t="str">
            <v>R2A</v>
          </cell>
          <cell r="U405" t="str">
            <v>R1</v>
          </cell>
        </row>
        <row r="406">
          <cell r="D406" t="str">
            <v>Rp.</v>
          </cell>
          <cell r="E406" t="str">
            <v>Vol.</v>
          </cell>
          <cell r="F406" t="str">
            <v>Jumlah Harga</v>
          </cell>
          <cell r="G406" t="str">
            <v>Vol.</v>
          </cell>
          <cell r="H406" t="str">
            <v>Jumlah Harga</v>
          </cell>
          <cell r="I406" t="str">
            <v>Vol.</v>
          </cell>
          <cell r="J406" t="str">
            <v>Jumlah Harga</v>
          </cell>
          <cell r="K406" t="str">
            <v>Vol.</v>
          </cell>
          <cell r="L406" t="str">
            <v>Jumlah Harga</v>
          </cell>
          <cell r="M406" t="str">
            <v>Vol.</v>
          </cell>
          <cell r="N406" t="str">
            <v>Jumlah Harga</v>
          </cell>
          <cell r="O406" t="str">
            <v>Vol.</v>
          </cell>
          <cell r="P406" t="str">
            <v>Jumlah Harga</v>
          </cell>
          <cell r="Q406" t="str">
            <v>Vol.</v>
          </cell>
          <cell r="R406" t="str">
            <v>Jumlah Harga</v>
          </cell>
          <cell r="S406" t="str">
            <v>Vol.</v>
          </cell>
          <cell r="T406" t="str">
            <v>Jumlah Harga</v>
          </cell>
          <cell r="U406" t="str">
            <v>Vol.</v>
          </cell>
          <cell r="V406" t="str">
            <v>Jumlah Harga</v>
          </cell>
        </row>
        <row r="407">
          <cell r="A407" t="str">
            <v>VII.</v>
          </cell>
          <cell r="B407" t="str">
            <v>UNIT BANGUNAN GSG</v>
          </cell>
        </row>
        <row r="409">
          <cell r="A409">
            <v>1</v>
          </cell>
          <cell r="B409" t="str">
            <v>Kayu 6/12</v>
          </cell>
          <cell r="C409" t="str">
            <v>M3</v>
          </cell>
          <cell r="D409">
            <v>0</v>
          </cell>
          <cell r="E409">
            <v>1.0200000000000001E-2</v>
          </cell>
          <cell r="F409">
            <v>0</v>
          </cell>
          <cell r="G409">
            <v>1.12E-2</v>
          </cell>
          <cell r="H409">
            <v>0</v>
          </cell>
          <cell r="I409">
            <v>3.6144000000000003E-2</v>
          </cell>
          <cell r="J409">
            <v>0</v>
          </cell>
          <cell r="K409">
            <v>5.2800000000000007E-2</v>
          </cell>
          <cell r="L409">
            <v>0</v>
          </cell>
          <cell r="N409">
            <v>0</v>
          </cell>
          <cell r="P409">
            <v>0</v>
          </cell>
          <cell r="R409">
            <v>0</v>
          </cell>
          <cell r="T409">
            <v>0</v>
          </cell>
          <cell r="V409">
            <v>0</v>
          </cell>
        </row>
        <row r="410">
          <cell r="A410">
            <v>2</v>
          </cell>
          <cell r="B410" t="str">
            <v>Kayu Slimar 3/10</v>
          </cell>
          <cell r="C410" t="str">
            <v>M3</v>
          </cell>
          <cell r="D410">
            <v>0</v>
          </cell>
          <cell r="E410">
            <v>5.1200000000000002E-2</v>
          </cell>
          <cell r="F410">
            <v>0</v>
          </cell>
          <cell r="G410">
            <v>3.2000000000000002E-3</v>
          </cell>
          <cell r="H410">
            <v>0</v>
          </cell>
          <cell r="I410">
            <v>1.4159999999999999E-2</v>
          </cell>
          <cell r="J410">
            <v>0</v>
          </cell>
          <cell r="K410">
            <v>1.4400000000000001E-2</v>
          </cell>
          <cell r="L410">
            <v>0</v>
          </cell>
          <cell r="N410">
            <v>0</v>
          </cell>
          <cell r="P410">
            <v>0</v>
          </cell>
          <cell r="R410">
            <v>0</v>
          </cell>
          <cell r="T410">
            <v>0</v>
          </cell>
          <cell r="V410">
            <v>0</v>
          </cell>
        </row>
        <row r="411">
          <cell r="A411">
            <v>3</v>
          </cell>
          <cell r="B411" t="str">
            <v>Kayu Slimar 3/15</v>
          </cell>
          <cell r="C411" t="str">
            <v>M3</v>
          </cell>
          <cell r="D411">
            <v>0</v>
          </cell>
          <cell r="E411">
            <v>13.84</v>
          </cell>
          <cell r="F411">
            <v>0</v>
          </cell>
          <cell r="G411">
            <v>3.2</v>
          </cell>
          <cell r="H411">
            <v>0</v>
          </cell>
          <cell r="I411">
            <v>2.6999999999999997E-3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R411">
            <v>0</v>
          </cell>
          <cell r="T411">
            <v>0</v>
          </cell>
          <cell r="V411">
            <v>0</v>
          </cell>
        </row>
        <row r="412">
          <cell r="A412">
            <v>4</v>
          </cell>
          <cell r="B412" t="str">
            <v>Kayu Slimar 3/20</v>
          </cell>
          <cell r="C412" t="str">
            <v>M3</v>
          </cell>
          <cell r="D412">
            <v>0</v>
          </cell>
          <cell r="E412">
            <v>7.99</v>
          </cell>
          <cell r="F412">
            <v>0</v>
          </cell>
          <cell r="G412">
            <v>3.2</v>
          </cell>
          <cell r="H412">
            <v>0</v>
          </cell>
          <cell r="I412">
            <v>3.5999999999999999E-3</v>
          </cell>
          <cell r="J412">
            <v>0</v>
          </cell>
          <cell r="K412">
            <v>17.28</v>
          </cell>
          <cell r="L412">
            <v>0</v>
          </cell>
          <cell r="N412">
            <v>0</v>
          </cell>
          <cell r="P412">
            <v>0</v>
          </cell>
          <cell r="R412">
            <v>0</v>
          </cell>
          <cell r="T412">
            <v>0</v>
          </cell>
          <cell r="V412">
            <v>0</v>
          </cell>
        </row>
        <row r="413">
          <cell r="A413">
            <v>5</v>
          </cell>
          <cell r="B413" t="str">
            <v>Kayu 2/10</v>
          </cell>
          <cell r="C413" t="str">
            <v>M3</v>
          </cell>
          <cell r="D413">
            <v>0</v>
          </cell>
          <cell r="E413">
            <v>6.6</v>
          </cell>
          <cell r="F413">
            <v>0</v>
          </cell>
          <cell r="G413">
            <v>5</v>
          </cell>
          <cell r="H413">
            <v>0</v>
          </cell>
          <cell r="I413">
            <v>5.4000000000000012E-3</v>
          </cell>
          <cell r="J413">
            <v>0</v>
          </cell>
          <cell r="L413">
            <v>0</v>
          </cell>
          <cell r="M413">
            <v>4.92</v>
          </cell>
          <cell r="N413">
            <v>0</v>
          </cell>
          <cell r="O413">
            <v>2.2000000000000002</v>
          </cell>
          <cell r="P413">
            <v>0</v>
          </cell>
          <cell r="R413">
            <v>0</v>
          </cell>
          <cell r="T413">
            <v>0</v>
          </cell>
          <cell r="V413">
            <v>0</v>
          </cell>
        </row>
        <row r="414">
          <cell r="A414">
            <v>6</v>
          </cell>
          <cell r="B414" t="str">
            <v>Panil t = 3 cm</v>
          </cell>
          <cell r="C414" t="str">
            <v>M2</v>
          </cell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0.49500000000000005</v>
          </cell>
          <cell r="J414">
            <v>0</v>
          </cell>
          <cell r="L414">
            <v>0</v>
          </cell>
          <cell r="N414">
            <v>0</v>
          </cell>
          <cell r="P414">
            <v>0</v>
          </cell>
          <cell r="R414">
            <v>0</v>
          </cell>
          <cell r="T414">
            <v>0</v>
          </cell>
          <cell r="V414">
            <v>0</v>
          </cell>
        </row>
        <row r="415">
          <cell r="A415">
            <v>1</v>
          </cell>
          <cell r="B415" t="str">
            <v>Kusen Aluminium 5/10</v>
          </cell>
          <cell r="C415" t="str">
            <v>M'</v>
          </cell>
          <cell r="D415">
            <v>124948</v>
          </cell>
          <cell r="F415">
            <v>0</v>
          </cell>
          <cell r="G415">
            <v>0</v>
          </cell>
          <cell r="H415">
            <v>0</v>
          </cell>
          <cell r="I415">
            <v>5</v>
          </cell>
          <cell r="J415">
            <v>624740</v>
          </cell>
          <cell r="L415">
            <v>0</v>
          </cell>
          <cell r="N415">
            <v>0</v>
          </cell>
          <cell r="P415">
            <v>0</v>
          </cell>
          <cell r="R415">
            <v>0</v>
          </cell>
          <cell r="T415">
            <v>0</v>
          </cell>
          <cell r="V415">
            <v>0</v>
          </cell>
        </row>
        <row r="416">
          <cell r="A416">
            <v>2</v>
          </cell>
          <cell r="B416" t="str">
            <v xml:space="preserve">Rangka Daun Jendela Alumunium </v>
          </cell>
          <cell r="C416" t="str">
            <v>M'</v>
          </cell>
          <cell r="D416">
            <v>124948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R416">
            <v>0</v>
          </cell>
          <cell r="T416">
            <v>0</v>
          </cell>
          <cell r="V416">
            <v>0</v>
          </cell>
        </row>
        <row r="417">
          <cell r="A417">
            <v>3</v>
          </cell>
          <cell r="B417" t="str">
            <v>Rangka Tiang Sirip Alumunium 1/1 Putih</v>
          </cell>
          <cell r="C417" t="str">
            <v>M'</v>
          </cell>
          <cell r="D417">
            <v>62474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R417">
            <v>0</v>
          </cell>
          <cell r="T417">
            <v>0</v>
          </cell>
          <cell r="V417">
            <v>0</v>
          </cell>
        </row>
        <row r="418">
          <cell r="A418">
            <v>4</v>
          </cell>
          <cell r="B418" t="str">
            <v>Pasang Shading Sirip Alumunium 0.2/10 +Rangka</v>
          </cell>
          <cell r="C418" t="str">
            <v>M2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L418">
            <v>0</v>
          </cell>
          <cell r="N418">
            <v>0</v>
          </cell>
          <cell r="P418">
            <v>0</v>
          </cell>
          <cell r="R418">
            <v>0</v>
          </cell>
          <cell r="T418">
            <v>0</v>
          </cell>
          <cell r="V418">
            <v>0</v>
          </cell>
        </row>
        <row r="419">
          <cell r="A419">
            <v>5</v>
          </cell>
          <cell r="B419" t="str">
            <v>Daun Pintu Panil Kamper</v>
          </cell>
          <cell r="C419" t="str">
            <v>bh</v>
          </cell>
          <cell r="D419">
            <v>550000</v>
          </cell>
          <cell r="F419">
            <v>0</v>
          </cell>
          <cell r="G419">
            <v>1.2E-2</v>
          </cell>
          <cell r="H419">
            <v>6600</v>
          </cell>
          <cell r="I419">
            <v>1.2</v>
          </cell>
          <cell r="J419">
            <v>660000</v>
          </cell>
          <cell r="L419">
            <v>0</v>
          </cell>
          <cell r="N419">
            <v>0</v>
          </cell>
          <cell r="P419">
            <v>0</v>
          </cell>
          <cell r="R419">
            <v>0</v>
          </cell>
          <cell r="T419">
            <v>0</v>
          </cell>
          <cell r="V419">
            <v>0</v>
          </cell>
        </row>
        <row r="420">
          <cell r="A420">
            <v>6</v>
          </cell>
          <cell r="B420" t="str">
            <v>Plat besi t = 2 mm</v>
          </cell>
          <cell r="C420" t="str">
            <v>Kg</v>
          </cell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L420">
            <v>0</v>
          </cell>
          <cell r="N420">
            <v>0</v>
          </cell>
          <cell r="P420">
            <v>0</v>
          </cell>
          <cell r="R420">
            <v>0</v>
          </cell>
          <cell r="T420">
            <v>0</v>
          </cell>
          <cell r="V420">
            <v>0</v>
          </cell>
        </row>
        <row r="421">
          <cell r="A421">
            <v>7</v>
          </cell>
          <cell r="B421" t="str">
            <v>C 40.40.2  (pesan khusus)</v>
          </cell>
          <cell r="C421" t="str">
            <v>Kg</v>
          </cell>
          <cell r="D421">
            <v>14122.3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L421">
            <v>0</v>
          </cell>
          <cell r="N421">
            <v>0</v>
          </cell>
          <cell r="P421">
            <v>0</v>
          </cell>
          <cell r="R421">
            <v>0</v>
          </cell>
          <cell r="T421">
            <v>0</v>
          </cell>
          <cell r="V421">
            <v>0</v>
          </cell>
        </row>
        <row r="422">
          <cell r="A422">
            <v>8</v>
          </cell>
          <cell r="B422" t="str">
            <v>Handle besi dia 16 mm</v>
          </cell>
          <cell r="C422" t="str">
            <v>Set</v>
          </cell>
          <cell r="D422">
            <v>129652.5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L422">
            <v>0</v>
          </cell>
          <cell r="N422">
            <v>0</v>
          </cell>
          <cell r="P422">
            <v>0</v>
          </cell>
          <cell r="R422">
            <v>0</v>
          </cell>
          <cell r="T422">
            <v>0</v>
          </cell>
          <cell r="V422">
            <v>0</v>
          </cell>
        </row>
        <row r="423">
          <cell r="A423">
            <v>9</v>
          </cell>
          <cell r="B423" t="str">
            <v>Hendle pintu Stainless</v>
          </cell>
          <cell r="C423" t="str">
            <v>Set</v>
          </cell>
          <cell r="D423">
            <v>261652.5</v>
          </cell>
          <cell r="E423">
            <v>2</v>
          </cell>
          <cell r="F423">
            <v>523305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L423">
            <v>0</v>
          </cell>
          <cell r="N423">
            <v>0</v>
          </cell>
          <cell r="P423">
            <v>0</v>
          </cell>
          <cell r="R423">
            <v>0</v>
          </cell>
          <cell r="T423">
            <v>0</v>
          </cell>
          <cell r="V423">
            <v>0</v>
          </cell>
        </row>
        <row r="424">
          <cell r="A424">
            <v>10</v>
          </cell>
          <cell r="B424" t="str">
            <v>Kunci Pintu Handle stainleess (dorma)</v>
          </cell>
          <cell r="C424" t="str">
            <v>Set</v>
          </cell>
          <cell r="D424">
            <v>650000</v>
          </cell>
          <cell r="E424">
            <v>1</v>
          </cell>
          <cell r="F424">
            <v>650000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L424">
            <v>0</v>
          </cell>
          <cell r="N424">
            <v>0</v>
          </cell>
          <cell r="P424">
            <v>0</v>
          </cell>
          <cell r="R424">
            <v>0</v>
          </cell>
          <cell r="T424">
            <v>0</v>
          </cell>
          <cell r="V424">
            <v>0</v>
          </cell>
        </row>
        <row r="425">
          <cell r="A425">
            <v>11</v>
          </cell>
          <cell r="B425" t="str">
            <v>Kunci tanam Antik</v>
          </cell>
          <cell r="C425" t="str">
            <v>Set</v>
          </cell>
          <cell r="D425">
            <v>265000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L425">
            <v>0</v>
          </cell>
          <cell r="N425">
            <v>0</v>
          </cell>
          <cell r="P425">
            <v>0</v>
          </cell>
          <cell r="R425">
            <v>0</v>
          </cell>
          <cell r="T425">
            <v>0</v>
          </cell>
          <cell r="V425">
            <v>0</v>
          </cell>
        </row>
        <row r="426">
          <cell r="A426">
            <v>12</v>
          </cell>
          <cell r="B426" t="str">
            <v>Kunci tanam biasa</v>
          </cell>
          <cell r="C426" t="str">
            <v>Set</v>
          </cell>
          <cell r="D426">
            <v>168565</v>
          </cell>
          <cell r="E426">
            <v>2</v>
          </cell>
          <cell r="F426">
            <v>337130</v>
          </cell>
          <cell r="G426">
            <v>1</v>
          </cell>
          <cell r="H426">
            <v>168565</v>
          </cell>
          <cell r="I426">
            <v>1</v>
          </cell>
          <cell r="J426">
            <v>168565</v>
          </cell>
          <cell r="K426">
            <v>2</v>
          </cell>
          <cell r="L426">
            <v>337130</v>
          </cell>
          <cell r="N426">
            <v>0</v>
          </cell>
          <cell r="P426">
            <v>0</v>
          </cell>
          <cell r="R426">
            <v>0</v>
          </cell>
          <cell r="T426">
            <v>0</v>
          </cell>
          <cell r="V426">
            <v>0</v>
          </cell>
        </row>
        <row r="427">
          <cell r="A427">
            <v>13</v>
          </cell>
          <cell r="B427" t="str">
            <v>Kunci Silinder</v>
          </cell>
          <cell r="C427" t="str">
            <v>Set</v>
          </cell>
          <cell r="D427">
            <v>217900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L427">
            <v>0</v>
          </cell>
          <cell r="N427">
            <v>0</v>
          </cell>
          <cell r="P427">
            <v>0</v>
          </cell>
          <cell r="R427">
            <v>0</v>
          </cell>
          <cell r="T427">
            <v>0</v>
          </cell>
          <cell r="V427">
            <v>0</v>
          </cell>
        </row>
        <row r="428">
          <cell r="A428">
            <v>14</v>
          </cell>
          <cell r="B428" t="str">
            <v>Kunci Selot</v>
          </cell>
          <cell r="C428" t="str">
            <v>Set</v>
          </cell>
          <cell r="D428">
            <v>48300</v>
          </cell>
          <cell r="F428">
            <v>0</v>
          </cell>
          <cell r="G428">
            <v>1</v>
          </cell>
          <cell r="H428">
            <v>48300</v>
          </cell>
          <cell r="I428">
            <v>0</v>
          </cell>
          <cell r="J428">
            <v>0</v>
          </cell>
          <cell r="K428">
            <v>1</v>
          </cell>
          <cell r="L428">
            <v>48300</v>
          </cell>
          <cell r="N428">
            <v>0</v>
          </cell>
          <cell r="P428">
            <v>0</v>
          </cell>
          <cell r="R428">
            <v>0</v>
          </cell>
          <cell r="T428">
            <v>0</v>
          </cell>
          <cell r="V428">
            <v>0</v>
          </cell>
        </row>
        <row r="429">
          <cell r="A429">
            <v>15</v>
          </cell>
          <cell r="B429" t="str">
            <v>Engsel jendela</v>
          </cell>
          <cell r="C429" t="str">
            <v>Bh</v>
          </cell>
          <cell r="D429">
            <v>16600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R429">
            <v>0</v>
          </cell>
          <cell r="T429">
            <v>0</v>
          </cell>
          <cell r="V429">
            <v>0</v>
          </cell>
        </row>
        <row r="430">
          <cell r="A430">
            <v>16</v>
          </cell>
          <cell r="B430" t="str">
            <v>Engsel pintu</v>
          </cell>
          <cell r="C430" t="str">
            <v>Bh</v>
          </cell>
          <cell r="D430">
            <v>44395.75</v>
          </cell>
          <cell r="E430">
            <v>4</v>
          </cell>
          <cell r="F430">
            <v>177583</v>
          </cell>
          <cell r="G430">
            <v>2</v>
          </cell>
          <cell r="H430">
            <v>88791.5</v>
          </cell>
          <cell r="I430">
            <v>3</v>
          </cell>
          <cell r="J430">
            <v>133187.25</v>
          </cell>
          <cell r="K430">
            <v>8</v>
          </cell>
          <cell r="L430">
            <v>355166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</row>
        <row r="431">
          <cell r="A431">
            <v>17</v>
          </cell>
          <cell r="B431" t="str">
            <v>Engsel Pintu dari pipa besi dia 2 cm</v>
          </cell>
          <cell r="C431" t="str">
            <v>Bh</v>
          </cell>
          <cell r="D431">
            <v>66593.625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L431">
            <v>0</v>
          </cell>
          <cell r="N431">
            <v>0</v>
          </cell>
          <cell r="P431">
            <v>0</v>
          </cell>
          <cell r="R431">
            <v>0</v>
          </cell>
          <cell r="T431">
            <v>0</v>
          </cell>
          <cell r="V431">
            <v>0</v>
          </cell>
        </row>
        <row r="432">
          <cell r="A432">
            <v>18</v>
          </cell>
          <cell r="B432" t="str">
            <v>Kait/hak angin</v>
          </cell>
          <cell r="C432" t="str">
            <v>Set</v>
          </cell>
          <cell r="D432">
            <v>27000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L432">
            <v>0</v>
          </cell>
          <cell r="N432">
            <v>0</v>
          </cell>
          <cell r="P432">
            <v>0</v>
          </cell>
          <cell r="R432">
            <v>0</v>
          </cell>
          <cell r="T432">
            <v>0</v>
          </cell>
          <cell r="V432">
            <v>0</v>
          </cell>
        </row>
        <row r="433">
          <cell r="A433">
            <v>19</v>
          </cell>
          <cell r="B433" t="str">
            <v>Grendel pintu kuningan</v>
          </cell>
          <cell r="C433" t="str">
            <v>Bh</v>
          </cell>
          <cell r="D433">
            <v>125000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R433">
            <v>0</v>
          </cell>
          <cell r="T433">
            <v>0</v>
          </cell>
          <cell r="V433">
            <v>0</v>
          </cell>
        </row>
        <row r="434">
          <cell r="A434">
            <v>20</v>
          </cell>
          <cell r="B434" t="str">
            <v xml:space="preserve">Grendel jendela </v>
          </cell>
          <cell r="C434" t="str">
            <v>Bh</v>
          </cell>
          <cell r="D434">
            <v>8100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</row>
        <row r="435">
          <cell r="A435">
            <v>21</v>
          </cell>
          <cell r="B435" t="str">
            <v>Grendel pintu</v>
          </cell>
          <cell r="C435" t="str">
            <v>Bh</v>
          </cell>
          <cell r="D435">
            <v>14200</v>
          </cell>
          <cell r="E435">
            <v>2</v>
          </cell>
          <cell r="F435">
            <v>28400</v>
          </cell>
          <cell r="G435">
            <v>1</v>
          </cell>
          <cell r="H435">
            <v>14200</v>
          </cell>
          <cell r="I435">
            <v>0</v>
          </cell>
          <cell r="J435">
            <v>0</v>
          </cell>
          <cell r="K435">
            <v>2</v>
          </cell>
          <cell r="L435">
            <v>28400</v>
          </cell>
          <cell r="N435">
            <v>0</v>
          </cell>
          <cell r="P435">
            <v>0</v>
          </cell>
          <cell r="R435">
            <v>0</v>
          </cell>
          <cell r="T435">
            <v>0</v>
          </cell>
          <cell r="V435">
            <v>0</v>
          </cell>
        </row>
        <row r="436">
          <cell r="A436">
            <v>22</v>
          </cell>
          <cell r="B436" t="str">
            <v>Stripting Knip</v>
          </cell>
          <cell r="C436" t="str">
            <v>Set</v>
          </cell>
          <cell r="D436">
            <v>13700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  <cell r="N436">
            <v>0</v>
          </cell>
          <cell r="P436">
            <v>0</v>
          </cell>
          <cell r="R436">
            <v>0</v>
          </cell>
          <cell r="T436">
            <v>0</v>
          </cell>
          <cell r="V436">
            <v>0</v>
          </cell>
        </row>
        <row r="437">
          <cell r="A437">
            <v>23</v>
          </cell>
          <cell r="B437" t="str">
            <v>Door Closer</v>
          </cell>
          <cell r="C437" t="str">
            <v>Set</v>
          </cell>
          <cell r="D437">
            <v>260800</v>
          </cell>
          <cell r="E437">
            <v>2</v>
          </cell>
          <cell r="F437">
            <v>521600</v>
          </cell>
          <cell r="G437">
            <v>1</v>
          </cell>
          <cell r="H437">
            <v>260800</v>
          </cell>
          <cell r="I437">
            <v>0</v>
          </cell>
          <cell r="J437">
            <v>0</v>
          </cell>
          <cell r="K437">
            <v>2</v>
          </cell>
          <cell r="L437">
            <v>521600</v>
          </cell>
          <cell r="N437">
            <v>0</v>
          </cell>
          <cell r="P437">
            <v>0</v>
          </cell>
          <cell r="R437">
            <v>0</v>
          </cell>
          <cell r="T437">
            <v>0</v>
          </cell>
          <cell r="V437">
            <v>0</v>
          </cell>
        </row>
        <row r="438">
          <cell r="A438">
            <v>24</v>
          </cell>
          <cell r="B438" t="str">
            <v>Door Holder</v>
          </cell>
          <cell r="C438" t="str">
            <v>Set</v>
          </cell>
          <cell r="D438">
            <v>500000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L438">
            <v>0</v>
          </cell>
          <cell r="N438">
            <v>0</v>
          </cell>
          <cell r="P438">
            <v>0</v>
          </cell>
          <cell r="R438">
            <v>0</v>
          </cell>
          <cell r="T438">
            <v>0</v>
          </cell>
          <cell r="V438">
            <v>0</v>
          </cell>
        </row>
        <row r="439">
          <cell r="A439">
            <v>25</v>
          </cell>
          <cell r="B439" t="str">
            <v>Door Stop</v>
          </cell>
          <cell r="C439" t="str">
            <v>Set</v>
          </cell>
          <cell r="D439">
            <v>32100</v>
          </cell>
          <cell r="E439">
            <v>2</v>
          </cell>
          <cell r="F439">
            <v>64200</v>
          </cell>
          <cell r="G439">
            <v>1</v>
          </cell>
          <cell r="H439">
            <v>32100</v>
          </cell>
          <cell r="I439">
            <v>0</v>
          </cell>
          <cell r="J439">
            <v>0</v>
          </cell>
          <cell r="K439">
            <v>2</v>
          </cell>
          <cell r="L439">
            <v>64200</v>
          </cell>
          <cell r="N439">
            <v>0</v>
          </cell>
          <cell r="P439">
            <v>0</v>
          </cell>
          <cell r="R439">
            <v>0</v>
          </cell>
          <cell r="T439">
            <v>0</v>
          </cell>
          <cell r="V439">
            <v>0</v>
          </cell>
        </row>
        <row r="440">
          <cell r="A440">
            <v>26</v>
          </cell>
          <cell r="B440" t="str">
            <v>Kaca bening 5 mm</v>
          </cell>
          <cell r="C440" t="str">
            <v>M2</v>
          </cell>
          <cell r="D440">
            <v>66700</v>
          </cell>
          <cell r="F440">
            <v>0</v>
          </cell>
          <cell r="G440">
            <v>5.0399999999999993E-2</v>
          </cell>
          <cell r="H440">
            <v>3361.6799999999994</v>
          </cell>
          <cell r="I440">
            <v>0</v>
          </cell>
          <cell r="J440">
            <v>0</v>
          </cell>
          <cell r="L440">
            <v>0</v>
          </cell>
          <cell r="M440">
            <v>0.28799999999999998</v>
          </cell>
          <cell r="N440">
            <v>19209.599999999999</v>
          </cell>
          <cell r="O440">
            <v>0.24</v>
          </cell>
          <cell r="P440">
            <v>16008</v>
          </cell>
          <cell r="R440">
            <v>0</v>
          </cell>
          <cell r="T440">
            <v>0</v>
          </cell>
          <cell r="V440">
            <v>0</v>
          </cell>
        </row>
        <row r="441">
          <cell r="A441">
            <v>27</v>
          </cell>
          <cell r="B441" t="str">
            <v>Kaca bening 10 mm</v>
          </cell>
          <cell r="C441" t="str">
            <v>M2</v>
          </cell>
          <cell r="D441">
            <v>280895.75</v>
          </cell>
          <cell r="E441">
            <v>0.34100000000000008</v>
          </cell>
          <cell r="F441">
            <v>95785.450750000018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R441">
            <v>0</v>
          </cell>
          <cell r="T441">
            <v>0</v>
          </cell>
          <cell r="V441">
            <v>0</v>
          </cell>
        </row>
        <row r="442">
          <cell r="A442">
            <v>28</v>
          </cell>
          <cell r="B442" t="str">
            <v>Kaca Bening 12 mm</v>
          </cell>
          <cell r="C442" t="str">
            <v>M2</v>
          </cell>
          <cell r="D442">
            <v>403787.64062499994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R442">
            <v>0</v>
          </cell>
          <cell r="T442">
            <v>0</v>
          </cell>
          <cell r="V442">
            <v>0</v>
          </cell>
        </row>
        <row r="443">
          <cell r="A443">
            <v>29</v>
          </cell>
          <cell r="B443" t="str">
            <v>Besi hollow 4/4</v>
          </cell>
          <cell r="C443" t="str">
            <v>M'</v>
          </cell>
          <cell r="D443">
            <v>48625.000000000051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R443">
            <v>0</v>
          </cell>
          <cell r="T443">
            <v>0</v>
          </cell>
          <cell r="V443">
            <v>0</v>
          </cell>
        </row>
        <row r="444">
          <cell r="A444">
            <v>30</v>
          </cell>
          <cell r="B444" t="str">
            <v>Besi hollow 6/6</v>
          </cell>
          <cell r="C444" t="str">
            <v>M'</v>
          </cell>
          <cell r="D444">
            <v>74462.500000000058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  <cell r="N444">
            <v>0</v>
          </cell>
          <cell r="P444">
            <v>0</v>
          </cell>
          <cell r="R444">
            <v>0</v>
          </cell>
          <cell r="T444">
            <v>0</v>
          </cell>
          <cell r="V444">
            <v>0</v>
          </cell>
        </row>
        <row r="445">
          <cell r="A445">
            <v>31</v>
          </cell>
          <cell r="B445" t="str">
            <v>Besi hollow 2.5/5</v>
          </cell>
          <cell r="C445" t="str">
            <v>Kg</v>
          </cell>
          <cell r="D445">
            <v>74462.500000000058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R445">
            <v>0</v>
          </cell>
          <cell r="T445">
            <v>0</v>
          </cell>
          <cell r="V445">
            <v>0</v>
          </cell>
        </row>
        <row r="446">
          <cell r="A446">
            <v>32</v>
          </cell>
          <cell r="B446" t="str">
            <v>Besi hollow 5/5</v>
          </cell>
          <cell r="C446" t="str">
            <v>Kg</v>
          </cell>
          <cell r="D446">
            <v>74462.500000000058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R446">
            <v>0</v>
          </cell>
          <cell r="T446">
            <v>0</v>
          </cell>
          <cell r="V446">
            <v>0</v>
          </cell>
        </row>
        <row r="447">
          <cell r="A447">
            <v>33</v>
          </cell>
          <cell r="B447" t="str">
            <v>Besi hollow 2/2</v>
          </cell>
          <cell r="C447" t="str">
            <v>Kg</v>
          </cell>
          <cell r="D447">
            <v>74462.500000000058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L447">
            <v>0</v>
          </cell>
          <cell r="N447">
            <v>0</v>
          </cell>
          <cell r="P447">
            <v>0</v>
          </cell>
          <cell r="R447">
            <v>0</v>
          </cell>
          <cell r="T447">
            <v>0</v>
          </cell>
          <cell r="V447">
            <v>0</v>
          </cell>
        </row>
        <row r="448">
          <cell r="A448">
            <v>34</v>
          </cell>
          <cell r="B448" t="str">
            <v>Besi hollow 2/4</v>
          </cell>
          <cell r="C448" t="str">
            <v>Kg</v>
          </cell>
          <cell r="D448">
            <v>74462.500000000058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R448">
            <v>0</v>
          </cell>
          <cell r="T448">
            <v>0</v>
          </cell>
          <cell r="V448">
            <v>0</v>
          </cell>
        </row>
        <row r="449">
          <cell r="A449">
            <v>35</v>
          </cell>
          <cell r="B449" t="str">
            <v>Kaca Tempered 12 mm</v>
          </cell>
          <cell r="C449" t="str">
            <v>M2</v>
          </cell>
          <cell r="D449">
            <v>528395.75</v>
          </cell>
          <cell r="F449">
            <v>0</v>
          </cell>
          <cell r="G449">
            <v>4.3049999999999997</v>
          </cell>
          <cell r="H449">
            <v>2274743.7037499999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R449">
            <v>0</v>
          </cell>
          <cell r="T449">
            <v>0</v>
          </cell>
          <cell r="V449">
            <v>0</v>
          </cell>
        </row>
        <row r="450">
          <cell r="A450">
            <v>36</v>
          </cell>
          <cell r="B450" t="str">
            <v>Glass Block</v>
          </cell>
          <cell r="C450" t="str">
            <v>Bh</v>
          </cell>
          <cell r="D450">
            <v>45000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L450">
            <v>0</v>
          </cell>
          <cell r="N450">
            <v>0</v>
          </cell>
          <cell r="P450">
            <v>0</v>
          </cell>
          <cell r="R450">
            <v>0</v>
          </cell>
          <cell r="T450">
            <v>0</v>
          </cell>
          <cell r="V450">
            <v>0</v>
          </cell>
        </row>
        <row r="451">
          <cell r="A451">
            <v>37</v>
          </cell>
          <cell r="B451" t="str">
            <v>Kaca Es</v>
          </cell>
          <cell r="C451" t="str">
            <v>M2</v>
          </cell>
          <cell r="D451">
            <v>66700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L451">
            <v>0</v>
          </cell>
          <cell r="N451">
            <v>0</v>
          </cell>
          <cell r="P451">
            <v>0</v>
          </cell>
          <cell r="R451">
            <v>0</v>
          </cell>
          <cell r="T451">
            <v>0</v>
          </cell>
          <cell r="V451">
            <v>0</v>
          </cell>
        </row>
        <row r="452">
          <cell r="A452">
            <v>38</v>
          </cell>
          <cell r="B452" t="str">
            <v>Krepyak Kaca Nako + Kerangka</v>
          </cell>
          <cell r="C452" t="str">
            <v>M2</v>
          </cell>
          <cell r="D452">
            <v>81300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L452">
            <v>0</v>
          </cell>
          <cell r="N452">
            <v>0</v>
          </cell>
          <cell r="P452">
            <v>0</v>
          </cell>
          <cell r="R452">
            <v>0</v>
          </cell>
          <cell r="T452">
            <v>0</v>
          </cell>
          <cell r="V452">
            <v>0</v>
          </cell>
        </row>
        <row r="453">
          <cell r="A453">
            <v>39</v>
          </cell>
          <cell r="B453" t="str">
            <v>Sticker Efek Kaca Es</v>
          </cell>
          <cell r="C453" t="str">
            <v>M2</v>
          </cell>
          <cell r="D453">
            <v>150000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R453">
            <v>0</v>
          </cell>
          <cell r="T453">
            <v>0</v>
          </cell>
          <cell r="V453">
            <v>0</v>
          </cell>
        </row>
        <row r="454">
          <cell r="A454">
            <v>40</v>
          </cell>
          <cell r="B454" t="str">
            <v>Rel Pintu Dorong</v>
          </cell>
          <cell r="C454" t="str">
            <v>M'</v>
          </cell>
          <cell r="D454">
            <v>275000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7.2</v>
          </cell>
          <cell r="L454">
            <v>1980000</v>
          </cell>
          <cell r="N454">
            <v>0</v>
          </cell>
          <cell r="P454">
            <v>0</v>
          </cell>
          <cell r="R454">
            <v>0</v>
          </cell>
          <cell r="T454">
            <v>0</v>
          </cell>
          <cell r="V454">
            <v>0</v>
          </cell>
        </row>
        <row r="455">
          <cell r="A455">
            <v>41</v>
          </cell>
          <cell r="B455" t="str">
            <v>Rolling Door</v>
          </cell>
          <cell r="C455" t="str">
            <v>M2</v>
          </cell>
          <cell r="D455">
            <v>358100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R455">
            <v>0</v>
          </cell>
          <cell r="T455">
            <v>0</v>
          </cell>
          <cell r="V455">
            <v>0</v>
          </cell>
        </row>
        <row r="456">
          <cell r="A456">
            <v>42</v>
          </cell>
          <cell r="B456" t="str">
            <v>Roster</v>
          </cell>
          <cell r="C456" t="str">
            <v>M2</v>
          </cell>
          <cell r="D456">
            <v>133850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L456">
            <v>0</v>
          </cell>
          <cell r="N456">
            <v>0</v>
          </cell>
          <cell r="P456">
            <v>0</v>
          </cell>
          <cell r="Q456">
            <v>0.25919999999999999</v>
          </cell>
          <cell r="R456">
            <v>34693.919999999998</v>
          </cell>
          <cell r="S456">
            <v>0.25919999999999999</v>
          </cell>
          <cell r="T456">
            <v>34693.919999999998</v>
          </cell>
          <cell r="U456">
            <v>0.12959999999999999</v>
          </cell>
          <cell r="V456">
            <v>17346.96</v>
          </cell>
        </row>
        <row r="457">
          <cell r="A457">
            <v>43</v>
          </cell>
          <cell r="B457" t="str">
            <v>Gipsum Board</v>
          </cell>
          <cell r="C457" t="str">
            <v>M2</v>
          </cell>
          <cell r="D457">
            <v>29000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L457">
            <v>0</v>
          </cell>
          <cell r="N457">
            <v>0</v>
          </cell>
          <cell r="P457">
            <v>0</v>
          </cell>
          <cell r="R457">
            <v>0</v>
          </cell>
          <cell r="T457">
            <v>0</v>
          </cell>
          <cell r="V457">
            <v>0</v>
          </cell>
        </row>
        <row r="458">
          <cell r="A458">
            <v>44</v>
          </cell>
          <cell r="B458" t="str">
            <v>List Gipsum</v>
          </cell>
          <cell r="C458" t="str">
            <v>M'</v>
          </cell>
          <cell r="D458">
            <v>17300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L458">
            <v>0</v>
          </cell>
          <cell r="N458">
            <v>0</v>
          </cell>
          <cell r="P458">
            <v>0</v>
          </cell>
          <cell r="R458">
            <v>0</v>
          </cell>
          <cell r="T458">
            <v>0</v>
          </cell>
          <cell r="V458">
            <v>0</v>
          </cell>
        </row>
        <row r="459">
          <cell r="A459">
            <v>45</v>
          </cell>
          <cell r="B459" t="str">
            <v>Sealent</v>
          </cell>
          <cell r="C459" t="str">
            <v>M'</v>
          </cell>
          <cell r="D459">
            <v>8400</v>
          </cell>
          <cell r="E459">
            <v>14.520000000000003</v>
          </cell>
          <cell r="F459">
            <v>121968.00000000003</v>
          </cell>
          <cell r="G459">
            <v>2.16</v>
          </cell>
          <cell r="H459">
            <v>18144</v>
          </cell>
          <cell r="I459">
            <v>0</v>
          </cell>
          <cell r="J459">
            <v>0</v>
          </cell>
          <cell r="L459">
            <v>0</v>
          </cell>
          <cell r="M459">
            <v>1.1519999999999999</v>
          </cell>
          <cell r="N459">
            <v>9676.7999999999993</v>
          </cell>
          <cell r="O459">
            <v>6.4</v>
          </cell>
          <cell r="P459">
            <v>53760</v>
          </cell>
          <cell r="R459">
            <v>0</v>
          </cell>
          <cell r="T459">
            <v>0</v>
          </cell>
          <cell r="V459">
            <v>0</v>
          </cell>
        </row>
        <row r="460">
          <cell r="A460">
            <v>46</v>
          </cell>
          <cell r="B460" t="str">
            <v>Benangan Kusen</v>
          </cell>
          <cell r="C460" t="str">
            <v>M'</v>
          </cell>
          <cell r="D460">
            <v>4296.0074999999997</v>
          </cell>
          <cell r="E460">
            <v>13.2</v>
          </cell>
          <cell r="F460">
            <v>56707.298999999992</v>
          </cell>
          <cell r="G460">
            <v>9.8000000000000007</v>
          </cell>
          <cell r="H460">
            <v>42100.873500000002</v>
          </cell>
          <cell r="I460">
            <v>5.7839999999999998</v>
          </cell>
          <cell r="J460">
            <v>24848.107379999998</v>
          </cell>
          <cell r="K460">
            <v>28</v>
          </cell>
          <cell r="L460">
            <v>120288.20999999999</v>
          </cell>
          <cell r="M460">
            <v>8.92</v>
          </cell>
          <cell r="N460">
            <v>38320.386899999998</v>
          </cell>
          <cell r="O460">
            <v>4.4000000000000004</v>
          </cell>
          <cell r="P460">
            <v>18902.433000000001</v>
          </cell>
          <cell r="Q460">
            <v>6.4</v>
          </cell>
          <cell r="R460">
            <v>27494.448</v>
          </cell>
          <cell r="S460">
            <v>6.4</v>
          </cell>
          <cell r="T460">
            <v>27494.448</v>
          </cell>
          <cell r="U460">
            <v>3.2</v>
          </cell>
          <cell r="V460">
            <v>13747.224</v>
          </cell>
        </row>
        <row r="461">
          <cell r="A461">
            <v>47</v>
          </cell>
          <cell r="B461" t="str">
            <v xml:space="preserve">Cat Kayu </v>
          </cell>
          <cell r="C461" t="str">
            <v>M2</v>
          </cell>
          <cell r="D461">
            <v>19370.5</v>
          </cell>
          <cell r="E461">
            <v>7.99</v>
          </cell>
          <cell r="F461">
            <v>154770.29500000001</v>
          </cell>
          <cell r="G461">
            <v>3.2720000000000002</v>
          </cell>
          <cell r="H461">
            <v>63380.276000000005</v>
          </cell>
          <cell r="I461">
            <v>4.0991999999999997</v>
          </cell>
          <cell r="J461">
            <v>79403.553599999999</v>
          </cell>
          <cell r="K461">
            <v>17.28</v>
          </cell>
          <cell r="L461">
            <v>334722.24000000005</v>
          </cell>
          <cell r="N461">
            <v>0</v>
          </cell>
          <cell r="P461">
            <v>0</v>
          </cell>
          <cell r="R461">
            <v>0</v>
          </cell>
          <cell r="T461">
            <v>0</v>
          </cell>
          <cell r="V461">
            <v>0</v>
          </cell>
        </row>
        <row r="462">
          <cell r="A462">
            <v>48</v>
          </cell>
          <cell r="B462" t="str">
            <v>Cat Besi</v>
          </cell>
          <cell r="C462" t="str">
            <v>M2</v>
          </cell>
          <cell r="D462">
            <v>13698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L462">
            <v>0</v>
          </cell>
          <cell r="N462">
            <v>0</v>
          </cell>
          <cell r="P462">
            <v>0</v>
          </cell>
          <cell r="R462">
            <v>0</v>
          </cell>
          <cell r="T462">
            <v>0</v>
          </cell>
          <cell r="V462">
            <v>0</v>
          </cell>
        </row>
        <row r="463">
          <cell r="A463">
            <v>49</v>
          </cell>
          <cell r="B463" t="str">
            <v>Cat Dinding</v>
          </cell>
          <cell r="C463" t="str">
            <v>M2</v>
          </cell>
          <cell r="D463">
            <v>9900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N463">
            <v>0</v>
          </cell>
          <cell r="P463">
            <v>0</v>
          </cell>
          <cell r="Q463">
            <v>0.64000000000000012</v>
          </cell>
          <cell r="R463">
            <v>6336.0000000000009</v>
          </cell>
          <cell r="S463">
            <v>0.64000000000000012</v>
          </cell>
          <cell r="T463">
            <v>6336.0000000000009</v>
          </cell>
          <cell r="U463">
            <v>0.32000000000000006</v>
          </cell>
          <cell r="V463">
            <v>3168.0000000000005</v>
          </cell>
        </row>
        <row r="464">
          <cell r="A464">
            <v>50</v>
          </cell>
          <cell r="B464" t="str">
            <v>Plesteran Camprot</v>
          </cell>
          <cell r="C464" t="str">
            <v>M2</v>
          </cell>
          <cell r="D464">
            <v>14600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N464">
            <v>0</v>
          </cell>
          <cell r="P464">
            <v>0</v>
          </cell>
          <cell r="R464">
            <v>0</v>
          </cell>
          <cell r="T464">
            <v>0</v>
          </cell>
        </row>
        <row r="466">
          <cell r="B466" t="str">
            <v>Jumlah Harga</v>
          </cell>
          <cell r="F466">
            <v>2731449.0447499999</v>
          </cell>
          <cell r="H466">
            <v>3021087.0332500003</v>
          </cell>
          <cell r="J466">
            <v>1690743.9109799999</v>
          </cell>
          <cell r="L466">
            <v>3789806.45</v>
          </cell>
          <cell r="N466">
            <v>67206.786899999992</v>
          </cell>
          <cell r="P466">
            <v>88670.433000000005</v>
          </cell>
          <cell r="R466">
            <v>68524.368000000002</v>
          </cell>
          <cell r="T466">
            <v>68524.368000000002</v>
          </cell>
          <cell r="V466">
            <v>34262.184000000001</v>
          </cell>
        </row>
        <row r="467">
          <cell r="L467" t="str">
            <v>Rev Kaca 8 Jd 5</v>
          </cell>
        </row>
        <row r="470">
          <cell r="A470" t="str">
            <v>No.</v>
          </cell>
          <cell r="B470" t="str">
            <v>Item Pekerjaan</v>
          </cell>
          <cell r="C470" t="str">
            <v>Satuan</v>
          </cell>
          <cell r="D470" t="str">
            <v>Harga Satuan</v>
          </cell>
          <cell r="E470" t="str">
            <v>P1</v>
          </cell>
          <cell r="G470" t="str">
            <v>P2</v>
          </cell>
          <cell r="I470" t="str">
            <v>P3</v>
          </cell>
          <cell r="K470" t="str">
            <v>P4</v>
          </cell>
          <cell r="M470" t="str">
            <v>J1/BV</v>
          </cell>
          <cell r="O470" t="str">
            <v>BV1</v>
          </cell>
          <cell r="Q470" t="str">
            <v>BV1'</v>
          </cell>
          <cell r="S470" t="str">
            <v>R1</v>
          </cell>
          <cell r="U470" t="str">
            <v>R2</v>
          </cell>
          <cell r="W470" t="str">
            <v>R3</v>
          </cell>
          <cell r="Y470" t="str">
            <v>J1</v>
          </cell>
        </row>
        <row r="471">
          <cell r="D471" t="str">
            <v>Rp.</v>
          </cell>
          <cell r="E471" t="str">
            <v>Vol.</v>
          </cell>
          <cell r="F471" t="str">
            <v>Jumlah Harga</v>
          </cell>
          <cell r="G471" t="str">
            <v>Vol.</v>
          </cell>
          <cell r="H471" t="str">
            <v>Jumlah Harga</v>
          </cell>
          <cell r="I471" t="str">
            <v>Vol.</v>
          </cell>
          <cell r="J471" t="str">
            <v>Jumlah Harga</v>
          </cell>
          <cell r="K471" t="str">
            <v>Vol.</v>
          </cell>
          <cell r="L471" t="str">
            <v>Jumlah Harga</v>
          </cell>
          <cell r="M471" t="str">
            <v>Vol.</v>
          </cell>
          <cell r="N471" t="str">
            <v>Jumlah Harga</v>
          </cell>
          <cell r="O471" t="str">
            <v>Vol.</v>
          </cell>
          <cell r="P471" t="str">
            <v>Jumlah Harga</v>
          </cell>
          <cell r="Q471" t="str">
            <v>Vol.</v>
          </cell>
          <cell r="R471" t="str">
            <v>Jumlah Harga</v>
          </cell>
          <cell r="S471" t="str">
            <v>Vol.</v>
          </cell>
          <cell r="T471" t="str">
            <v>Jumlah Harga</v>
          </cell>
          <cell r="U471" t="str">
            <v>Vol.</v>
          </cell>
          <cell r="V471" t="str">
            <v>Jumlah Harga</v>
          </cell>
          <cell r="W471" t="str">
            <v>Vol.</v>
          </cell>
          <cell r="X471" t="str">
            <v>Jumlah Harga</v>
          </cell>
          <cell r="Y471" t="str">
            <v>Vol.</v>
          </cell>
          <cell r="Z471" t="str">
            <v>Jumlah Harga</v>
          </cell>
        </row>
        <row r="472">
          <cell r="A472" t="str">
            <v>VIII.</v>
          </cell>
          <cell r="B472" t="str">
            <v>UNIT BANGUNAN MASJID</v>
          </cell>
        </row>
        <row r="474">
          <cell r="A474">
            <v>1</v>
          </cell>
          <cell r="B474" t="str">
            <v>Kayu 6/12</v>
          </cell>
          <cell r="C474" t="str">
            <v>M3</v>
          </cell>
          <cell r="D474">
            <v>0</v>
          </cell>
          <cell r="F474">
            <v>0</v>
          </cell>
          <cell r="H474">
            <v>0</v>
          </cell>
          <cell r="I474">
            <v>1.7600000000000001E-2</v>
          </cell>
          <cell r="J474">
            <v>0</v>
          </cell>
          <cell r="K474">
            <v>3.6144000000000003E-2</v>
          </cell>
          <cell r="L474">
            <v>0</v>
          </cell>
          <cell r="N474">
            <v>0</v>
          </cell>
          <cell r="P474">
            <v>0</v>
          </cell>
          <cell r="R474">
            <v>0</v>
          </cell>
          <cell r="T474">
            <v>0</v>
          </cell>
          <cell r="V474">
            <v>0</v>
          </cell>
          <cell r="X474">
            <v>0</v>
          </cell>
          <cell r="Z474">
            <v>0</v>
          </cell>
        </row>
        <row r="475">
          <cell r="A475">
            <v>2</v>
          </cell>
          <cell r="B475" t="str">
            <v>Kayu Slimar 3/10</v>
          </cell>
          <cell r="C475" t="str">
            <v>M3</v>
          </cell>
          <cell r="D475">
            <v>0</v>
          </cell>
          <cell r="F475">
            <v>0</v>
          </cell>
          <cell r="H475">
            <v>0</v>
          </cell>
          <cell r="I475">
            <v>3.2000000000000006E-3</v>
          </cell>
          <cell r="J475">
            <v>0</v>
          </cell>
          <cell r="K475">
            <v>1.4159999999999999E-2</v>
          </cell>
          <cell r="L475">
            <v>0</v>
          </cell>
          <cell r="N475">
            <v>0</v>
          </cell>
          <cell r="P475">
            <v>0</v>
          </cell>
          <cell r="R475">
            <v>0</v>
          </cell>
          <cell r="T475">
            <v>0</v>
          </cell>
          <cell r="V475">
            <v>0</v>
          </cell>
          <cell r="X475">
            <v>0</v>
          </cell>
          <cell r="Z475">
            <v>0</v>
          </cell>
        </row>
        <row r="476">
          <cell r="A476">
            <v>3</v>
          </cell>
          <cell r="B476" t="str">
            <v>Kayu Slimar 3/15</v>
          </cell>
          <cell r="C476" t="str">
            <v>M3</v>
          </cell>
          <cell r="D476">
            <v>0</v>
          </cell>
          <cell r="F476">
            <v>0</v>
          </cell>
          <cell r="H476">
            <v>0</v>
          </cell>
          <cell r="I476">
            <v>1.92</v>
          </cell>
          <cell r="J476">
            <v>0</v>
          </cell>
          <cell r="K476">
            <v>2.6999999999999997E-3</v>
          </cell>
          <cell r="L476">
            <v>0</v>
          </cell>
          <cell r="N476">
            <v>0</v>
          </cell>
          <cell r="P476">
            <v>0</v>
          </cell>
          <cell r="R476">
            <v>0</v>
          </cell>
          <cell r="T476">
            <v>0</v>
          </cell>
          <cell r="V476">
            <v>0</v>
          </cell>
          <cell r="X476">
            <v>0</v>
          </cell>
          <cell r="Z476">
            <v>0</v>
          </cell>
        </row>
        <row r="477">
          <cell r="A477">
            <v>4</v>
          </cell>
          <cell r="B477" t="str">
            <v>Kayu Slimar 3/20</v>
          </cell>
          <cell r="C477" t="str">
            <v>M3</v>
          </cell>
          <cell r="D477">
            <v>0</v>
          </cell>
          <cell r="E477">
            <v>4.5119999999999996</v>
          </cell>
          <cell r="F477">
            <v>0</v>
          </cell>
          <cell r="G477">
            <v>0.14279999999999998</v>
          </cell>
          <cell r="H477">
            <v>0</v>
          </cell>
          <cell r="I477">
            <v>3.2</v>
          </cell>
          <cell r="J477">
            <v>0</v>
          </cell>
          <cell r="K477">
            <v>3.5999999999999999E-3</v>
          </cell>
          <cell r="L477">
            <v>0</v>
          </cell>
          <cell r="N477">
            <v>0</v>
          </cell>
          <cell r="P477">
            <v>0</v>
          </cell>
          <cell r="R477">
            <v>0</v>
          </cell>
          <cell r="T477">
            <v>0</v>
          </cell>
          <cell r="V477">
            <v>0</v>
          </cell>
          <cell r="X477">
            <v>0</v>
          </cell>
          <cell r="Z477">
            <v>0</v>
          </cell>
        </row>
        <row r="478">
          <cell r="A478">
            <v>5</v>
          </cell>
          <cell r="B478" t="str">
            <v>Kayu 2/10</v>
          </cell>
          <cell r="C478" t="str">
            <v>M3</v>
          </cell>
          <cell r="D478">
            <v>0</v>
          </cell>
          <cell r="E478">
            <v>5.9</v>
          </cell>
          <cell r="F478">
            <v>0</v>
          </cell>
          <cell r="H478">
            <v>0</v>
          </cell>
          <cell r="J478">
            <v>0</v>
          </cell>
          <cell r="K478">
            <v>5.4000000000000012E-3</v>
          </cell>
          <cell r="L478">
            <v>0</v>
          </cell>
          <cell r="M478">
            <v>2.016</v>
          </cell>
          <cell r="N478">
            <v>0</v>
          </cell>
          <cell r="O478">
            <v>2.8</v>
          </cell>
          <cell r="P478">
            <v>0</v>
          </cell>
          <cell r="Q478">
            <v>2.8</v>
          </cell>
          <cell r="R478">
            <v>0</v>
          </cell>
          <cell r="T478">
            <v>0</v>
          </cell>
          <cell r="V478">
            <v>0</v>
          </cell>
          <cell r="X478">
            <v>0</v>
          </cell>
          <cell r="Y478">
            <v>3.76</v>
          </cell>
          <cell r="Z478">
            <v>0</v>
          </cell>
        </row>
        <row r="479">
          <cell r="A479">
            <v>6</v>
          </cell>
          <cell r="B479" t="str">
            <v>Panil t = 3 cm</v>
          </cell>
          <cell r="C479" t="str">
            <v>M2</v>
          </cell>
          <cell r="D479">
            <v>0</v>
          </cell>
          <cell r="F479">
            <v>0</v>
          </cell>
          <cell r="H479">
            <v>0</v>
          </cell>
          <cell r="J479">
            <v>0</v>
          </cell>
          <cell r="K479">
            <v>0.49500000000000005</v>
          </cell>
          <cell r="L479">
            <v>0</v>
          </cell>
          <cell r="N479">
            <v>0</v>
          </cell>
          <cell r="P479">
            <v>0</v>
          </cell>
          <cell r="R479">
            <v>0</v>
          </cell>
          <cell r="T479">
            <v>0</v>
          </cell>
          <cell r="V479">
            <v>0</v>
          </cell>
          <cell r="X479">
            <v>0</v>
          </cell>
          <cell r="Z479">
            <v>0</v>
          </cell>
        </row>
        <row r="480">
          <cell r="A480">
            <v>1</v>
          </cell>
          <cell r="B480" t="str">
            <v>Kusen Aluminium 5/10</v>
          </cell>
          <cell r="C480" t="str">
            <v>M'</v>
          </cell>
          <cell r="D480">
            <v>124948</v>
          </cell>
          <cell r="F480">
            <v>0</v>
          </cell>
          <cell r="H480">
            <v>0</v>
          </cell>
          <cell r="J480">
            <v>0</v>
          </cell>
          <cell r="K480">
            <v>5</v>
          </cell>
          <cell r="L480">
            <v>624740</v>
          </cell>
          <cell r="N480">
            <v>0</v>
          </cell>
          <cell r="P480">
            <v>0</v>
          </cell>
          <cell r="R480">
            <v>0</v>
          </cell>
          <cell r="T480">
            <v>0</v>
          </cell>
          <cell r="V480">
            <v>0</v>
          </cell>
          <cell r="X480">
            <v>0</v>
          </cell>
          <cell r="Z480">
            <v>0</v>
          </cell>
        </row>
        <row r="481">
          <cell r="A481">
            <v>2</v>
          </cell>
          <cell r="B481" t="str">
            <v xml:space="preserve">Rangka Daun Jendela Alumunium </v>
          </cell>
          <cell r="C481" t="str">
            <v>M'</v>
          </cell>
          <cell r="D481">
            <v>124948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N481">
            <v>0</v>
          </cell>
          <cell r="P481">
            <v>0</v>
          </cell>
          <cell r="R481">
            <v>0</v>
          </cell>
          <cell r="T481">
            <v>0</v>
          </cell>
          <cell r="V481">
            <v>0</v>
          </cell>
          <cell r="X481">
            <v>0</v>
          </cell>
          <cell r="Z481">
            <v>0</v>
          </cell>
        </row>
        <row r="482">
          <cell r="A482">
            <v>3</v>
          </cell>
          <cell r="B482" t="str">
            <v>Rangka Tiang Sirip Alumunium 1/1 Putih</v>
          </cell>
          <cell r="C482" t="str">
            <v>M'</v>
          </cell>
          <cell r="D482">
            <v>62474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N482">
            <v>0</v>
          </cell>
          <cell r="P482">
            <v>0</v>
          </cell>
          <cell r="R482">
            <v>0</v>
          </cell>
          <cell r="T482">
            <v>0</v>
          </cell>
          <cell r="V482">
            <v>0</v>
          </cell>
          <cell r="X482">
            <v>0</v>
          </cell>
          <cell r="Z482">
            <v>0</v>
          </cell>
        </row>
        <row r="483">
          <cell r="A483">
            <v>4</v>
          </cell>
          <cell r="B483" t="str">
            <v>Pasang Shading Sirip Alumunium 0.2/10 +Rangka</v>
          </cell>
          <cell r="C483" t="str">
            <v>M2</v>
          </cell>
          <cell r="D483">
            <v>0</v>
          </cell>
          <cell r="F483">
            <v>0</v>
          </cell>
          <cell r="H483">
            <v>0</v>
          </cell>
          <cell r="J483">
            <v>0</v>
          </cell>
          <cell r="K483">
            <v>0</v>
          </cell>
          <cell r="L483">
            <v>0</v>
          </cell>
          <cell r="N483">
            <v>0</v>
          </cell>
          <cell r="P483">
            <v>0</v>
          </cell>
          <cell r="R483">
            <v>0</v>
          </cell>
          <cell r="T483">
            <v>0</v>
          </cell>
          <cell r="V483">
            <v>0</v>
          </cell>
          <cell r="X483">
            <v>0</v>
          </cell>
          <cell r="Z483">
            <v>0</v>
          </cell>
        </row>
        <row r="484">
          <cell r="A484">
            <v>5</v>
          </cell>
          <cell r="B484" t="str">
            <v>Daun Pintu Panil Kamper</v>
          </cell>
          <cell r="C484" t="str">
            <v>bh</v>
          </cell>
          <cell r="D484">
            <v>550000</v>
          </cell>
          <cell r="F484">
            <v>0</v>
          </cell>
          <cell r="H484">
            <v>0</v>
          </cell>
          <cell r="I484">
            <v>2.4E-2</v>
          </cell>
          <cell r="J484">
            <v>13200</v>
          </cell>
          <cell r="K484">
            <v>1.2</v>
          </cell>
          <cell r="L484">
            <v>660000</v>
          </cell>
          <cell r="N484">
            <v>0</v>
          </cell>
          <cell r="P484">
            <v>0</v>
          </cell>
          <cell r="R484">
            <v>0</v>
          </cell>
          <cell r="T484">
            <v>0</v>
          </cell>
          <cell r="V484">
            <v>0</v>
          </cell>
          <cell r="X484">
            <v>0</v>
          </cell>
          <cell r="Z484">
            <v>0</v>
          </cell>
        </row>
        <row r="485">
          <cell r="A485">
            <v>6</v>
          </cell>
          <cell r="B485" t="str">
            <v>Plat besi t = 2 mm</v>
          </cell>
          <cell r="C485" t="str">
            <v>Kg</v>
          </cell>
          <cell r="D485">
            <v>0</v>
          </cell>
          <cell r="E485">
            <v>1.6068</v>
          </cell>
          <cell r="F485">
            <v>0</v>
          </cell>
          <cell r="G485">
            <v>1.89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N485">
            <v>0</v>
          </cell>
          <cell r="P485">
            <v>0</v>
          </cell>
          <cell r="R485">
            <v>0</v>
          </cell>
          <cell r="T485">
            <v>0</v>
          </cell>
          <cell r="V485">
            <v>0</v>
          </cell>
          <cell r="X485">
            <v>0</v>
          </cell>
          <cell r="Z485">
            <v>0</v>
          </cell>
        </row>
        <row r="486">
          <cell r="A486">
            <v>7</v>
          </cell>
          <cell r="B486" t="str">
            <v>C 40.40.2  (pesan khusus)</v>
          </cell>
          <cell r="C486" t="str">
            <v>Kg</v>
          </cell>
          <cell r="D486">
            <v>14122.3</v>
          </cell>
          <cell r="E486">
            <v>0.96960000000000002</v>
          </cell>
          <cell r="F486">
            <v>13692.98208</v>
          </cell>
          <cell r="G486">
            <v>1.0247999999999999</v>
          </cell>
          <cell r="H486">
            <v>14472.533039999998</v>
          </cell>
          <cell r="J486">
            <v>0</v>
          </cell>
          <cell r="K486">
            <v>0</v>
          </cell>
          <cell r="L486">
            <v>0</v>
          </cell>
          <cell r="N486">
            <v>0</v>
          </cell>
          <cell r="P486">
            <v>0</v>
          </cell>
          <cell r="R486">
            <v>0</v>
          </cell>
          <cell r="T486">
            <v>0</v>
          </cell>
          <cell r="V486">
            <v>0</v>
          </cell>
          <cell r="X486">
            <v>0</v>
          </cell>
          <cell r="Z486">
            <v>0</v>
          </cell>
        </row>
        <row r="487">
          <cell r="A487">
            <v>8</v>
          </cell>
          <cell r="B487" t="str">
            <v>Handle besi dia 16 mm</v>
          </cell>
          <cell r="C487" t="str">
            <v>Set</v>
          </cell>
          <cell r="D487">
            <v>129652.5</v>
          </cell>
          <cell r="E487">
            <v>18.012</v>
          </cell>
          <cell r="F487">
            <v>2335300.83</v>
          </cell>
          <cell r="G487">
            <v>20.698</v>
          </cell>
          <cell r="H487">
            <v>2683547.4449999998</v>
          </cell>
          <cell r="J487">
            <v>0</v>
          </cell>
          <cell r="K487">
            <v>0</v>
          </cell>
          <cell r="L487">
            <v>0</v>
          </cell>
          <cell r="N487">
            <v>0</v>
          </cell>
          <cell r="P487">
            <v>0</v>
          </cell>
          <cell r="R487">
            <v>0</v>
          </cell>
          <cell r="T487">
            <v>0</v>
          </cell>
          <cell r="V487">
            <v>0</v>
          </cell>
          <cell r="X487">
            <v>0</v>
          </cell>
          <cell r="Z487">
            <v>0</v>
          </cell>
        </row>
        <row r="488">
          <cell r="A488">
            <v>9</v>
          </cell>
          <cell r="B488" t="str">
            <v>Hendle pintu Stainless</v>
          </cell>
          <cell r="C488" t="str">
            <v>Set</v>
          </cell>
          <cell r="D488">
            <v>261652.5</v>
          </cell>
          <cell r="E488">
            <v>2</v>
          </cell>
          <cell r="F488">
            <v>523305</v>
          </cell>
          <cell r="G488">
            <v>1</v>
          </cell>
          <cell r="H488">
            <v>261652.5</v>
          </cell>
          <cell r="J488">
            <v>0</v>
          </cell>
          <cell r="K488">
            <v>0</v>
          </cell>
          <cell r="L488">
            <v>0</v>
          </cell>
          <cell r="N488">
            <v>0</v>
          </cell>
          <cell r="P488">
            <v>0</v>
          </cell>
          <cell r="R488">
            <v>0</v>
          </cell>
          <cell r="T488">
            <v>0</v>
          </cell>
          <cell r="V488">
            <v>0</v>
          </cell>
          <cell r="X488">
            <v>0</v>
          </cell>
          <cell r="Z488">
            <v>0</v>
          </cell>
        </row>
        <row r="489">
          <cell r="A489">
            <v>10</v>
          </cell>
          <cell r="B489" t="str">
            <v>Kunci Pintu Handle stainleess (dorma)</v>
          </cell>
          <cell r="C489" t="str">
            <v>Set</v>
          </cell>
          <cell r="D489">
            <v>650000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N489">
            <v>0</v>
          </cell>
          <cell r="P489">
            <v>0</v>
          </cell>
          <cell r="R489">
            <v>0</v>
          </cell>
          <cell r="T489">
            <v>0</v>
          </cell>
          <cell r="V489">
            <v>0</v>
          </cell>
          <cell r="X489">
            <v>0</v>
          </cell>
          <cell r="Z489">
            <v>0</v>
          </cell>
        </row>
        <row r="490">
          <cell r="A490">
            <v>11</v>
          </cell>
          <cell r="B490" t="str">
            <v>Kunci tanam Antik</v>
          </cell>
          <cell r="C490" t="str">
            <v>Set</v>
          </cell>
          <cell r="D490">
            <v>265000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N490">
            <v>0</v>
          </cell>
          <cell r="P490">
            <v>0</v>
          </cell>
          <cell r="R490">
            <v>0</v>
          </cell>
          <cell r="T490">
            <v>0</v>
          </cell>
          <cell r="V490">
            <v>0</v>
          </cell>
          <cell r="X490">
            <v>0</v>
          </cell>
          <cell r="Z490">
            <v>0</v>
          </cell>
        </row>
        <row r="491">
          <cell r="A491">
            <v>12</v>
          </cell>
          <cell r="B491" t="str">
            <v>Kunci tanam biasa</v>
          </cell>
          <cell r="C491" t="str">
            <v>Set</v>
          </cell>
          <cell r="D491">
            <v>168565</v>
          </cell>
          <cell r="E491">
            <v>2</v>
          </cell>
          <cell r="F491">
            <v>337130</v>
          </cell>
          <cell r="G491">
            <v>1</v>
          </cell>
          <cell r="H491">
            <v>168565</v>
          </cell>
          <cell r="I491">
            <v>1</v>
          </cell>
          <cell r="J491">
            <v>168565</v>
          </cell>
          <cell r="K491">
            <v>1</v>
          </cell>
          <cell r="L491">
            <v>168565</v>
          </cell>
          <cell r="N491">
            <v>0</v>
          </cell>
          <cell r="P491">
            <v>0</v>
          </cell>
          <cell r="R491">
            <v>0</v>
          </cell>
          <cell r="T491">
            <v>0</v>
          </cell>
          <cell r="V491">
            <v>0</v>
          </cell>
          <cell r="X491">
            <v>0</v>
          </cell>
          <cell r="Z491">
            <v>0</v>
          </cell>
        </row>
        <row r="492">
          <cell r="A492">
            <v>13</v>
          </cell>
          <cell r="B492" t="str">
            <v>Kunci Silinder</v>
          </cell>
          <cell r="C492" t="str">
            <v>Set</v>
          </cell>
          <cell r="D492">
            <v>217900</v>
          </cell>
          <cell r="F492">
            <v>0</v>
          </cell>
          <cell r="H492">
            <v>0</v>
          </cell>
          <cell r="J492">
            <v>0</v>
          </cell>
          <cell r="K492">
            <v>0</v>
          </cell>
          <cell r="L492">
            <v>0</v>
          </cell>
          <cell r="N492">
            <v>0</v>
          </cell>
          <cell r="P492">
            <v>0</v>
          </cell>
          <cell r="R492">
            <v>0</v>
          </cell>
          <cell r="T492">
            <v>0</v>
          </cell>
          <cell r="V492">
            <v>0</v>
          </cell>
          <cell r="X492">
            <v>0</v>
          </cell>
          <cell r="Z492">
            <v>0</v>
          </cell>
        </row>
        <row r="493">
          <cell r="A493">
            <v>14</v>
          </cell>
          <cell r="B493" t="str">
            <v>Kunci Selot</v>
          </cell>
          <cell r="C493" t="str">
            <v>Set</v>
          </cell>
          <cell r="D493">
            <v>48300</v>
          </cell>
          <cell r="F493">
            <v>0</v>
          </cell>
          <cell r="H493">
            <v>0</v>
          </cell>
          <cell r="J493">
            <v>0</v>
          </cell>
          <cell r="K493">
            <v>0</v>
          </cell>
          <cell r="L493">
            <v>0</v>
          </cell>
          <cell r="N493">
            <v>0</v>
          </cell>
          <cell r="P493">
            <v>0</v>
          </cell>
          <cell r="R493">
            <v>0</v>
          </cell>
          <cell r="T493">
            <v>0</v>
          </cell>
          <cell r="V493">
            <v>0</v>
          </cell>
          <cell r="X493">
            <v>0</v>
          </cell>
          <cell r="Z493">
            <v>0</v>
          </cell>
        </row>
        <row r="494">
          <cell r="A494">
            <v>15</v>
          </cell>
          <cell r="B494" t="str">
            <v>Engsel jendela</v>
          </cell>
          <cell r="C494" t="str">
            <v>Bh</v>
          </cell>
          <cell r="D494">
            <v>16600</v>
          </cell>
          <cell r="F494">
            <v>0</v>
          </cell>
          <cell r="H494">
            <v>0</v>
          </cell>
          <cell r="J494">
            <v>0</v>
          </cell>
          <cell r="K494">
            <v>0</v>
          </cell>
          <cell r="L494">
            <v>0</v>
          </cell>
          <cell r="N494">
            <v>0</v>
          </cell>
          <cell r="P494">
            <v>0</v>
          </cell>
          <cell r="R494">
            <v>0</v>
          </cell>
          <cell r="T494">
            <v>0</v>
          </cell>
          <cell r="V494">
            <v>0</v>
          </cell>
          <cell r="X494">
            <v>0</v>
          </cell>
          <cell r="Z494">
            <v>0</v>
          </cell>
        </row>
        <row r="495">
          <cell r="A495">
            <v>16</v>
          </cell>
          <cell r="B495" t="str">
            <v>Engsel pintu</v>
          </cell>
          <cell r="C495" t="str">
            <v>Bh</v>
          </cell>
          <cell r="D495">
            <v>44395.75</v>
          </cell>
          <cell r="E495">
            <v>4</v>
          </cell>
          <cell r="F495">
            <v>177583</v>
          </cell>
          <cell r="H495">
            <v>0</v>
          </cell>
          <cell r="J495">
            <v>0</v>
          </cell>
          <cell r="K495">
            <v>3</v>
          </cell>
          <cell r="L495">
            <v>133187.25</v>
          </cell>
          <cell r="N495">
            <v>0</v>
          </cell>
          <cell r="P495">
            <v>0</v>
          </cell>
          <cell r="R495">
            <v>0</v>
          </cell>
          <cell r="T495">
            <v>0</v>
          </cell>
          <cell r="V495">
            <v>0</v>
          </cell>
          <cell r="X495">
            <v>0</v>
          </cell>
          <cell r="Z495">
            <v>0</v>
          </cell>
        </row>
        <row r="496">
          <cell r="A496">
            <v>17</v>
          </cell>
          <cell r="B496" t="str">
            <v>Engsel Pintu dari pipa besi dia 2 cm</v>
          </cell>
          <cell r="C496" t="str">
            <v>Bh</v>
          </cell>
          <cell r="D496">
            <v>66593.625</v>
          </cell>
          <cell r="F496">
            <v>0</v>
          </cell>
          <cell r="H496">
            <v>0</v>
          </cell>
          <cell r="J496">
            <v>0</v>
          </cell>
          <cell r="K496">
            <v>0</v>
          </cell>
          <cell r="L496">
            <v>0</v>
          </cell>
          <cell r="N496">
            <v>0</v>
          </cell>
          <cell r="P496">
            <v>0</v>
          </cell>
          <cell r="R496">
            <v>0</v>
          </cell>
          <cell r="T496">
            <v>0</v>
          </cell>
          <cell r="V496">
            <v>0</v>
          </cell>
          <cell r="X496">
            <v>0</v>
          </cell>
          <cell r="Z496">
            <v>0</v>
          </cell>
        </row>
        <row r="497">
          <cell r="A497">
            <v>18</v>
          </cell>
          <cell r="B497" t="str">
            <v>Kait/hak angin</v>
          </cell>
          <cell r="C497" t="str">
            <v>Set</v>
          </cell>
          <cell r="D497">
            <v>27000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N497">
            <v>0</v>
          </cell>
          <cell r="P497">
            <v>0</v>
          </cell>
          <cell r="R497">
            <v>0</v>
          </cell>
          <cell r="T497">
            <v>0</v>
          </cell>
          <cell r="V497">
            <v>0</v>
          </cell>
          <cell r="X497">
            <v>0</v>
          </cell>
          <cell r="Z497">
            <v>0</v>
          </cell>
        </row>
        <row r="498">
          <cell r="A498">
            <v>19</v>
          </cell>
          <cell r="B498" t="str">
            <v>Grendel pintu kuningan</v>
          </cell>
          <cell r="C498" t="str">
            <v>Bh</v>
          </cell>
          <cell r="D498">
            <v>125000</v>
          </cell>
          <cell r="F498">
            <v>0</v>
          </cell>
          <cell r="H498">
            <v>0</v>
          </cell>
          <cell r="J498">
            <v>0</v>
          </cell>
          <cell r="K498">
            <v>0</v>
          </cell>
          <cell r="L498">
            <v>0</v>
          </cell>
          <cell r="N498">
            <v>0</v>
          </cell>
          <cell r="P498">
            <v>0</v>
          </cell>
          <cell r="R498">
            <v>0</v>
          </cell>
          <cell r="T498">
            <v>0</v>
          </cell>
          <cell r="V498">
            <v>0</v>
          </cell>
          <cell r="X498">
            <v>0</v>
          </cell>
          <cell r="Z498">
            <v>0</v>
          </cell>
        </row>
        <row r="499">
          <cell r="A499">
            <v>20</v>
          </cell>
          <cell r="B499" t="str">
            <v xml:space="preserve">Grendel jendela </v>
          </cell>
          <cell r="C499" t="str">
            <v>Bh</v>
          </cell>
          <cell r="D499">
            <v>8100</v>
          </cell>
          <cell r="F499">
            <v>0</v>
          </cell>
          <cell r="H499">
            <v>0</v>
          </cell>
          <cell r="J499">
            <v>0</v>
          </cell>
          <cell r="K499">
            <v>0</v>
          </cell>
          <cell r="L499">
            <v>0</v>
          </cell>
          <cell r="N499">
            <v>0</v>
          </cell>
          <cell r="P499">
            <v>0</v>
          </cell>
          <cell r="R499">
            <v>0</v>
          </cell>
          <cell r="T499">
            <v>0</v>
          </cell>
          <cell r="V499">
            <v>0</v>
          </cell>
          <cell r="X499">
            <v>0</v>
          </cell>
          <cell r="Z499">
            <v>0</v>
          </cell>
        </row>
        <row r="500">
          <cell r="A500">
            <v>21</v>
          </cell>
          <cell r="B500" t="str">
            <v>Grendel pintu</v>
          </cell>
          <cell r="C500" t="str">
            <v>Bh</v>
          </cell>
          <cell r="D500">
            <v>14200</v>
          </cell>
          <cell r="E500">
            <v>2</v>
          </cell>
          <cell r="F500">
            <v>28400</v>
          </cell>
          <cell r="H500">
            <v>0</v>
          </cell>
          <cell r="J500">
            <v>0</v>
          </cell>
          <cell r="K500">
            <v>0</v>
          </cell>
          <cell r="L500">
            <v>0</v>
          </cell>
          <cell r="N500">
            <v>0</v>
          </cell>
          <cell r="P500">
            <v>0</v>
          </cell>
          <cell r="R500">
            <v>0</v>
          </cell>
          <cell r="T500">
            <v>0</v>
          </cell>
          <cell r="V500">
            <v>0</v>
          </cell>
          <cell r="X500">
            <v>0</v>
          </cell>
          <cell r="Z500">
            <v>0</v>
          </cell>
        </row>
        <row r="501">
          <cell r="A501">
            <v>22</v>
          </cell>
          <cell r="B501" t="str">
            <v>Stripting Knip</v>
          </cell>
          <cell r="C501" t="str">
            <v>Set</v>
          </cell>
          <cell r="D501">
            <v>13700</v>
          </cell>
          <cell r="F501">
            <v>0</v>
          </cell>
          <cell r="H501">
            <v>0</v>
          </cell>
          <cell r="J501">
            <v>0</v>
          </cell>
          <cell r="K501">
            <v>0</v>
          </cell>
          <cell r="L501">
            <v>0</v>
          </cell>
          <cell r="N501">
            <v>0</v>
          </cell>
          <cell r="P501">
            <v>0</v>
          </cell>
          <cell r="R501">
            <v>0</v>
          </cell>
          <cell r="T501">
            <v>0</v>
          </cell>
          <cell r="V501">
            <v>0</v>
          </cell>
          <cell r="X501">
            <v>0</v>
          </cell>
          <cell r="Z501">
            <v>0</v>
          </cell>
        </row>
        <row r="502">
          <cell r="A502">
            <v>23</v>
          </cell>
          <cell r="B502" t="str">
            <v>Door Closer</v>
          </cell>
          <cell r="C502" t="str">
            <v>Set</v>
          </cell>
          <cell r="D502">
            <v>260800</v>
          </cell>
          <cell r="F502">
            <v>0</v>
          </cell>
          <cell r="H502">
            <v>0</v>
          </cell>
          <cell r="J502">
            <v>0</v>
          </cell>
          <cell r="K502">
            <v>0</v>
          </cell>
          <cell r="L502">
            <v>0</v>
          </cell>
          <cell r="N502">
            <v>0</v>
          </cell>
          <cell r="P502">
            <v>0</v>
          </cell>
          <cell r="R502">
            <v>0</v>
          </cell>
          <cell r="T502">
            <v>0</v>
          </cell>
          <cell r="V502">
            <v>0</v>
          </cell>
          <cell r="X502">
            <v>0</v>
          </cell>
          <cell r="Z502">
            <v>0</v>
          </cell>
        </row>
        <row r="503">
          <cell r="A503">
            <v>24</v>
          </cell>
          <cell r="B503" t="str">
            <v>Door Holder</v>
          </cell>
          <cell r="C503" t="str">
            <v>Set</v>
          </cell>
          <cell r="D503">
            <v>500000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N503">
            <v>0</v>
          </cell>
          <cell r="P503">
            <v>0</v>
          </cell>
          <cell r="R503">
            <v>0</v>
          </cell>
          <cell r="T503">
            <v>0</v>
          </cell>
          <cell r="V503">
            <v>0</v>
          </cell>
          <cell r="X503">
            <v>0</v>
          </cell>
          <cell r="Z503">
            <v>0</v>
          </cell>
        </row>
        <row r="504">
          <cell r="A504">
            <v>25</v>
          </cell>
          <cell r="B504" t="str">
            <v>Door Stop</v>
          </cell>
          <cell r="C504" t="str">
            <v>Set</v>
          </cell>
          <cell r="D504">
            <v>32100</v>
          </cell>
          <cell r="F504">
            <v>0</v>
          </cell>
          <cell r="H504">
            <v>0</v>
          </cell>
          <cell r="J504">
            <v>0</v>
          </cell>
          <cell r="K504">
            <v>0</v>
          </cell>
          <cell r="L504">
            <v>0</v>
          </cell>
          <cell r="N504">
            <v>0</v>
          </cell>
          <cell r="P504">
            <v>0</v>
          </cell>
          <cell r="R504">
            <v>0</v>
          </cell>
          <cell r="T504">
            <v>0</v>
          </cell>
          <cell r="V504">
            <v>0</v>
          </cell>
          <cell r="X504">
            <v>0</v>
          </cell>
          <cell r="Z504">
            <v>0</v>
          </cell>
        </row>
        <row r="505">
          <cell r="A505">
            <v>26</v>
          </cell>
          <cell r="B505" t="str">
            <v>Kaca bening 5 mm</v>
          </cell>
          <cell r="C505" t="str">
            <v>M2</v>
          </cell>
          <cell r="D505">
            <v>66700</v>
          </cell>
          <cell r="F505">
            <v>0</v>
          </cell>
          <cell r="H505">
            <v>0</v>
          </cell>
          <cell r="I505">
            <v>5.0399999999999993E-2</v>
          </cell>
          <cell r="J505">
            <v>3361.6799999999994</v>
          </cell>
          <cell r="K505">
            <v>0</v>
          </cell>
          <cell r="L505">
            <v>0</v>
          </cell>
          <cell r="M505">
            <v>0.73599999999999999</v>
          </cell>
          <cell r="N505">
            <v>49091.199999999997</v>
          </cell>
          <cell r="O505">
            <v>0.36000000000000004</v>
          </cell>
          <cell r="P505">
            <v>24012.000000000004</v>
          </cell>
          <cell r="Q505">
            <v>0.36000000000000004</v>
          </cell>
          <cell r="R505">
            <v>24012.000000000004</v>
          </cell>
          <cell r="T505">
            <v>0</v>
          </cell>
          <cell r="V505">
            <v>0</v>
          </cell>
          <cell r="X505">
            <v>0</v>
          </cell>
          <cell r="Y505">
            <v>0.14400000000000002</v>
          </cell>
          <cell r="Z505">
            <v>9604.8000000000011</v>
          </cell>
        </row>
        <row r="506">
          <cell r="A506">
            <v>27</v>
          </cell>
          <cell r="B506" t="str">
            <v>Kaca bening 10 mm</v>
          </cell>
          <cell r="C506" t="str">
            <v>M2</v>
          </cell>
          <cell r="D506">
            <v>280895.75</v>
          </cell>
          <cell r="F506">
            <v>0</v>
          </cell>
          <cell r="H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  <cell r="R506">
            <v>0</v>
          </cell>
          <cell r="T506">
            <v>0</v>
          </cell>
          <cell r="V506">
            <v>0</v>
          </cell>
          <cell r="X506">
            <v>0</v>
          </cell>
          <cell r="Z506">
            <v>0</v>
          </cell>
        </row>
        <row r="507">
          <cell r="A507">
            <v>28</v>
          </cell>
          <cell r="B507" t="str">
            <v>Kaca Bening 12 mm</v>
          </cell>
          <cell r="C507" t="str">
            <v>M2</v>
          </cell>
          <cell r="D507">
            <v>403787.64062499994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N507">
            <v>0</v>
          </cell>
          <cell r="P507">
            <v>0</v>
          </cell>
          <cell r="R507">
            <v>0</v>
          </cell>
          <cell r="T507">
            <v>0</v>
          </cell>
          <cell r="V507">
            <v>0</v>
          </cell>
          <cell r="X507">
            <v>0</v>
          </cell>
          <cell r="Z507">
            <v>0</v>
          </cell>
        </row>
        <row r="508">
          <cell r="A508">
            <v>29</v>
          </cell>
          <cell r="B508" t="str">
            <v>Besi hollow 4/4</v>
          </cell>
          <cell r="C508" t="str">
            <v>M'</v>
          </cell>
          <cell r="D508">
            <v>48625.000000000051</v>
          </cell>
          <cell r="F508">
            <v>0</v>
          </cell>
          <cell r="H508">
            <v>0</v>
          </cell>
          <cell r="J508">
            <v>0</v>
          </cell>
          <cell r="K508">
            <v>0</v>
          </cell>
          <cell r="L508">
            <v>0</v>
          </cell>
          <cell r="N508">
            <v>0</v>
          </cell>
          <cell r="P508">
            <v>0</v>
          </cell>
          <cell r="R508">
            <v>0</v>
          </cell>
          <cell r="T508">
            <v>0</v>
          </cell>
          <cell r="V508">
            <v>0</v>
          </cell>
          <cell r="X508">
            <v>0</v>
          </cell>
          <cell r="Z508">
            <v>0</v>
          </cell>
        </row>
        <row r="509">
          <cell r="A509">
            <v>30</v>
          </cell>
          <cell r="B509" t="str">
            <v>Besi hollow 6/6</v>
          </cell>
          <cell r="C509" t="str">
            <v>M'</v>
          </cell>
          <cell r="D509">
            <v>74462.500000000058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N509">
            <v>0</v>
          </cell>
          <cell r="P509">
            <v>0</v>
          </cell>
          <cell r="R509">
            <v>0</v>
          </cell>
          <cell r="T509">
            <v>0</v>
          </cell>
          <cell r="V509">
            <v>0</v>
          </cell>
          <cell r="X509">
            <v>0</v>
          </cell>
          <cell r="Z509">
            <v>0</v>
          </cell>
        </row>
        <row r="510">
          <cell r="A510">
            <v>31</v>
          </cell>
          <cell r="B510" t="str">
            <v>Besi hollow 2.5/5</v>
          </cell>
          <cell r="C510" t="str">
            <v>Kg</v>
          </cell>
          <cell r="D510">
            <v>74462.500000000058</v>
          </cell>
          <cell r="F510">
            <v>0</v>
          </cell>
          <cell r="H510">
            <v>0</v>
          </cell>
          <cell r="J510">
            <v>0</v>
          </cell>
          <cell r="K510">
            <v>0</v>
          </cell>
          <cell r="L510">
            <v>0</v>
          </cell>
          <cell r="N510">
            <v>0</v>
          </cell>
          <cell r="P510">
            <v>0</v>
          </cell>
          <cell r="R510">
            <v>0</v>
          </cell>
          <cell r="T510">
            <v>0</v>
          </cell>
          <cell r="V510">
            <v>0</v>
          </cell>
          <cell r="X510">
            <v>0</v>
          </cell>
          <cell r="Z510">
            <v>0</v>
          </cell>
        </row>
        <row r="511">
          <cell r="A511">
            <v>32</v>
          </cell>
          <cell r="B511" t="str">
            <v>Besi hollow 5/5</v>
          </cell>
          <cell r="C511" t="str">
            <v>Kg</v>
          </cell>
          <cell r="D511">
            <v>74462.500000000058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N511">
            <v>0</v>
          </cell>
          <cell r="P511">
            <v>0</v>
          </cell>
          <cell r="R511">
            <v>0</v>
          </cell>
          <cell r="T511">
            <v>0</v>
          </cell>
          <cell r="V511">
            <v>0</v>
          </cell>
          <cell r="X511">
            <v>0</v>
          </cell>
          <cell r="Z511">
            <v>0</v>
          </cell>
        </row>
        <row r="512">
          <cell r="A512">
            <v>33</v>
          </cell>
          <cell r="B512" t="str">
            <v>Besi hollow 2/2</v>
          </cell>
          <cell r="C512" t="str">
            <v>Kg</v>
          </cell>
          <cell r="D512">
            <v>74462.500000000058</v>
          </cell>
          <cell r="F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P512">
            <v>0</v>
          </cell>
          <cell r="R512">
            <v>0</v>
          </cell>
          <cell r="T512">
            <v>0</v>
          </cell>
          <cell r="V512">
            <v>0</v>
          </cell>
          <cell r="X512">
            <v>0</v>
          </cell>
          <cell r="Z512">
            <v>0</v>
          </cell>
        </row>
        <row r="513">
          <cell r="A513">
            <v>34</v>
          </cell>
          <cell r="B513" t="str">
            <v>Besi hollow 2/4</v>
          </cell>
          <cell r="C513" t="str">
            <v>Kg</v>
          </cell>
          <cell r="D513">
            <v>74462.500000000058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N513">
            <v>0</v>
          </cell>
          <cell r="P513">
            <v>0</v>
          </cell>
          <cell r="R513">
            <v>0</v>
          </cell>
          <cell r="T513">
            <v>0</v>
          </cell>
          <cell r="V513">
            <v>0</v>
          </cell>
          <cell r="X513">
            <v>0</v>
          </cell>
          <cell r="Z513">
            <v>0</v>
          </cell>
        </row>
        <row r="514">
          <cell r="A514">
            <v>35</v>
          </cell>
          <cell r="B514" t="str">
            <v>Kaca Tempered 12 mm</v>
          </cell>
          <cell r="C514" t="str">
            <v>M2</v>
          </cell>
          <cell r="D514">
            <v>528395.75</v>
          </cell>
          <cell r="F514">
            <v>0</v>
          </cell>
          <cell r="H514">
            <v>0</v>
          </cell>
          <cell r="J514">
            <v>0</v>
          </cell>
          <cell r="K514">
            <v>0</v>
          </cell>
          <cell r="L514">
            <v>0</v>
          </cell>
          <cell r="N514">
            <v>0</v>
          </cell>
          <cell r="P514">
            <v>0</v>
          </cell>
          <cell r="R514">
            <v>0</v>
          </cell>
          <cell r="T514">
            <v>0</v>
          </cell>
          <cell r="V514">
            <v>0</v>
          </cell>
          <cell r="X514">
            <v>0</v>
          </cell>
          <cell r="Z514">
            <v>0</v>
          </cell>
        </row>
        <row r="515">
          <cell r="A515">
            <v>36</v>
          </cell>
          <cell r="B515" t="str">
            <v>Glass Block</v>
          </cell>
          <cell r="C515" t="str">
            <v>Bh</v>
          </cell>
          <cell r="D515">
            <v>45000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N515">
            <v>0</v>
          </cell>
          <cell r="P515">
            <v>0</v>
          </cell>
          <cell r="R515">
            <v>0</v>
          </cell>
          <cell r="T515">
            <v>0</v>
          </cell>
          <cell r="V515">
            <v>0</v>
          </cell>
          <cell r="X515">
            <v>0</v>
          </cell>
          <cell r="Z515">
            <v>0</v>
          </cell>
        </row>
        <row r="516">
          <cell r="A516">
            <v>37</v>
          </cell>
          <cell r="B516" t="str">
            <v>Kaca Es</v>
          </cell>
          <cell r="C516" t="str">
            <v>M2</v>
          </cell>
          <cell r="D516">
            <v>66700</v>
          </cell>
          <cell r="F516">
            <v>0</v>
          </cell>
          <cell r="H516">
            <v>0</v>
          </cell>
          <cell r="J516">
            <v>0</v>
          </cell>
          <cell r="K516">
            <v>0</v>
          </cell>
          <cell r="L516">
            <v>0</v>
          </cell>
          <cell r="N516">
            <v>0</v>
          </cell>
          <cell r="P516">
            <v>0</v>
          </cell>
          <cell r="R516">
            <v>0</v>
          </cell>
          <cell r="T516">
            <v>0</v>
          </cell>
          <cell r="V516">
            <v>0</v>
          </cell>
          <cell r="X516">
            <v>0</v>
          </cell>
          <cell r="Z516">
            <v>0</v>
          </cell>
        </row>
        <row r="517">
          <cell r="A517">
            <v>38</v>
          </cell>
          <cell r="B517" t="str">
            <v>Krepyak Kaca Nako + Kerangka</v>
          </cell>
          <cell r="C517" t="str">
            <v>M2</v>
          </cell>
          <cell r="D517">
            <v>81300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N517">
            <v>0</v>
          </cell>
          <cell r="P517">
            <v>0</v>
          </cell>
          <cell r="R517">
            <v>0</v>
          </cell>
          <cell r="T517">
            <v>0</v>
          </cell>
          <cell r="V517">
            <v>0</v>
          </cell>
          <cell r="X517">
            <v>0</v>
          </cell>
          <cell r="Z517">
            <v>0</v>
          </cell>
        </row>
        <row r="518">
          <cell r="A518">
            <v>39</v>
          </cell>
          <cell r="B518" t="str">
            <v>Sticker Efek Kaca Es</v>
          </cell>
          <cell r="C518" t="str">
            <v>M2</v>
          </cell>
          <cell r="D518">
            <v>150000</v>
          </cell>
          <cell r="F518">
            <v>0</v>
          </cell>
          <cell r="H518">
            <v>0</v>
          </cell>
          <cell r="J518">
            <v>0</v>
          </cell>
          <cell r="K518">
            <v>0</v>
          </cell>
          <cell r="L518">
            <v>0</v>
          </cell>
          <cell r="N518">
            <v>0</v>
          </cell>
          <cell r="P518">
            <v>0</v>
          </cell>
          <cell r="R518">
            <v>0</v>
          </cell>
          <cell r="T518">
            <v>0</v>
          </cell>
          <cell r="V518">
            <v>0</v>
          </cell>
          <cell r="X518">
            <v>0</v>
          </cell>
          <cell r="Z518">
            <v>0</v>
          </cell>
        </row>
        <row r="519">
          <cell r="A519">
            <v>40</v>
          </cell>
          <cell r="B519" t="str">
            <v>Rel Pintu Dorong</v>
          </cell>
          <cell r="C519" t="str">
            <v>M'</v>
          </cell>
          <cell r="D519">
            <v>275000</v>
          </cell>
          <cell r="F519">
            <v>0</v>
          </cell>
          <cell r="G519">
            <v>5.2</v>
          </cell>
          <cell r="H519">
            <v>1430000</v>
          </cell>
          <cell r="I519">
            <v>3.2</v>
          </cell>
          <cell r="J519">
            <v>880000</v>
          </cell>
          <cell r="K519">
            <v>0</v>
          </cell>
          <cell r="L519">
            <v>0</v>
          </cell>
          <cell r="N519">
            <v>0</v>
          </cell>
          <cell r="P519">
            <v>0</v>
          </cell>
          <cell r="R519">
            <v>0</v>
          </cell>
          <cell r="T519">
            <v>0</v>
          </cell>
          <cell r="V519">
            <v>0</v>
          </cell>
          <cell r="X519">
            <v>0</v>
          </cell>
          <cell r="Z519">
            <v>0</v>
          </cell>
        </row>
        <row r="520">
          <cell r="A520">
            <v>41</v>
          </cell>
          <cell r="B520" t="str">
            <v>Rolling Door</v>
          </cell>
          <cell r="C520" t="str">
            <v>M2</v>
          </cell>
          <cell r="D520">
            <v>358100</v>
          </cell>
          <cell r="F520">
            <v>0</v>
          </cell>
          <cell r="H520">
            <v>0</v>
          </cell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P520">
            <v>0</v>
          </cell>
          <cell r="R520">
            <v>0</v>
          </cell>
          <cell r="T520">
            <v>0</v>
          </cell>
          <cell r="V520">
            <v>0</v>
          </cell>
          <cell r="X520">
            <v>0</v>
          </cell>
          <cell r="Z520">
            <v>0</v>
          </cell>
        </row>
        <row r="521">
          <cell r="A521">
            <v>42</v>
          </cell>
          <cell r="B521" t="str">
            <v>Roster</v>
          </cell>
          <cell r="C521" t="str">
            <v>M2</v>
          </cell>
          <cell r="D521">
            <v>133850</v>
          </cell>
          <cell r="F521">
            <v>0</v>
          </cell>
          <cell r="H521">
            <v>0</v>
          </cell>
          <cell r="J521">
            <v>0</v>
          </cell>
          <cell r="K521">
            <v>0</v>
          </cell>
          <cell r="L521">
            <v>0</v>
          </cell>
          <cell r="N521">
            <v>0</v>
          </cell>
          <cell r="P521">
            <v>0</v>
          </cell>
          <cell r="R521">
            <v>0</v>
          </cell>
          <cell r="S521">
            <v>0.16000000000000003</v>
          </cell>
          <cell r="T521">
            <v>21416.000000000004</v>
          </cell>
          <cell r="U521">
            <v>0.48</v>
          </cell>
          <cell r="V521">
            <v>64248</v>
          </cell>
          <cell r="W521">
            <v>0.48000000000000009</v>
          </cell>
          <cell r="X521">
            <v>64248.000000000015</v>
          </cell>
          <cell r="Z521">
            <v>0</v>
          </cell>
        </row>
        <row r="522">
          <cell r="A522">
            <v>43</v>
          </cell>
          <cell r="B522" t="str">
            <v>Gipsum Board</v>
          </cell>
          <cell r="C522" t="str">
            <v>M2</v>
          </cell>
          <cell r="D522">
            <v>29000</v>
          </cell>
          <cell r="F522">
            <v>0</v>
          </cell>
          <cell r="H522">
            <v>0</v>
          </cell>
          <cell r="J522">
            <v>0</v>
          </cell>
          <cell r="K522">
            <v>0</v>
          </cell>
          <cell r="L522">
            <v>0</v>
          </cell>
          <cell r="N522">
            <v>0</v>
          </cell>
          <cell r="P522">
            <v>0</v>
          </cell>
          <cell r="R522">
            <v>0</v>
          </cell>
          <cell r="T522">
            <v>0</v>
          </cell>
          <cell r="V522">
            <v>0</v>
          </cell>
          <cell r="X522">
            <v>0</v>
          </cell>
          <cell r="Z522">
            <v>0</v>
          </cell>
        </row>
        <row r="523">
          <cell r="A523">
            <v>44</v>
          </cell>
          <cell r="B523" t="str">
            <v>List Gipsum</v>
          </cell>
          <cell r="C523" t="str">
            <v>M'</v>
          </cell>
          <cell r="D523">
            <v>17300</v>
          </cell>
          <cell r="F523">
            <v>0</v>
          </cell>
          <cell r="H523">
            <v>0</v>
          </cell>
          <cell r="J523">
            <v>0</v>
          </cell>
          <cell r="K523">
            <v>0</v>
          </cell>
          <cell r="L523">
            <v>0</v>
          </cell>
          <cell r="N523">
            <v>0</v>
          </cell>
          <cell r="P523">
            <v>0</v>
          </cell>
          <cell r="R523">
            <v>0</v>
          </cell>
          <cell r="T523">
            <v>0</v>
          </cell>
          <cell r="V523">
            <v>0</v>
          </cell>
          <cell r="X523">
            <v>0</v>
          </cell>
          <cell r="Z523">
            <v>0</v>
          </cell>
        </row>
        <row r="524">
          <cell r="A524">
            <v>45</v>
          </cell>
          <cell r="B524" t="str">
            <v>Sealent</v>
          </cell>
          <cell r="C524" t="str">
            <v>M'</v>
          </cell>
          <cell r="D524">
            <v>8400</v>
          </cell>
          <cell r="F524">
            <v>0</v>
          </cell>
          <cell r="H524">
            <v>0</v>
          </cell>
          <cell r="I524">
            <v>2.16</v>
          </cell>
          <cell r="J524">
            <v>18144</v>
          </cell>
          <cell r="K524">
            <v>0</v>
          </cell>
          <cell r="L524">
            <v>0</v>
          </cell>
          <cell r="M524">
            <v>10.479999999999999</v>
          </cell>
          <cell r="N524">
            <v>88031.999999999985</v>
          </cell>
          <cell r="O524">
            <v>8.8000000000000007</v>
          </cell>
          <cell r="P524">
            <v>73920</v>
          </cell>
          <cell r="Q524">
            <v>8.8000000000000007</v>
          </cell>
          <cell r="R524">
            <v>73920</v>
          </cell>
          <cell r="T524">
            <v>0</v>
          </cell>
          <cell r="V524">
            <v>0</v>
          </cell>
          <cell r="X524">
            <v>0</v>
          </cell>
          <cell r="Y524">
            <v>7.52</v>
          </cell>
          <cell r="Z524">
            <v>63168</v>
          </cell>
        </row>
        <row r="525">
          <cell r="A525">
            <v>46</v>
          </cell>
          <cell r="B525" t="str">
            <v>Benangan Kusen</v>
          </cell>
          <cell r="C525" t="str">
            <v>M'</v>
          </cell>
          <cell r="D525">
            <v>4296.0074999999997</v>
          </cell>
          <cell r="E525">
            <v>11.8</v>
          </cell>
          <cell r="F525">
            <v>50692.888500000001</v>
          </cell>
          <cell r="G525">
            <v>10.4</v>
          </cell>
          <cell r="H525">
            <v>44678.477999999996</v>
          </cell>
          <cell r="I525">
            <v>6.4</v>
          </cell>
          <cell r="J525">
            <v>27494.448</v>
          </cell>
          <cell r="K525">
            <v>5.7839999999999998</v>
          </cell>
          <cell r="L525">
            <v>24848.107379999998</v>
          </cell>
          <cell r="M525">
            <v>11.28</v>
          </cell>
          <cell r="N525">
            <v>48458.964599999992</v>
          </cell>
          <cell r="O525">
            <v>5.6</v>
          </cell>
          <cell r="P525">
            <v>24057.641999999996</v>
          </cell>
          <cell r="Q525">
            <v>5.6</v>
          </cell>
          <cell r="R525">
            <v>24057.641999999996</v>
          </cell>
          <cell r="S525">
            <v>3.2</v>
          </cell>
          <cell r="T525">
            <v>13747.224</v>
          </cell>
          <cell r="U525">
            <v>6.4</v>
          </cell>
          <cell r="V525">
            <v>27494.448</v>
          </cell>
          <cell r="W525">
            <v>9.6000000000000014</v>
          </cell>
          <cell r="X525">
            <v>41241.672000000006</v>
          </cell>
          <cell r="Y525">
            <v>7.52</v>
          </cell>
          <cell r="Z525">
            <v>32305.976399999996</v>
          </cell>
        </row>
        <row r="526">
          <cell r="A526">
            <v>47</v>
          </cell>
          <cell r="B526" t="str">
            <v xml:space="preserve">Cat Kayu </v>
          </cell>
          <cell r="C526" t="str">
            <v>M2</v>
          </cell>
          <cell r="D526">
            <v>19370.5</v>
          </cell>
          <cell r="E526">
            <v>9.0239999999999991</v>
          </cell>
          <cell r="F526">
            <v>174799.39199999999</v>
          </cell>
          <cell r="G526">
            <v>0.28559999999999997</v>
          </cell>
          <cell r="H526">
            <v>5532.2147999999997</v>
          </cell>
          <cell r="I526">
            <v>3.2</v>
          </cell>
          <cell r="J526">
            <v>61985.600000000006</v>
          </cell>
          <cell r="K526">
            <v>4.0991999999999997</v>
          </cell>
          <cell r="L526">
            <v>79403.553599999999</v>
          </cell>
          <cell r="N526">
            <v>0</v>
          </cell>
          <cell r="P526">
            <v>0</v>
          </cell>
          <cell r="R526">
            <v>0</v>
          </cell>
          <cell r="T526">
            <v>0</v>
          </cell>
          <cell r="V526">
            <v>0</v>
          </cell>
          <cell r="X526">
            <v>0</v>
          </cell>
          <cell r="Z526">
            <v>0</v>
          </cell>
        </row>
        <row r="527">
          <cell r="A527">
            <v>48</v>
          </cell>
          <cell r="B527" t="str">
            <v>Cat Besi</v>
          </cell>
          <cell r="C527" t="str">
            <v>M2</v>
          </cell>
          <cell r="D527">
            <v>13698</v>
          </cell>
          <cell r="E527">
            <v>7.2059399999999991</v>
          </cell>
          <cell r="F527">
            <v>98706.966119999983</v>
          </cell>
          <cell r="G527">
            <v>8.2644799999999989</v>
          </cell>
          <cell r="H527">
            <v>113206.84703999998</v>
          </cell>
          <cell r="J527">
            <v>0</v>
          </cell>
          <cell r="K527">
            <v>0</v>
          </cell>
          <cell r="L527">
            <v>0</v>
          </cell>
          <cell r="N527">
            <v>0</v>
          </cell>
          <cell r="P527">
            <v>0</v>
          </cell>
          <cell r="R527">
            <v>0</v>
          </cell>
          <cell r="T527">
            <v>0</v>
          </cell>
          <cell r="V527">
            <v>0</v>
          </cell>
          <cell r="X527">
            <v>0</v>
          </cell>
          <cell r="Z527">
            <v>0</v>
          </cell>
        </row>
        <row r="528">
          <cell r="A528">
            <v>49</v>
          </cell>
          <cell r="B528" t="str">
            <v>Cat Dinding</v>
          </cell>
          <cell r="C528" t="str">
            <v>M2</v>
          </cell>
          <cell r="D528">
            <v>9900</v>
          </cell>
          <cell r="F528">
            <v>0</v>
          </cell>
          <cell r="H528">
            <v>0</v>
          </cell>
          <cell r="J528">
            <v>0</v>
          </cell>
          <cell r="K528">
            <v>0</v>
          </cell>
          <cell r="L528">
            <v>0</v>
          </cell>
          <cell r="N528">
            <v>0</v>
          </cell>
          <cell r="P528">
            <v>0</v>
          </cell>
          <cell r="R528">
            <v>0</v>
          </cell>
          <cell r="S528">
            <v>0.32000000000000006</v>
          </cell>
          <cell r="T528">
            <v>3168.0000000000005</v>
          </cell>
          <cell r="U528">
            <v>0.96</v>
          </cell>
          <cell r="V528">
            <v>9504</v>
          </cell>
          <cell r="W528">
            <v>0.96000000000000019</v>
          </cell>
          <cell r="X528">
            <v>9504.0000000000018</v>
          </cell>
          <cell r="Z528">
            <v>0</v>
          </cell>
        </row>
        <row r="529">
          <cell r="A529">
            <v>50</v>
          </cell>
          <cell r="B529" t="str">
            <v>Plesteran Camprot</v>
          </cell>
          <cell r="C529" t="str">
            <v>M2</v>
          </cell>
          <cell r="D529">
            <v>14600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N529">
            <v>0</v>
          </cell>
          <cell r="P529">
            <v>0</v>
          </cell>
          <cell r="R529">
            <v>0</v>
          </cell>
          <cell r="T529">
            <v>0</v>
          </cell>
          <cell r="X529">
            <v>0</v>
          </cell>
          <cell r="Z529">
            <v>0</v>
          </cell>
        </row>
        <row r="531">
          <cell r="B531" t="str">
            <v>Jumlah Harga</v>
          </cell>
          <cell r="F531">
            <v>3739611.0586999999</v>
          </cell>
          <cell r="H531">
            <v>4721655.0178800011</v>
          </cell>
          <cell r="J531">
            <v>1172750.7280000001</v>
          </cell>
          <cell r="L531">
            <v>1690743.9109799999</v>
          </cell>
          <cell r="N531">
            <v>185582.16459999996</v>
          </cell>
          <cell r="P531">
            <v>121989.64199999999</v>
          </cell>
          <cell r="R531">
            <v>121989.64199999999</v>
          </cell>
          <cell r="T531">
            <v>38331.224000000002</v>
          </cell>
          <cell r="V531">
            <v>101246.448</v>
          </cell>
          <cell r="X531">
            <v>114993.67200000002</v>
          </cell>
          <cell r="Z531">
            <v>105078.7764</v>
          </cell>
        </row>
        <row r="535">
          <cell r="A535" t="str">
            <v>No.</v>
          </cell>
          <cell r="B535" t="str">
            <v>Item Pekerjaan</v>
          </cell>
          <cell r="C535" t="str">
            <v>Satuan</v>
          </cell>
          <cell r="D535" t="str">
            <v>Harga Satuan</v>
          </cell>
          <cell r="E535" t="str">
            <v>P1</v>
          </cell>
          <cell r="G535" t="str">
            <v>P2</v>
          </cell>
          <cell r="I535" t="str">
            <v>P3</v>
          </cell>
          <cell r="K535" t="str">
            <v>P3'</v>
          </cell>
          <cell r="M535" t="str">
            <v>J1</v>
          </cell>
          <cell r="O535" t="str">
            <v>J2</v>
          </cell>
          <cell r="Q535" t="str">
            <v>J3</v>
          </cell>
          <cell r="S535" t="str">
            <v>J4</v>
          </cell>
          <cell r="U535" t="str">
            <v>R1</v>
          </cell>
          <cell r="W535" t="str">
            <v>R3</v>
          </cell>
          <cell r="Y535" t="str">
            <v>J1</v>
          </cell>
          <cell r="AA535" t="str">
            <v>BV1</v>
          </cell>
        </row>
        <row r="536">
          <cell r="D536" t="str">
            <v>Rp.</v>
          </cell>
          <cell r="E536" t="str">
            <v>Vol.</v>
          </cell>
          <cell r="F536" t="str">
            <v>Jumlah Harga</v>
          </cell>
          <cell r="G536" t="str">
            <v>Vol.</v>
          </cell>
          <cell r="H536" t="str">
            <v>Jumlah Harga</v>
          </cell>
          <cell r="I536" t="str">
            <v>Vol.</v>
          </cell>
          <cell r="J536" t="str">
            <v>Jumlah Harga</v>
          </cell>
          <cell r="K536" t="str">
            <v>Vol.</v>
          </cell>
          <cell r="L536" t="str">
            <v>Jumlah Harga</v>
          </cell>
          <cell r="M536" t="str">
            <v>Vol.</v>
          </cell>
          <cell r="N536" t="str">
            <v>Jumlah Harga</v>
          </cell>
          <cell r="O536" t="str">
            <v>Vol.</v>
          </cell>
          <cell r="P536" t="str">
            <v>Jumlah Harga</v>
          </cell>
          <cell r="Q536" t="str">
            <v>Vol.</v>
          </cell>
          <cell r="R536" t="str">
            <v>Jumlah Harga</v>
          </cell>
          <cell r="S536" t="str">
            <v>Vol.</v>
          </cell>
          <cell r="T536" t="str">
            <v>Jumlah Harga</v>
          </cell>
          <cell r="U536" t="str">
            <v>Vol.</v>
          </cell>
          <cell r="V536" t="str">
            <v>Jumlah Harga</v>
          </cell>
          <cell r="W536" t="str">
            <v>Vol.</v>
          </cell>
          <cell r="X536" t="str">
            <v>Jumlah Harga</v>
          </cell>
          <cell r="Y536" t="str">
            <v>Vol.</v>
          </cell>
          <cell r="Z536" t="str">
            <v>Jumlah Harga</v>
          </cell>
          <cell r="AA536" t="str">
            <v>Vol.</v>
          </cell>
          <cell r="AB536" t="str">
            <v>Jumlah Harga</v>
          </cell>
        </row>
        <row r="537">
          <cell r="A537" t="str">
            <v>VIII.</v>
          </cell>
          <cell r="B537" t="str">
            <v>UNIT PERUMAHAN</v>
          </cell>
        </row>
        <row r="539">
          <cell r="A539">
            <v>1</v>
          </cell>
          <cell r="B539" t="str">
            <v>Kayu 6/12</v>
          </cell>
          <cell r="C539" t="str">
            <v>M3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N539">
            <v>0</v>
          </cell>
          <cell r="P539">
            <v>0</v>
          </cell>
          <cell r="R539">
            <v>0</v>
          </cell>
          <cell r="T539">
            <v>0</v>
          </cell>
          <cell r="V539">
            <v>0</v>
          </cell>
          <cell r="X539">
            <v>0</v>
          </cell>
          <cell r="Z539">
            <v>0</v>
          </cell>
          <cell r="AB539">
            <v>0</v>
          </cell>
        </row>
        <row r="540">
          <cell r="A540">
            <v>2</v>
          </cell>
          <cell r="B540" t="str">
            <v>Kayu Slimar 3/10</v>
          </cell>
          <cell r="C540" t="str">
            <v>M3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N540">
            <v>0</v>
          </cell>
          <cell r="P540">
            <v>0</v>
          </cell>
          <cell r="R540">
            <v>0</v>
          </cell>
          <cell r="T540">
            <v>0</v>
          </cell>
          <cell r="V540">
            <v>0</v>
          </cell>
          <cell r="X540">
            <v>0</v>
          </cell>
          <cell r="Z540">
            <v>0</v>
          </cell>
          <cell r="AB540">
            <v>0</v>
          </cell>
        </row>
        <row r="541">
          <cell r="A541">
            <v>3</v>
          </cell>
          <cell r="B541" t="str">
            <v>Kayu Slimar 3/15</v>
          </cell>
          <cell r="C541" t="str">
            <v>M3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N541">
            <v>0</v>
          </cell>
          <cell r="P541">
            <v>0</v>
          </cell>
          <cell r="R541">
            <v>0</v>
          </cell>
          <cell r="T541">
            <v>0</v>
          </cell>
          <cell r="V541">
            <v>0</v>
          </cell>
          <cell r="X541">
            <v>0</v>
          </cell>
          <cell r="Z541">
            <v>0</v>
          </cell>
          <cell r="AB541">
            <v>0</v>
          </cell>
        </row>
        <row r="542">
          <cell r="A542">
            <v>4</v>
          </cell>
          <cell r="B542" t="str">
            <v>Kayu Slimar 3/20</v>
          </cell>
          <cell r="C542" t="str">
            <v>M3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P542">
            <v>0</v>
          </cell>
          <cell r="R542">
            <v>0</v>
          </cell>
          <cell r="T542">
            <v>0</v>
          </cell>
          <cell r="V542">
            <v>0</v>
          </cell>
          <cell r="X542">
            <v>0</v>
          </cell>
          <cell r="Z542">
            <v>0</v>
          </cell>
          <cell r="AB542">
            <v>0</v>
          </cell>
        </row>
        <row r="543">
          <cell r="A543">
            <v>5</v>
          </cell>
          <cell r="B543" t="str">
            <v>Kayu 2/10</v>
          </cell>
          <cell r="C543" t="str">
            <v>M3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6.8</v>
          </cell>
          <cell r="N543">
            <v>0</v>
          </cell>
          <cell r="O543">
            <v>4.5600000000000005</v>
          </cell>
          <cell r="P543">
            <v>0</v>
          </cell>
          <cell r="Q543">
            <v>3.5199999999999996</v>
          </cell>
          <cell r="R543">
            <v>0</v>
          </cell>
          <cell r="S543">
            <v>5.0999999999999996</v>
          </cell>
          <cell r="T543">
            <v>0</v>
          </cell>
          <cell r="U543">
            <v>2</v>
          </cell>
          <cell r="V543">
            <v>0</v>
          </cell>
          <cell r="X543">
            <v>0</v>
          </cell>
          <cell r="Y543">
            <v>3.76</v>
          </cell>
          <cell r="Z543">
            <v>0</v>
          </cell>
          <cell r="AA543">
            <v>1.6</v>
          </cell>
          <cell r="AB543">
            <v>0</v>
          </cell>
        </row>
        <row r="544">
          <cell r="A544">
            <v>6</v>
          </cell>
          <cell r="B544" t="str">
            <v>Panil t = 3 cm</v>
          </cell>
          <cell r="C544" t="str">
            <v>M2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L544">
            <v>0</v>
          </cell>
          <cell r="N544">
            <v>0</v>
          </cell>
          <cell r="P544">
            <v>0</v>
          </cell>
          <cell r="R544">
            <v>0</v>
          </cell>
          <cell r="T544">
            <v>0</v>
          </cell>
          <cell r="V544">
            <v>0</v>
          </cell>
          <cell r="X544">
            <v>0</v>
          </cell>
          <cell r="Z544">
            <v>0</v>
          </cell>
          <cell r="AB544">
            <v>0</v>
          </cell>
        </row>
        <row r="545">
          <cell r="A545">
            <v>1</v>
          </cell>
          <cell r="B545" t="str">
            <v>Kusen Aluminium 5/10</v>
          </cell>
          <cell r="C545" t="str">
            <v>M'</v>
          </cell>
          <cell r="D545">
            <v>124948</v>
          </cell>
          <cell r="E545">
            <v>6.1999999999999993</v>
          </cell>
          <cell r="F545">
            <v>774677.59999999986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L545">
            <v>0</v>
          </cell>
          <cell r="N545">
            <v>0</v>
          </cell>
          <cell r="P545">
            <v>0</v>
          </cell>
          <cell r="R545">
            <v>0</v>
          </cell>
          <cell r="T545">
            <v>0</v>
          </cell>
          <cell r="V545">
            <v>0</v>
          </cell>
          <cell r="X545">
            <v>0</v>
          </cell>
          <cell r="Z545">
            <v>0</v>
          </cell>
          <cell r="AB545">
            <v>0</v>
          </cell>
        </row>
        <row r="546">
          <cell r="A546">
            <v>2</v>
          </cell>
          <cell r="B546" t="str">
            <v xml:space="preserve">Rangka Daun Jendela Alumunium </v>
          </cell>
          <cell r="C546" t="str">
            <v>M'</v>
          </cell>
          <cell r="D546">
            <v>124948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4.16</v>
          </cell>
          <cell r="N546">
            <v>519783.67999999999</v>
          </cell>
          <cell r="O546">
            <v>4</v>
          </cell>
          <cell r="P546">
            <v>499792</v>
          </cell>
          <cell r="Q546">
            <v>3.12</v>
          </cell>
          <cell r="R546">
            <v>389837.76</v>
          </cell>
          <cell r="T546">
            <v>0</v>
          </cell>
          <cell r="V546">
            <v>0</v>
          </cell>
          <cell r="X546">
            <v>0</v>
          </cell>
          <cell r="Z546">
            <v>0</v>
          </cell>
          <cell r="AB546">
            <v>0</v>
          </cell>
        </row>
        <row r="547">
          <cell r="A547">
            <v>3</v>
          </cell>
          <cell r="B547" t="str">
            <v>Rangka Tiang Sirip Alumunium 1/1 Putih</v>
          </cell>
          <cell r="C547" t="str">
            <v>M'</v>
          </cell>
          <cell r="D547">
            <v>62474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L547">
            <v>0</v>
          </cell>
          <cell r="N547">
            <v>0</v>
          </cell>
          <cell r="P547">
            <v>0</v>
          </cell>
          <cell r="R547">
            <v>0</v>
          </cell>
          <cell r="T547">
            <v>0</v>
          </cell>
          <cell r="V547">
            <v>0</v>
          </cell>
          <cell r="X547">
            <v>0</v>
          </cell>
          <cell r="Z547">
            <v>0</v>
          </cell>
          <cell r="AB547">
            <v>0</v>
          </cell>
        </row>
        <row r="548">
          <cell r="A548">
            <v>4</v>
          </cell>
          <cell r="B548" t="str">
            <v>Pasang Shading Sirip Alumunium 0.2/10 +Rangka</v>
          </cell>
          <cell r="C548" t="str">
            <v>M2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N548">
            <v>0</v>
          </cell>
          <cell r="P548">
            <v>0</v>
          </cell>
          <cell r="R548">
            <v>0</v>
          </cell>
          <cell r="T548">
            <v>0</v>
          </cell>
          <cell r="V548">
            <v>0</v>
          </cell>
          <cell r="X548">
            <v>0</v>
          </cell>
          <cell r="Z548">
            <v>0</v>
          </cell>
          <cell r="AB548">
            <v>0</v>
          </cell>
        </row>
        <row r="549">
          <cell r="A549">
            <v>5</v>
          </cell>
          <cell r="B549" t="str">
            <v>Daun Pintu Panil Kamper</v>
          </cell>
          <cell r="C549" t="str">
            <v>bh</v>
          </cell>
          <cell r="D549">
            <v>550000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N549">
            <v>0</v>
          </cell>
          <cell r="P549">
            <v>0</v>
          </cell>
          <cell r="R549">
            <v>0</v>
          </cell>
          <cell r="T549">
            <v>0</v>
          </cell>
          <cell r="V549">
            <v>0</v>
          </cell>
          <cell r="X549">
            <v>0</v>
          </cell>
          <cell r="Z549">
            <v>0</v>
          </cell>
          <cell r="AB549">
            <v>0</v>
          </cell>
        </row>
        <row r="550">
          <cell r="A550">
            <v>6</v>
          </cell>
          <cell r="B550" t="str">
            <v>Plat besi t = 2 mm</v>
          </cell>
          <cell r="C550" t="str">
            <v>Kg</v>
          </cell>
          <cell r="D550">
            <v>0</v>
          </cell>
          <cell r="E550">
            <v>0</v>
          </cell>
          <cell r="F550">
            <v>0</v>
          </cell>
          <cell r="G550">
            <v>57.085200000000007</v>
          </cell>
          <cell r="H550">
            <v>0</v>
          </cell>
          <cell r="I550">
            <v>57.085200000000007</v>
          </cell>
          <cell r="J550">
            <v>0</v>
          </cell>
          <cell r="L550">
            <v>0</v>
          </cell>
          <cell r="N550">
            <v>0</v>
          </cell>
          <cell r="P550">
            <v>0</v>
          </cell>
          <cell r="R550">
            <v>0</v>
          </cell>
          <cell r="T550">
            <v>0</v>
          </cell>
          <cell r="V550">
            <v>0</v>
          </cell>
          <cell r="X550">
            <v>0</v>
          </cell>
          <cell r="Z550">
            <v>0</v>
          </cell>
          <cell r="AB550">
            <v>0</v>
          </cell>
        </row>
        <row r="551">
          <cell r="A551">
            <v>7</v>
          </cell>
          <cell r="B551" t="str">
            <v>C 40.40.2  (pesan khusus)</v>
          </cell>
          <cell r="C551" t="str">
            <v>Kg</v>
          </cell>
          <cell r="D551">
            <v>14122.3</v>
          </cell>
          <cell r="E551">
            <v>0</v>
          </cell>
          <cell r="F551">
            <v>0</v>
          </cell>
          <cell r="G551">
            <v>42.56</v>
          </cell>
          <cell r="H551">
            <v>601045.08799999999</v>
          </cell>
          <cell r="I551">
            <v>42.56</v>
          </cell>
          <cell r="J551">
            <v>601045.08799999999</v>
          </cell>
          <cell r="L551">
            <v>0</v>
          </cell>
          <cell r="N551">
            <v>0</v>
          </cell>
          <cell r="P551">
            <v>0</v>
          </cell>
          <cell r="R551">
            <v>0</v>
          </cell>
          <cell r="T551">
            <v>0</v>
          </cell>
          <cell r="V551">
            <v>0</v>
          </cell>
          <cell r="X551">
            <v>0</v>
          </cell>
          <cell r="Z551">
            <v>0</v>
          </cell>
          <cell r="AB551">
            <v>0</v>
          </cell>
        </row>
        <row r="552">
          <cell r="A552">
            <v>8</v>
          </cell>
          <cell r="B552" t="str">
            <v>Handle besi dia 16 mm</v>
          </cell>
          <cell r="C552" t="str">
            <v>Set</v>
          </cell>
          <cell r="D552">
            <v>129652.5</v>
          </cell>
          <cell r="E552">
            <v>0</v>
          </cell>
          <cell r="F552">
            <v>0</v>
          </cell>
          <cell r="G552">
            <v>1</v>
          </cell>
          <cell r="H552">
            <v>129652.5</v>
          </cell>
          <cell r="I552">
            <v>1</v>
          </cell>
          <cell r="J552">
            <v>129652.5</v>
          </cell>
          <cell r="L552">
            <v>0</v>
          </cell>
          <cell r="N552">
            <v>0</v>
          </cell>
          <cell r="P552">
            <v>0</v>
          </cell>
          <cell r="R552">
            <v>0</v>
          </cell>
          <cell r="T552">
            <v>0</v>
          </cell>
          <cell r="V552">
            <v>0</v>
          </cell>
          <cell r="X552">
            <v>0</v>
          </cell>
          <cell r="Z552">
            <v>0</v>
          </cell>
          <cell r="AB552">
            <v>0</v>
          </cell>
        </row>
        <row r="553">
          <cell r="A553">
            <v>9</v>
          </cell>
          <cell r="B553" t="str">
            <v>Hendle pintu Stainless</v>
          </cell>
          <cell r="C553" t="str">
            <v>Set</v>
          </cell>
          <cell r="D553">
            <v>261652.5</v>
          </cell>
          <cell r="E553">
            <v>2</v>
          </cell>
          <cell r="F553">
            <v>523305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N553">
            <v>0</v>
          </cell>
          <cell r="P553">
            <v>0</v>
          </cell>
          <cell r="R553">
            <v>0</v>
          </cell>
          <cell r="T553">
            <v>0</v>
          </cell>
          <cell r="V553">
            <v>0</v>
          </cell>
          <cell r="X553">
            <v>0</v>
          </cell>
          <cell r="Z553">
            <v>0</v>
          </cell>
          <cell r="AB553">
            <v>0</v>
          </cell>
        </row>
        <row r="554">
          <cell r="A554">
            <v>10</v>
          </cell>
          <cell r="B554" t="str">
            <v>Kunci Pintu Handle stainleess (dorma)</v>
          </cell>
          <cell r="C554" t="str">
            <v>Set</v>
          </cell>
          <cell r="D554">
            <v>650000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N554">
            <v>0</v>
          </cell>
          <cell r="P554">
            <v>0</v>
          </cell>
          <cell r="R554">
            <v>0</v>
          </cell>
          <cell r="T554">
            <v>0</v>
          </cell>
          <cell r="V554">
            <v>0</v>
          </cell>
          <cell r="X554">
            <v>0</v>
          </cell>
          <cell r="Z554">
            <v>0</v>
          </cell>
          <cell r="AB554">
            <v>0</v>
          </cell>
        </row>
        <row r="555">
          <cell r="A555">
            <v>11</v>
          </cell>
          <cell r="B555" t="str">
            <v>Kunci tanam Antik</v>
          </cell>
          <cell r="C555" t="str">
            <v>Set</v>
          </cell>
          <cell r="D555">
            <v>265000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N555">
            <v>0</v>
          </cell>
          <cell r="P555">
            <v>0</v>
          </cell>
          <cell r="R555">
            <v>0</v>
          </cell>
          <cell r="T555">
            <v>0</v>
          </cell>
          <cell r="V555">
            <v>0</v>
          </cell>
          <cell r="X555">
            <v>0</v>
          </cell>
          <cell r="Z555">
            <v>0</v>
          </cell>
          <cell r="AB555">
            <v>0</v>
          </cell>
        </row>
        <row r="556">
          <cell r="A556">
            <v>12</v>
          </cell>
          <cell r="B556" t="str">
            <v>Kunci tanam biasa</v>
          </cell>
          <cell r="C556" t="str">
            <v>Set</v>
          </cell>
          <cell r="D556">
            <v>168565</v>
          </cell>
          <cell r="E556">
            <v>0</v>
          </cell>
          <cell r="F556">
            <v>0</v>
          </cell>
          <cell r="G556">
            <v>1</v>
          </cell>
          <cell r="H556">
            <v>168565</v>
          </cell>
          <cell r="I556">
            <v>1</v>
          </cell>
          <cell r="J556">
            <v>168565</v>
          </cell>
          <cell r="K556">
            <v>1</v>
          </cell>
          <cell r="L556">
            <v>168565</v>
          </cell>
          <cell r="N556">
            <v>0</v>
          </cell>
          <cell r="P556">
            <v>0</v>
          </cell>
          <cell r="R556">
            <v>0</v>
          </cell>
          <cell r="T556">
            <v>0</v>
          </cell>
          <cell r="V556">
            <v>0</v>
          </cell>
          <cell r="X556">
            <v>0</v>
          </cell>
          <cell r="Z556">
            <v>0</v>
          </cell>
          <cell r="AB556">
            <v>0</v>
          </cell>
        </row>
        <row r="557">
          <cell r="A557">
            <v>13</v>
          </cell>
          <cell r="B557" t="str">
            <v>Kunci Silinder</v>
          </cell>
          <cell r="C557" t="str">
            <v>Set</v>
          </cell>
          <cell r="D557">
            <v>217900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N557">
            <v>0</v>
          </cell>
          <cell r="P557">
            <v>0</v>
          </cell>
          <cell r="R557">
            <v>0</v>
          </cell>
          <cell r="T557">
            <v>0</v>
          </cell>
          <cell r="V557">
            <v>0</v>
          </cell>
          <cell r="X557">
            <v>0</v>
          </cell>
          <cell r="Z557">
            <v>0</v>
          </cell>
          <cell r="AB557">
            <v>0</v>
          </cell>
        </row>
        <row r="558">
          <cell r="A558">
            <v>14</v>
          </cell>
          <cell r="B558" t="str">
            <v>Kunci Selot</v>
          </cell>
          <cell r="C558" t="str">
            <v>Set</v>
          </cell>
          <cell r="D558">
            <v>48300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N558">
            <v>0</v>
          </cell>
          <cell r="P558">
            <v>0</v>
          </cell>
          <cell r="R558">
            <v>0</v>
          </cell>
          <cell r="T558">
            <v>0</v>
          </cell>
          <cell r="V558">
            <v>0</v>
          </cell>
          <cell r="X558">
            <v>0</v>
          </cell>
          <cell r="Z558">
            <v>0</v>
          </cell>
          <cell r="AB558">
            <v>0</v>
          </cell>
        </row>
        <row r="559">
          <cell r="A559">
            <v>15</v>
          </cell>
          <cell r="B559" t="str">
            <v>Engsel jendela</v>
          </cell>
          <cell r="C559" t="str">
            <v>Bh</v>
          </cell>
          <cell r="D559">
            <v>16600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4</v>
          </cell>
          <cell r="N559">
            <v>66400</v>
          </cell>
          <cell r="O559">
            <v>2</v>
          </cell>
          <cell r="P559">
            <v>33200</v>
          </cell>
          <cell r="Q559">
            <v>2</v>
          </cell>
          <cell r="R559">
            <v>33200</v>
          </cell>
          <cell r="T559">
            <v>0</v>
          </cell>
          <cell r="V559">
            <v>0</v>
          </cell>
          <cell r="X559">
            <v>0</v>
          </cell>
          <cell r="Z559">
            <v>0</v>
          </cell>
          <cell r="AB559">
            <v>0</v>
          </cell>
        </row>
        <row r="560">
          <cell r="A560">
            <v>16</v>
          </cell>
          <cell r="B560" t="str">
            <v>Engsel pintu</v>
          </cell>
          <cell r="C560" t="str">
            <v>Bh</v>
          </cell>
          <cell r="D560">
            <v>44395.75</v>
          </cell>
          <cell r="E560">
            <v>4</v>
          </cell>
          <cell r="F560">
            <v>177583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P560">
            <v>0</v>
          </cell>
          <cell r="R560">
            <v>0</v>
          </cell>
          <cell r="T560">
            <v>0</v>
          </cell>
          <cell r="V560">
            <v>0</v>
          </cell>
          <cell r="X560">
            <v>0</v>
          </cell>
          <cell r="Z560">
            <v>0</v>
          </cell>
          <cell r="AB560">
            <v>0</v>
          </cell>
        </row>
        <row r="561">
          <cell r="A561">
            <v>17</v>
          </cell>
          <cell r="B561" t="str">
            <v>Engsel Pintu dari pipa besi dia 2 cm</v>
          </cell>
          <cell r="C561" t="str">
            <v>Bh</v>
          </cell>
          <cell r="D561">
            <v>66593.625</v>
          </cell>
          <cell r="E561">
            <v>0</v>
          </cell>
          <cell r="F561">
            <v>0</v>
          </cell>
          <cell r="G561">
            <v>2</v>
          </cell>
          <cell r="H561">
            <v>133187.25</v>
          </cell>
          <cell r="I561">
            <v>2</v>
          </cell>
          <cell r="J561">
            <v>133187.25</v>
          </cell>
          <cell r="L561">
            <v>0</v>
          </cell>
          <cell r="N561">
            <v>0</v>
          </cell>
          <cell r="P561">
            <v>0</v>
          </cell>
          <cell r="R561">
            <v>0</v>
          </cell>
          <cell r="T561">
            <v>0</v>
          </cell>
          <cell r="V561">
            <v>0</v>
          </cell>
          <cell r="X561">
            <v>0</v>
          </cell>
          <cell r="Z561">
            <v>0</v>
          </cell>
          <cell r="AB561">
            <v>0</v>
          </cell>
        </row>
        <row r="562">
          <cell r="A562">
            <v>18</v>
          </cell>
          <cell r="B562" t="str">
            <v>Kait/hak angin</v>
          </cell>
          <cell r="C562" t="str">
            <v>Set</v>
          </cell>
          <cell r="D562">
            <v>27000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2</v>
          </cell>
          <cell r="N562">
            <v>54000</v>
          </cell>
          <cell r="O562">
            <v>2</v>
          </cell>
          <cell r="P562">
            <v>54000</v>
          </cell>
          <cell r="Q562">
            <v>2</v>
          </cell>
          <cell r="R562">
            <v>54000</v>
          </cell>
          <cell r="T562">
            <v>0</v>
          </cell>
          <cell r="V562">
            <v>0</v>
          </cell>
          <cell r="X562">
            <v>0</v>
          </cell>
          <cell r="Z562">
            <v>0</v>
          </cell>
          <cell r="AB562">
            <v>0</v>
          </cell>
        </row>
        <row r="563">
          <cell r="A563">
            <v>19</v>
          </cell>
          <cell r="B563" t="str">
            <v>Grendel pintu kuningan</v>
          </cell>
          <cell r="C563" t="str">
            <v>Bh</v>
          </cell>
          <cell r="D563">
            <v>125000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  <cell r="N563">
            <v>0</v>
          </cell>
          <cell r="P563">
            <v>0</v>
          </cell>
          <cell r="R563">
            <v>0</v>
          </cell>
          <cell r="T563">
            <v>0</v>
          </cell>
          <cell r="V563">
            <v>0</v>
          </cell>
          <cell r="X563">
            <v>0</v>
          </cell>
          <cell r="Z563">
            <v>0</v>
          </cell>
          <cell r="AB563">
            <v>0</v>
          </cell>
        </row>
        <row r="564">
          <cell r="A564">
            <v>20</v>
          </cell>
          <cell r="B564" t="str">
            <v xml:space="preserve">Grendel jendela </v>
          </cell>
          <cell r="C564" t="str">
            <v>Bh</v>
          </cell>
          <cell r="D564">
            <v>8100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1</v>
          </cell>
          <cell r="N564">
            <v>8100</v>
          </cell>
          <cell r="O564">
            <v>1</v>
          </cell>
          <cell r="P564">
            <v>8100</v>
          </cell>
          <cell r="Q564">
            <v>1</v>
          </cell>
          <cell r="R564">
            <v>8100</v>
          </cell>
          <cell r="T564">
            <v>0</v>
          </cell>
          <cell r="V564">
            <v>0</v>
          </cell>
          <cell r="X564">
            <v>0</v>
          </cell>
          <cell r="Z564">
            <v>0</v>
          </cell>
          <cell r="AB564">
            <v>0</v>
          </cell>
        </row>
        <row r="565">
          <cell r="A565">
            <v>21</v>
          </cell>
          <cell r="B565" t="str">
            <v>Grendel pintu</v>
          </cell>
          <cell r="C565" t="str">
            <v>Bh</v>
          </cell>
          <cell r="D565">
            <v>14200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P565">
            <v>0</v>
          </cell>
          <cell r="R565">
            <v>0</v>
          </cell>
          <cell r="T565">
            <v>0</v>
          </cell>
          <cell r="V565">
            <v>0</v>
          </cell>
          <cell r="X565">
            <v>0</v>
          </cell>
          <cell r="Z565">
            <v>0</v>
          </cell>
          <cell r="AB565">
            <v>0</v>
          </cell>
        </row>
        <row r="566">
          <cell r="A566">
            <v>22</v>
          </cell>
          <cell r="B566" t="str">
            <v>Stripting Knip</v>
          </cell>
          <cell r="C566" t="str">
            <v>Set</v>
          </cell>
          <cell r="D566">
            <v>13700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N566">
            <v>0</v>
          </cell>
          <cell r="P566">
            <v>0</v>
          </cell>
          <cell r="R566">
            <v>0</v>
          </cell>
          <cell r="T566">
            <v>0</v>
          </cell>
          <cell r="V566">
            <v>0</v>
          </cell>
          <cell r="X566">
            <v>0</v>
          </cell>
          <cell r="Z566">
            <v>0</v>
          </cell>
          <cell r="AB566">
            <v>0</v>
          </cell>
        </row>
        <row r="567">
          <cell r="A567">
            <v>23</v>
          </cell>
          <cell r="B567" t="str">
            <v>Door Closer</v>
          </cell>
          <cell r="C567" t="str">
            <v>Set</v>
          </cell>
          <cell r="D567">
            <v>260800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P567">
            <v>0</v>
          </cell>
          <cell r="R567">
            <v>0</v>
          </cell>
          <cell r="T567">
            <v>0</v>
          </cell>
          <cell r="V567">
            <v>0</v>
          </cell>
          <cell r="X567">
            <v>0</v>
          </cell>
          <cell r="Z567">
            <v>0</v>
          </cell>
          <cell r="AB567">
            <v>0</v>
          </cell>
        </row>
        <row r="568">
          <cell r="A568">
            <v>24</v>
          </cell>
          <cell r="B568" t="str">
            <v>Door Holder</v>
          </cell>
          <cell r="C568" t="str">
            <v>Set</v>
          </cell>
          <cell r="D568">
            <v>500000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N568">
            <v>0</v>
          </cell>
          <cell r="P568">
            <v>0</v>
          </cell>
          <cell r="R568">
            <v>0</v>
          </cell>
          <cell r="T568">
            <v>0</v>
          </cell>
          <cell r="V568">
            <v>0</v>
          </cell>
          <cell r="X568">
            <v>0</v>
          </cell>
          <cell r="Z568">
            <v>0</v>
          </cell>
          <cell r="AB568">
            <v>0</v>
          </cell>
        </row>
        <row r="569">
          <cell r="A569">
            <v>25</v>
          </cell>
          <cell r="B569" t="str">
            <v>Door Stop</v>
          </cell>
          <cell r="C569" t="str">
            <v>Set</v>
          </cell>
          <cell r="D569">
            <v>32100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N569">
            <v>0</v>
          </cell>
          <cell r="P569">
            <v>0</v>
          </cell>
          <cell r="R569">
            <v>0</v>
          </cell>
          <cell r="T569">
            <v>0</v>
          </cell>
          <cell r="V569">
            <v>0</v>
          </cell>
          <cell r="X569">
            <v>0</v>
          </cell>
          <cell r="Z569">
            <v>0</v>
          </cell>
          <cell r="AB569">
            <v>0</v>
          </cell>
        </row>
        <row r="570">
          <cell r="A570">
            <v>26</v>
          </cell>
          <cell r="B570" t="str">
            <v>Kaca bening 5 mm</v>
          </cell>
          <cell r="C570" t="str">
            <v>M2</v>
          </cell>
          <cell r="D570">
            <v>66700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T570">
            <v>0</v>
          </cell>
          <cell r="V570">
            <v>0</v>
          </cell>
          <cell r="X570">
            <v>0</v>
          </cell>
          <cell r="Y570">
            <v>0.14400000000000002</v>
          </cell>
          <cell r="Z570">
            <v>9604.8000000000011</v>
          </cell>
          <cell r="AA570">
            <v>0.14400000000000002</v>
          </cell>
          <cell r="AB570">
            <v>0</v>
          </cell>
        </row>
        <row r="571">
          <cell r="A571">
            <v>27</v>
          </cell>
          <cell r="B571" t="str">
            <v>Kaca bening 10 mm</v>
          </cell>
          <cell r="C571" t="str">
            <v>M2</v>
          </cell>
          <cell r="D571">
            <v>280895.75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1.2854999999999999</v>
          </cell>
          <cell r="N571">
            <v>361091.48662499996</v>
          </cell>
          <cell r="O571">
            <v>0.58050000000000002</v>
          </cell>
          <cell r="P571">
            <v>163059.98287500002</v>
          </cell>
          <cell r="Q571">
            <v>0.31850000000000001</v>
          </cell>
          <cell r="R571">
            <v>89465.296375000005</v>
          </cell>
          <cell r="S571">
            <v>0.63549999999999995</v>
          </cell>
          <cell r="T571">
            <v>178509.24912499997</v>
          </cell>
          <cell r="V571">
            <v>0</v>
          </cell>
          <cell r="X571">
            <v>0</v>
          </cell>
          <cell r="Z571">
            <v>0</v>
          </cell>
          <cell r="AB571">
            <v>0</v>
          </cell>
        </row>
        <row r="572">
          <cell r="A572">
            <v>28</v>
          </cell>
          <cell r="B572" t="str">
            <v>Kaca Bening 12 mm</v>
          </cell>
          <cell r="C572" t="str">
            <v>M2</v>
          </cell>
          <cell r="D572">
            <v>403787.64062499994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N572">
            <v>0</v>
          </cell>
          <cell r="P572">
            <v>0</v>
          </cell>
          <cell r="R572">
            <v>0</v>
          </cell>
          <cell r="T572">
            <v>0</v>
          </cell>
          <cell r="V572">
            <v>0</v>
          </cell>
          <cell r="X572">
            <v>0</v>
          </cell>
          <cell r="Z572">
            <v>0</v>
          </cell>
          <cell r="AB572">
            <v>0</v>
          </cell>
        </row>
        <row r="573">
          <cell r="A573">
            <v>29</v>
          </cell>
          <cell r="B573" t="str">
            <v>Besi hollow 4/4</v>
          </cell>
          <cell r="C573" t="str">
            <v>M'</v>
          </cell>
          <cell r="D573">
            <v>48625.000000000051</v>
          </cell>
          <cell r="E573">
            <v>0</v>
          </cell>
          <cell r="F573">
            <v>0</v>
          </cell>
          <cell r="G573">
            <v>5.09</v>
          </cell>
          <cell r="H573">
            <v>247501.25000000026</v>
          </cell>
          <cell r="I573">
            <v>5.09</v>
          </cell>
          <cell r="J573">
            <v>247501.25000000026</v>
          </cell>
          <cell r="L573">
            <v>0</v>
          </cell>
          <cell r="N573">
            <v>0</v>
          </cell>
          <cell r="P573">
            <v>0</v>
          </cell>
          <cell r="R573">
            <v>0</v>
          </cell>
          <cell r="T573">
            <v>0</v>
          </cell>
          <cell r="V573">
            <v>0</v>
          </cell>
          <cell r="X573">
            <v>0</v>
          </cell>
          <cell r="Z573">
            <v>0</v>
          </cell>
          <cell r="AB573">
            <v>0</v>
          </cell>
        </row>
        <row r="574">
          <cell r="A574">
            <v>30</v>
          </cell>
          <cell r="B574" t="str">
            <v>Besi hollow 6/6</v>
          </cell>
          <cell r="C574" t="str">
            <v>M'</v>
          </cell>
          <cell r="D574">
            <v>74462.500000000058</v>
          </cell>
          <cell r="E574">
            <v>0</v>
          </cell>
          <cell r="F574">
            <v>0</v>
          </cell>
          <cell r="G574">
            <v>5.09</v>
          </cell>
          <cell r="H574">
            <v>379014.12500000029</v>
          </cell>
          <cell r="I574">
            <v>5.09</v>
          </cell>
          <cell r="J574">
            <v>379014.12500000029</v>
          </cell>
          <cell r="L574">
            <v>0</v>
          </cell>
          <cell r="N574">
            <v>0</v>
          </cell>
          <cell r="P574">
            <v>0</v>
          </cell>
          <cell r="R574">
            <v>0</v>
          </cell>
          <cell r="T574">
            <v>0</v>
          </cell>
          <cell r="V574">
            <v>0</v>
          </cell>
          <cell r="X574">
            <v>0</v>
          </cell>
          <cell r="Z574">
            <v>0</v>
          </cell>
          <cell r="AB574">
            <v>0</v>
          </cell>
        </row>
        <row r="575">
          <cell r="A575">
            <v>31</v>
          </cell>
          <cell r="B575" t="str">
            <v>Besi hollow 2.5/5</v>
          </cell>
          <cell r="C575" t="str">
            <v>Kg</v>
          </cell>
          <cell r="D575">
            <v>74462.500000000058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L575">
            <v>0</v>
          </cell>
          <cell r="N575">
            <v>0</v>
          </cell>
          <cell r="P575">
            <v>0</v>
          </cell>
          <cell r="R575">
            <v>0</v>
          </cell>
          <cell r="T575">
            <v>0</v>
          </cell>
          <cell r="V575">
            <v>0</v>
          </cell>
          <cell r="X575">
            <v>0</v>
          </cell>
          <cell r="Z575">
            <v>0</v>
          </cell>
          <cell r="AB575">
            <v>0</v>
          </cell>
        </row>
        <row r="576">
          <cell r="A576">
            <v>32</v>
          </cell>
          <cell r="B576" t="str">
            <v>Besi hollow 5/5</v>
          </cell>
          <cell r="C576" t="str">
            <v>Kg</v>
          </cell>
          <cell r="D576">
            <v>74462.500000000058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L576">
            <v>0</v>
          </cell>
          <cell r="N576">
            <v>0</v>
          </cell>
          <cell r="P576">
            <v>0</v>
          </cell>
          <cell r="R576">
            <v>0</v>
          </cell>
          <cell r="T576">
            <v>0</v>
          </cell>
          <cell r="V576">
            <v>0</v>
          </cell>
          <cell r="X576">
            <v>0</v>
          </cell>
          <cell r="Z576">
            <v>0</v>
          </cell>
          <cell r="AB576">
            <v>0</v>
          </cell>
        </row>
        <row r="577">
          <cell r="A577">
            <v>33</v>
          </cell>
          <cell r="B577" t="str">
            <v>Besi hollow 2/2</v>
          </cell>
          <cell r="C577" t="str">
            <v>Kg</v>
          </cell>
          <cell r="D577">
            <v>74462.500000000058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L577">
            <v>0</v>
          </cell>
          <cell r="N577">
            <v>0</v>
          </cell>
          <cell r="P577">
            <v>0</v>
          </cell>
          <cell r="R577">
            <v>0</v>
          </cell>
          <cell r="T577">
            <v>0</v>
          </cell>
          <cell r="V577">
            <v>0</v>
          </cell>
          <cell r="X577">
            <v>0</v>
          </cell>
          <cell r="Z577">
            <v>0</v>
          </cell>
          <cell r="AB577">
            <v>0</v>
          </cell>
        </row>
        <row r="578">
          <cell r="A578">
            <v>34</v>
          </cell>
          <cell r="B578" t="str">
            <v>Besi hollow 2/4</v>
          </cell>
          <cell r="C578" t="str">
            <v>Kg</v>
          </cell>
          <cell r="D578">
            <v>74462.500000000058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L578">
            <v>0</v>
          </cell>
          <cell r="N578">
            <v>0</v>
          </cell>
          <cell r="P578">
            <v>0</v>
          </cell>
          <cell r="R578">
            <v>0</v>
          </cell>
          <cell r="T578">
            <v>0</v>
          </cell>
          <cell r="V578">
            <v>0</v>
          </cell>
          <cell r="X578">
            <v>0</v>
          </cell>
          <cell r="Z578">
            <v>0</v>
          </cell>
          <cell r="AB578">
            <v>0</v>
          </cell>
        </row>
        <row r="579">
          <cell r="A579">
            <v>35</v>
          </cell>
          <cell r="B579" t="str">
            <v>Kaca Tempered 12 mm</v>
          </cell>
          <cell r="C579" t="str">
            <v>M2</v>
          </cell>
          <cell r="D579">
            <v>528395.75</v>
          </cell>
          <cell r="E579">
            <v>4.3049999999999997</v>
          </cell>
          <cell r="F579">
            <v>2274743.7037499999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L579">
            <v>0</v>
          </cell>
          <cell r="N579">
            <v>0</v>
          </cell>
          <cell r="P579">
            <v>0</v>
          </cell>
          <cell r="R579">
            <v>0</v>
          </cell>
          <cell r="T579">
            <v>0</v>
          </cell>
          <cell r="V579">
            <v>0</v>
          </cell>
          <cell r="X579">
            <v>0</v>
          </cell>
          <cell r="Z579">
            <v>0</v>
          </cell>
          <cell r="AB579">
            <v>0</v>
          </cell>
        </row>
        <row r="580">
          <cell r="A580">
            <v>36</v>
          </cell>
          <cell r="B580" t="str">
            <v>Glass Block</v>
          </cell>
          <cell r="C580" t="str">
            <v>Bh</v>
          </cell>
          <cell r="D580">
            <v>45000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L580">
            <v>0</v>
          </cell>
          <cell r="N580">
            <v>0</v>
          </cell>
          <cell r="P580">
            <v>0</v>
          </cell>
          <cell r="R580">
            <v>0</v>
          </cell>
          <cell r="T580">
            <v>0</v>
          </cell>
          <cell r="V580">
            <v>0</v>
          </cell>
          <cell r="X580">
            <v>0</v>
          </cell>
          <cell r="Z580">
            <v>0</v>
          </cell>
          <cell r="AB580">
            <v>0</v>
          </cell>
        </row>
        <row r="581">
          <cell r="A581">
            <v>37</v>
          </cell>
          <cell r="B581" t="str">
            <v>Kaca Es</v>
          </cell>
          <cell r="C581" t="str">
            <v>M2</v>
          </cell>
          <cell r="D581">
            <v>66700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P581">
            <v>0</v>
          </cell>
          <cell r="R581">
            <v>0</v>
          </cell>
          <cell r="T581">
            <v>0</v>
          </cell>
          <cell r="V581">
            <v>0</v>
          </cell>
          <cell r="X581">
            <v>0</v>
          </cell>
          <cell r="Z581">
            <v>0</v>
          </cell>
          <cell r="AA581">
            <v>0.2</v>
          </cell>
          <cell r="AB581">
            <v>13340</v>
          </cell>
        </row>
        <row r="582">
          <cell r="A582">
            <v>38</v>
          </cell>
          <cell r="B582" t="str">
            <v>Krepyak Kaca Nako + Kerangka</v>
          </cell>
          <cell r="C582" t="str">
            <v>M2</v>
          </cell>
          <cell r="D582">
            <v>81300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L582">
            <v>0</v>
          </cell>
          <cell r="N582">
            <v>0</v>
          </cell>
          <cell r="P582">
            <v>0</v>
          </cell>
          <cell r="R582">
            <v>0</v>
          </cell>
          <cell r="T582">
            <v>0</v>
          </cell>
          <cell r="V582">
            <v>0</v>
          </cell>
          <cell r="X582">
            <v>0</v>
          </cell>
          <cell r="Z582">
            <v>0</v>
          </cell>
          <cell r="AB582">
            <v>0</v>
          </cell>
        </row>
        <row r="583">
          <cell r="A583">
            <v>39</v>
          </cell>
          <cell r="B583" t="str">
            <v>Sticker Efek Kaca Es</v>
          </cell>
          <cell r="C583" t="str">
            <v>M2</v>
          </cell>
          <cell r="D583">
            <v>150000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L583">
            <v>0</v>
          </cell>
          <cell r="N583">
            <v>0</v>
          </cell>
          <cell r="P583">
            <v>0</v>
          </cell>
          <cell r="R583">
            <v>0</v>
          </cell>
          <cell r="T583">
            <v>0</v>
          </cell>
          <cell r="V583">
            <v>0</v>
          </cell>
          <cell r="X583">
            <v>0</v>
          </cell>
          <cell r="Z583">
            <v>0</v>
          </cell>
          <cell r="AB583">
            <v>0</v>
          </cell>
        </row>
        <row r="584">
          <cell r="A584">
            <v>40</v>
          </cell>
          <cell r="B584" t="str">
            <v>Rel Pintu Dorong</v>
          </cell>
          <cell r="C584" t="str">
            <v>M'</v>
          </cell>
          <cell r="D584">
            <v>275000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L584">
            <v>0</v>
          </cell>
          <cell r="N584">
            <v>0</v>
          </cell>
          <cell r="P584">
            <v>0</v>
          </cell>
          <cell r="R584">
            <v>0</v>
          </cell>
          <cell r="T584">
            <v>0</v>
          </cell>
          <cell r="V584">
            <v>0</v>
          </cell>
          <cell r="X584">
            <v>0</v>
          </cell>
          <cell r="Z584">
            <v>0</v>
          </cell>
          <cell r="AB584">
            <v>0</v>
          </cell>
        </row>
        <row r="585">
          <cell r="A585">
            <v>41</v>
          </cell>
          <cell r="B585" t="str">
            <v>Rolling Door</v>
          </cell>
          <cell r="C585" t="str">
            <v>M2</v>
          </cell>
          <cell r="D585">
            <v>358100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L585">
            <v>0</v>
          </cell>
          <cell r="N585">
            <v>0</v>
          </cell>
          <cell r="P585">
            <v>0</v>
          </cell>
          <cell r="R585">
            <v>0</v>
          </cell>
          <cell r="T585">
            <v>0</v>
          </cell>
          <cell r="V585">
            <v>0</v>
          </cell>
          <cell r="X585">
            <v>0</v>
          </cell>
          <cell r="Z585">
            <v>0</v>
          </cell>
          <cell r="AB585">
            <v>0</v>
          </cell>
        </row>
        <row r="586">
          <cell r="A586">
            <v>42</v>
          </cell>
          <cell r="B586" t="str">
            <v>Roster</v>
          </cell>
          <cell r="C586" t="str">
            <v>M2</v>
          </cell>
          <cell r="D586">
            <v>133850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L586">
            <v>0</v>
          </cell>
          <cell r="N586">
            <v>0</v>
          </cell>
          <cell r="P586">
            <v>0</v>
          </cell>
          <cell r="R586">
            <v>0</v>
          </cell>
          <cell r="T586">
            <v>0</v>
          </cell>
          <cell r="U586">
            <v>0.48</v>
          </cell>
          <cell r="V586">
            <v>64248</v>
          </cell>
          <cell r="W586">
            <v>0</v>
          </cell>
          <cell r="X586">
            <v>0</v>
          </cell>
          <cell r="Z586">
            <v>0</v>
          </cell>
          <cell r="AB586">
            <v>0</v>
          </cell>
        </row>
        <row r="587">
          <cell r="A587">
            <v>43</v>
          </cell>
          <cell r="B587" t="str">
            <v>Gipsum Board</v>
          </cell>
          <cell r="C587" t="str">
            <v>M2</v>
          </cell>
          <cell r="D587">
            <v>29000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L587">
            <v>0</v>
          </cell>
          <cell r="N587">
            <v>0</v>
          </cell>
          <cell r="P587">
            <v>0</v>
          </cell>
          <cell r="R587">
            <v>0</v>
          </cell>
          <cell r="T587">
            <v>0</v>
          </cell>
          <cell r="V587">
            <v>0</v>
          </cell>
          <cell r="X587">
            <v>0</v>
          </cell>
          <cell r="Z587">
            <v>0</v>
          </cell>
          <cell r="AB587">
            <v>0</v>
          </cell>
        </row>
        <row r="588">
          <cell r="A588">
            <v>44</v>
          </cell>
          <cell r="B588" t="str">
            <v>List Gipsum</v>
          </cell>
          <cell r="C588" t="str">
            <v>M'</v>
          </cell>
          <cell r="D588">
            <v>17300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L588">
            <v>0</v>
          </cell>
          <cell r="N588">
            <v>0</v>
          </cell>
          <cell r="P588">
            <v>0</v>
          </cell>
          <cell r="R588">
            <v>0</v>
          </cell>
          <cell r="T588">
            <v>0</v>
          </cell>
          <cell r="V588">
            <v>0</v>
          </cell>
          <cell r="X588">
            <v>0</v>
          </cell>
          <cell r="Z588">
            <v>0</v>
          </cell>
          <cell r="AB588">
            <v>0</v>
          </cell>
        </row>
        <row r="589">
          <cell r="A589">
            <v>45</v>
          </cell>
          <cell r="B589" t="str">
            <v>Sealent</v>
          </cell>
          <cell r="C589" t="str">
            <v>M'</v>
          </cell>
          <cell r="D589">
            <v>8400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15</v>
          </cell>
          <cell r="N589">
            <v>126000</v>
          </cell>
          <cell r="O589">
            <v>7.12</v>
          </cell>
          <cell r="P589">
            <v>59808</v>
          </cell>
          <cell r="Q589">
            <v>5.04</v>
          </cell>
          <cell r="R589">
            <v>42336</v>
          </cell>
          <cell r="S589">
            <v>9.44</v>
          </cell>
          <cell r="T589">
            <v>79296</v>
          </cell>
          <cell r="V589">
            <v>0</v>
          </cell>
          <cell r="X589">
            <v>0</v>
          </cell>
          <cell r="Y589">
            <v>7.52</v>
          </cell>
          <cell r="Z589">
            <v>63168</v>
          </cell>
          <cell r="AA589">
            <v>3.2</v>
          </cell>
          <cell r="AB589">
            <v>26880</v>
          </cell>
        </row>
        <row r="590">
          <cell r="A590">
            <v>46</v>
          </cell>
          <cell r="B590" t="str">
            <v>Benangan Kusen</v>
          </cell>
          <cell r="C590" t="str">
            <v>M'</v>
          </cell>
          <cell r="D590">
            <v>4296.0074999999997</v>
          </cell>
          <cell r="E590">
            <v>6.1999999999999993</v>
          </cell>
          <cell r="F590">
            <v>26635.246499999994</v>
          </cell>
          <cell r="G590">
            <v>5.5990000000000002</v>
          </cell>
          <cell r="H590">
            <v>24053.345992499999</v>
          </cell>
          <cell r="I590">
            <v>5.5990000000000002</v>
          </cell>
          <cell r="J590">
            <v>24053.345992499999</v>
          </cell>
          <cell r="K590">
            <v>5.5990000000000002</v>
          </cell>
          <cell r="L590">
            <v>24053.345992499999</v>
          </cell>
          <cell r="M590">
            <v>13.6</v>
          </cell>
          <cell r="N590">
            <v>58425.701999999997</v>
          </cell>
          <cell r="O590">
            <v>9.120000000000001</v>
          </cell>
          <cell r="P590">
            <v>39179.588400000001</v>
          </cell>
          <cell r="Q590">
            <v>7.0399999999999991</v>
          </cell>
          <cell r="R590">
            <v>30243.892799999994</v>
          </cell>
          <cell r="S590">
            <v>10.199999999999999</v>
          </cell>
          <cell r="T590">
            <v>43819.276499999993</v>
          </cell>
          <cell r="U590">
            <v>6.4</v>
          </cell>
          <cell r="V590">
            <v>27494.448</v>
          </cell>
          <cell r="W590">
            <v>30.599999999999998</v>
          </cell>
          <cell r="X590">
            <v>131457.82949999999</v>
          </cell>
          <cell r="Y590">
            <v>7.52</v>
          </cell>
          <cell r="Z590">
            <v>32305.976399999996</v>
          </cell>
          <cell r="AA590">
            <v>4</v>
          </cell>
          <cell r="AB590">
            <v>106540.98599999998</v>
          </cell>
        </row>
        <row r="591">
          <cell r="A591">
            <v>47</v>
          </cell>
          <cell r="B591" t="str">
            <v xml:space="preserve">Cat Kayu </v>
          </cell>
          <cell r="C591" t="str">
            <v>M2</v>
          </cell>
          <cell r="D591">
            <v>19370.5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P591">
            <v>0</v>
          </cell>
          <cell r="R591">
            <v>0</v>
          </cell>
          <cell r="T591">
            <v>0</v>
          </cell>
          <cell r="V591">
            <v>0</v>
          </cell>
          <cell r="X591">
            <v>0</v>
          </cell>
          <cell r="Z591">
            <v>0</v>
          </cell>
          <cell r="AB591">
            <v>0</v>
          </cell>
        </row>
        <row r="592">
          <cell r="A592">
            <v>48</v>
          </cell>
          <cell r="B592" t="str">
            <v>Cat Besi</v>
          </cell>
          <cell r="C592" t="str">
            <v>M2</v>
          </cell>
          <cell r="D592">
            <v>13698</v>
          </cell>
          <cell r="E592">
            <v>0</v>
          </cell>
          <cell r="F592">
            <v>0</v>
          </cell>
          <cell r="G592">
            <v>5.6445590696960588</v>
          </cell>
          <cell r="H592">
            <v>77319.170136696615</v>
          </cell>
          <cell r="I592">
            <v>5.6445590696960588</v>
          </cell>
          <cell r="J592">
            <v>77319.170136696615</v>
          </cell>
          <cell r="L592">
            <v>0</v>
          </cell>
          <cell r="N592">
            <v>0</v>
          </cell>
          <cell r="P592">
            <v>0</v>
          </cell>
          <cell r="R592">
            <v>0</v>
          </cell>
          <cell r="T592">
            <v>0</v>
          </cell>
          <cell r="V592">
            <v>0</v>
          </cell>
          <cell r="X592">
            <v>0</v>
          </cell>
          <cell r="Z592">
            <v>0</v>
          </cell>
          <cell r="AB592">
            <v>0</v>
          </cell>
        </row>
        <row r="593">
          <cell r="A593">
            <v>49</v>
          </cell>
          <cell r="B593" t="str">
            <v>Cat Dinding</v>
          </cell>
          <cell r="C593" t="str">
            <v>M2</v>
          </cell>
          <cell r="D593">
            <v>9900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L593">
            <v>0</v>
          </cell>
          <cell r="N593">
            <v>0</v>
          </cell>
          <cell r="P593">
            <v>0</v>
          </cell>
          <cell r="R593">
            <v>0</v>
          </cell>
          <cell r="T593">
            <v>0</v>
          </cell>
          <cell r="U593">
            <v>0.96</v>
          </cell>
          <cell r="V593">
            <v>9504</v>
          </cell>
          <cell r="W593">
            <v>0</v>
          </cell>
          <cell r="X593">
            <v>0</v>
          </cell>
          <cell r="Z593">
            <v>0</v>
          </cell>
          <cell r="AB593">
            <v>0</v>
          </cell>
        </row>
        <row r="594">
          <cell r="A594">
            <v>50</v>
          </cell>
          <cell r="B594" t="str">
            <v>Plesteran Camprot</v>
          </cell>
          <cell r="C594" t="str">
            <v>M2</v>
          </cell>
          <cell r="D594">
            <v>14600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L594">
            <v>0</v>
          </cell>
          <cell r="N594">
            <v>0</v>
          </cell>
          <cell r="P594">
            <v>0</v>
          </cell>
          <cell r="R594">
            <v>0</v>
          </cell>
          <cell r="T594">
            <v>0</v>
          </cell>
          <cell r="X594">
            <v>0</v>
          </cell>
          <cell r="Z594">
            <v>0</v>
          </cell>
          <cell r="AB594">
            <v>0</v>
          </cell>
        </row>
        <row r="596">
          <cell r="B596" t="str">
            <v>Jumlah Harga</v>
          </cell>
          <cell r="F596">
            <v>3776944.5502499999</v>
          </cell>
          <cell r="H596">
            <v>1760337.7291291971</v>
          </cell>
          <cell r="J596">
            <v>1760337.7291291971</v>
          </cell>
          <cell r="L596">
            <v>192618.34599249999</v>
          </cell>
          <cell r="N596">
            <v>1193800.8686249999</v>
          </cell>
          <cell r="P596">
            <v>857139.57127499999</v>
          </cell>
          <cell r="R596">
            <v>647182.94917500007</v>
          </cell>
          <cell r="T596">
            <v>301624.52562499995</v>
          </cell>
          <cell r="V596">
            <v>101246.448</v>
          </cell>
          <cell r="X596">
            <v>131457.82949999999</v>
          </cell>
          <cell r="Z596">
            <v>105078.7764</v>
          </cell>
          <cell r="AB596">
            <v>146760.98599999998</v>
          </cell>
        </row>
        <row r="599">
          <cell r="V599">
            <v>95200</v>
          </cell>
        </row>
        <row r="600">
          <cell r="A600" t="str">
            <v>No.</v>
          </cell>
          <cell r="B600" t="str">
            <v>Item Pekerjaan</v>
          </cell>
          <cell r="C600" t="str">
            <v>Satuan</v>
          </cell>
          <cell r="D600" t="str">
            <v>Harga Satuan</v>
          </cell>
          <cell r="E600" t="str">
            <v>P1</v>
          </cell>
          <cell r="G600" t="str">
            <v>P2</v>
          </cell>
          <cell r="I600" t="str">
            <v>J1</v>
          </cell>
          <cell r="K600" t="str">
            <v>J2</v>
          </cell>
          <cell r="M600" t="str">
            <v>J2'</v>
          </cell>
          <cell r="O600" t="str">
            <v>S1</v>
          </cell>
          <cell r="Q600" t="str">
            <v>Pintu Gebang</v>
          </cell>
        </row>
        <row r="601">
          <cell r="D601" t="str">
            <v>Rp.</v>
          </cell>
          <cell r="E601" t="str">
            <v>Vol.</v>
          </cell>
          <cell r="F601" t="str">
            <v>Jumlah Harga</v>
          </cell>
          <cell r="G601" t="str">
            <v>Vol.</v>
          </cell>
          <cell r="H601" t="str">
            <v>Jumlah Harga</v>
          </cell>
          <cell r="I601" t="str">
            <v>Vol.</v>
          </cell>
          <cell r="J601" t="str">
            <v>Jumlah Harga</v>
          </cell>
          <cell r="K601" t="str">
            <v>Vol.</v>
          </cell>
          <cell r="L601" t="str">
            <v>Jumlah Harga</v>
          </cell>
          <cell r="M601" t="str">
            <v>Vol.</v>
          </cell>
          <cell r="N601" t="str">
            <v>Jumlah Harga</v>
          </cell>
          <cell r="O601" t="str">
            <v>Vol.</v>
          </cell>
          <cell r="P601" t="str">
            <v>Jumlah Harga</v>
          </cell>
          <cell r="Q601" t="str">
            <v>Vol.</v>
          </cell>
          <cell r="R601" t="str">
            <v>Jumlah Harga</v>
          </cell>
        </row>
        <row r="602">
          <cell r="A602" t="str">
            <v>IX.</v>
          </cell>
          <cell r="B602" t="str">
            <v>UNIT GERBANG POS</v>
          </cell>
        </row>
        <row r="604">
          <cell r="A604">
            <v>1</v>
          </cell>
          <cell r="B604" t="str">
            <v>Kayu 6/12</v>
          </cell>
          <cell r="C604" t="str">
            <v>M3</v>
          </cell>
          <cell r="D604">
            <v>0</v>
          </cell>
          <cell r="E604">
            <v>1.2500000000000001E-2</v>
          </cell>
          <cell r="F604">
            <v>0</v>
          </cell>
          <cell r="G604">
            <v>3.6144000000000003E-2</v>
          </cell>
          <cell r="H604">
            <v>0</v>
          </cell>
          <cell r="J604">
            <v>0</v>
          </cell>
          <cell r="K604">
            <v>0</v>
          </cell>
          <cell r="L604">
            <v>0</v>
          </cell>
          <cell r="N604">
            <v>0</v>
          </cell>
          <cell r="P604">
            <v>0</v>
          </cell>
          <cell r="R604">
            <v>0</v>
          </cell>
        </row>
        <row r="605">
          <cell r="A605">
            <v>2</v>
          </cell>
          <cell r="B605" t="str">
            <v>Kayu Slimar 3/10</v>
          </cell>
          <cell r="C605" t="str">
            <v>M3</v>
          </cell>
          <cell r="D605">
            <v>0</v>
          </cell>
          <cell r="E605">
            <v>3.0000000000000005E-3</v>
          </cell>
          <cell r="F605">
            <v>0</v>
          </cell>
          <cell r="G605">
            <v>1.4159999999999999E-2</v>
          </cell>
          <cell r="H605">
            <v>0</v>
          </cell>
          <cell r="J605">
            <v>0</v>
          </cell>
          <cell r="K605">
            <v>0</v>
          </cell>
          <cell r="L605">
            <v>0</v>
          </cell>
          <cell r="N605">
            <v>0</v>
          </cell>
          <cell r="P605">
            <v>0</v>
          </cell>
          <cell r="R605">
            <v>0</v>
          </cell>
        </row>
        <row r="606">
          <cell r="A606">
            <v>3</v>
          </cell>
          <cell r="B606" t="str">
            <v>Kayu Slimar 3/15</v>
          </cell>
          <cell r="C606" t="str">
            <v>M3</v>
          </cell>
          <cell r="D606">
            <v>0</v>
          </cell>
          <cell r="E606">
            <v>2.2000000000000002</v>
          </cell>
          <cell r="F606">
            <v>0</v>
          </cell>
          <cell r="G606">
            <v>2.6999999999999997E-3</v>
          </cell>
          <cell r="H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P606">
            <v>0</v>
          </cell>
          <cell r="R606">
            <v>0</v>
          </cell>
        </row>
        <row r="607">
          <cell r="A607">
            <v>4</v>
          </cell>
          <cell r="B607" t="str">
            <v>Kayu Slimar 3/20</v>
          </cell>
          <cell r="C607" t="str">
            <v>M3</v>
          </cell>
          <cell r="D607">
            <v>0</v>
          </cell>
          <cell r="E607">
            <v>3</v>
          </cell>
          <cell r="F607">
            <v>0</v>
          </cell>
          <cell r="G607">
            <v>3.5999999999999999E-3</v>
          </cell>
          <cell r="H607">
            <v>0</v>
          </cell>
          <cell r="J607">
            <v>0</v>
          </cell>
          <cell r="K607">
            <v>0</v>
          </cell>
          <cell r="L607">
            <v>0</v>
          </cell>
          <cell r="N607">
            <v>0</v>
          </cell>
          <cell r="P607">
            <v>0</v>
          </cell>
          <cell r="R607">
            <v>0</v>
          </cell>
        </row>
        <row r="608">
          <cell r="A608">
            <v>5</v>
          </cell>
          <cell r="B608" t="str">
            <v>Kayu 2/10</v>
          </cell>
          <cell r="C608" t="str">
            <v>M3</v>
          </cell>
          <cell r="D608">
            <v>0</v>
          </cell>
          <cell r="E608">
            <v>9.3999999999999986</v>
          </cell>
          <cell r="F608">
            <v>0</v>
          </cell>
          <cell r="G608">
            <v>5.4000000000000012E-3</v>
          </cell>
          <cell r="H608">
            <v>0</v>
          </cell>
          <cell r="J608">
            <v>0</v>
          </cell>
          <cell r="L608">
            <v>0</v>
          </cell>
          <cell r="N608">
            <v>0</v>
          </cell>
          <cell r="P608">
            <v>0</v>
          </cell>
          <cell r="R608">
            <v>0</v>
          </cell>
        </row>
        <row r="609">
          <cell r="A609">
            <v>6</v>
          </cell>
          <cell r="B609" t="str">
            <v>Panil t = 3 cm</v>
          </cell>
          <cell r="C609" t="str">
            <v>M2</v>
          </cell>
          <cell r="D609">
            <v>0</v>
          </cell>
          <cell r="F609">
            <v>0</v>
          </cell>
          <cell r="G609">
            <v>0.49500000000000005</v>
          </cell>
          <cell r="H609">
            <v>0</v>
          </cell>
          <cell r="J609">
            <v>0</v>
          </cell>
          <cell r="L609">
            <v>0</v>
          </cell>
          <cell r="N609">
            <v>0</v>
          </cell>
          <cell r="P609">
            <v>0</v>
          </cell>
          <cell r="R609">
            <v>0</v>
          </cell>
        </row>
        <row r="610">
          <cell r="A610">
            <v>1</v>
          </cell>
          <cell r="B610" t="str">
            <v>Kusen Aluminium 5/10</v>
          </cell>
          <cell r="C610" t="str">
            <v>M'</v>
          </cell>
          <cell r="D610">
            <v>124948</v>
          </cell>
          <cell r="F610">
            <v>0</v>
          </cell>
          <cell r="G610">
            <v>5</v>
          </cell>
          <cell r="H610">
            <v>624740</v>
          </cell>
          <cell r="J610">
            <v>0</v>
          </cell>
          <cell r="L610">
            <v>0</v>
          </cell>
          <cell r="N610">
            <v>0</v>
          </cell>
          <cell r="P610">
            <v>0</v>
          </cell>
          <cell r="R610">
            <v>0</v>
          </cell>
        </row>
        <row r="611">
          <cell r="A611">
            <v>2</v>
          </cell>
          <cell r="B611" t="str">
            <v xml:space="preserve">Rangka Daun Jendela Alumunium </v>
          </cell>
          <cell r="C611" t="str">
            <v>M'</v>
          </cell>
          <cell r="D611">
            <v>124948</v>
          </cell>
          <cell r="F611">
            <v>0</v>
          </cell>
          <cell r="G611">
            <v>0</v>
          </cell>
          <cell r="H611">
            <v>0</v>
          </cell>
          <cell r="J611">
            <v>0</v>
          </cell>
          <cell r="L611">
            <v>0</v>
          </cell>
          <cell r="N611">
            <v>0</v>
          </cell>
          <cell r="P611">
            <v>0</v>
          </cell>
          <cell r="R611">
            <v>0</v>
          </cell>
        </row>
        <row r="612">
          <cell r="A612">
            <v>3</v>
          </cell>
          <cell r="B612" t="str">
            <v>Rangka Tiang Sirip Alumunium 1/1 Putih</v>
          </cell>
          <cell r="C612" t="str">
            <v>M'</v>
          </cell>
          <cell r="D612">
            <v>62474</v>
          </cell>
          <cell r="F612">
            <v>0</v>
          </cell>
          <cell r="G612">
            <v>0</v>
          </cell>
          <cell r="H612">
            <v>0</v>
          </cell>
          <cell r="J612">
            <v>0</v>
          </cell>
          <cell r="L612">
            <v>0</v>
          </cell>
          <cell r="N612">
            <v>0</v>
          </cell>
          <cell r="O612">
            <v>12.799999999999999</v>
          </cell>
          <cell r="P612">
            <v>799667.19999999995</v>
          </cell>
          <cell r="Q612">
            <v>12.799999999999999</v>
          </cell>
          <cell r="R612">
            <v>799667.19999999995</v>
          </cell>
        </row>
        <row r="613">
          <cell r="A613">
            <v>4</v>
          </cell>
          <cell r="B613" t="str">
            <v>Pasang Shading Sirip Alumunium 0.2/10 +Rangka</v>
          </cell>
          <cell r="C613" t="str">
            <v>M2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0.87</v>
          </cell>
          <cell r="P613">
            <v>0</v>
          </cell>
          <cell r="Q613">
            <v>0.87</v>
          </cell>
          <cell r="R613">
            <v>0</v>
          </cell>
        </row>
        <row r="614">
          <cell r="A614">
            <v>5</v>
          </cell>
          <cell r="B614" t="str">
            <v>Daun Pintu Panil Kamper</v>
          </cell>
          <cell r="C614" t="str">
            <v>bh</v>
          </cell>
          <cell r="D614">
            <v>550000</v>
          </cell>
          <cell r="E614">
            <v>2.1599999999999998E-2</v>
          </cell>
          <cell r="F614">
            <v>11879.999999999998</v>
          </cell>
          <cell r="G614">
            <v>1.2</v>
          </cell>
          <cell r="H614">
            <v>660000</v>
          </cell>
          <cell r="J614">
            <v>0</v>
          </cell>
          <cell r="L614">
            <v>0</v>
          </cell>
          <cell r="N614">
            <v>0</v>
          </cell>
          <cell r="P614">
            <v>0</v>
          </cell>
          <cell r="R614">
            <v>0</v>
          </cell>
        </row>
        <row r="615">
          <cell r="A615">
            <v>6</v>
          </cell>
          <cell r="B615" t="str">
            <v>Plat besi t = 2 mm</v>
          </cell>
          <cell r="C615" t="str">
            <v>Kg</v>
          </cell>
          <cell r="D615">
            <v>0</v>
          </cell>
          <cell r="F615">
            <v>0</v>
          </cell>
          <cell r="G615">
            <v>0</v>
          </cell>
          <cell r="H615">
            <v>0</v>
          </cell>
          <cell r="J615">
            <v>0</v>
          </cell>
          <cell r="L615">
            <v>0</v>
          </cell>
          <cell r="N615">
            <v>0</v>
          </cell>
          <cell r="P615">
            <v>0</v>
          </cell>
          <cell r="R615">
            <v>0</v>
          </cell>
        </row>
        <row r="616">
          <cell r="A616">
            <v>7</v>
          </cell>
          <cell r="B616" t="str">
            <v>C 40.40.2  (pesan khusus)</v>
          </cell>
          <cell r="C616" t="str">
            <v>Kg</v>
          </cell>
          <cell r="D616">
            <v>14122.3</v>
          </cell>
          <cell r="F616">
            <v>0</v>
          </cell>
          <cell r="G616">
            <v>0</v>
          </cell>
          <cell r="H616">
            <v>0</v>
          </cell>
          <cell r="J616">
            <v>0</v>
          </cell>
          <cell r="L616">
            <v>0</v>
          </cell>
          <cell r="N616">
            <v>0</v>
          </cell>
          <cell r="P616">
            <v>0</v>
          </cell>
          <cell r="R616">
            <v>0</v>
          </cell>
        </row>
        <row r="617">
          <cell r="A617">
            <v>8</v>
          </cell>
          <cell r="B617" t="str">
            <v>Handle besi dia 16 mm</v>
          </cell>
          <cell r="C617" t="str">
            <v>Set</v>
          </cell>
          <cell r="D617">
            <v>129652.5</v>
          </cell>
          <cell r="F617">
            <v>0</v>
          </cell>
          <cell r="G617">
            <v>0</v>
          </cell>
          <cell r="H617">
            <v>0</v>
          </cell>
          <cell r="J617">
            <v>0</v>
          </cell>
          <cell r="L617">
            <v>0</v>
          </cell>
          <cell r="N617">
            <v>0</v>
          </cell>
          <cell r="P617">
            <v>0</v>
          </cell>
          <cell r="R617">
            <v>0</v>
          </cell>
        </row>
        <row r="618">
          <cell r="A618">
            <v>9</v>
          </cell>
          <cell r="B618" t="str">
            <v>Hendle pintu Stainless</v>
          </cell>
          <cell r="C618" t="str">
            <v>Set</v>
          </cell>
          <cell r="D618">
            <v>261652.5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L618">
            <v>0</v>
          </cell>
          <cell r="N618">
            <v>0</v>
          </cell>
          <cell r="P618">
            <v>0</v>
          </cell>
          <cell r="R618">
            <v>0</v>
          </cell>
        </row>
        <row r="619">
          <cell r="A619">
            <v>10</v>
          </cell>
          <cell r="B619" t="str">
            <v>Kunci Pintu Handle stainleess (dorma)</v>
          </cell>
          <cell r="C619" t="str">
            <v>Set</v>
          </cell>
          <cell r="D619">
            <v>650000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L619">
            <v>0</v>
          </cell>
          <cell r="N619">
            <v>0</v>
          </cell>
          <cell r="P619">
            <v>0</v>
          </cell>
          <cell r="R619">
            <v>0</v>
          </cell>
        </row>
        <row r="620">
          <cell r="A620">
            <v>11</v>
          </cell>
          <cell r="B620" t="str">
            <v>Kunci tanam Antik</v>
          </cell>
          <cell r="C620" t="str">
            <v>Set</v>
          </cell>
          <cell r="D620">
            <v>265000</v>
          </cell>
          <cell r="F620">
            <v>0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N620">
            <v>0</v>
          </cell>
          <cell r="P620">
            <v>0</v>
          </cell>
          <cell r="Q620">
            <v>1</v>
          </cell>
          <cell r="R620">
            <v>265000</v>
          </cell>
        </row>
        <row r="621">
          <cell r="A621">
            <v>12</v>
          </cell>
          <cell r="B621" t="str">
            <v>Kunci tanam biasa</v>
          </cell>
          <cell r="C621" t="str">
            <v>Set</v>
          </cell>
          <cell r="D621">
            <v>168565</v>
          </cell>
          <cell r="F621">
            <v>0</v>
          </cell>
          <cell r="G621">
            <v>1</v>
          </cell>
          <cell r="H621">
            <v>168565</v>
          </cell>
          <cell r="J621">
            <v>0</v>
          </cell>
          <cell r="K621">
            <v>0</v>
          </cell>
          <cell r="L621">
            <v>0</v>
          </cell>
          <cell r="N621">
            <v>0</v>
          </cell>
          <cell r="P621">
            <v>0</v>
          </cell>
          <cell r="R621">
            <v>0</v>
          </cell>
        </row>
        <row r="622">
          <cell r="A622">
            <v>13</v>
          </cell>
          <cell r="B622" t="str">
            <v>Kunci Silinder</v>
          </cell>
          <cell r="C622" t="str">
            <v>Set</v>
          </cell>
          <cell r="D622">
            <v>217900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  <cell r="L622">
            <v>0</v>
          </cell>
          <cell r="N622">
            <v>0</v>
          </cell>
          <cell r="P622">
            <v>0</v>
          </cell>
          <cell r="R622">
            <v>0</v>
          </cell>
        </row>
        <row r="623">
          <cell r="A623">
            <v>14</v>
          </cell>
          <cell r="B623" t="str">
            <v>Kunci Selot</v>
          </cell>
          <cell r="C623" t="str">
            <v>Set</v>
          </cell>
          <cell r="D623">
            <v>48300</v>
          </cell>
          <cell r="E623">
            <v>1</v>
          </cell>
          <cell r="F623">
            <v>48300</v>
          </cell>
          <cell r="G623">
            <v>0</v>
          </cell>
          <cell r="H623">
            <v>0</v>
          </cell>
          <cell r="J623">
            <v>0</v>
          </cell>
          <cell r="L623">
            <v>0</v>
          </cell>
          <cell r="N623">
            <v>0</v>
          </cell>
          <cell r="P623">
            <v>0</v>
          </cell>
          <cell r="R623">
            <v>0</v>
          </cell>
        </row>
        <row r="624">
          <cell r="A624">
            <v>15</v>
          </cell>
          <cell r="B624" t="str">
            <v>Engsel jendela</v>
          </cell>
          <cell r="C624" t="str">
            <v>Bh</v>
          </cell>
          <cell r="D624">
            <v>16600</v>
          </cell>
          <cell r="E624">
            <v>2</v>
          </cell>
          <cell r="F624">
            <v>33200</v>
          </cell>
          <cell r="G624">
            <v>0</v>
          </cell>
          <cell r="H624">
            <v>0</v>
          </cell>
          <cell r="J624">
            <v>0</v>
          </cell>
          <cell r="K624">
            <v>0</v>
          </cell>
          <cell r="L624">
            <v>0</v>
          </cell>
          <cell r="N624">
            <v>0</v>
          </cell>
          <cell r="P624">
            <v>0</v>
          </cell>
          <cell r="R624">
            <v>0</v>
          </cell>
        </row>
        <row r="625">
          <cell r="A625">
            <v>16</v>
          </cell>
          <cell r="B625" t="str">
            <v>Engsel pintu</v>
          </cell>
          <cell r="C625" t="str">
            <v>Bh</v>
          </cell>
          <cell r="D625">
            <v>44395.75</v>
          </cell>
          <cell r="E625">
            <v>2</v>
          </cell>
          <cell r="F625">
            <v>88791.5</v>
          </cell>
          <cell r="G625">
            <v>3</v>
          </cell>
          <cell r="H625">
            <v>133187.25</v>
          </cell>
          <cell r="J625">
            <v>0</v>
          </cell>
          <cell r="L625">
            <v>0</v>
          </cell>
          <cell r="N625">
            <v>0</v>
          </cell>
          <cell r="P625">
            <v>0</v>
          </cell>
          <cell r="R625">
            <v>0</v>
          </cell>
        </row>
        <row r="626">
          <cell r="A626">
            <v>17</v>
          </cell>
          <cell r="B626" t="str">
            <v>Engsel Pintu dari pipa besi dia 2 cm</v>
          </cell>
          <cell r="C626" t="str">
            <v>Bh</v>
          </cell>
          <cell r="D626">
            <v>66593.625</v>
          </cell>
          <cell r="F626">
            <v>0</v>
          </cell>
          <cell r="G626">
            <v>0</v>
          </cell>
          <cell r="H626">
            <v>0</v>
          </cell>
          <cell r="J626">
            <v>0</v>
          </cell>
          <cell r="L626">
            <v>0</v>
          </cell>
          <cell r="N626">
            <v>0</v>
          </cell>
          <cell r="P626">
            <v>0</v>
          </cell>
          <cell r="R626">
            <v>0</v>
          </cell>
        </row>
        <row r="627">
          <cell r="A627">
            <v>18</v>
          </cell>
          <cell r="B627" t="str">
            <v>Kait/hak angin</v>
          </cell>
          <cell r="C627" t="str">
            <v>Set</v>
          </cell>
          <cell r="D627">
            <v>27000</v>
          </cell>
          <cell r="E627">
            <v>2</v>
          </cell>
          <cell r="F627">
            <v>54000</v>
          </cell>
          <cell r="G627">
            <v>0</v>
          </cell>
          <cell r="H627">
            <v>0</v>
          </cell>
          <cell r="J627">
            <v>0</v>
          </cell>
          <cell r="L627">
            <v>0</v>
          </cell>
          <cell r="N627">
            <v>0</v>
          </cell>
          <cell r="P627">
            <v>0</v>
          </cell>
          <cell r="R627">
            <v>0</v>
          </cell>
        </row>
        <row r="628">
          <cell r="A628">
            <v>19</v>
          </cell>
          <cell r="B628" t="str">
            <v>Grendel pintu kuningan</v>
          </cell>
          <cell r="C628" t="str">
            <v>Bh</v>
          </cell>
          <cell r="D628">
            <v>125000</v>
          </cell>
          <cell r="F628">
            <v>0</v>
          </cell>
          <cell r="G628">
            <v>0</v>
          </cell>
          <cell r="H628">
            <v>0</v>
          </cell>
          <cell r="J628">
            <v>0</v>
          </cell>
          <cell r="L628">
            <v>0</v>
          </cell>
          <cell r="N628">
            <v>0</v>
          </cell>
          <cell r="P628">
            <v>0</v>
          </cell>
          <cell r="R628">
            <v>0</v>
          </cell>
        </row>
        <row r="629">
          <cell r="A629">
            <v>20</v>
          </cell>
          <cell r="B629" t="str">
            <v xml:space="preserve">Grendel jendela </v>
          </cell>
          <cell r="C629" t="str">
            <v>Bh</v>
          </cell>
          <cell r="D629">
            <v>8100</v>
          </cell>
          <cell r="F629">
            <v>0</v>
          </cell>
          <cell r="G629">
            <v>0</v>
          </cell>
          <cell r="H629">
            <v>0</v>
          </cell>
          <cell r="J629">
            <v>0</v>
          </cell>
          <cell r="K629">
            <v>0</v>
          </cell>
          <cell r="L629">
            <v>0</v>
          </cell>
          <cell r="N629">
            <v>0</v>
          </cell>
          <cell r="P629">
            <v>0</v>
          </cell>
          <cell r="R629">
            <v>0</v>
          </cell>
        </row>
        <row r="630">
          <cell r="A630">
            <v>21</v>
          </cell>
          <cell r="B630" t="str">
            <v>Grendel pintu</v>
          </cell>
          <cell r="C630" t="str">
            <v>Bh</v>
          </cell>
          <cell r="D630">
            <v>14200</v>
          </cell>
          <cell r="E630">
            <v>1</v>
          </cell>
          <cell r="F630">
            <v>14200</v>
          </cell>
          <cell r="G630">
            <v>0</v>
          </cell>
          <cell r="H630">
            <v>0</v>
          </cell>
          <cell r="J630">
            <v>0</v>
          </cell>
          <cell r="L630">
            <v>0</v>
          </cell>
          <cell r="N630">
            <v>0</v>
          </cell>
          <cell r="P630">
            <v>0</v>
          </cell>
          <cell r="R630">
            <v>0</v>
          </cell>
        </row>
        <row r="631">
          <cell r="A631">
            <v>22</v>
          </cell>
          <cell r="B631" t="str">
            <v>Stripting Knip</v>
          </cell>
          <cell r="C631" t="str">
            <v>Set</v>
          </cell>
          <cell r="D631">
            <v>13700</v>
          </cell>
          <cell r="F631">
            <v>0</v>
          </cell>
          <cell r="G631">
            <v>0</v>
          </cell>
          <cell r="H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P631">
            <v>0</v>
          </cell>
          <cell r="R631">
            <v>0</v>
          </cell>
        </row>
        <row r="632">
          <cell r="A632">
            <v>23</v>
          </cell>
          <cell r="B632" t="str">
            <v>Door Closer</v>
          </cell>
          <cell r="C632" t="str">
            <v>Set</v>
          </cell>
          <cell r="D632">
            <v>260800</v>
          </cell>
          <cell r="E632">
            <v>1</v>
          </cell>
          <cell r="F632">
            <v>260800</v>
          </cell>
          <cell r="G632">
            <v>0</v>
          </cell>
          <cell r="H632">
            <v>0</v>
          </cell>
          <cell r="J632">
            <v>0</v>
          </cell>
          <cell r="L632">
            <v>0</v>
          </cell>
          <cell r="N632">
            <v>0</v>
          </cell>
          <cell r="P632">
            <v>0</v>
          </cell>
          <cell r="R632">
            <v>0</v>
          </cell>
        </row>
        <row r="633">
          <cell r="A633">
            <v>24</v>
          </cell>
          <cell r="B633" t="str">
            <v>Door Holder</v>
          </cell>
          <cell r="C633" t="str">
            <v>Set</v>
          </cell>
          <cell r="D633">
            <v>500000</v>
          </cell>
          <cell r="F633">
            <v>0</v>
          </cell>
          <cell r="G633">
            <v>0</v>
          </cell>
          <cell r="H633">
            <v>0</v>
          </cell>
          <cell r="J633">
            <v>0</v>
          </cell>
          <cell r="K633">
            <v>0</v>
          </cell>
          <cell r="L633">
            <v>0</v>
          </cell>
          <cell r="N633">
            <v>0</v>
          </cell>
          <cell r="P633">
            <v>0</v>
          </cell>
          <cell r="R633">
            <v>0</v>
          </cell>
        </row>
        <row r="634">
          <cell r="A634">
            <v>25</v>
          </cell>
          <cell r="B634" t="str">
            <v>Door Stop</v>
          </cell>
          <cell r="C634" t="str">
            <v>Set</v>
          </cell>
          <cell r="D634">
            <v>32100</v>
          </cell>
          <cell r="E634">
            <v>1</v>
          </cell>
          <cell r="F634">
            <v>32100</v>
          </cell>
          <cell r="G634">
            <v>0</v>
          </cell>
          <cell r="H634">
            <v>0</v>
          </cell>
          <cell r="J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>
            <v>26</v>
          </cell>
          <cell r="B635" t="str">
            <v>Kaca bening 5 mm</v>
          </cell>
          <cell r="C635" t="str">
            <v>M2</v>
          </cell>
          <cell r="D635">
            <v>66700</v>
          </cell>
          <cell r="E635">
            <v>5.0399999999999993E-2</v>
          </cell>
          <cell r="F635">
            <v>3361.6799999999994</v>
          </cell>
          <cell r="G635">
            <v>0</v>
          </cell>
          <cell r="H635">
            <v>0</v>
          </cell>
          <cell r="J635">
            <v>0</v>
          </cell>
          <cell r="L635">
            <v>0</v>
          </cell>
          <cell r="N635">
            <v>0</v>
          </cell>
          <cell r="P635">
            <v>0</v>
          </cell>
          <cell r="R635">
            <v>0</v>
          </cell>
        </row>
        <row r="636">
          <cell r="A636">
            <v>27</v>
          </cell>
          <cell r="B636" t="str">
            <v>Kaca bening 10 mm</v>
          </cell>
          <cell r="C636" t="str">
            <v>M2</v>
          </cell>
          <cell r="D636">
            <v>280895.75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0.89999999999999991</v>
          </cell>
          <cell r="L636">
            <v>252806.17499999999</v>
          </cell>
          <cell r="M636">
            <v>0.89999999999999991</v>
          </cell>
          <cell r="N636">
            <v>252806.17499999999</v>
          </cell>
          <cell r="P636">
            <v>0</v>
          </cell>
          <cell r="R636">
            <v>0</v>
          </cell>
        </row>
        <row r="637">
          <cell r="A637">
            <v>28</v>
          </cell>
          <cell r="B637" t="str">
            <v>Kaca Bening 12 mm</v>
          </cell>
          <cell r="C637" t="str">
            <v>M2</v>
          </cell>
          <cell r="D637">
            <v>403787.64062499994</v>
          </cell>
          <cell r="F637">
            <v>0</v>
          </cell>
          <cell r="G637">
            <v>0</v>
          </cell>
          <cell r="H637">
            <v>0</v>
          </cell>
          <cell r="I637">
            <v>1.3</v>
          </cell>
          <cell r="J637">
            <v>524923.93281249993</v>
          </cell>
          <cell r="L637">
            <v>0</v>
          </cell>
          <cell r="N637">
            <v>0</v>
          </cell>
          <cell r="P637">
            <v>0</v>
          </cell>
          <cell r="R637">
            <v>0</v>
          </cell>
        </row>
        <row r="638">
          <cell r="A638">
            <v>29</v>
          </cell>
          <cell r="B638" t="str">
            <v>Besi hollow 4/4</v>
          </cell>
          <cell r="C638" t="str">
            <v>M'</v>
          </cell>
          <cell r="D638">
            <v>48625.000000000051</v>
          </cell>
          <cell r="F638">
            <v>0</v>
          </cell>
          <cell r="G638">
            <v>0</v>
          </cell>
          <cell r="H638">
            <v>0</v>
          </cell>
          <cell r="J638">
            <v>0</v>
          </cell>
          <cell r="L638">
            <v>0</v>
          </cell>
          <cell r="N638">
            <v>0</v>
          </cell>
          <cell r="P638">
            <v>0</v>
          </cell>
          <cell r="R638">
            <v>0</v>
          </cell>
        </row>
        <row r="639">
          <cell r="A639">
            <v>30</v>
          </cell>
          <cell r="B639" t="str">
            <v>Besi hollow 6/6</v>
          </cell>
          <cell r="C639" t="str">
            <v>M'</v>
          </cell>
          <cell r="D639">
            <v>74462.500000000058</v>
          </cell>
          <cell r="F639">
            <v>0</v>
          </cell>
          <cell r="G639">
            <v>0</v>
          </cell>
          <cell r="H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R639">
            <v>0</v>
          </cell>
        </row>
        <row r="640">
          <cell r="A640">
            <v>31</v>
          </cell>
          <cell r="B640" t="str">
            <v>Besi hollow 2.5/5</v>
          </cell>
          <cell r="C640" t="str">
            <v>Kg</v>
          </cell>
          <cell r="D640">
            <v>74462.500000000058</v>
          </cell>
          <cell r="F640">
            <v>0</v>
          </cell>
          <cell r="G640">
            <v>0</v>
          </cell>
          <cell r="H640">
            <v>0</v>
          </cell>
          <cell r="J640">
            <v>0</v>
          </cell>
          <cell r="L640">
            <v>0</v>
          </cell>
          <cell r="N640">
            <v>0</v>
          </cell>
          <cell r="P640">
            <v>0</v>
          </cell>
          <cell r="R640">
            <v>0</v>
          </cell>
        </row>
        <row r="641">
          <cell r="A641">
            <v>32</v>
          </cell>
          <cell r="B641" t="str">
            <v>Besi hollow 5/5</v>
          </cell>
          <cell r="C641" t="str">
            <v>Kg</v>
          </cell>
          <cell r="D641">
            <v>74462.500000000058</v>
          </cell>
          <cell r="F641">
            <v>0</v>
          </cell>
          <cell r="G641">
            <v>0</v>
          </cell>
          <cell r="H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R641">
            <v>0</v>
          </cell>
        </row>
        <row r="642">
          <cell r="A642">
            <v>33</v>
          </cell>
          <cell r="B642" t="str">
            <v>Besi hollow 2/2</v>
          </cell>
          <cell r="C642" t="str">
            <v>Kg</v>
          </cell>
          <cell r="D642">
            <v>74462.500000000058</v>
          </cell>
          <cell r="F642">
            <v>0</v>
          </cell>
          <cell r="G642">
            <v>0</v>
          </cell>
          <cell r="H642">
            <v>0</v>
          </cell>
          <cell r="J642">
            <v>0</v>
          </cell>
          <cell r="L642">
            <v>0</v>
          </cell>
          <cell r="N642">
            <v>0</v>
          </cell>
          <cell r="P642">
            <v>0</v>
          </cell>
          <cell r="R642">
            <v>0</v>
          </cell>
        </row>
        <row r="643">
          <cell r="A643">
            <v>34</v>
          </cell>
          <cell r="B643" t="str">
            <v>Besi hollow 2/4</v>
          </cell>
          <cell r="C643" t="str">
            <v>Kg</v>
          </cell>
          <cell r="D643">
            <v>74462.500000000058</v>
          </cell>
          <cell r="F643">
            <v>0</v>
          </cell>
          <cell r="G643">
            <v>0</v>
          </cell>
          <cell r="H643">
            <v>0</v>
          </cell>
          <cell r="J643">
            <v>0</v>
          </cell>
          <cell r="L643">
            <v>0</v>
          </cell>
          <cell r="N643">
            <v>0</v>
          </cell>
          <cell r="P643">
            <v>0</v>
          </cell>
          <cell r="R643">
            <v>0</v>
          </cell>
        </row>
        <row r="644">
          <cell r="A644">
            <v>35</v>
          </cell>
          <cell r="B644" t="str">
            <v>Kaca Tempered 12 mm</v>
          </cell>
          <cell r="C644" t="str">
            <v>M2</v>
          </cell>
          <cell r="D644">
            <v>528395.75</v>
          </cell>
          <cell r="F644">
            <v>0</v>
          </cell>
          <cell r="G644">
            <v>0</v>
          </cell>
          <cell r="H644">
            <v>0</v>
          </cell>
          <cell r="J644">
            <v>0</v>
          </cell>
          <cell r="L644">
            <v>0</v>
          </cell>
          <cell r="N644">
            <v>0</v>
          </cell>
          <cell r="P644">
            <v>0</v>
          </cell>
          <cell r="R644">
            <v>0</v>
          </cell>
        </row>
        <row r="645">
          <cell r="A645">
            <v>36</v>
          </cell>
          <cell r="B645" t="str">
            <v>Glass Block</v>
          </cell>
          <cell r="C645" t="str">
            <v>Bh</v>
          </cell>
          <cell r="D645">
            <v>45000</v>
          </cell>
          <cell r="F645">
            <v>0</v>
          </cell>
          <cell r="G645">
            <v>0</v>
          </cell>
          <cell r="H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P645">
            <v>0</v>
          </cell>
          <cell r="R645">
            <v>0</v>
          </cell>
        </row>
        <row r="646">
          <cell r="A646">
            <v>37</v>
          </cell>
          <cell r="B646" t="str">
            <v>Kaca Es</v>
          </cell>
          <cell r="C646" t="str">
            <v>M2</v>
          </cell>
          <cell r="D646">
            <v>66700</v>
          </cell>
          <cell r="F646">
            <v>0</v>
          </cell>
          <cell r="G646">
            <v>0</v>
          </cell>
          <cell r="H646">
            <v>0</v>
          </cell>
          <cell r="J646">
            <v>0</v>
          </cell>
          <cell r="L646">
            <v>0</v>
          </cell>
          <cell r="N646">
            <v>0</v>
          </cell>
          <cell r="P646">
            <v>0</v>
          </cell>
          <cell r="R646">
            <v>0</v>
          </cell>
        </row>
        <row r="647">
          <cell r="A647">
            <v>38</v>
          </cell>
          <cell r="B647" t="str">
            <v>Krepyak Kaca Nako + Kerangka</v>
          </cell>
          <cell r="C647" t="str">
            <v>M2</v>
          </cell>
          <cell r="D647">
            <v>81300</v>
          </cell>
          <cell r="F647">
            <v>0</v>
          </cell>
          <cell r="G647">
            <v>0</v>
          </cell>
          <cell r="H647">
            <v>0</v>
          </cell>
          <cell r="J647">
            <v>0</v>
          </cell>
          <cell r="L647">
            <v>0</v>
          </cell>
          <cell r="N647">
            <v>0</v>
          </cell>
          <cell r="P647">
            <v>0</v>
          </cell>
          <cell r="R647">
            <v>0</v>
          </cell>
        </row>
        <row r="648">
          <cell r="A648">
            <v>39</v>
          </cell>
          <cell r="B648" t="str">
            <v>Sticker Efek Kaca Es</v>
          </cell>
          <cell r="C648" t="str">
            <v>M2</v>
          </cell>
          <cell r="D648">
            <v>150000</v>
          </cell>
          <cell r="F648">
            <v>0</v>
          </cell>
          <cell r="G648">
            <v>0</v>
          </cell>
          <cell r="H648">
            <v>0</v>
          </cell>
          <cell r="J648">
            <v>0</v>
          </cell>
          <cell r="L648">
            <v>0</v>
          </cell>
          <cell r="N648">
            <v>0</v>
          </cell>
          <cell r="P648">
            <v>0</v>
          </cell>
          <cell r="R648">
            <v>0</v>
          </cell>
        </row>
        <row r="649">
          <cell r="A649">
            <v>40</v>
          </cell>
          <cell r="B649" t="str">
            <v>Rel Pintu Dorong</v>
          </cell>
          <cell r="C649" t="str">
            <v>M'</v>
          </cell>
          <cell r="D649">
            <v>275000</v>
          </cell>
          <cell r="F649">
            <v>0</v>
          </cell>
          <cell r="G649">
            <v>0</v>
          </cell>
          <cell r="H649">
            <v>0</v>
          </cell>
          <cell r="J649">
            <v>0</v>
          </cell>
          <cell r="L649">
            <v>0</v>
          </cell>
          <cell r="N649">
            <v>0</v>
          </cell>
          <cell r="P649">
            <v>0</v>
          </cell>
          <cell r="Q649">
            <v>7.36</v>
          </cell>
          <cell r="R649">
            <v>2024000</v>
          </cell>
        </row>
        <row r="650">
          <cell r="A650">
            <v>41</v>
          </cell>
          <cell r="B650" t="str">
            <v>Rolling Door</v>
          </cell>
          <cell r="C650" t="str">
            <v>M2</v>
          </cell>
          <cell r="D650">
            <v>358100</v>
          </cell>
          <cell r="F650">
            <v>0</v>
          </cell>
          <cell r="G650">
            <v>0</v>
          </cell>
          <cell r="H650">
            <v>0</v>
          </cell>
          <cell r="J650">
            <v>0</v>
          </cell>
          <cell r="L650">
            <v>0</v>
          </cell>
          <cell r="N650">
            <v>0</v>
          </cell>
          <cell r="P650">
            <v>0</v>
          </cell>
          <cell r="R650">
            <v>0</v>
          </cell>
        </row>
        <row r="651">
          <cell r="A651">
            <v>42</v>
          </cell>
          <cell r="B651" t="str">
            <v>Roster</v>
          </cell>
          <cell r="C651" t="str">
            <v>M2</v>
          </cell>
          <cell r="D651">
            <v>133850</v>
          </cell>
          <cell r="F651">
            <v>0</v>
          </cell>
          <cell r="G651">
            <v>0</v>
          </cell>
          <cell r="H651">
            <v>0</v>
          </cell>
          <cell r="J651">
            <v>0</v>
          </cell>
          <cell r="L651">
            <v>0</v>
          </cell>
          <cell r="N651">
            <v>0</v>
          </cell>
          <cell r="P651">
            <v>0</v>
          </cell>
          <cell r="R651">
            <v>0</v>
          </cell>
        </row>
        <row r="652">
          <cell r="A652">
            <v>43</v>
          </cell>
          <cell r="B652" t="str">
            <v>Gipsum Board</v>
          </cell>
          <cell r="C652" t="str">
            <v>M2</v>
          </cell>
          <cell r="D652">
            <v>29000</v>
          </cell>
          <cell r="F652">
            <v>0</v>
          </cell>
          <cell r="G652">
            <v>0</v>
          </cell>
          <cell r="H652">
            <v>0</v>
          </cell>
          <cell r="J652">
            <v>0</v>
          </cell>
          <cell r="L652">
            <v>0</v>
          </cell>
          <cell r="N652">
            <v>0</v>
          </cell>
          <cell r="P652">
            <v>0</v>
          </cell>
          <cell r="R652">
            <v>0</v>
          </cell>
        </row>
        <row r="653">
          <cell r="A653">
            <v>44</v>
          </cell>
          <cell r="B653" t="str">
            <v>List Gipsum</v>
          </cell>
          <cell r="C653" t="str">
            <v>M'</v>
          </cell>
          <cell r="D653">
            <v>17300</v>
          </cell>
          <cell r="F653">
            <v>0</v>
          </cell>
          <cell r="G653">
            <v>0</v>
          </cell>
          <cell r="H653">
            <v>0</v>
          </cell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P653">
            <v>0</v>
          </cell>
          <cell r="R653">
            <v>0</v>
          </cell>
        </row>
        <row r="654">
          <cell r="A654">
            <v>45</v>
          </cell>
          <cell r="B654" t="str">
            <v>Sealent</v>
          </cell>
          <cell r="C654" t="str">
            <v>M'</v>
          </cell>
          <cell r="D654">
            <v>8400</v>
          </cell>
          <cell r="E654">
            <v>4.32</v>
          </cell>
          <cell r="F654">
            <v>36288</v>
          </cell>
          <cell r="G654">
            <v>0</v>
          </cell>
          <cell r="H654">
            <v>0</v>
          </cell>
          <cell r="I654">
            <v>10.6</v>
          </cell>
          <cell r="J654">
            <v>89040</v>
          </cell>
          <cell r="K654">
            <v>8.4</v>
          </cell>
          <cell r="L654">
            <v>70560</v>
          </cell>
          <cell r="M654">
            <v>8.4</v>
          </cell>
          <cell r="N654">
            <v>70560</v>
          </cell>
          <cell r="P654">
            <v>0</v>
          </cell>
          <cell r="R654">
            <v>0</v>
          </cell>
        </row>
        <row r="655">
          <cell r="A655">
            <v>46</v>
          </cell>
          <cell r="B655" t="str">
            <v>Benangan Kusen</v>
          </cell>
          <cell r="C655" t="str">
            <v>M'</v>
          </cell>
          <cell r="D655">
            <v>4296.0074999999997</v>
          </cell>
          <cell r="E655">
            <v>11.7</v>
          </cell>
          <cell r="F655">
            <v>50263.287749999996</v>
          </cell>
          <cell r="G655">
            <v>5.7839999999999998</v>
          </cell>
          <cell r="H655">
            <v>24848.107379999998</v>
          </cell>
          <cell r="I655">
            <v>21.2</v>
          </cell>
          <cell r="J655">
            <v>91075.358999999997</v>
          </cell>
          <cell r="K655">
            <v>16.8</v>
          </cell>
          <cell r="L655">
            <v>72172.925999999992</v>
          </cell>
          <cell r="M655">
            <v>16.8</v>
          </cell>
          <cell r="N655">
            <v>72172.925999999992</v>
          </cell>
          <cell r="P655">
            <v>0</v>
          </cell>
          <cell r="R655">
            <v>0</v>
          </cell>
        </row>
        <row r="656">
          <cell r="A656">
            <v>47</v>
          </cell>
          <cell r="B656" t="str">
            <v xml:space="preserve">Cat Kayu </v>
          </cell>
          <cell r="C656" t="str">
            <v>M2</v>
          </cell>
          <cell r="D656">
            <v>19370.5</v>
          </cell>
          <cell r="E656">
            <v>3</v>
          </cell>
          <cell r="F656">
            <v>58111.5</v>
          </cell>
          <cell r="G656">
            <v>4.0991999999999997</v>
          </cell>
          <cell r="H656">
            <v>79403.553599999999</v>
          </cell>
          <cell r="J656">
            <v>0</v>
          </cell>
          <cell r="L656">
            <v>0</v>
          </cell>
          <cell r="N656">
            <v>0</v>
          </cell>
          <cell r="P656">
            <v>0</v>
          </cell>
          <cell r="R656">
            <v>0</v>
          </cell>
        </row>
        <row r="657">
          <cell r="A657">
            <v>48</v>
          </cell>
          <cell r="B657" t="str">
            <v>Cat Besi</v>
          </cell>
          <cell r="C657" t="str">
            <v>M2</v>
          </cell>
          <cell r="D657">
            <v>13698</v>
          </cell>
          <cell r="F657">
            <v>0</v>
          </cell>
          <cell r="G657">
            <v>0</v>
          </cell>
          <cell r="H657">
            <v>0</v>
          </cell>
          <cell r="J657">
            <v>0</v>
          </cell>
          <cell r="L657">
            <v>0</v>
          </cell>
          <cell r="N657">
            <v>0</v>
          </cell>
          <cell r="O657">
            <v>5.12</v>
          </cell>
          <cell r="P657">
            <v>70133.759999999995</v>
          </cell>
          <cell r="Q657">
            <v>5.12</v>
          </cell>
          <cell r="R657">
            <v>70133.759999999995</v>
          </cell>
        </row>
        <row r="658">
          <cell r="A658">
            <v>49</v>
          </cell>
          <cell r="B658" t="str">
            <v>Cat Dinding</v>
          </cell>
          <cell r="C658" t="str">
            <v>M2</v>
          </cell>
          <cell r="D658">
            <v>9900</v>
          </cell>
          <cell r="F658">
            <v>0</v>
          </cell>
          <cell r="G658">
            <v>0</v>
          </cell>
          <cell r="H658">
            <v>0</v>
          </cell>
          <cell r="J658">
            <v>0</v>
          </cell>
          <cell r="L658">
            <v>0</v>
          </cell>
          <cell r="N658">
            <v>0</v>
          </cell>
          <cell r="P658">
            <v>0</v>
          </cell>
          <cell r="R658">
            <v>0</v>
          </cell>
        </row>
        <row r="659">
          <cell r="A659">
            <v>50</v>
          </cell>
          <cell r="B659" t="str">
            <v>Rel Jendela Geser</v>
          </cell>
          <cell r="C659" t="str">
            <v>M'</v>
          </cell>
          <cell r="D659">
            <v>275000</v>
          </cell>
          <cell r="F659">
            <v>0</v>
          </cell>
          <cell r="J659">
            <v>0</v>
          </cell>
          <cell r="L659">
            <v>0</v>
          </cell>
          <cell r="N659">
            <v>0</v>
          </cell>
          <cell r="P659">
            <v>0</v>
          </cell>
          <cell r="R659">
            <v>0</v>
          </cell>
        </row>
        <row r="661">
          <cell r="B661" t="str">
            <v>Jumlah Harga</v>
          </cell>
          <cell r="F661">
            <v>691295.96775000007</v>
          </cell>
          <cell r="H661">
            <v>1690743.9109799999</v>
          </cell>
          <cell r="J661">
            <v>705039.29181249999</v>
          </cell>
          <cell r="L661">
            <v>395539.10099999997</v>
          </cell>
          <cell r="N661">
            <v>395539.10099999997</v>
          </cell>
          <cell r="P661">
            <v>869800.95999999996</v>
          </cell>
          <cell r="R661">
            <v>3158800.96</v>
          </cell>
        </row>
        <row r="665">
          <cell r="A665" t="str">
            <v>No.</v>
          </cell>
          <cell r="B665" t="str">
            <v>Item Pekerjaan</v>
          </cell>
          <cell r="C665" t="str">
            <v>Satuan</v>
          </cell>
          <cell r="D665" t="str">
            <v>Harga Satuan</v>
          </cell>
          <cell r="E665" t="str">
            <v>P1</v>
          </cell>
          <cell r="G665" t="str">
            <v>P2</v>
          </cell>
          <cell r="I665" t="str">
            <v>P2'</v>
          </cell>
          <cell r="K665" t="str">
            <v>P3</v>
          </cell>
          <cell r="M665" t="str">
            <v>P3'</v>
          </cell>
          <cell r="O665" t="str">
            <v>P4</v>
          </cell>
          <cell r="Q665" t="str">
            <v>J1</v>
          </cell>
          <cell r="S665" t="str">
            <v>J2</v>
          </cell>
          <cell r="U665" t="str">
            <v>J3</v>
          </cell>
          <cell r="W665" t="str">
            <v>BV1</v>
          </cell>
          <cell r="Y665" t="str">
            <v>BV2</v>
          </cell>
          <cell r="AA665" t="str">
            <v>ROLLING DOOR</v>
          </cell>
        </row>
        <row r="666">
          <cell r="D666" t="str">
            <v>Rp.</v>
          </cell>
          <cell r="E666" t="str">
            <v>Vol.</v>
          </cell>
          <cell r="F666" t="str">
            <v>Jumlah Harga</v>
          </cell>
          <cell r="G666" t="str">
            <v>Vol.</v>
          </cell>
          <cell r="H666" t="str">
            <v>Jumlah Harga</v>
          </cell>
          <cell r="I666" t="str">
            <v>Vol.</v>
          </cell>
          <cell r="J666" t="str">
            <v>Jumlah Harga</v>
          </cell>
          <cell r="K666" t="str">
            <v>Vol.</v>
          </cell>
          <cell r="L666" t="str">
            <v>Jumlah Harga</v>
          </cell>
          <cell r="M666" t="str">
            <v>Vol.</v>
          </cell>
          <cell r="N666" t="str">
            <v>Jumlah Harga</v>
          </cell>
          <cell r="O666" t="str">
            <v>Vol.</v>
          </cell>
          <cell r="P666" t="str">
            <v>Jumlah Harga</v>
          </cell>
          <cell r="Q666" t="str">
            <v>Vol.</v>
          </cell>
          <cell r="R666" t="str">
            <v>Jumlah Harga</v>
          </cell>
          <cell r="S666" t="str">
            <v>Vol.</v>
          </cell>
          <cell r="T666" t="str">
            <v>Jumlah Harga</v>
          </cell>
          <cell r="U666" t="str">
            <v>Vol.</v>
          </cell>
          <cell r="V666" t="str">
            <v>Jumlah Harga</v>
          </cell>
          <cell r="W666" t="str">
            <v>Vol.</v>
          </cell>
          <cell r="X666" t="str">
            <v>Jumlah Harga</v>
          </cell>
          <cell r="Y666" t="str">
            <v>Vol.</v>
          </cell>
          <cell r="Z666" t="str">
            <v>Jumlah Harga</v>
          </cell>
          <cell r="AA666" t="str">
            <v>Vol.</v>
          </cell>
          <cell r="AB666" t="str">
            <v>Jumlah Harga</v>
          </cell>
        </row>
        <row r="667">
          <cell r="A667" t="str">
            <v>X.</v>
          </cell>
          <cell r="B667" t="str">
            <v>UNIT KOLAM RENANG</v>
          </cell>
        </row>
        <row r="669">
          <cell r="A669">
            <v>1</v>
          </cell>
          <cell r="B669" t="str">
            <v>Kayu 6/12</v>
          </cell>
          <cell r="C669" t="str">
            <v>M3</v>
          </cell>
          <cell r="D669">
            <v>0</v>
          </cell>
          <cell r="E669">
            <v>2.3120000000000002E-2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3.6144000000000003E-2</v>
          </cell>
          <cell r="L669">
            <v>0</v>
          </cell>
          <cell r="M669">
            <v>3.6144000000000003E-2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Z669">
            <v>0</v>
          </cell>
          <cell r="AB669">
            <v>0</v>
          </cell>
        </row>
        <row r="670">
          <cell r="A670">
            <v>2</v>
          </cell>
          <cell r="B670" t="str">
            <v>Kayu Slimar 3/10</v>
          </cell>
          <cell r="C670" t="str">
            <v>M3</v>
          </cell>
          <cell r="D670">
            <v>0</v>
          </cell>
          <cell r="E670">
            <v>6.4000000000000012E-3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1.4159999999999999E-2</v>
          </cell>
          <cell r="L670">
            <v>0</v>
          </cell>
          <cell r="M670">
            <v>1.4159999999999999E-2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Z670">
            <v>0</v>
          </cell>
          <cell r="AB670">
            <v>0</v>
          </cell>
        </row>
        <row r="671">
          <cell r="A671">
            <v>3</v>
          </cell>
          <cell r="B671" t="str">
            <v>Kayu Slimar 3/15</v>
          </cell>
          <cell r="C671" t="str">
            <v>M3</v>
          </cell>
          <cell r="D671">
            <v>0</v>
          </cell>
          <cell r="E671">
            <v>14.399999999999999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2.6999999999999997E-3</v>
          </cell>
          <cell r="L671">
            <v>0</v>
          </cell>
          <cell r="M671">
            <v>2.6999999999999997E-3</v>
          </cell>
          <cell r="N671">
            <v>0</v>
          </cell>
          <cell r="O671">
            <v>0</v>
          </cell>
          <cell r="P671">
            <v>0</v>
          </cell>
          <cell r="R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Z671">
            <v>0</v>
          </cell>
          <cell r="AB671">
            <v>0</v>
          </cell>
        </row>
        <row r="672">
          <cell r="A672">
            <v>4</v>
          </cell>
          <cell r="B672" t="str">
            <v>Kayu Slimar 3/20</v>
          </cell>
          <cell r="C672" t="str">
            <v>M3</v>
          </cell>
          <cell r="D672">
            <v>0</v>
          </cell>
          <cell r="E672">
            <v>6.6879999999999997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3.5999999999999999E-3</v>
          </cell>
          <cell r="L672">
            <v>0</v>
          </cell>
          <cell r="M672">
            <v>3.5999999999999999E-3</v>
          </cell>
          <cell r="N672">
            <v>0</v>
          </cell>
          <cell r="O672">
            <v>0</v>
          </cell>
          <cell r="P672">
            <v>0</v>
          </cell>
          <cell r="R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Z672">
            <v>0</v>
          </cell>
          <cell r="AB672">
            <v>0</v>
          </cell>
        </row>
        <row r="673">
          <cell r="A673">
            <v>5</v>
          </cell>
          <cell r="B673" t="str">
            <v>Kayu 2/10</v>
          </cell>
          <cell r="C673" t="str">
            <v>M3</v>
          </cell>
          <cell r="D673">
            <v>0</v>
          </cell>
          <cell r="E673">
            <v>6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5.4000000000000012E-3</v>
          </cell>
          <cell r="L673">
            <v>0</v>
          </cell>
          <cell r="M673">
            <v>5.4000000000000012E-3</v>
          </cell>
          <cell r="N673">
            <v>0</v>
          </cell>
          <cell r="O673">
            <v>0</v>
          </cell>
          <cell r="P673">
            <v>0</v>
          </cell>
          <cell r="Q673">
            <v>10.25</v>
          </cell>
          <cell r="R673">
            <v>0</v>
          </cell>
          <cell r="S673">
            <v>3.4999999999999996</v>
          </cell>
          <cell r="T673">
            <v>0</v>
          </cell>
          <cell r="U673">
            <v>5.9</v>
          </cell>
          <cell r="V673">
            <v>0</v>
          </cell>
          <cell r="W673">
            <v>2</v>
          </cell>
          <cell r="X673">
            <v>0</v>
          </cell>
          <cell r="Y673">
            <v>2</v>
          </cell>
          <cell r="Z673">
            <v>0</v>
          </cell>
          <cell r="AB673">
            <v>0</v>
          </cell>
        </row>
        <row r="674">
          <cell r="A674">
            <v>6</v>
          </cell>
          <cell r="B674" t="str">
            <v>Panil t = 3 cm</v>
          </cell>
          <cell r="C674" t="str">
            <v>M2</v>
          </cell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0.49500000000000005</v>
          </cell>
          <cell r="L674">
            <v>0</v>
          </cell>
          <cell r="M674">
            <v>0.49500000000000005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Z674">
            <v>0</v>
          </cell>
          <cell r="AB674">
            <v>0</v>
          </cell>
        </row>
        <row r="675">
          <cell r="A675">
            <v>1</v>
          </cell>
          <cell r="B675" t="str">
            <v>Kusen Aluminium 5/10</v>
          </cell>
          <cell r="C675" t="str">
            <v>M'</v>
          </cell>
          <cell r="D675">
            <v>124948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5</v>
          </cell>
          <cell r="L675">
            <v>624740</v>
          </cell>
          <cell r="M675">
            <v>5</v>
          </cell>
          <cell r="N675">
            <v>624740</v>
          </cell>
          <cell r="O675">
            <v>6.1999999999999993</v>
          </cell>
          <cell r="P675">
            <v>774677.59999999986</v>
          </cell>
          <cell r="R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Z675">
            <v>0</v>
          </cell>
          <cell r="AB675">
            <v>0</v>
          </cell>
        </row>
        <row r="676">
          <cell r="A676">
            <v>2</v>
          </cell>
          <cell r="B676" t="str">
            <v xml:space="preserve">Rangka Daun Jendela Alumunium </v>
          </cell>
          <cell r="C676" t="str">
            <v>M'</v>
          </cell>
          <cell r="D676">
            <v>124948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7</v>
          </cell>
          <cell r="R676">
            <v>874636</v>
          </cell>
          <cell r="S676">
            <v>3.0999999999999996</v>
          </cell>
          <cell r="T676">
            <v>387338.79999999993</v>
          </cell>
          <cell r="U676">
            <v>0</v>
          </cell>
          <cell r="V676">
            <v>0</v>
          </cell>
          <cell r="X676">
            <v>0</v>
          </cell>
          <cell r="Z676">
            <v>0</v>
          </cell>
          <cell r="AB676">
            <v>0</v>
          </cell>
        </row>
        <row r="677">
          <cell r="A677">
            <v>3</v>
          </cell>
          <cell r="B677" t="str">
            <v>Rangka Tiang Sirip Alumunium 1/1 Putih</v>
          </cell>
          <cell r="C677" t="str">
            <v>M'</v>
          </cell>
          <cell r="D677">
            <v>62474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2.6</v>
          </cell>
          <cell r="R677">
            <v>162432.4</v>
          </cell>
          <cell r="T677">
            <v>0</v>
          </cell>
          <cell r="U677">
            <v>1.85</v>
          </cell>
          <cell r="V677">
            <v>115576.90000000001</v>
          </cell>
          <cell r="X677">
            <v>0</v>
          </cell>
          <cell r="Z677">
            <v>0</v>
          </cell>
          <cell r="AB677">
            <v>0</v>
          </cell>
        </row>
        <row r="678">
          <cell r="A678">
            <v>4</v>
          </cell>
          <cell r="B678" t="str">
            <v>Pasang Shading Sirip Alumunium 0.2/10 +Rangka</v>
          </cell>
          <cell r="C678" t="str">
            <v>M2</v>
          </cell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0.26250000000000001</v>
          </cell>
          <cell r="R678">
            <v>0</v>
          </cell>
          <cell r="T678">
            <v>0</v>
          </cell>
          <cell r="U678">
            <v>0.14499999999999999</v>
          </cell>
          <cell r="V678">
            <v>0</v>
          </cell>
          <cell r="X678">
            <v>0</v>
          </cell>
          <cell r="Z678">
            <v>0</v>
          </cell>
          <cell r="AB678">
            <v>0</v>
          </cell>
        </row>
        <row r="679">
          <cell r="A679">
            <v>5</v>
          </cell>
          <cell r="B679" t="str">
            <v>Daun Pintu Panil Kamper</v>
          </cell>
          <cell r="C679" t="str">
            <v>bh</v>
          </cell>
          <cell r="D679">
            <v>550000</v>
          </cell>
          <cell r="E679">
            <v>0.19440000000000002</v>
          </cell>
          <cell r="F679">
            <v>106920.00000000001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1.2</v>
          </cell>
          <cell r="L679">
            <v>660000</v>
          </cell>
          <cell r="M679">
            <v>1.2</v>
          </cell>
          <cell r="N679">
            <v>660000</v>
          </cell>
          <cell r="O679">
            <v>0.16056000000000001</v>
          </cell>
          <cell r="P679">
            <v>88308</v>
          </cell>
          <cell r="R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Z679">
            <v>0</v>
          </cell>
          <cell r="AB679">
            <v>0</v>
          </cell>
        </row>
        <row r="680">
          <cell r="A680">
            <v>6</v>
          </cell>
          <cell r="B680" t="str">
            <v>Plat besi t = 2 mm</v>
          </cell>
          <cell r="C680" t="str">
            <v>Kg</v>
          </cell>
          <cell r="D680">
            <v>0</v>
          </cell>
          <cell r="F680">
            <v>0</v>
          </cell>
          <cell r="G680">
            <v>57.085200000000007</v>
          </cell>
          <cell r="H680">
            <v>0</v>
          </cell>
          <cell r="I680">
            <v>57.085200000000007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P680">
            <v>0</v>
          </cell>
          <cell r="R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Z680">
            <v>0</v>
          </cell>
          <cell r="AB680">
            <v>0</v>
          </cell>
        </row>
        <row r="681">
          <cell r="A681">
            <v>7</v>
          </cell>
          <cell r="B681" t="str">
            <v>C 40.40.2  (pesan khusus)</v>
          </cell>
          <cell r="C681" t="str">
            <v>Kg</v>
          </cell>
          <cell r="D681">
            <v>14122.3</v>
          </cell>
          <cell r="F681">
            <v>0</v>
          </cell>
          <cell r="G681">
            <v>42.56</v>
          </cell>
          <cell r="H681">
            <v>601045.08799999999</v>
          </cell>
          <cell r="I681">
            <v>42.56</v>
          </cell>
          <cell r="J681">
            <v>601045.08799999999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R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Z681">
            <v>0</v>
          </cell>
          <cell r="AB681">
            <v>0</v>
          </cell>
        </row>
        <row r="682">
          <cell r="A682">
            <v>8</v>
          </cell>
          <cell r="B682" t="str">
            <v>Handle besi dia 16 mm</v>
          </cell>
          <cell r="C682" t="str">
            <v>Set</v>
          </cell>
          <cell r="D682">
            <v>129652.5</v>
          </cell>
          <cell r="F682">
            <v>0</v>
          </cell>
          <cell r="G682">
            <v>1</v>
          </cell>
          <cell r="H682">
            <v>129652.5</v>
          </cell>
          <cell r="I682">
            <v>1</v>
          </cell>
          <cell r="J682">
            <v>129652.5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0</v>
          </cell>
          <cell r="R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Z682">
            <v>0</v>
          </cell>
          <cell r="AB682">
            <v>0</v>
          </cell>
        </row>
        <row r="683">
          <cell r="A683">
            <v>9</v>
          </cell>
          <cell r="B683" t="str">
            <v>Hendle pintu Stainless</v>
          </cell>
          <cell r="C683" t="str">
            <v>Set</v>
          </cell>
          <cell r="D683">
            <v>261652.5</v>
          </cell>
          <cell r="E683">
            <v>2</v>
          </cell>
          <cell r="F683">
            <v>523305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P683">
            <v>0</v>
          </cell>
          <cell r="R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Z683">
            <v>0</v>
          </cell>
          <cell r="AB683">
            <v>0</v>
          </cell>
        </row>
        <row r="684">
          <cell r="A684">
            <v>10</v>
          </cell>
          <cell r="B684" t="str">
            <v>Kunci Pintu Handle stainleess (dorma)</v>
          </cell>
          <cell r="C684" t="str">
            <v>Set</v>
          </cell>
          <cell r="D684">
            <v>650000</v>
          </cell>
          <cell r="E684">
            <v>2</v>
          </cell>
          <cell r="F684">
            <v>1300000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P684">
            <v>0</v>
          </cell>
          <cell r="R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Z684">
            <v>0</v>
          </cell>
          <cell r="AB684">
            <v>0</v>
          </cell>
        </row>
        <row r="685">
          <cell r="A685">
            <v>11</v>
          </cell>
          <cell r="B685" t="str">
            <v>Kunci tanam Antik</v>
          </cell>
          <cell r="C685" t="str">
            <v>Set</v>
          </cell>
          <cell r="D685">
            <v>265000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0</v>
          </cell>
          <cell r="R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Z685">
            <v>0</v>
          </cell>
          <cell r="AB685">
            <v>0</v>
          </cell>
        </row>
        <row r="686">
          <cell r="A686">
            <v>12</v>
          </cell>
          <cell r="B686" t="str">
            <v>Kunci tanam biasa</v>
          </cell>
          <cell r="C686" t="str">
            <v>Set</v>
          </cell>
          <cell r="D686">
            <v>168565</v>
          </cell>
          <cell r="E686">
            <v>2</v>
          </cell>
          <cell r="F686">
            <v>337130</v>
          </cell>
          <cell r="G686">
            <v>1</v>
          </cell>
          <cell r="H686">
            <v>168565</v>
          </cell>
          <cell r="I686">
            <v>1</v>
          </cell>
          <cell r="J686">
            <v>168565</v>
          </cell>
          <cell r="K686">
            <v>1</v>
          </cell>
          <cell r="L686">
            <v>168565</v>
          </cell>
          <cell r="M686">
            <v>1</v>
          </cell>
          <cell r="N686">
            <v>168565</v>
          </cell>
          <cell r="O686">
            <v>2</v>
          </cell>
          <cell r="P686">
            <v>337130</v>
          </cell>
          <cell r="R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Z686">
            <v>0</v>
          </cell>
          <cell r="AA686">
            <v>2</v>
          </cell>
          <cell r="AB686">
            <v>337130</v>
          </cell>
        </row>
        <row r="687">
          <cell r="A687">
            <v>13</v>
          </cell>
          <cell r="B687" t="str">
            <v>Kunci Silinder</v>
          </cell>
          <cell r="C687" t="str">
            <v>Set</v>
          </cell>
          <cell r="D687">
            <v>217900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  <cell r="R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Z687">
            <v>0</v>
          </cell>
          <cell r="AB687">
            <v>0</v>
          </cell>
        </row>
        <row r="688">
          <cell r="A688">
            <v>14</v>
          </cell>
          <cell r="B688" t="str">
            <v>Kunci Selot</v>
          </cell>
          <cell r="C688" t="str">
            <v>Set</v>
          </cell>
          <cell r="D688">
            <v>48300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</v>
          </cell>
          <cell r="P688">
            <v>48300</v>
          </cell>
          <cell r="R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Z688">
            <v>0</v>
          </cell>
          <cell r="AB688">
            <v>0</v>
          </cell>
        </row>
        <row r="689">
          <cell r="A689">
            <v>15</v>
          </cell>
          <cell r="B689" t="str">
            <v>Engsel jendela</v>
          </cell>
          <cell r="C689" t="str">
            <v>Bh</v>
          </cell>
          <cell r="D689">
            <v>16600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  <cell r="Q689">
            <v>6</v>
          </cell>
          <cell r="R689">
            <v>99600</v>
          </cell>
          <cell r="S689">
            <v>2</v>
          </cell>
          <cell r="T689">
            <v>33200</v>
          </cell>
          <cell r="U689">
            <v>0</v>
          </cell>
          <cell r="V689">
            <v>0</v>
          </cell>
          <cell r="X689">
            <v>0</v>
          </cell>
          <cell r="Z689">
            <v>0</v>
          </cell>
          <cell r="AB689">
            <v>0</v>
          </cell>
        </row>
        <row r="690">
          <cell r="A690">
            <v>16</v>
          </cell>
          <cell r="B690" t="str">
            <v>Engsel pintu</v>
          </cell>
          <cell r="C690" t="str">
            <v>Bh</v>
          </cell>
          <cell r="D690">
            <v>44395.75</v>
          </cell>
          <cell r="E690">
            <v>4</v>
          </cell>
          <cell r="F690">
            <v>177583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3</v>
          </cell>
          <cell r="L690">
            <v>133187.25</v>
          </cell>
          <cell r="M690">
            <v>3</v>
          </cell>
          <cell r="N690">
            <v>133187.25</v>
          </cell>
          <cell r="O690">
            <v>4</v>
          </cell>
          <cell r="P690">
            <v>177583</v>
          </cell>
          <cell r="R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Z690">
            <v>0</v>
          </cell>
          <cell r="AB690">
            <v>0</v>
          </cell>
        </row>
        <row r="691">
          <cell r="A691">
            <v>17</v>
          </cell>
          <cell r="B691" t="str">
            <v>Engsel Pintu dari pipa besi dia 2 cm</v>
          </cell>
          <cell r="C691" t="str">
            <v>Bh</v>
          </cell>
          <cell r="D691">
            <v>66593.625</v>
          </cell>
          <cell r="F691">
            <v>0</v>
          </cell>
          <cell r="G691">
            <v>2</v>
          </cell>
          <cell r="H691">
            <v>133187.25</v>
          </cell>
          <cell r="I691">
            <v>2</v>
          </cell>
          <cell r="J691">
            <v>133187.25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  <cell r="R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Z691">
            <v>0</v>
          </cell>
          <cell r="AB691">
            <v>0</v>
          </cell>
        </row>
        <row r="692">
          <cell r="A692">
            <v>18</v>
          </cell>
          <cell r="B692" t="str">
            <v>Kait/hak angin</v>
          </cell>
          <cell r="C692" t="str">
            <v>Set</v>
          </cell>
          <cell r="D692">
            <v>27000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  <cell r="Q692">
            <v>6</v>
          </cell>
          <cell r="R692">
            <v>162000</v>
          </cell>
          <cell r="S692">
            <v>2</v>
          </cell>
          <cell r="T692">
            <v>54000</v>
          </cell>
          <cell r="U692">
            <v>0</v>
          </cell>
          <cell r="V692">
            <v>0</v>
          </cell>
          <cell r="X692">
            <v>0</v>
          </cell>
          <cell r="Z692">
            <v>0</v>
          </cell>
          <cell r="AB692">
            <v>0</v>
          </cell>
        </row>
        <row r="693">
          <cell r="A693">
            <v>19</v>
          </cell>
          <cell r="B693" t="str">
            <v>Grendel pintu kuningan</v>
          </cell>
          <cell r="C693" t="str">
            <v>Bh</v>
          </cell>
          <cell r="D693">
            <v>125000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  <cell r="R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Z693">
            <v>0</v>
          </cell>
          <cell r="AB693">
            <v>0</v>
          </cell>
        </row>
        <row r="694">
          <cell r="A694">
            <v>20</v>
          </cell>
          <cell r="B694" t="str">
            <v xml:space="preserve">Grendel jendela </v>
          </cell>
          <cell r="C694" t="str">
            <v>Bh</v>
          </cell>
          <cell r="D694">
            <v>8100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  <cell r="R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Z694">
            <v>0</v>
          </cell>
          <cell r="AB694">
            <v>0</v>
          </cell>
        </row>
        <row r="695">
          <cell r="A695">
            <v>21</v>
          </cell>
          <cell r="B695" t="str">
            <v>Grendel pintu</v>
          </cell>
          <cell r="C695" t="str">
            <v>Bh</v>
          </cell>
          <cell r="D695">
            <v>14200</v>
          </cell>
          <cell r="E695">
            <v>2</v>
          </cell>
          <cell r="F695">
            <v>28400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2</v>
          </cell>
          <cell r="P695">
            <v>28400</v>
          </cell>
          <cell r="Q695">
            <v>3</v>
          </cell>
          <cell r="R695">
            <v>42600</v>
          </cell>
          <cell r="S695">
            <v>1</v>
          </cell>
          <cell r="T695">
            <v>14200</v>
          </cell>
          <cell r="U695">
            <v>0</v>
          </cell>
          <cell r="V695">
            <v>0</v>
          </cell>
          <cell r="X695">
            <v>0</v>
          </cell>
          <cell r="Z695">
            <v>0</v>
          </cell>
          <cell r="AB695">
            <v>0</v>
          </cell>
        </row>
        <row r="696">
          <cell r="A696">
            <v>22</v>
          </cell>
          <cell r="B696" t="str">
            <v>Stripting Knip</v>
          </cell>
          <cell r="C696" t="str">
            <v>Set</v>
          </cell>
          <cell r="D696">
            <v>13700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  <cell r="R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Z696">
            <v>0</v>
          </cell>
          <cell r="AB696">
            <v>0</v>
          </cell>
        </row>
        <row r="697">
          <cell r="A697">
            <v>23</v>
          </cell>
          <cell r="B697" t="str">
            <v>Door Closer</v>
          </cell>
          <cell r="C697" t="str">
            <v>Set</v>
          </cell>
          <cell r="D697">
            <v>260800</v>
          </cell>
          <cell r="E697">
            <v>2</v>
          </cell>
          <cell r="F697">
            <v>521600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2</v>
          </cell>
          <cell r="P697">
            <v>521600</v>
          </cell>
          <cell r="R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Z697">
            <v>0</v>
          </cell>
          <cell r="AB697">
            <v>0</v>
          </cell>
        </row>
        <row r="698">
          <cell r="A698">
            <v>24</v>
          </cell>
          <cell r="B698" t="str">
            <v>Door Holder</v>
          </cell>
          <cell r="C698" t="str">
            <v>Set</v>
          </cell>
          <cell r="D698">
            <v>500000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  <cell r="R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Z698">
            <v>0</v>
          </cell>
          <cell r="AB698">
            <v>0</v>
          </cell>
        </row>
        <row r="699">
          <cell r="A699">
            <v>25</v>
          </cell>
          <cell r="B699" t="str">
            <v>Door Stop</v>
          </cell>
          <cell r="C699" t="str">
            <v>Set</v>
          </cell>
          <cell r="D699">
            <v>32100</v>
          </cell>
          <cell r="E699">
            <v>2</v>
          </cell>
          <cell r="F699">
            <v>64200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2</v>
          </cell>
          <cell r="P699">
            <v>64200</v>
          </cell>
          <cell r="R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Z699">
            <v>0</v>
          </cell>
          <cell r="AB699">
            <v>0</v>
          </cell>
        </row>
        <row r="700">
          <cell r="A700">
            <v>26</v>
          </cell>
          <cell r="B700" t="str">
            <v>Kaca bening 5 mm</v>
          </cell>
          <cell r="C700" t="str">
            <v>M2</v>
          </cell>
          <cell r="D700">
            <v>66700</v>
          </cell>
          <cell r="E700">
            <v>0.12719999999999998</v>
          </cell>
          <cell r="F700">
            <v>8484.239999999998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7.6799999999999993E-2</v>
          </cell>
          <cell r="P700">
            <v>5122.5599999999995</v>
          </cell>
          <cell r="Q700">
            <v>0.25919999999999999</v>
          </cell>
          <cell r="R700">
            <v>17288.64</v>
          </cell>
          <cell r="S700">
            <v>0.3276</v>
          </cell>
          <cell r="T700">
            <v>21850.920000000002</v>
          </cell>
          <cell r="U700">
            <v>0</v>
          </cell>
          <cell r="V700">
            <v>0</v>
          </cell>
          <cell r="X700">
            <v>0</v>
          </cell>
          <cell r="Y700">
            <v>0.2</v>
          </cell>
          <cell r="Z700">
            <v>13340</v>
          </cell>
          <cell r="AB700">
            <v>0</v>
          </cell>
        </row>
        <row r="701">
          <cell r="A701">
            <v>27</v>
          </cell>
          <cell r="B701" t="str">
            <v>Kaca bening 10 mm</v>
          </cell>
          <cell r="C701" t="str">
            <v>M2</v>
          </cell>
          <cell r="D701">
            <v>280895.75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  <cell r="Q701">
            <v>1.1235000000000002</v>
          </cell>
          <cell r="R701">
            <v>315586.37512500002</v>
          </cell>
          <cell r="T701">
            <v>0</v>
          </cell>
          <cell r="U701">
            <v>0.57999999999999996</v>
          </cell>
          <cell r="V701">
            <v>162919.53499999997</v>
          </cell>
          <cell r="X701">
            <v>0</v>
          </cell>
          <cell r="Z701">
            <v>0</v>
          </cell>
          <cell r="AB701">
            <v>0</v>
          </cell>
        </row>
        <row r="702">
          <cell r="A702">
            <v>28</v>
          </cell>
          <cell r="B702" t="str">
            <v>Kaca Bening 12 mm</v>
          </cell>
          <cell r="C702" t="str">
            <v>M2</v>
          </cell>
          <cell r="D702">
            <v>403787.64062499994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  <cell r="R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Z702">
            <v>0</v>
          </cell>
          <cell r="AB702">
            <v>0</v>
          </cell>
        </row>
        <row r="703">
          <cell r="A703">
            <v>29</v>
          </cell>
          <cell r="B703" t="str">
            <v>Besi hollow 4/4</v>
          </cell>
          <cell r="C703" t="str">
            <v>M'</v>
          </cell>
          <cell r="D703">
            <v>48625.000000000051</v>
          </cell>
          <cell r="F703">
            <v>0</v>
          </cell>
          <cell r="G703">
            <v>5.09</v>
          </cell>
          <cell r="H703">
            <v>247501.25000000026</v>
          </cell>
          <cell r="I703">
            <v>5.09</v>
          </cell>
          <cell r="J703">
            <v>247501.25000000026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  <cell r="R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Z703">
            <v>0</v>
          </cell>
          <cell r="AB703">
            <v>0</v>
          </cell>
        </row>
        <row r="704">
          <cell r="A704">
            <v>30</v>
          </cell>
          <cell r="B704" t="str">
            <v>Besi hollow 6/6</v>
          </cell>
          <cell r="C704" t="str">
            <v>M'</v>
          </cell>
          <cell r="D704">
            <v>74462.500000000058</v>
          </cell>
          <cell r="F704">
            <v>0</v>
          </cell>
          <cell r="G704">
            <v>5.09</v>
          </cell>
          <cell r="H704">
            <v>379014.12500000029</v>
          </cell>
          <cell r="I704">
            <v>5.09</v>
          </cell>
          <cell r="J704">
            <v>379014.12500000029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P704">
            <v>0</v>
          </cell>
          <cell r="R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Z704">
            <v>0</v>
          </cell>
          <cell r="AB704">
            <v>0</v>
          </cell>
        </row>
        <row r="705">
          <cell r="A705">
            <v>31</v>
          </cell>
          <cell r="B705" t="str">
            <v>Besi hollow 2.5/5</v>
          </cell>
          <cell r="C705" t="str">
            <v>Kg</v>
          </cell>
          <cell r="D705">
            <v>74462.500000000058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P705">
            <v>0</v>
          </cell>
          <cell r="R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Z705">
            <v>0</v>
          </cell>
          <cell r="AB705">
            <v>0</v>
          </cell>
        </row>
        <row r="706">
          <cell r="A706">
            <v>32</v>
          </cell>
          <cell r="B706" t="str">
            <v>Besi hollow 5/5</v>
          </cell>
          <cell r="C706" t="str">
            <v>Kg</v>
          </cell>
          <cell r="D706">
            <v>74462.500000000058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  <cell r="R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Z706">
            <v>0</v>
          </cell>
          <cell r="AB706">
            <v>0</v>
          </cell>
        </row>
        <row r="707">
          <cell r="A707">
            <v>33</v>
          </cell>
          <cell r="B707" t="str">
            <v>Besi hollow 2/2</v>
          </cell>
          <cell r="C707" t="str">
            <v>Kg</v>
          </cell>
          <cell r="D707">
            <v>74462.500000000058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  <cell r="R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Z707">
            <v>0</v>
          </cell>
          <cell r="AB707">
            <v>0</v>
          </cell>
        </row>
        <row r="708">
          <cell r="A708">
            <v>34</v>
          </cell>
          <cell r="B708" t="str">
            <v>Besi hollow 2/4</v>
          </cell>
          <cell r="C708" t="str">
            <v>Kg</v>
          </cell>
          <cell r="D708">
            <v>74462.500000000058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  <cell r="R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Z708">
            <v>0</v>
          </cell>
          <cell r="AB708">
            <v>0</v>
          </cell>
        </row>
        <row r="709">
          <cell r="A709">
            <v>35</v>
          </cell>
          <cell r="B709" t="str">
            <v>Kaca Tempered 12 mm</v>
          </cell>
          <cell r="C709" t="str">
            <v>M2</v>
          </cell>
          <cell r="D709">
            <v>528395.75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  <cell r="R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Z709">
            <v>0</v>
          </cell>
          <cell r="AB709">
            <v>0</v>
          </cell>
        </row>
        <row r="710">
          <cell r="A710">
            <v>36</v>
          </cell>
          <cell r="B710" t="str">
            <v>Glass Block</v>
          </cell>
          <cell r="C710" t="str">
            <v>Bh</v>
          </cell>
          <cell r="D710">
            <v>45000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0</v>
          </cell>
          <cell r="R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Z710">
            <v>0</v>
          </cell>
          <cell r="AB710">
            <v>0</v>
          </cell>
        </row>
        <row r="711">
          <cell r="A711">
            <v>37</v>
          </cell>
          <cell r="B711" t="str">
            <v>Kaca Es</v>
          </cell>
          <cell r="C711" t="str">
            <v>M2</v>
          </cell>
          <cell r="D711">
            <v>66700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0</v>
          </cell>
          <cell r="R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0.24</v>
          </cell>
          <cell r="X711">
            <v>16008</v>
          </cell>
          <cell r="Y711">
            <v>0.24</v>
          </cell>
          <cell r="Z711">
            <v>16008</v>
          </cell>
          <cell r="AB711">
            <v>0</v>
          </cell>
        </row>
        <row r="712">
          <cell r="A712">
            <v>38</v>
          </cell>
          <cell r="B712" t="str">
            <v>Krepyak Kaca Nako + Kerangka</v>
          </cell>
          <cell r="C712" t="str">
            <v>M2</v>
          </cell>
          <cell r="D712">
            <v>81300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P712">
            <v>0</v>
          </cell>
          <cell r="R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Z712">
            <v>0</v>
          </cell>
          <cell r="AB712">
            <v>0</v>
          </cell>
        </row>
        <row r="713">
          <cell r="A713">
            <v>39</v>
          </cell>
          <cell r="B713" t="str">
            <v>Sticker Efek Kaca Es</v>
          </cell>
          <cell r="C713" t="str">
            <v>M2</v>
          </cell>
          <cell r="D713">
            <v>150000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P713">
            <v>0</v>
          </cell>
          <cell r="R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Z713">
            <v>0</v>
          </cell>
          <cell r="AB713">
            <v>0</v>
          </cell>
        </row>
        <row r="714">
          <cell r="A714">
            <v>40</v>
          </cell>
          <cell r="B714" t="str">
            <v>Rel Pintu Dorong</v>
          </cell>
          <cell r="C714" t="str">
            <v>M'</v>
          </cell>
          <cell r="D714">
            <v>275000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P714">
            <v>0</v>
          </cell>
          <cell r="R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Z714">
            <v>0</v>
          </cell>
          <cell r="AB714">
            <v>0</v>
          </cell>
        </row>
        <row r="715">
          <cell r="A715">
            <v>41</v>
          </cell>
          <cell r="B715" t="str">
            <v>Rolling Door</v>
          </cell>
          <cell r="C715" t="str">
            <v>M2</v>
          </cell>
          <cell r="D715">
            <v>358100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P715">
            <v>0</v>
          </cell>
          <cell r="R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Z715">
            <v>0</v>
          </cell>
          <cell r="AA715">
            <v>7.789600000000001</v>
          </cell>
          <cell r="AB715">
            <v>2789455.7600000002</v>
          </cell>
        </row>
        <row r="716">
          <cell r="A716">
            <v>42</v>
          </cell>
          <cell r="B716" t="str">
            <v>Roster</v>
          </cell>
          <cell r="C716" t="str">
            <v>M2</v>
          </cell>
          <cell r="D716">
            <v>133850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P716">
            <v>0</v>
          </cell>
          <cell r="R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Z716">
            <v>0</v>
          </cell>
          <cell r="AB716">
            <v>0</v>
          </cell>
        </row>
        <row r="717">
          <cell r="A717">
            <v>43</v>
          </cell>
          <cell r="B717" t="str">
            <v>Gipsum Board</v>
          </cell>
          <cell r="C717" t="str">
            <v>M2</v>
          </cell>
          <cell r="D717">
            <v>29000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0</v>
          </cell>
          <cell r="R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Z717">
            <v>0</v>
          </cell>
          <cell r="AB717">
            <v>0</v>
          </cell>
        </row>
        <row r="718">
          <cell r="A718">
            <v>44</v>
          </cell>
          <cell r="B718" t="str">
            <v>List Gipsum</v>
          </cell>
          <cell r="C718" t="str">
            <v>M'</v>
          </cell>
          <cell r="D718">
            <v>17300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0</v>
          </cell>
          <cell r="R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Z718">
            <v>0</v>
          </cell>
          <cell r="AB718">
            <v>0</v>
          </cell>
        </row>
        <row r="719">
          <cell r="A719">
            <v>45</v>
          </cell>
          <cell r="B719" t="str">
            <v>Sealent</v>
          </cell>
          <cell r="C719" t="str">
            <v>M'</v>
          </cell>
          <cell r="D719">
            <v>8400</v>
          </cell>
          <cell r="E719">
            <v>5.68</v>
          </cell>
          <cell r="F719">
            <v>47712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1.76</v>
          </cell>
          <cell r="P719">
            <v>14784</v>
          </cell>
          <cell r="Q719">
            <v>18.04</v>
          </cell>
          <cell r="R719">
            <v>151536</v>
          </cell>
          <cell r="S719">
            <v>5.08</v>
          </cell>
          <cell r="T719">
            <v>42672</v>
          </cell>
          <cell r="U719">
            <v>3.05</v>
          </cell>
          <cell r="V719">
            <v>25620</v>
          </cell>
          <cell r="W719">
            <v>6.4</v>
          </cell>
          <cell r="X719">
            <v>53760</v>
          </cell>
          <cell r="Y719">
            <v>6.4</v>
          </cell>
          <cell r="Z719">
            <v>53760</v>
          </cell>
          <cell r="AA719">
            <v>23.12</v>
          </cell>
          <cell r="AB719">
            <v>194208</v>
          </cell>
        </row>
        <row r="720">
          <cell r="A720">
            <v>46</v>
          </cell>
          <cell r="B720" t="str">
            <v>Benangan Kusen</v>
          </cell>
          <cell r="C720" t="str">
            <v>M'</v>
          </cell>
          <cell r="D720">
            <v>4296.0074999999997</v>
          </cell>
          <cell r="E720">
            <v>11.76</v>
          </cell>
          <cell r="F720">
            <v>50521.048199999997</v>
          </cell>
          <cell r="G720">
            <v>5.5990000000000002</v>
          </cell>
          <cell r="H720">
            <v>24053.345992499999</v>
          </cell>
          <cell r="I720">
            <v>5.5990000000000002</v>
          </cell>
          <cell r="J720">
            <v>24053.345992499999</v>
          </cell>
          <cell r="K720">
            <v>5.7839999999999998</v>
          </cell>
          <cell r="L720">
            <v>24848.107379999998</v>
          </cell>
          <cell r="M720">
            <v>5.7839999999999998</v>
          </cell>
          <cell r="N720">
            <v>24848.107379999998</v>
          </cell>
          <cell r="O720">
            <v>0</v>
          </cell>
          <cell r="P720">
            <v>0</v>
          </cell>
          <cell r="Q720">
            <v>13.6</v>
          </cell>
          <cell r="R720">
            <v>58425.701999999997</v>
          </cell>
          <cell r="S720">
            <v>6.9999999999999991</v>
          </cell>
          <cell r="T720">
            <v>30072.052499999994</v>
          </cell>
          <cell r="U720">
            <v>8.5</v>
          </cell>
          <cell r="V720">
            <v>36516.063750000001</v>
          </cell>
          <cell r="W720">
            <v>4</v>
          </cell>
          <cell r="X720">
            <v>17184.03</v>
          </cell>
          <cell r="Y720">
            <v>4</v>
          </cell>
          <cell r="Z720">
            <v>17184.03</v>
          </cell>
          <cell r="AB720">
            <v>0</v>
          </cell>
        </row>
        <row r="721">
          <cell r="A721">
            <v>47</v>
          </cell>
          <cell r="B721" t="str">
            <v xml:space="preserve">Cat Kayu </v>
          </cell>
          <cell r="C721" t="str">
            <v>M2</v>
          </cell>
          <cell r="D721">
            <v>19370.5</v>
          </cell>
          <cell r="E721">
            <v>6.6879999999999997</v>
          </cell>
          <cell r="F721">
            <v>129549.90399999999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4.0991999999999997</v>
          </cell>
          <cell r="L721">
            <v>79403.553599999999</v>
          </cell>
          <cell r="M721">
            <v>4.0991999999999997</v>
          </cell>
          <cell r="N721">
            <v>79403.553599999999</v>
          </cell>
          <cell r="O721">
            <v>0</v>
          </cell>
          <cell r="P721">
            <v>0</v>
          </cell>
          <cell r="R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Z721">
            <v>0</v>
          </cell>
          <cell r="AB721">
            <v>0</v>
          </cell>
        </row>
        <row r="722">
          <cell r="A722">
            <v>48</v>
          </cell>
          <cell r="B722" t="str">
            <v>Cat Besi</v>
          </cell>
          <cell r="C722" t="str">
            <v>M2</v>
          </cell>
          <cell r="D722">
            <v>13698</v>
          </cell>
          <cell r="F722">
            <v>0</v>
          </cell>
          <cell r="G722">
            <v>5.6445590696960588</v>
          </cell>
          <cell r="H722">
            <v>77319.170136696615</v>
          </cell>
          <cell r="I722">
            <v>5.6445590696960588</v>
          </cell>
          <cell r="J722">
            <v>77319.170136696615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Z722">
            <v>0</v>
          </cell>
          <cell r="AB722">
            <v>0</v>
          </cell>
        </row>
        <row r="723">
          <cell r="A723">
            <v>49</v>
          </cell>
          <cell r="B723" t="str">
            <v>Cat Dinding</v>
          </cell>
          <cell r="C723" t="str">
            <v>M2</v>
          </cell>
          <cell r="D723">
            <v>9900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R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Z723">
            <v>0</v>
          </cell>
          <cell r="AB723">
            <v>0</v>
          </cell>
        </row>
        <row r="724">
          <cell r="A724">
            <v>50</v>
          </cell>
          <cell r="B724" t="str">
            <v>Rel Jendela Geser</v>
          </cell>
          <cell r="C724" t="str">
            <v>M'</v>
          </cell>
          <cell r="D724">
            <v>275000</v>
          </cell>
          <cell r="F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P724">
            <v>0</v>
          </cell>
          <cell r="R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Z724">
            <v>0</v>
          </cell>
          <cell r="AB724">
            <v>0</v>
          </cell>
        </row>
        <row r="726">
          <cell r="B726" t="str">
            <v>Jumlah Harga</v>
          </cell>
          <cell r="F726">
            <v>3295405.1922000004</v>
          </cell>
          <cell r="H726">
            <v>1760337.7291291971</v>
          </cell>
          <cell r="J726">
            <v>1760337.7291291971</v>
          </cell>
          <cell r="L726">
            <v>1690743.9109799999</v>
          </cell>
          <cell r="N726">
            <v>1690743.9109799999</v>
          </cell>
          <cell r="P726">
            <v>2060105.16</v>
          </cell>
          <cell r="R726">
            <v>1884105.1171249999</v>
          </cell>
          <cell r="T726">
            <v>583333.77249999996</v>
          </cell>
          <cell r="V726">
            <v>340632.49875000003</v>
          </cell>
          <cell r="X726">
            <v>86952.03</v>
          </cell>
          <cell r="Z726">
            <v>100292.03</v>
          </cell>
          <cell r="AB726">
            <v>3320793.7600000002</v>
          </cell>
        </row>
        <row r="730">
          <cell r="A730" t="str">
            <v>No.</v>
          </cell>
          <cell r="B730" t="str">
            <v>Item Pekerjaan</v>
          </cell>
          <cell r="C730" t="str">
            <v>Satuan</v>
          </cell>
          <cell r="D730" t="str">
            <v>Harga Satuan</v>
          </cell>
          <cell r="E730" t="str">
            <v>P1</v>
          </cell>
          <cell r="G730" t="str">
            <v>P2</v>
          </cell>
          <cell r="I730" t="str">
            <v>P2'</v>
          </cell>
          <cell r="K730" t="str">
            <v>P3</v>
          </cell>
          <cell r="M730" t="str">
            <v>P3'</v>
          </cell>
          <cell r="O730" t="str">
            <v>J1</v>
          </cell>
          <cell r="Q730" t="str">
            <v>BV1</v>
          </cell>
        </row>
        <row r="731">
          <cell r="D731" t="str">
            <v>Rp.</v>
          </cell>
          <cell r="E731" t="str">
            <v>Vol.</v>
          </cell>
          <cell r="F731" t="str">
            <v>Jumlah Harga</v>
          </cell>
          <cell r="G731" t="str">
            <v>Vol.</v>
          </cell>
          <cell r="H731" t="str">
            <v>Jumlah Harga</v>
          </cell>
          <cell r="I731" t="str">
            <v>Vol.</v>
          </cell>
          <cell r="J731" t="str">
            <v>Jumlah Harga</v>
          </cell>
          <cell r="K731" t="str">
            <v>Vol.</v>
          </cell>
          <cell r="L731" t="str">
            <v>Jumlah Harga</v>
          </cell>
          <cell r="M731" t="str">
            <v>Vol.</v>
          </cell>
          <cell r="N731" t="str">
            <v>Jumlah Harga</v>
          </cell>
          <cell r="O731" t="str">
            <v>Vol.</v>
          </cell>
          <cell r="P731" t="str">
            <v>Jumlah Harga</v>
          </cell>
          <cell r="Q731" t="str">
            <v>Vol.</v>
          </cell>
          <cell r="R731" t="str">
            <v>Jumlah Harga</v>
          </cell>
        </row>
        <row r="732">
          <cell r="A732" t="str">
            <v>X.</v>
          </cell>
          <cell r="B732" t="str">
            <v>UNIT LAP. TENIS (OUT DOOR)</v>
          </cell>
        </row>
        <row r="734">
          <cell r="A734">
            <v>1</v>
          </cell>
          <cell r="B734" t="str">
            <v>Kayu 6/12</v>
          </cell>
          <cell r="C734" t="str">
            <v>M3</v>
          </cell>
          <cell r="D734">
            <v>0</v>
          </cell>
          <cell r="E734">
            <v>2.3120000000000002E-2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3.6144000000000003E-2</v>
          </cell>
          <cell r="L734">
            <v>0</v>
          </cell>
          <cell r="M734">
            <v>3.6144000000000003E-2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>
            <v>2</v>
          </cell>
          <cell r="B735" t="str">
            <v>Kayu Slimar 3/10</v>
          </cell>
          <cell r="C735" t="str">
            <v>M3</v>
          </cell>
          <cell r="D735">
            <v>0</v>
          </cell>
          <cell r="E735">
            <v>6.4000000000000012E-3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1.4159999999999999E-2</v>
          </cell>
          <cell r="L735">
            <v>0</v>
          </cell>
          <cell r="M735">
            <v>1.4159999999999999E-2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>
            <v>3</v>
          </cell>
          <cell r="B736" t="str">
            <v>Kayu Slimar 3/15</v>
          </cell>
          <cell r="C736" t="str">
            <v>M3</v>
          </cell>
          <cell r="D736">
            <v>0</v>
          </cell>
          <cell r="E736">
            <v>14.399999999999999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2.6999999999999997E-3</v>
          </cell>
          <cell r="L736">
            <v>0</v>
          </cell>
          <cell r="M736">
            <v>2.6999999999999997E-3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>
            <v>4</v>
          </cell>
          <cell r="B737" t="str">
            <v>Kayu Slimar 3/20</v>
          </cell>
          <cell r="C737" t="str">
            <v>M3</v>
          </cell>
          <cell r="D737">
            <v>0</v>
          </cell>
          <cell r="E737">
            <v>6.6879999999999997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3.5999999999999999E-3</v>
          </cell>
          <cell r="L737">
            <v>0</v>
          </cell>
          <cell r="M737">
            <v>3.5999999999999999E-3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A738">
            <v>5</v>
          </cell>
          <cell r="B738" t="str">
            <v>Kayu 2/10</v>
          </cell>
          <cell r="C738" t="str">
            <v>M3</v>
          </cell>
          <cell r="D738">
            <v>0</v>
          </cell>
          <cell r="E738">
            <v>6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5.4000000000000012E-3</v>
          </cell>
          <cell r="L738">
            <v>0</v>
          </cell>
          <cell r="M738">
            <v>5.4000000000000012E-3</v>
          </cell>
          <cell r="N738">
            <v>0</v>
          </cell>
          <cell r="O738">
            <v>10.25</v>
          </cell>
          <cell r="P738">
            <v>0</v>
          </cell>
          <cell r="Q738">
            <v>2</v>
          </cell>
          <cell r="R738">
            <v>0</v>
          </cell>
        </row>
        <row r="739">
          <cell r="A739">
            <v>6</v>
          </cell>
          <cell r="B739" t="str">
            <v>Panil t = 3 cm</v>
          </cell>
          <cell r="C739" t="str">
            <v>M2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0.49500000000000005</v>
          </cell>
          <cell r="L739">
            <v>0</v>
          </cell>
          <cell r="M739">
            <v>0.49500000000000005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>
            <v>1</v>
          </cell>
          <cell r="B740" t="str">
            <v>Kusen Aluminium 5/10</v>
          </cell>
          <cell r="C740" t="str">
            <v>M'</v>
          </cell>
          <cell r="D740">
            <v>124948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5</v>
          </cell>
          <cell r="L740">
            <v>624740</v>
          </cell>
          <cell r="M740">
            <v>5</v>
          </cell>
          <cell r="N740">
            <v>624740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A741">
            <v>2</v>
          </cell>
          <cell r="B741" t="str">
            <v xml:space="preserve">Rangka Daun Jendela Alumunium </v>
          </cell>
          <cell r="C741" t="str">
            <v>M'</v>
          </cell>
          <cell r="D741">
            <v>124948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</v>
          </cell>
          <cell r="P741">
            <v>874636</v>
          </cell>
          <cell r="Q741">
            <v>0</v>
          </cell>
          <cell r="R741">
            <v>0</v>
          </cell>
        </row>
        <row r="742">
          <cell r="A742">
            <v>3</v>
          </cell>
          <cell r="B742" t="str">
            <v>Rangka Tiang Sirip Alumunium 1/1 Putih</v>
          </cell>
          <cell r="C742" t="str">
            <v>M'</v>
          </cell>
          <cell r="D742">
            <v>62474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2.6</v>
          </cell>
          <cell r="P742">
            <v>162432.4</v>
          </cell>
          <cell r="Q742">
            <v>0</v>
          </cell>
          <cell r="R742">
            <v>0</v>
          </cell>
        </row>
        <row r="743">
          <cell r="A743">
            <v>4</v>
          </cell>
          <cell r="B743" t="str">
            <v>Pasang Shading Sirip Alumunium 0.2/10 +Rangka</v>
          </cell>
          <cell r="C743" t="str">
            <v>M2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0.26250000000000001</v>
          </cell>
          <cell r="P743">
            <v>0</v>
          </cell>
          <cell r="Q743">
            <v>0</v>
          </cell>
          <cell r="R743">
            <v>0</v>
          </cell>
        </row>
        <row r="744">
          <cell r="A744">
            <v>5</v>
          </cell>
          <cell r="B744" t="str">
            <v>Daun Pintu Panil Kamper</v>
          </cell>
          <cell r="C744" t="str">
            <v>bh</v>
          </cell>
          <cell r="D744">
            <v>550000</v>
          </cell>
          <cell r="E744">
            <v>0.19440000000000002</v>
          </cell>
          <cell r="F744">
            <v>106920.00000000001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1.2</v>
          </cell>
          <cell r="L744">
            <v>660000</v>
          </cell>
          <cell r="M744">
            <v>1.2</v>
          </cell>
          <cell r="N744">
            <v>660000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>
            <v>6</v>
          </cell>
          <cell r="B745" t="str">
            <v>Plat besi t = 2 mm</v>
          </cell>
          <cell r="C745" t="str">
            <v>Kg</v>
          </cell>
          <cell r="D745">
            <v>0</v>
          </cell>
          <cell r="E745">
            <v>0</v>
          </cell>
          <cell r="F745">
            <v>0</v>
          </cell>
          <cell r="G745">
            <v>57.085200000000007</v>
          </cell>
          <cell r="H745">
            <v>0</v>
          </cell>
          <cell r="I745">
            <v>57.085200000000007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>
            <v>7</v>
          </cell>
          <cell r="B746" t="str">
            <v>C 40.40.2  (pesan khusus)</v>
          </cell>
          <cell r="C746" t="str">
            <v>Kg</v>
          </cell>
          <cell r="D746">
            <v>14122.3</v>
          </cell>
          <cell r="E746">
            <v>0</v>
          </cell>
          <cell r="F746">
            <v>0</v>
          </cell>
          <cell r="G746">
            <v>42.56</v>
          </cell>
          <cell r="H746">
            <v>601045.08799999999</v>
          </cell>
          <cell r="I746">
            <v>42.56</v>
          </cell>
          <cell r="J746">
            <v>601045.08799999999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>
            <v>8</v>
          </cell>
          <cell r="B747" t="str">
            <v>Handle besi dia 16 mm</v>
          </cell>
          <cell r="C747" t="str">
            <v>Set</v>
          </cell>
          <cell r="D747">
            <v>129652.5</v>
          </cell>
          <cell r="E747">
            <v>0</v>
          </cell>
          <cell r="F747">
            <v>0</v>
          </cell>
          <cell r="G747">
            <v>1</v>
          </cell>
          <cell r="H747">
            <v>129652.5</v>
          </cell>
          <cell r="I747">
            <v>1</v>
          </cell>
          <cell r="J747">
            <v>129652.5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A748">
            <v>9</v>
          </cell>
          <cell r="B748" t="str">
            <v>Hendle pintu Stainless</v>
          </cell>
          <cell r="C748" t="str">
            <v>Set</v>
          </cell>
          <cell r="D748">
            <v>261652.5</v>
          </cell>
          <cell r="E748">
            <v>2</v>
          </cell>
          <cell r="F748">
            <v>523305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A749">
            <v>10</v>
          </cell>
          <cell r="B749" t="str">
            <v>Kunci Pintu Handle stainleess (dorma)</v>
          </cell>
          <cell r="C749" t="str">
            <v>Set</v>
          </cell>
          <cell r="D749">
            <v>650000</v>
          </cell>
          <cell r="E749">
            <v>2</v>
          </cell>
          <cell r="F749">
            <v>1300000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A750">
            <v>11</v>
          </cell>
          <cell r="B750" t="str">
            <v>Kunci tanam Antik</v>
          </cell>
          <cell r="C750" t="str">
            <v>Set</v>
          </cell>
          <cell r="D750">
            <v>265000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A751">
            <v>12</v>
          </cell>
          <cell r="B751" t="str">
            <v>Kunci tanam biasa</v>
          </cell>
          <cell r="C751" t="str">
            <v>Set</v>
          </cell>
          <cell r="D751">
            <v>168565</v>
          </cell>
          <cell r="E751">
            <v>2</v>
          </cell>
          <cell r="F751">
            <v>337130</v>
          </cell>
          <cell r="G751">
            <v>1</v>
          </cell>
          <cell r="H751">
            <v>168565</v>
          </cell>
          <cell r="I751">
            <v>1</v>
          </cell>
          <cell r="J751">
            <v>168565</v>
          </cell>
          <cell r="K751">
            <v>1</v>
          </cell>
          <cell r="L751">
            <v>168565</v>
          </cell>
          <cell r="M751">
            <v>1</v>
          </cell>
          <cell r="N751">
            <v>168565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A752">
            <v>13</v>
          </cell>
          <cell r="B752" t="str">
            <v>Kunci Silinder</v>
          </cell>
          <cell r="C752" t="str">
            <v>Set</v>
          </cell>
          <cell r="D752">
            <v>217900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A753">
            <v>14</v>
          </cell>
          <cell r="B753" t="str">
            <v>Kunci Selot</v>
          </cell>
          <cell r="C753" t="str">
            <v>Set</v>
          </cell>
          <cell r="D753">
            <v>48300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>
            <v>15</v>
          </cell>
          <cell r="B754" t="str">
            <v>Engsel jendela</v>
          </cell>
          <cell r="C754" t="str">
            <v>Bh</v>
          </cell>
          <cell r="D754">
            <v>16600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6</v>
          </cell>
          <cell r="P754">
            <v>99600</v>
          </cell>
          <cell r="Q754">
            <v>0</v>
          </cell>
          <cell r="R754">
            <v>0</v>
          </cell>
        </row>
        <row r="755">
          <cell r="A755">
            <v>16</v>
          </cell>
          <cell r="B755" t="str">
            <v>Engsel pintu</v>
          </cell>
          <cell r="C755" t="str">
            <v>Bh</v>
          </cell>
          <cell r="D755">
            <v>44395.75</v>
          </cell>
          <cell r="E755">
            <v>4</v>
          </cell>
          <cell r="F755">
            <v>177583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3</v>
          </cell>
          <cell r="L755">
            <v>133187.25</v>
          </cell>
          <cell r="M755">
            <v>3</v>
          </cell>
          <cell r="N755">
            <v>133187.25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A756">
            <v>17</v>
          </cell>
          <cell r="B756" t="str">
            <v>Engsel Pintu dari pipa besi dia 2 cm</v>
          </cell>
          <cell r="C756" t="str">
            <v>Bh</v>
          </cell>
          <cell r="D756">
            <v>66593.625</v>
          </cell>
          <cell r="E756">
            <v>0</v>
          </cell>
          <cell r="F756">
            <v>0</v>
          </cell>
          <cell r="G756">
            <v>2</v>
          </cell>
          <cell r="H756">
            <v>133187.25</v>
          </cell>
          <cell r="I756">
            <v>2</v>
          </cell>
          <cell r="J756">
            <v>133187.25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A757">
            <v>18</v>
          </cell>
          <cell r="B757" t="str">
            <v>Kait/hak angin</v>
          </cell>
          <cell r="C757" t="str">
            <v>Set</v>
          </cell>
          <cell r="D757">
            <v>27000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6</v>
          </cell>
          <cell r="P757">
            <v>162000</v>
          </cell>
          <cell r="Q757">
            <v>0</v>
          </cell>
          <cell r="R757">
            <v>0</v>
          </cell>
        </row>
        <row r="758">
          <cell r="A758">
            <v>19</v>
          </cell>
          <cell r="B758" t="str">
            <v>Grendel pintu kuningan</v>
          </cell>
          <cell r="C758" t="str">
            <v>Bh</v>
          </cell>
          <cell r="D758">
            <v>125000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A759">
            <v>20</v>
          </cell>
          <cell r="B759" t="str">
            <v xml:space="preserve">Grendel jendela </v>
          </cell>
          <cell r="C759" t="str">
            <v>Bh</v>
          </cell>
          <cell r="D759">
            <v>8100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>
            <v>21</v>
          </cell>
          <cell r="B760" t="str">
            <v>Grendel pintu</v>
          </cell>
          <cell r="C760" t="str">
            <v>Bh</v>
          </cell>
          <cell r="D760">
            <v>14200</v>
          </cell>
          <cell r="E760">
            <v>2</v>
          </cell>
          <cell r="F760">
            <v>28400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3</v>
          </cell>
          <cell r="P760">
            <v>42600</v>
          </cell>
          <cell r="Q760">
            <v>0</v>
          </cell>
          <cell r="R760">
            <v>0</v>
          </cell>
        </row>
        <row r="761">
          <cell r="A761">
            <v>22</v>
          </cell>
          <cell r="B761" t="str">
            <v>Stripting Knip</v>
          </cell>
          <cell r="C761" t="str">
            <v>Set</v>
          </cell>
          <cell r="D761">
            <v>13700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>
            <v>23</v>
          </cell>
          <cell r="B762" t="str">
            <v>Door Closer</v>
          </cell>
          <cell r="C762" t="str">
            <v>Set</v>
          </cell>
          <cell r="D762">
            <v>260800</v>
          </cell>
          <cell r="E762">
            <v>2</v>
          </cell>
          <cell r="F762">
            <v>521600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>
            <v>24</v>
          </cell>
          <cell r="B763" t="str">
            <v>Door Holder</v>
          </cell>
          <cell r="C763" t="str">
            <v>Set</v>
          </cell>
          <cell r="D763">
            <v>500000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A764">
            <v>25</v>
          </cell>
          <cell r="B764" t="str">
            <v>Door Stop</v>
          </cell>
          <cell r="C764" t="str">
            <v>Set</v>
          </cell>
          <cell r="D764">
            <v>32100</v>
          </cell>
          <cell r="E764">
            <v>2</v>
          </cell>
          <cell r="F764">
            <v>64200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>
            <v>26</v>
          </cell>
          <cell r="B765" t="str">
            <v>Kaca bening 5 mm</v>
          </cell>
          <cell r="C765" t="str">
            <v>M2</v>
          </cell>
          <cell r="D765">
            <v>66700</v>
          </cell>
          <cell r="E765">
            <v>0.12719999999999998</v>
          </cell>
          <cell r="F765">
            <v>8484.239999999998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0.25919999999999999</v>
          </cell>
          <cell r="P765">
            <v>17288.64</v>
          </cell>
          <cell r="Q765">
            <v>0</v>
          </cell>
          <cell r="R765">
            <v>0</v>
          </cell>
        </row>
        <row r="766">
          <cell r="A766">
            <v>27</v>
          </cell>
          <cell r="B766" t="str">
            <v>Kaca bening 10 mm</v>
          </cell>
          <cell r="C766" t="str">
            <v>M2</v>
          </cell>
          <cell r="D766">
            <v>280895.75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1.1235000000000002</v>
          </cell>
          <cell r="P766">
            <v>315586.37512500002</v>
          </cell>
          <cell r="Q766">
            <v>0</v>
          </cell>
          <cell r="R766">
            <v>0</v>
          </cell>
        </row>
        <row r="767">
          <cell r="A767">
            <v>28</v>
          </cell>
          <cell r="B767" t="str">
            <v>Kaca Bening 12 mm</v>
          </cell>
          <cell r="C767" t="str">
            <v>M2</v>
          </cell>
          <cell r="D767">
            <v>403787.64062499994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>
            <v>29</v>
          </cell>
          <cell r="B768" t="str">
            <v>Besi hollow 4/4</v>
          </cell>
          <cell r="C768" t="str">
            <v>M'</v>
          </cell>
          <cell r="D768">
            <v>48625.000000000051</v>
          </cell>
          <cell r="E768">
            <v>0</v>
          </cell>
          <cell r="F768">
            <v>0</v>
          </cell>
          <cell r="G768">
            <v>5.09</v>
          </cell>
          <cell r="H768">
            <v>247501.25000000026</v>
          </cell>
          <cell r="I768">
            <v>5.09</v>
          </cell>
          <cell r="J768">
            <v>247501.25000000026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A769">
            <v>30</v>
          </cell>
          <cell r="B769" t="str">
            <v>Besi hollow 6/6</v>
          </cell>
          <cell r="C769" t="str">
            <v>M'</v>
          </cell>
          <cell r="D769">
            <v>74462.500000000058</v>
          </cell>
          <cell r="E769">
            <v>0</v>
          </cell>
          <cell r="F769">
            <v>0</v>
          </cell>
          <cell r="G769">
            <v>5.09</v>
          </cell>
          <cell r="H769">
            <v>379014.12500000029</v>
          </cell>
          <cell r="I769">
            <v>5.09</v>
          </cell>
          <cell r="J769">
            <v>379014.12500000029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>
            <v>31</v>
          </cell>
          <cell r="B770" t="str">
            <v>Besi hollow 2.5/5</v>
          </cell>
          <cell r="C770" t="str">
            <v>Kg</v>
          </cell>
          <cell r="D770">
            <v>74462.500000000058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>
            <v>32</v>
          </cell>
          <cell r="B771" t="str">
            <v>Besi hollow 5/5</v>
          </cell>
          <cell r="C771" t="str">
            <v>Kg</v>
          </cell>
          <cell r="D771">
            <v>74462.500000000058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>
            <v>33</v>
          </cell>
          <cell r="B772" t="str">
            <v>Besi hollow 2/2</v>
          </cell>
          <cell r="C772" t="str">
            <v>Kg</v>
          </cell>
          <cell r="D772">
            <v>74462.500000000058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>
            <v>34</v>
          </cell>
          <cell r="B773" t="str">
            <v>Besi hollow 2/4</v>
          </cell>
          <cell r="C773" t="str">
            <v>Kg</v>
          </cell>
          <cell r="D773">
            <v>74462.500000000058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>
            <v>35</v>
          </cell>
          <cell r="B774" t="str">
            <v>Kaca Tempered 12 mm</v>
          </cell>
          <cell r="C774" t="str">
            <v>M2</v>
          </cell>
          <cell r="D774">
            <v>528395.75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>
            <v>36</v>
          </cell>
          <cell r="B775" t="str">
            <v>Glass Block</v>
          </cell>
          <cell r="C775" t="str">
            <v>Bh</v>
          </cell>
          <cell r="D775">
            <v>45000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>
            <v>37</v>
          </cell>
          <cell r="B776" t="str">
            <v>Kaca Es</v>
          </cell>
          <cell r="C776" t="str">
            <v>M2</v>
          </cell>
          <cell r="D776">
            <v>66700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0.24</v>
          </cell>
          <cell r="R776">
            <v>16008</v>
          </cell>
        </row>
        <row r="777">
          <cell r="A777">
            <v>38</v>
          </cell>
          <cell r="B777" t="str">
            <v>Krepyak Kaca Nako + Kerangka</v>
          </cell>
          <cell r="C777" t="str">
            <v>M2</v>
          </cell>
          <cell r="D777">
            <v>81300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>
            <v>39</v>
          </cell>
          <cell r="B778" t="str">
            <v>Sticker Efek Kaca Es</v>
          </cell>
          <cell r="C778" t="str">
            <v>M2</v>
          </cell>
          <cell r="D778">
            <v>150000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>
            <v>40</v>
          </cell>
          <cell r="B779" t="str">
            <v>Rel Pintu Dorong</v>
          </cell>
          <cell r="C779" t="str">
            <v>M'</v>
          </cell>
          <cell r="D779">
            <v>275000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>
            <v>41</v>
          </cell>
          <cell r="B780" t="str">
            <v>Rolling Door</v>
          </cell>
          <cell r="C780" t="str">
            <v>M2</v>
          </cell>
          <cell r="D780">
            <v>358100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A781">
            <v>42</v>
          </cell>
          <cell r="B781" t="str">
            <v>Roster</v>
          </cell>
          <cell r="C781" t="str">
            <v>M2</v>
          </cell>
          <cell r="D781">
            <v>133850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A782">
            <v>43</v>
          </cell>
          <cell r="B782" t="str">
            <v>Gipsum Board</v>
          </cell>
          <cell r="C782" t="str">
            <v>M2</v>
          </cell>
          <cell r="D782">
            <v>29000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>
            <v>44</v>
          </cell>
          <cell r="B783" t="str">
            <v>List Gipsum</v>
          </cell>
          <cell r="C783" t="str">
            <v>M'</v>
          </cell>
          <cell r="D783">
            <v>17300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A784">
            <v>45</v>
          </cell>
          <cell r="B784" t="str">
            <v>Sealent</v>
          </cell>
          <cell r="C784" t="str">
            <v>M'</v>
          </cell>
          <cell r="D784">
            <v>8400</v>
          </cell>
          <cell r="E784">
            <v>5.68</v>
          </cell>
          <cell r="F784">
            <v>47712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18.04</v>
          </cell>
          <cell r="P784">
            <v>151536</v>
          </cell>
          <cell r="Q784">
            <v>6.4</v>
          </cell>
          <cell r="R784">
            <v>53760</v>
          </cell>
        </row>
        <row r="785">
          <cell r="A785">
            <v>46</v>
          </cell>
          <cell r="B785" t="str">
            <v>Benangan Kusen</v>
          </cell>
          <cell r="C785" t="str">
            <v>M'</v>
          </cell>
          <cell r="D785">
            <v>4296.0074999999997</v>
          </cell>
          <cell r="E785">
            <v>11.76</v>
          </cell>
          <cell r="F785">
            <v>50521.048199999997</v>
          </cell>
          <cell r="G785">
            <v>5.5990000000000002</v>
          </cell>
          <cell r="H785">
            <v>24053.345992499999</v>
          </cell>
          <cell r="I785">
            <v>5.5990000000000002</v>
          </cell>
          <cell r="J785">
            <v>24053.345992499999</v>
          </cell>
          <cell r="K785">
            <v>5.7839999999999998</v>
          </cell>
          <cell r="L785">
            <v>24848.107379999998</v>
          </cell>
          <cell r="M785">
            <v>5.7839999999999998</v>
          </cell>
          <cell r="N785">
            <v>24848.107379999998</v>
          </cell>
          <cell r="O785">
            <v>13.6</v>
          </cell>
          <cell r="P785">
            <v>58425.701999999997</v>
          </cell>
          <cell r="Q785">
            <v>4</v>
          </cell>
          <cell r="R785">
            <v>17184.03</v>
          </cell>
        </row>
        <row r="786">
          <cell r="A786">
            <v>47</v>
          </cell>
          <cell r="B786" t="str">
            <v xml:space="preserve">Cat Kayu </v>
          </cell>
          <cell r="C786" t="str">
            <v>M2</v>
          </cell>
          <cell r="D786">
            <v>19370.5</v>
          </cell>
          <cell r="E786">
            <v>6.6879999999999997</v>
          </cell>
          <cell r="F786">
            <v>129549.90399999999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4.0991999999999997</v>
          </cell>
          <cell r="L786">
            <v>79403.553599999999</v>
          </cell>
          <cell r="M786">
            <v>4.0991999999999997</v>
          </cell>
          <cell r="N786">
            <v>79403.553599999999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>
            <v>48</v>
          </cell>
          <cell r="B787" t="str">
            <v>Cat Besi</v>
          </cell>
          <cell r="C787" t="str">
            <v>M2</v>
          </cell>
          <cell r="D787">
            <v>13698</v>
          </cell>
          <cell r="E787">
            <v>0</v>
          </cell>
          <cell r="F787">
            <v>0</v>
          </cell>
          <cell r="G787">
            <v>5.6445590696960588</v>
          </cell>
          <cell r="H787">
            <v>77319.170136696615</v>
          </cell>
          <cell r="I787">
            <v>5.6445590696960588</v>
          </cell>
          <cell r="J787">
            <v>77319.170136696615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>
            <v>49</v>
          </cell>
          <cell r="B788" t="str">
            <v>Cat Dinding</v>
          </cell>
          <cell r="C788" t="str">
            <v>M2</v>
          </cell>
          <cell r="D788">
            <v>9900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A789">
            <v>50</v>
          </cell>
          <cell r="B789" t="str">
            <v>Rel Jendela Geser</v>
          </cell>
          <cell r="C789" t="str">
            <v>M'</v>
          </cell>
          <cell r="D789">
            <v>275000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R789">
            <v>0</v>
          </cell>
        </row>
        <row r="791">
          <cell r="B791" t="str">
            <v>Jumlah Harga</v>
          </cell>
          <cell r="F791">
            <v>3295405.1922000004</v>
          </cell>
          <cell r="H791">
            <v>1760337.7291291971</v>
          </cell>
          <cell r="J791">
            <v>1760337.7291291971</v>
          </cell>
          <cell r="L791">
            <v>1690743.9109799999</v>
          </cell>
          <cell r="N791">
            <v>1690743.9109799999</v>
          </cell>
          <cell r="P791">
            <v>1884105.1171249999</v>
          </cell>
          <cell r="R791">
            <v>86952.03</v>
          </cell>
        </row>
        <row r="794">
          <cell r="A794" t="str">
            <v>ANALIS ROSTER (DALAM M2)</v>
          </cell>
        </row>
        <row r="795">
          <cell r="A795" t="str">
            <v>No.</v>
          </cell>
          <cell r="B795" t="str">
            <v>Item Pekerjaan</v>
          </cell>
          <cell r="C795" t="str">
            <v>Satuan</v>
          </cell>
          <cell r="D795" t="str">
            <v>Harga Satuan</v>
          </cell>
          <cell r="E795" t="str">
            <v>P1</v>
          </cell>
        </row>
        <row r="796">
          <cell r="D796" t="str">
            <v>Rp.</v>
          </cell>
          <cell r="E796" t="str">
            <v>Vol.</v>
          </cell>
          <cell r="F796" t="str">
            <v>Jumlah Harga</v>
          </cell>
        </row>
        <row r="797">
          <cell r="A797" t="str">
            <v>XI.</v>
          </cell>
          <cell r="B797" t="str">
            <v>ANALIS ROSTER (DALAM M2)</v>
          </cell>
        </row>
        <row r="799">
          <cell r="A799">
            <v>1</v>
          </cell>
          <cell r="B799" t="str">
            <v>Roster</v>
          </cell>
          <cell r="C799" t="str">
            <v>M2</v>
          </cell>
          <cell r="D799">
            <v>133850</v>
          </cell>
          <cell r="E799">
            <v>1</v>
          </cell>
          <cell r="F799">
            <v>133850</v>
          </cell>
        </row>
        <row r="800">
          <cell r="A800">
            <v>2</v>
          </cell>
          <cell r="B800" t="str">
            <v>Benangan Kusen</v>
          </cell>
          <cell r="C800" t="str">
            <v>M'</v>
          </cell>
          <cell r="D800">
            <v>4296.0074999999997</v>
          </cell>
          <cell r="E800">
            <v>8</v>
          </cell>
          <cell r="F800">
            <v>34368.06</v>
          </cell>
        </row>
        <row r="801">
          <cell r="A801">
            <v>3</v>
          </cell>
          <cell r="B801" t="str">
            <v>Cat Dinding</v>
          </cell>
          <cell r="C801" t="str">
            <v>M2</v>
          </cell>
          <cell r="D801">
            <v>9900</v>
          </cell>
          <cell r="E801">
            <v>2</v>
          </cell>
          <cell r="F801">
            <v>19800</v>
          </cell>
        </row>
        <row r="803">
          <cell r="B803" t="str">
            <v>Jumlah Harga</v>
          </cell>
          <cell r="F803">
            <v>188018.06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</sheetNames>
    <sheetDataSet>
      <sheetData sheetId="0" refreshError="1"/>
      <sheetData sheetId="1" refreshError="1">
        <row r="13">
          <cell r="G13" t="str">
            <v>Ah</v>
          </cell>
          <cell r="I13" t="str">
            <v>%</v>
          </cell>
        </row>
        <row r="14">
          <cell r="G14" t="str">
            <v>Ak</v>
          </cell>
          <cell r="I14" t="str">
            <v>%</v>
          </cell>
        </row>
        <row r="15">
          <cell r="G15" t="str">
            <v>H</v>
          </cell>
          <cell r="I15" t="str">
            <v>%</v>
          </cell>
        </row>
        <row r="16">
          <cell r="G16" t="str">
            <v>K</v>
          </cell>
          <cell r="I16" t="str">
            <v>%</v>
          </cell>
        </row>
        <row r="17">
          <cell r="G17" t="str">
            <v>D1</v>
          </cell>
          <cell r="I17" t="str">
            <v>Ton/M3</v>
          </cell>
        </row>
        <row r="18">
          <cell r="G18" t="str">
            <v>D2</v>
          </cell>
          <cell r="I18" t="str">
            <v>Ton/M3</v>
          </cell>
        </row>
        <row r="19">
          <cell r="G19" t="str">
            <v>D3</v>
          </cell>
          <cell r="I19" t="str">
            <v>Ton/M3</v>
          </cell>
        </row>
        <row r="20">
          <cell r="G20" t="str">
            <v>Rp1</v>
          </cell>
          <cell r="I20" t="str">
            <v>Rp./M3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Mobilisasi bq"/>
      <sheetName val="bq"/>
      <sheetName val="bq1"/>
      <sheetName val="cover"/>
      <sheetName val="Informasi"/>
      <sheetName val="Rekap Biaya"/>
      <sheetName val="Kuantitas &amp; Harga"/>
      <sheetName val="Mobilisasi"/>
      <sheetName val="DIV-2"/>
      <sheetName val="DIV-3"/>
      <sheetName val="DIV-4"/>
      <sheetName val="DIV-5"/>
      <sheetName val="K-516"/>
      <sheetName val="DIV-6"/>
      <sheetName val="DIV-7"/>
      <sheetName val="DIV-8"/>
      <sheetName val="DIV-9"/>
      <sheetName val="DIV-10"/>
      <sheetName val="Basic Price"/>
      <sheetName val="Analisa Quarry"/>
      <sheetName val="Peralatan"/>
      <sheetName val="Agt Hls&amp;Ksr"/>
      <sheetName val="Agt KlsA"/>
      <sheetName val="Agt Kls B"/>
      <sheetName val="Agt Kls C"/>
      <sheetName val="Agregat Halus &amp; K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BAHAN"/>
      <sheetName val="ANALIS-SNI"/>
      <sheetName val="HRG SAT TRPSG"/>
      <sheetName val="boq"/>
      <sheetName val="REKAP BoQ"/>
      <sheetName val="0 REKAP BPIPB"/>
      <sheetName val="bilangan"/>
      <sheetName val="Schedule"/>
    </sheetNames>
    <sheetDataSet>
      <sheetData sheetId="0">
        <row r="12">
          <cell r="G12">
            <v>70000</v>
          </cell>
        </row>
        <row r="13">
          <cell r="G13">
            <v>100000</v>
          </cell>
        </row>
        <row r="14">
          <cell r="G14">
            <v>100000</v>
          </cell>
        </row>
        <row r="17">
          <cell r="G17">
            <v>120000</v>
          </cell>
        </row>
        <row r="18">
          <cell r="G18">
            <v>120000</v>
          </cell>
        </row>
        <row r="24">
          <cell r="G24">
            <v>4000</v>
          </cell>
        </row>
        <row r="25">
          <cell r="G25">
            <v>300000</v>
          </cell>
        </row>
        <row r="26">
          <cell r="G26">
            <v>275000</v>
          </cell>
        </row>
        <row r="27">
          <cell r="G27">
            <v>1200000</v>
          </cell>
        </row>
        <row r="28">
          <cell r="G28">
            <v>1150000</v>
          </cell>
        </row>
        <row r="29">
          <cell r="G29">
            <v>9500</v>
          </cell>
        </row>
        <row r="30">
          <cell r="G30">
            <v>9500</v>
          </cell>
        </row>
        <row r="31">
          <cell r="G31">
            <v>12500</v>
          </cell>
        </row>
        <row r="32">
          <cell r="G32">
            <v>1300</v>
          </cell>
        </row>
        <row r="36">
          <cell r="G36">
            <v>125000</v>
          </cell>
        </row>
        <row r="37">
          <cell r="G37">
            <v>45000</v>
          </cell>
        </row>
        <row r="39">
          <cell r="G39">
            <v>153000</v>
          </cell>
        </row>
        <row r="40">
          <cell r="G40">
            <v>153000</v>
          </cell>
        </row>
        <row r="45">
          <cell r="G45">
            <v>20000</v>
          </cell>
        </row>
        <row r="46">
          <cell r="G46">
            <v>1850000</v>
          </cell>
        </row>
        <row r="47">
          <cell r="G47">
            <v>1700000</v>
          </cell>
        </row>
        <row r="48">
          <cell r="G48">
            <v>1850000</v>
          </cell>
        </row>
        <row r="49">
          <cell r="G49">
            <v>1700000</v>
          </cell>
        </row>
        <row r="51">
          <cell r="G51">
            <v>55000</v>
          </cell>
        </row>
        <row r="52">
          <cell r="G52">
            <v>110000</v>
          </cell>
        </row>
        <row r="53">
          <cell r="G53">
            <v>13750</v>
          </cell>
        </row>
        <row r="54">
          <cell r="G54">
            <v>1700000</v>
          </cell>
        </row>
        <row r="57">
          <cell r="G57">
            <v>2000</v>
          </cell>
        </row>
        <row r="58">
          <cell r="G58">
            <v>15000</v>
          </cell>
        </row>
        <row r="59">
          <cell r="G59">
            <v>19800</v>
          </cell>
        </row>
        <row r="60">
          <cell r="G60">
            <v>15000</v>
          </cell>
        </row>
        <row r="61">
          <cell r="G61">
            <v>49500</v>
          </cell>
        </row>
        <row r="62">
          <cell r="G62">
            <v>63000</v>
          </cell>
        </row>
        <row r="63">
          <cell r="G63">
            <v>26290</v>
          </cell>
        </row>
        <row r="65">
          <cell r="G65">
            <v>8250</v>
          </cell>
        </row>
        <row r="66">
          <cell r="G66">
            <v>59400</v>
          </cell>
        </row>
        <row r="67">
          <cell r="G67">
            <v>1210000</v>
          </cell>
        </row>
        <row r="71">
          <cell r="G71">
            <v>8250</v>
          </cell>
        </row>
        <row r="72">
          <cell r="G72">
            <v>26400</v>
          </cell>
        </row>
        <row r="73">
          <cell r="G73">
            <v>462675</v>
          </cell>
        </row>
        <row r="74">
          <cell r="G74">
            <v>181000</v>
          </cell>
        </row>
        <row r="75">
          <cell r="G75">
            <v>25000</v>
          </cell>
        </row>
        <row r="76">
          <cell r="G76">
            <v>250000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100000"/>
      <sheetName val="200000"/>
      <sheetName val="300000"/>
      <sheetName val="bilangan"/>
      <sheetName val="Data"/>
      <sheetName val="BANK"/>
      <sheetName val="RUPA-RUPA"/>
      <sheetName val="BAU"/>
      <sheetName val="PERS"/>
      <sheetName val="ALAT"/>
      <sheetName val="New MADC"/>
      <sheetName val="0 REKAP BPIPB"/>
      <sheetName val="1. PERSP"/>
      <sheetName val="2. RAB-BIP2B"/>
      <sheetName val="3. RAB-Mushola"/>
      <sheetName val="4. RAB-Pos. Jaga"/>
      <sheetName val="5a. RAB-PAGAR-Dpn"/>
      <sheetName val="5b. RAB-PAGAR blk"/>
      <sheetName val="6. Non Standar"/>
      <sheetName val="HARGA BAHAN"/>
      <sheetName val="ANALIS-SNI"/>
      <sheetName val="S curve"/>
      <sheetName val="Schedule"/>
      <sheetName val="LUAS LANTAI "/>
      <sheetName val="Septitan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3">
          <cell r="D13">
            <v>210</v>
          </cell>
        </row>
        <row r="15">
          <cell r="D15">
            <v>7</v>
          </cell>
        </row>
        <row r="16">
          <cell r="D16">
            <v>6</v>
          </cell>
        </row>
        <row r="26">
          <cell r="D26" t="str">
            <v>Budi Sukmayana</v>
          </cell>
        </row>
        <row r="30">
          <cell r="D30" t="str">
            <v>Lampung, 09 April 2012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15">
          <cell r="S15">
            <v>750000</v>
          </cell>
        </row>
      </sheetData>
      <sheetData sheetId="11">
        <row r="10">
          <cell r="AK10">
            <v>1.1000000000000001</v>
          </cell>
        </row>
        <row r="12">
          <cell r="AK12">
            <v>1.06</v>
          </cell>
        </row>
        <row r="13">
          <cell r="AK13">
            <v>1.06</v>
          </cell>
        </row>
        <row r="14">
          <cell r="AK14">
            <v>1.06</v>
          </cell>
        </row>
        <row r="22">
          <cell r="AK22">
            <v>1</v>
          </cell>
        </row>
        <row r="23">
          <cell r="AK23">
            <v>1.06</v>
          </cell>
        </row>
        <row r="24">
          <cell r="AK24">
            <v>1.06</v>
          </cell>
        </row>
        <row r="27">
          <cell r="AK27">
            <v>1.06</v>
          </cell>
        </row>
        <row r="28">
          <cell r="AK28">
            <v>1.06</v>
          </cell>
        </row>
        <row r="34">
          <cell r="AK34">
            <v>0</v>
          </cell>
        </row>
        <row r="35">
          <cell r="AK35">
            <v>1</v>
          </cell>
        </row>
        <row r="47">
          <cell r="AK47">
            <v>0</v>
          </cell>
        </row>
      </sheetData>
      <sheetData sheetId="12">
        <row r="14">
          <cell r="C14" t="str">
            <v>PEKERJAAN PERSIAPAN</v>
          </cell>
        </row>
      </sheetData>
      <sheetData sheetId="13" refreshError="1"/>
      <sheetData sheetId="14" refreshError="1"/>
      <sheetData sheetId="15">
        <row r="40">
          <cell r="O40">
            <v>1100000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>
        <row r="14">
          <cell r="H14">
            <v>42400</v>
          </cell>
        </row>
        <row r="18">
          <cell r="H18">
            <v>47700</v>
          </cell>
        </row>
        <row r="19">
          <cell r="H19">
            <v>53000</v>
          </cell>
        </row>
        <row r="22">
          <cell r="H22">
            <v>3300</v>
          </cell>
        </row>
        <row r="24">
          <cell r="H24">
            <v>121275</v>
          </cell>
        </row>
        <row r="25">
          <cell r="H25">
            <v>352000</v>
          </cell>
        </row>
        <row r="26">
          <cell r="H26">
            <v>33000</v>
          </cell>
        </row>
        <row r="27">
          <cell r="H27">
            <v>159500</v>
          </cell>
        </row>
        <row r="28">
          <cell r="H28">
            <v>126500</v>
          </cell>
        </row>
        <row r="29">
          <cell r="H29">
            <v>258500</v>
          </cell>
        </row>
        <row r="30">
          <cell r="H30">
            <v>715</v>
          </cell>
        </row>
        <row r="31">
          <cell r="H31">
            <v>93500</v>
          </cell>
        </row>
        <row r="32">
          <cell r="H32">
            <v>7977</v>
          </cell>
        </row>
        <row r="33">
          <cell r="H33">
            <v>8003</v>
          </cell>
        </row>
        <row r="34">
          <cell r="H34">
            <v>10070</v>
          </cell>
        </row>
        <row r="36">
          <cell r="H36">
            <v>107060</v>
          </cell>
        </row>
        <row r="38">
          <cell r="H38">
            <v>8003</v>
          </cell>
        </row>
        <row r="39">
          <cell r="H39">
            <v>50880</v>
          </cell>
        </row>
        <row r="40">
          <cell r="H40">
            <v>76320</v>
          </cell>
        </row>
        <row r="41">
          <cell r="H41">
            <v>138600</v>
          </cell>
        </row>
        <row r="42">
          <cell r="H42">
            <v>462000</v>
          </cell>
        </row>
        <row r="43">
          <cell r="H43">
            <v>69740</v>
          </cell>
        </row>
        <row r="44">
          <cell r="H44">
            <v>55000</v>
          </cell>
        </row>
        <row r="45">
          <cell r="H45">
            <v>96525</v>
          </cell>
        </row>
        <row r="46">
          <cell r="H46">
            <v>20974</v>
          </cell>
        </row>
        <row r="47">
          <cell r="H47">
            <v>38500</v>
          </cell>
        </row>
        <row r="48">
          <cell r="H48">
            <v>27500</v>
          </cell>
        </row>
        <row r="49">
          <cell r="H49">
            <v>36300</v>
          </cell>
        </row>
        <row r="50">
          <cell r="H50">
            <v>36300</v>
          </cell>
        </row>
        <row r="51">
          <cell r="H51">
            <v>36300</v>
          </cell>
        </row>
        <row r="53">
          <cell r="H53">
            <v>38500</v>
          </cell>
        </row>
        <row r="54">
          <cell r="H54">
            <v>99000</v>
          </cell>
        </row>
        <row r="55">
          <cell r="H55">
            <v>96250</v>
          </cell>
        </row>
        <row r="57">
          <cell r="H57">
            <v>13200</v>
          </cell>
        </row>
        <row r="62">
          <cell r="H62">
            <v>33000</v>
          </cell>
        </row>
        <row r="66">
          <cell r="H66">
            <v>59400</v>
          </cell>
        </row>
        <row r="69">
          <cell r="H69">
            <v>24750</v>
          </cell>
        </row>
        <row r="71">
          <cell r="H71">
            <v>8250</v>
          </cell>
        </row>
        <row r="74">
          <cell r="H74">
            <v>385000</v>
          </cell>
        </row>
        <row r="75">
          <cell r="H75">
            <v>297000</v>
          </cell>
        </row>
        <row r="76">
          <cell r="H76">
            <v>3960</v>
          </cell>
        </row>
        <row r="79">
          <cell r="H79">
            <v>3850000</v>
          </cell>
        </row>
        <row r="80">
          <cell r="H80">
            <v>2310000</v>
          </cell>
        </row>
        <row r="81">
          <cell r="H81">
            <v>2310000</v>
          </cell>
        </row>
        <row r="82">
          <cell r="H82">
            <v>1980000</v>
          </cell>
        </row>
        <row r="83">
          <cell r="H83">
            <v>1980000</v>
          </cell>
        </row>
        <row r="84">
          <cell r="H84">
            <v>8250</v>
          </cell>
        </row>
        <row r="86">
          <cell r="H86">
            <v>15400</v>
          </cell>
        </row>
        <row r="88">
          <cell r="H88">
            <v>194568</v>
          </cell>
        </row>
        <row r="89">
          <cell r="H89">
            <v>69520</v>
          </cell>
        </row>
        <row r="90">
          <cell r="H90">
            <v>75680</v>
          </cell>
        </row>
        <row r="92">
          <cell r="H92">
            <v>57998</v>
          </cell>
        </row>
        <row r="99">
          <cell r="H99">
            <v>66000</v>
          </cell>
        </row>
        <row r="100">
          <cell r="H100">
            <v>66000</v>
          </cell>
        </row>
        <row r="101">
          <cell r="H101">
            <v>165000</v>
          </cell>
        </row>
        <row r="103">
          <cell r="H103">
            <v>55000</v>
          </cell>
        </row>
        <row r="104">
          <cell r="H104">
            <v>82500</v>
          </cell>
        </row>
        <row r="106">
          <cell r="H106">
            <v>99000</v>
          </cell>
        </row>
        <row r="107">
          <cell r="H107">
            <v>99000</v>
          </cell>
        </row>
        <row r="108">
          <cell r="H108">
            <v>137500</v>
          </cell>
        </row>
        <row r="111">
          <cell r="H111">
            <v>418000</v>
          </cell>
        </row>
        <row r="113">
          <cell r="H113">
            <v>1430000</v>
          </cell>
        </row>
        <row r="114">
          <cell r="H114">
            <v>1060</v>
          </cell>
        </row>
        <row r="115">
          <cell r="H115">
            <v>11000</v>
          </cell>
        </row>
        <row r="119">
          <cell r="H119">
            <v>176000</v>
          </cell>
        </row>
        <row r="128">
          <cell r="H128">
            <v>16500</v>
          </cell>
        </row>
        <row r="131">
          <cell r="H131">
            <v>2750</v>
          </cell>
        </row>
        <row r="133">
          <cell r="H133">
            <v>27500</v>
          </cell>
        </row>
        <row r="135">
          <cell r="H135">
            <v>15400</v>
          </cell>
        </row>
        <row r="136">
          <cell r="H136">
            <v>4400</v>
          </cell>
        </row>
        <row r="137">
          <cell r="H137">
            <v>8250</v>
          </cell>
        </row>
        <row r="138">
          <cell r="H138">
            <v>11000</v>
          </cell>
        </row>
        <row r="143">
          <cell r="H143">
            <v>88000</v>
          </cell>
        </row>
        <row r="144">
          <cell r="H144">
            <v>121000</v>
          </cell>
        </row>
        <row r="145">
          <cell r="H145">
            <v>88000</v>
          </cell>
        </row>
        <row r="151">
          <cell r="H151">
            <v>46200</v>
          </cell>
        </row>
        <row r="152">
          <cell r="H152">
            <v>1100</v>
          </cell>
        </row>
        <row r="154">
          <cell r="H154">
            <v>39600</v>
          </cell>
        </row>
        <row r="155">
          <cell r="H155">
            <v>11000</v>
          </cell>
        </row>
        <row r="156">
          <cell r="H156">
            <v>13200</v>
          </cell>
        </row>
        <row r="157">
          <cell r="H157">
            <v>14300</v>
          </cell>
        </row>
        <row r="158">
          <cell r="H158">
            <v>18700</v>
          </cell>
        </row>
        <row r="159">
          <cell r="H159">
            <v>25300</v>
          </cell>
        </row>
        <row r="160">
          <cell r="H160">
            <v>36300</v>
          </cell>
        </row>
        <row r="161">
          <cell r="H161">
            <v>55000</v>
          </cell>
        </row>
        <row r="162">
          <cell r="H162">
            <v>103400</v>
          </cell>
        </row>
        <row r="163">
          <cell r="H163">
            <v>1650</v>
          </cell>
        </row>
        <row r="164">
          <cell r="H164">
            <v>116050</v>
          </cell>
        </row>
        <row r="167">
          <cell r="H167">
            <v>132000</v>
          </cell>
        </row>
        <row r="168">
          <cell r="H168">
            <v>275000</v>
          </cell>
        </row>
        <row r="169">
          <cell r="H169">
            <v>3300</v>
          </cell>
        </row>
        <row r="170">
          <cell r="H170">
            <v>36344</v>
          </cell>
        </row>
        <row r="172">
          <cell r="H172">
            <v>33618</v>
          </cell>
        </row>
        <row r="175">
          <cell r="H175">
            <v>16500</v>
          </cell>
        </row>
        <row r="184">
          <cell r="H184">
            <v>1171</v>
          </cell>
        </row>
        <row r="185">
          <cell r="H185">
            <v>5300</v>
          </cell>
        </row>
        <row r="186">
          <cell r="H186">
            <v>42900</v>
          </cell>
        </row>
        <row r="187">
          <cell r="H187">
            <v>28600</v>
          </cell>
        </row>
        <row r="188">
          <cell r="H188">
            <v>33000</v>
          </cell>
        </row>
        <row r="189">
          <cell r="H189">
            <v>61600</v>
          </cell>
        </row>
        <row r="194">
          <cell r="H194">
            <v>23100</v>
          </cell>
        </row>
        <row r="195">
          <cell r="H195">
            <v>127</v>
          </cell>
        </row>
        <row r="198">
          <cell r="H198">
            <v>17600</v>
          </cell>
        </row>
        <row r="199">
          <cell r="H199">
            <v>44000</v>
          </cell>
        </row>
        <row r="201">
          <cell r="H201">
            <v>44000</v>
          </cell>
        </row>
        <row r="202">
          <cell r="H202">
            <v>55550</v>
          </cell>
        </row>
        <row r="203">
          <cell r="H203">
            <v>68915</v>
          </cell>
        </row>
        <row r="205">
          <cell r="H205">
            <v>3025</v>
          </cell>
        </row>
        <row r="206">
          <cell r="H206">
            <v>2702700</v>
          </cell>
        </row>
        <row r="207">
          <cell r="H207">
            <v>90200</v>
          </cell>
        </row>
        <row r="208">
          <cell r="H208">
            <v>22550</v>
          </cell>
        </row>
        <row r="209">
          <cell r="H209">
            <v>46200</v>
          </cell>
        </row>
        <row r="210">
          <cell r="H210">
            <v>1257200</v>
          </cell>
        </row>
        <row r="212">
          <cell r="H212">
            <v>121000</v>
          </cell>
        </row>
        <row r="215">
          <cell r="H215">
            <v>1056821</v>
          </cell>
        </row>
      </sheetData>
      <sheetData sheetId="21">
        <row r="32">
          <cell r="J32">
            <v>46178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H.Satuan"/>
      <sheetName val="SITE_E"/>
      <sheetName val="DAF-2"/>
      <sheetName val="Analisa"/>
      <sheetName val="Hardas"/>
      <sheetName val="MAPDC"/>
      <sheetName val="Teq.an"/>
      <sheetName val="Teq.an.ccrt"/>
      <sheetName val="Teq.an.Stone"/>
      <sheetName val="BOQ"/>
      <sheetName val="An.Earth"/>
      <sheetName val="An.Ls "/>
      <sheetName val="FORM X COST"/>
      <sheetName val="EST. SERVICEHEATEXCHANGER-ATD"/>
      <sheetName val="Cover Daf-2"/>
      <sheetName val="Civil Costs"/>
      <sheetName val="Piperate"/>
      <sheetName val="LOADDAT"/>
      <sheetName val="Fill this out first..."/>
      <sheetName val="Clm"/>
      <sheetName val="Balok Slab"/>
      <sheetName val="ESCON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ﾃｨｰﾁﾝｸﾞ"/>
      <sheetName val="Data"/>
      <sheetName val="New MADC"/>
      <sheetName val="Fill this out first___"/>
    </sheetNames>
    <sheetDataSet>
      <sheetData sheetId="0" refreshError="1"/>
      <sheetData sheetId="1"/>
      <sheetData sheetId="2" refreshError="1"/>
      <sheetData sheetId="3" refreshError="1"/>
      <sheetData sheetId="4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Agregat Halus &amp; Kasar"/>
      <sheetName val="HRG BH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FA"/>
      <sheetName val="Analisa HS"/>
      <sheetName val="Kr tengahDiva"/>
      <sheetName val="SITE-E"/>
      <sheetName val="LOADDAT"/>
      <sheetName val="GASATAGG.XLS"/>
      <sheetName val="Informasi"/>
      <sheetName val="EXTERNAL WORK"/>
      <sheetName val="LO"/>
      <sheetName val="Isolasi Luar Dalam"/>
      <sheetName val="Isolasi Luar"/>
      <sheetName val="ANAL.BOW"/>
      <sheetName val="Break_down"/>
      <sheetName val="Equipment"/>
      <sheetName val="Subkon"/>
      <sheetName val="B - Norelec"/>
      <sheetName val="upahbahan"/>
      <sheetName val="DAPRO"/>
      <sheetName val="BL"/>
      <sheetName val="L3 An H Sat Mob"/>
      <sheetName val="rab me (by owner) "/>
      <sheetName val="BQ (by owner)"/>
      <sheetName val="rab me (fisik)"/>
      <sheetName val="Man Power"/>
      <sheetName val="rekap mekanikal"/>
      <sheetName val="BASEMENT"/>
      <sheetName val="Anls"/>
      <sheetName val="Analisa _ Upah"/>
      <sheetName val="Markup"/>
      <sheetName val="BAG_2"/>
      <sheetName val="Analisa &amp; Upah"/>
      <sheetName val="Pipe"/>
      <sheetName val="M_12 _2_"/>
      <sheetName val="REKAP"/>
      <sheetName val="Material"/>
      <sheetName val="Upah"/>
      <sheetName val="basic"/>
      <sheetName val="pric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MAPDC"/>
      <sheetName val="data"/>
      <sheetName val="Rekap"/>
      <sheetName val="input"/>
      <sheetName val="SAT"/>
      <sheetName val="Material"/>
      <sheetName val="Analisa &amp; Upah"/>
      <sheetName val="AN. TAMPL"/>
      <sheetName val="Bill Of Quantity"/>
      <sheetName val="Cover"/>
      <sheetName val="HB "/>
      <sheetName val="NS GD.UGD"/>
      <sheetName val="STD GD.UGD"/>
      <sheetName val="K"/>
      <sheetName val="rab me (by owner) "/>
      <sheetName val="BQ (by owner)"/>
      <sheetName val="rab me (fisik)"/>
      <sheetName val="NP (4)"/>
      <sheetName val="DIV7-BM"/>
      <sheetName val="BAHAN"/>
      <sheetName val="Analisa ME"/>
      <sheetName val="harga bahan"/>
      <sheetName val="MAIN BQ"/>
      <sheetName val="Harsat BHN AR,M"/>
      <sheetName val="bhn-upah"/>
      <sheetName val="AC"/>
      <sheetName val="FP"/>
      <sheetName val="PLB"/>
      <sheetName val="DAF_1"/>
      <sheetName val="DRUP (ASLI)"/>
      <sheetName val="DAF-1"/>
      <sheetName val="BQ.AC.FAN"/>
      <sheetName val="harsat"/>
      <sheetName val="SITE-E"/>
      <sheetName val="ANAL"/>
      <sheetName val="LISTRIK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H.Satuan"/>
      <sheetName val="rab me (by owner) "/>
      <sheetName val="BQ (by owner)"/>
      <sheetName val="rab me (fisik)"/>
      <sheetName val="Bill Of Quantity"/>
      <sheetName val="L-Mechanical"/>
      <sheetName val="GLP-DISCOUNT"/>
      <sheetName val="GLP 2001"/>
      <sheetName val="EE-PROP"/>
      <sheetName val="PC"/>
      <sheetName val="Balok"/>
      <sheetName val="GB"/>
      <sheetName val="Upah+Bahan"/>
      <sheetName val="HB "/>
    </sheetNames>
    <sheetDataSet>
      <sheetData sheetId="0">
        <row r="7">
          <cell r="P7" t="str">
            <v xml:space="preserve">B U D G E T A R Y 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1.0"/>
      <sheetName val="Master 1.0 (2)"/>
      <sheetName val="Master Sch 1.0-sro2.Adari diske"/>
      <sheetName val="LO"/>
      <sheetName val="SEX"/>
      <sheetName val="HB "/>
      <sheetName val="Cash Flow bulanan"/>
      <sheetName val="Master_1_0"/>
      <sheetName val="Master_1_0_(2)"/>
      <sheetName val="Master_Sch_1_0-sro2_Adari_diske"/>
      <sheetName val="Cover"/>
      <sheetName val="H.Satuan"/>
      <sheetName val="Analisa"/>
      <sheetName val="Bill of Qty MEP"/>
      <sheetName val="Up &amp; bhn"/>
      <sheetName val="BAG-2"/>
      <sheetName val="HRG BHN"/>
      <sheetName val="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 of work"/>
      <sheetName val="Rekap"/>
      <sheetName val="BQ interior"/>
      <sheetName val="BQ ME"/>
      <sheetName val="BQ R&amp;S"/>
      <sheetName val="lampiran 1"/>
      <sheetName val="Lampiran 2"/>
      <sheetName val="Prelim"/>
      <sheetName val="Anal. baja"/>
      <sheetName val="M'trl Baja"/>
      <sheetName val="HARGA MATERIAL"/>
      <sheetName val="UPAH KERJA"/>
      <sheetName val="FINISHING"/>
      <sheetName val="STRUKTUR"/>
      <sheetName val="EXTERNAL"/>
      <sheetName val="Paint"/>
      <sheetName val="Door"/>
      <sheetName val="HARGA"/>
      <sheetName val="H.Satuan"/>
      <sheetName val="7.1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2">
          <cell r="H32" t="str">
            <v>m³</v>
          </cell>
          <cell r="I32">
            <v>195000</v>
          </cell>
          <cell r="L32">
            <v>195000</v>
          </cell>
          <cell r="M32">
            <v>0</v>
          </cell>
          <cell r="O32">
            <v>195000</v>
          </cell>
          <cell r="P32">
            <v>0</v>
          </cell>
          <cell r="Q32">
            <v>36481</v>
          </cell>
          <cell r="S32" t="str">
            <v>PT Jaya Readymix</v>
          </cell>
        </row>
        <row r="33">
          <cell r="H33" t="str">
            <v>m³</v>
          </cell>
          <cell r="I33">
            <v>205000</v>
          </cell>
          <cell r="L33">
            <v>205000</v>
          </cell>
          <cell r="M33">
            <v>0</v>
          </cell>
          <cell r="O33">
            <v>205000</v>
          </cell>
          <cell r="P33">
            <v>0</v>
          </cell>
          <cell r="Q33">
            <v>36481</v>
          </cell>
          <cell r="S33" t="str">
            <v>PT Jaya Readymix</v>
          </cell>
        </row>
        <row r="34">
          <cell r="H34" t="str">
            <v>m³</v>
          </cell>
          <cell r="I34">
            <v>174000</v>
          </cell>
          <cell r="L34">
            <v>174000</v>
          </cell>
          <cell r="M34">
            <v>0</v>
          </cell>
          <cell r="O34">
            <v>174000</v>
          </cell>
          <cell r="P34">
            <v>0</v>
          </cell>
          <cell r="Q34">
            <v>36479</v>
          </cell>
          <cell r="S34" t="str">
            <v>PT Jaya Readymix</v>
          </cell>
        </row>
        <row r="35">
          <cell r="H35" t="str">
            <v>m³</v>
          </cell>
          <cell r="I35">
            <v>230000</v>
          </cell>
          <cell r="L35">
            <v>230000</v>
          </cell>
          <cell r="M35">
            <v>0</v>
          </cell>
          <cell r="O35">
            <v>230000</v>
          </cell>
          <cell r="P35">
            <v>0</v>
          </cell>
          <cell r="Q35">
            <v>36873</v>
          </cell>
          <cell r="S35" t="str">
            <v>PT Jaya Readymix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RAT"/>
      <sheetName val="Lingkup Pekerjaan"/>
      <sheetName val="Rekap"/>
      <sheetName val="Pek.persiapan"/>
      <sheetName val="RAB"/>
      <sheetName val="Preliminary"/>
      <sheetName val="anal.baja"/>
      <sheetName val="m'trl baja"/>
      <sheetName val="HARGA MATERIAL"/>
      <sheetName val="UPAH KERJA"/>
      <sheetName val="STRUKTUR"/>
      <sheetName val="FINISHING"/>
      <sheetName val="EXTERNAL"/>
      <sheetName val="HB "/>
      <sheetName val="HARGA SAT"/>
      <sheetName val="MAPDC "/>
      <sheetName val="DB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>
        <row r="11">
          <cell r="A11">
            <v>3</v>
          </cell>
        </row>
        <row r="27">
          <cell r="G27" t="str">
            <v>m³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T27" t="str">
            <v>( 1 September 1999 )</v>
          </cell>
        </row>
        <row r="28">
          <cell r="G28" t="str">
            <v>m³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</row>
        <row r="29">
          <cell r="G29" t="str">
            <v>m³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</row>
        <row r="30">
          <cell r="G30" t="str">
            <v>m³</v>
          </cell>
          <cell r="H30">
            <v>215000</v>
          </cell>
          <cell r="K30">
            <v>215000</v>
          </cell>
          <cell r="L30">
            <v>0</v>
          </cell>
          <cell r="N30">
            <v>215000</v>
          </cell>
          <cell r="O30">
            <v>0</v>
          </cell>
          <cell r="R30" t="str">
            <v>PT Jaya Readymix  (8 Sept'2000)</v>
          </cell>
        </row>
        <row r="31">
          <cell r="G31" t="str">
            <v>m³</v>
          </cell>
          <cell r="H31">
            <v>220000</v>
          </cell>
          <cell r="K31">
            <v>220000</v>
          </cell>
          <cell r="L31">
            <v>0</v>
          </cell>
          <cell r="N31">
            <v>220000</v>
          </cell>
          <cell r="O31">
            <v>0</v>
          </cell>
          <cell r="P31">
            <v>36717</v>
          </cell>
          <cell r="R31" t="str">
            <v>PT Jaya Readymix  (8 Sept'2000)</v>
          </cell>
        </row>
        <row r="32">
          <cell r="G32" t="str">
            <v>m³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</row>
        <row r="33">
          <cell r="G33" t="str">
            <v>m³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-25.b LEMBAR CATATAN"/>
    </sheetNames>
    <sheetDataSet>
      <sheetData sheetId="0">
        <row r="3">
          <cell r="A3" t="str">
            <v>LEMBAR CATATAN PEMERIKSAAN</v>
          </cell>
        </row>
        <row r="5">
          <cell r="B5" t="str">
            <v xml:space="preserve">Lokasi                    </v>
          </cell>
          <cell r="D5" t="str">
            <v>:</v>
          </cell>
        </row>
        <row r="7">
          <cell r="B7" t="str">
            <v xml:space="preserve">Dibuat oleh        </v>
          </cell>
          <cell r="D7" t="str">
            <v>:</v>
          </cell>
          <cell r="I7" t="str">
            <v>Pemeriksaan ke :</v>
          </cell>
        </row>
        <row r="9">
          <cell r="B9" t="str">
            <v xml:space="preserve">Jabatan           </v>
          </cell>
          <cell r="D9" t="str">
            <v>:</v>
          </cell>
          <cell r="I9" t="str">
            <v>Tanggal diserahkan :</v>
          </cell>
        </row>
        <row r="11">
          <cell r="B11" t="str">
            <v>Jenis Prasarana :</v>
          </cell>
          <cell r="I11" t="str">
            <v>Tanggal diperiksa :</v>
          </cell>
        </row>
        <row r="15">
          <cell r="B15" t="str">
            <v>Hal-hal yang harus diperhatikan/diperbaiki :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 Upah Beton , UPAH "/>
      <sheetName val="Material"/>
      <sheetName val="AnalisaSIPIL1"/>
      <sheetName val="BEST. BESI"/>
      <sheetName val="BEST. BEGESTING"/>
      <sheetName val="RAB"/>
      <sheetName val="ME"/>
      <sheetName val="PLUMBING"/>
      <sheetName val=" Bahan"/>
      <sheetName val="Upah"/>
      <sheetName val="Analisa LUMAJANG SNI"/>
      <sheetName val="Analisa SNI STANDART "/>
      <sheetName val="struktur tdk dipakai"/>
      <sheetName val="H.Satuan"/>
      <sheetName val="Uni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5">
          <cell r="B155" t="str">
            <v>Bahan</v>
          </cell>
        </row>
        <row r="3144">
          <cell r="C3144" t="str">
            <v>Paku Kancing 60x230</v>
          </cell>
          <cell r="G3144">
            <v>0</v>
          </cell>
        </row>
        <row r="3145">
          <cell r="B3145" t="str">
            <v xml:space="preserve">Tenaga </v>
          </cell>
          <cell r="G3145">
            <v>0</v>
          </cell>
        </row>
        <row r="3146">
          <cell r="C3146" t="str">
            <v>Pekerja</v>
          </cell>
          <cell r="E3146" t="str">
            <v xml:space="preserve">Oh </v>
          </cell>
          <cell r="G3146">
            <v>0</v>
          </cell>
        </row>
        <row r="3147">
          <cell r="C3147" t="str">
            <v xml:space="preserve">Tukang Batu </v>
          </cell>
          <cell r="D3147">
            <v>0.56999999999999995</v>
          </cell>
          <cell r="E3147" t="str">
            <v xml:space="preserve"> Oh </v>
          </cell>
          <cell r="G3147">
            <v>0</v>
          </cell>
        </row>
        <row r="3148">
          <cell r="C3148" t="str">
            <v>Kep. Tukang Batu</v>
          </cell>
          <cell r="D3148">
            <v>0.12</v>
          </cell>
          <cell r="E3148" t="str">
            <v xml:space="preserve"> Oh </v>
          </cell>
          <cell r="G3148">
            <v>0</v>
          </cell>
        </row>
        <row r="3149">
          <cell r="C3149" t="str">
            <v>Mandor</v>
          </cell>
          <cell r="E3149" t="str">
            <v xml:space="preserve"> Oh </v>
          </cell>
          <cell r="G3149">
            <v>0</v>
          </cell>
        </row>
        <row r="3150">
          <cell r="D3150">
            <v>0.14000000000000001</v>
          </cell>
          <cell r="G3150">
            <v>0</v>
          </cell>
        </row>
        <row r="3151">
          <cell r="B3151" t="str">
            <v>1 M2 Pas. Bubung Stel Gel ( 0.92 m )</v>
          </cell>
          <cell r="D3151">
            <v>6.7000000000000004E-2</v>
          </cell>
          <cell r="G3151">
            <v>0</v>
          </cell>
        </row>
        <row r="3152">
          <cell r="B3152" t="str">
            <v xml:space="preserve">Bahan </v>
          </cell>
          <cell r="D3152">
            <v>7.0000000000000001E-3</v>
          </cell>
          <cell r="G3152">
            <v>0</v>
          </cell>
        </row>
        <row r="3153">
          <cell r="C3153" t="str">
            <v xml:space="preserve">Bubung Stel Gelombang </v>
          </cell>
          <cell r="D3153">
            <v>7.0000000000000001E-3</v>
          </cell>
          <cell r="G3153">
            <v>0</v>
          </cell>
        </row>
        <row r="3154">
          <cell r="C3154" t="str">
            <v>Paku Sekerup 3,5"</v>
          </cell>
          <cell r="G3154">
            <v>0</v>
          </cell>
        </row>
        <row r="3155">
          <cell r="B3155" t="str">
            <v xml:space="preserve">Tenaga </v>
          </cell>
          <cell r="G3155">
            <v>0</v>
          </cell>
        </row>
        <row r="3156">
          <cell r="C3156" t="str">
            <v>Pekerja</v>
          </cell>
          <cell r="E3156" t="str">
            <v xml:space="preserve">Oh </v>
          </cell>
          <cell r="G3156">
            <v>0</v>
          </cell>
        </row>
        <row r="3157">
          <cell r="C3157" t="str">
            <v>Tukang Kayu</v>
          </cell>
          <cell r="D3157">
            <v>2.4</v>
          </cell>
          <cell r="E3157" t="str">
            <v xml:space="preserve"> Oh </v>
          </cell>
          <cell r="G3157">
            <v>0</v>
          </cell>
        </row>
        <row r="3158">
          <cell r="C3158" t="str">
            <v>Kep. Tukang Kayu</v>
          </cell>
          <cell r="D3158">
            <v>6</v>
          </cell>
          <cell r="E3158" t="str">
            <v xml:space="preserve"> Oh </v>
          </cell>
          <cell r="G3158">
            <v>0</v>
          </cell>
        </row>
        <row r="3159">
          <cell r="C3159" t="str">
            <v>Mandor</v>
          </cell>
          <cell r="E3159" t="str">
            <v xml:space="preserve"> Oh </v>
          </cell>
          <cell r="G3159">
            <v>0</v>
          </cell>
        </row>
        <row r="3160">
          <cell r="D3160">
            <v>8.4000000000000005E-2</v>
          </cell>
          <cell r="G3160">
            <v>0</v>
          </cell>
        </row>
        <row r="3161">
          <cell r="B3161" t="str">
            <v>1 M2 Pas. Nok Stel Gelombang ( 1.05 m )</v>
          </cell>
          <cell r="D3161">
            <v>0.125</v>
          </cell>
          <cell r="G3161">
            <v>0</v>
          </cell>
        </row>
        <row r="3162">
          <cell r="B3162" t="str">
            <v xml:space="preserve">Bahan </v>
          </cell>
          <cell r="D3162">
            <v>1.2999999999999999E-2</v>
          </cell>
          <cell r="G3162">
            <v>0</v>
          </cell>
        </row>
        <row r="3163">
          <cell r="C3163" t="str">
            <v xml:space="preserve">Nok Stel Gelombang </v>
          </cell>
          <cell r="D3163">
            <v>4.0000000000000001E-3</v>
          </cell>
          <cell r="G3163">
            <v>0</v>
          </cell>
        </row>
        <row r="3164">
          <cell r="C3164" t="str">
            <v>Paku Sekerup 3,5"</v>
          </cell>
          <cell r="G3164">
            <v>0</v>
          </cell>
        </row>
        <row r="3165">
          <cell r="B3165" t="str">
            <v xml:space="preserve">Tenaga </v>
          </cell>
          <cell r="G3165">
            <v>0</v>
          </cell>
        </row>
        <row r="3166">
          <cell r="C3166" t="str">
            <v>Pekerja</v>
          </cell>
          <cell r="E3166" t="str">
            <v xml:space="preserve">Oh </v>
          </cell>
          <cell r="G3166">
            <v>0</v>
          </cell>
        </row>
        <row r="3167">
          <cell r="C3167" t="str">
            <v>Tukang Kayu</v>
          </cell>
          <cell r="D3167">
            <v>2.1</v>
          </cell>
          <cell r="E3167" t="str">
            <v xml:space="preserve"> Oh </v>
          </cell>
          <cell r="G3167">
            <v>0</v>
          </cell>
        </row>
        <row r="3168">
          <cell r="C3168" t="str">
            <v>Kep. Tukang Kayu</v>
          </cell>
          <cell r="D3168">
            <v>6</v>
          </cell>
          <cell r="E3168" t="str">
            <v xml:space="preserve"> Oh </v>
          </cell>
          <cell r="G3168">
            <v>0</v>
          </cell>
        </row>
        <row r="3169">
          <cell r="C3169" t="str">
            <v>Mandor</v>
          </cell>
          <cell r="E3169" t="str">
            <v xml:space="preserve"> Oh </v>
          </cell>
          <cell r="G3169">
            <v>0</v>
          </cell>
        </row>
        <row r="3170">
          <cell r="D3170">
            <v>8.4000000000000005E-2</v>
          </cell>
          <cell r="G3170">
            <v>0</v>
          </cell>
        </row>
        <row r="3171">
          <cell r="B3171" t="str">
            <v>1 M2 Pas. Nok Stel Gelombang ( 1.08 m )</v>
          </cell>
          <cell r="D3171">
            <v>0.125</v>
          </cell>
          <cell r="G3171">
            <v>0</v>
          </cell>
        </row>
        <row r="3172">
          <cell r="D3172">
            <v>1.2999999999999999E-2</v>
          </cell>
          <cell r="G3172">
            <v>0</v>
          </cell>
        </row>
        <row r="3173">
          <cell r="B3173" t="str">
            <v xml:space="preserve">Bahan </v>
          </cell>
          <cell r="D3173">
            <v>4.0000000000000001E-3</v>
          </cell>
          <cell r="G3173">
            <v>0</v>
          </cell>
        </row>
        <row r="3174">
          <cell r="C3174" t="str">
            <v xml:space="preserve">Nok Stel Gelombang </v>
          </cell>
          <cell r="E3174" t="str">
            <v>lbr</v>
          </cell>
          <cell r="G3174">
            <v>0</v>
          </cell>
        </row>
        <row r="3175">
          <cell r="C3175" t="str">
            <v>Paku Sekerup 3,5"</v>
          </cell>
          <cell r="E3175" t="str">
            <v>bh</v>
          </cell>
          <cell r="G3175">
            <v>0</v>
          </cell>
        </row>
        <row r="3176">
          <cell r="B3176" t="str">
            <v xml:space="preserve">Tenaga </v>
          </cell>
          <cell r="G3176">
            <v>0</v>
          </cell>
        </row>
        <row r="3177">
          <cell r="C3177" t="str">
            <v>Pekerja</v>
          </cell>
          <cell r="E3177" t="str">
            <v xml:space="preserve">Oh </v>
          </cell>
          <cell r="G3177">
            <v>0</v>
          </cell>
        </row>
        <row r="3178">
          <cell r="C3178" t="str">
            <v>Tukang Kayu</v>
          </cell>
          <cell r="D3178">
            <v>2.0499999999999998</v>
          </cell>
          <cell r="E3178" t="str">
            <v xml:space="preserve"> Oh </v>
          </cell>
          <cell r="G3178">
            <v>0</v>
          </cell>
        </row>
        <row r="3179">
          <cell r="C3179" t="str">
            <v>Kep. Tukang Kayu</v>
          </cell>
          <cell r="D3179">
            <v>6</v>
          </cell>
          <cell r="E3179" t="str">
            <v xml:space="preserve"> Oh </v>
          </cell>
          <cell r="G3179">
            <v>0</v>
          </cell>
        </row>
        <row r="3180">
          <cell r="C3180" t="str">
            <v>Mandor</v>
          </cell>
          <cell r="E3180" t="str">
            <v xml:space="preserve"> Oh </v>
          </cell>
          <cell r="G3180">
            <v>0</v>
          </cell>
        </row>
        <row r="3181">
          <cell r="D3181">
            <v>8.4000000000000005E-2</v>
          </cell>
          <cell r="G3181">
            <v>0</v>
          </cell>
        </row>
        <row r="3182">
          <cell r="B3182" t="str">
            <v>1 M2 Pas. Nok Paten ( 0.92 m' )</v>
          </cell>
          <cell r="D3182">
            <v>0.125</v>
          </cell>
          <cell r="G3182">
            <v>0</v>
          </cell>
        </row>
        <row r="3183">
          <cell r="B3183" t="str">
            <v xml:space="preserve">Bahan </v>
          </cell>
          <cell r="D3183">
            <v>1.2999999999999999E-2</v>
          </cell>
          <cell r="G3183">
            <v>0</v>
          </cell>
        </row>
        <row r="3184">
          <cell r="C3184" t="str">
            <v>Nok Paten</v>
          </cell>
          <cell r="D3184">
            <v>4.0000000000000001E-3</v>
          </cell>
          <cell r="E3184" t="str">
            <v>lbr</v>
          </cell>
          <cell r="G3184">
            <v>0</v>
          </cell>
        </row>
        <row r="3185">
          <cell r="C3185" t="str">
            <v>Paku Sekerup 3,5"</v>
          </cell>
          <cell r="E3185" t="str">
            <v>bh</v>
          </cell>
          <cell r="G3185">
            <v>0</v>
          </cell>
        </row>
        <row r="3186">
          <cell r="B3186" t="str">
            <v xml:space="preserve">Tenaga </v>
          </cell>
          <cell r="G3186">
            <v>0</v>
          </cell>
        </row>
        <row r="3187">
          <cell r="C3187" t="str">
            <v>Pekerja</v>
          </cell>
          <cell r="E3187" t="str">
            <v xml:space="preserve">Oh </v>
          </cell>
          <cell r="G3187">
            <v>0</v>
          </cell>
        </row>
        <row r="3188">
          <cell r="C3188" t="str">
            <v>Tukang Kayu</v>
          </cell>
          <cell r="D3188">
            <v>2.4</v>
          </cell>
          <cell r="E3188" t="str">
            <v xml:space="preserve"> Oh </v>
          </cell>
          <cell r="G3188">
            <v>0</v>
          </cell>
        </row>
        <row r="3189">
          <cell r="C3189" t="str">
            <v>Kep. Tukang Kayu</v>
          </cell>
          <cell r="D3189">
            <v>6</v>
          </cell>
          <cell r="E3189" t="str">
            <v xml:space="preserve"> Oh </v>
          </cell>
          <cell r="G3189">
            <v>0</v>
          </cell>
        </row>
        <row r="3190">
          <cell r="C3190" t="str">
            <v>Mandor</v>
          </cell>
          <cell r="E3190" t="str">
            <v xml:space="preserve"> Oh </v>
          </cell>
          <cell r="G3190">
            <v>0</v>
          </cell>
        </row>
        <row r="3191">
          <cell r="D3191">
            <v>8.4000000000000005E-2</v>
          </cell>
          <cell r="G3191">
            <v>0</v>
          </cell>
        </row>
        <row r="3192">
          <cell r="B3192" t="str">
            <v>1 M2 Pas. Nok Paten ( 1.05 m' )</v>
          </cell>
          <cell r="D3192">
            <v>0.125</v>
          </cell>
          <cell r="G3192">
            <v>0</v>
          </cell>
        </row>
        <row r="3193">
          <cell r="B3193" t="str">
            <v xml:space="preserve">Bahan </v>
          </cell>
          <cell r="D3193">
            <v>1.2999999999999999E-2</v>
          </cell>
          <cell r="G3193">
            <v>0</v>
          </cell>
        </row>
        <row r="3194">
          <cell r="C3194" t="str">
            <v>Nok Paten</v>
          </cell>
          <cell r="D3194">
            <v>4.0000000000000001E-3</v>
          </cell>
          <cell r="E3194" t="str">
            <v>lbr</v>
          </cell>
          <cell r="G3194">
            <v>0</v>
          </cell>
        </row>
        <row r="3195">
          <cell r="C3195" t="str">
            <v>Paku Sekerup 3,5"</v>
          </cell>
          <cell r="E3195" t="str">
            <v>bh</v>
          </cell>
          <cell r="G3195">
            <v>0</v>
          </cell>
        </row>
        <row r="3196">
          <cell r="B3196" t="str">
            <v xml:space="preserve">Tenaga </v>
          </cell>
          <cell r="G3196">
            <v>0</v>
          </cell>
        </row>
        <row r="3197">
          <cell r="C3197" t="str">
            <v>Pekerja</v>
          </cell>
          <cell r="E3197" t="str">
            <v xml:space="preserve">Oh </v>
          </cell>
          <cell r="G3197">
            <v>0</v>
          </cell>
        </row>
        <row r="3198">
          <cell r="C3198" t="str">
            <v>Tukang Kayu</v>
          </cell>
          <cell r="D3198">
            <v>1.2</v>
          </cell>
          <cell r="E3198" t="str">
            <v xml:space="preserve"> Oh </v>
          </cell>
          <cell r="G3198">
            <v>0</v>
          </cell>
        </row>
        <row r="3199">
          <cell r="C3199" t="str">
            <v>Kep. Tukang Kayu</v>
          </cell>
          <cell r="D3199">
            <v>6</v>
          </cell>
          <cell r="E3199" t="str">
            <v xml:space="preserve"> Oh </v>
          </cell>
          <cell r="G3199">
            <v>0</v>
          </cell>
        </row>
        <row r="3200">
          <cell r="C3200" t="str">
            <v>Mandor</v>
          </cell>
          <cell r="E3200" t="str">
            <v xml:space="preserve"> Oh </v>
          </cell>
          <cell r="G3200">
            <v>0</v>
          </cell>
        </row>
        <row r="3201">
          <cell r="D3201">
            <v>8.4000000000000005E-2</v>
          </cell>
          <cell r="G3201">
            <v>0</v>
          </cell>
        </row>
        <row r="3202">
          <cell r="B3202" t="str">
            <v>1 M2 Pas. Nok Stel Rata ( 0.92 m )</v>
          </cell>
          <cell r="D3202">
            <v>0.125</v>
          </cell>
          <cell r="G3202">
            <v>0</v>
          </cell>
        </row>
        <row r="3203">
          <cell r="B3203" t="str">
            <v xml:space="preserve">Bahan </v>
          </cell>
          <cell r="D3203">
            <v>1.2999999999999999E-2</v>
          </cell>
          <cell r="G3203">
            <v>0</v>
          </cell>
        </row>
        <row r="3204">
          <cell r="C3204" t="str">
            <v>Nok Stel rata</v>
          </cell>
          <cell r="D3204">
            <v>4.0000000000000001E-3</v>
          </cell>
          <cell r="E3204" t="str">
            <v>lbr</v>
          </cell>
          <cell r="G3204">
            <v>0</v>
          </cell>
        </row>
        <row r="3205">
          <cell r="C3205" t="str">
            <v>Paku Sekerup 3,5"</v>
          </cell>
          <cell r="E3205" t="str">
            <v>bh</v>
          </cell>
          <cell r="G3205">
            <v>0</v>
          </cell>
        </row>
        <row r="3206">
          <cell r="B3206" t="str">
            <v xml:space="preserve">Tenaga </v>
          </cell>
          <cell r="G3206">
            <v>0</v>
          </cell>
        </row>
        <row r="3207">
          <cell r="C3207" t="str">
            <v>Pekerja</v>
          </cell>
          <cell r="E3207" t="str">
            <v xml:space="preserve">Oh </v>
          </cell>
          <cell r="G3207">
            <v>0</v>
          </cell>
        </row>
        <row r="3208">
          <cell r="C3208" t="str">
            <v>Tukang Kayu</v>
          </cell>
          <cell r="D3208">
            <v>1.1000000000000001</v>
          </cell>
          <cell r="E3208" t="str">
            <v xml:space="preserve"> Oh </v>
          </cell>
          <cell r="G3208">
            <v>0</v>
          </cell>
        </row>
        <row r="3209">
          <cell r="C3209" t="str">
            <v>Kep. Tukang Kayu</v>
          </cell>
          <cell r="D3209">
            <v>6</v>
          </cell>
          <cell r="E3209" t="str">
            <v xml:space="preserve"> Oh </v>
          </cell>
          <cell r="G3209">
            <v>0</v>
          </cell>
        </row>
        <row r="3210">
          <cell r="C3210" t="str">
            <v>Mandor</v>
          </cell>
          <cell r="E3210" t="str">
            <v xml:space="preserve"> Oh </v>
          </cell>
          <cell r="G3210">
            <v>0</v>
          </cell>
        </row>
        <row r="3211">
          <cell r="D3211">
            <v>8.4000000000000005E-2</v>
          </cell>
          <cell r="G3211">
            <v>0</v>
          </cell>
        </row>
        <row r="3212">
          <cell r="B3212" t="str">
            <v>1 M2 Pas. Nok Stel Rata ( 1.05 m )</v>
          </cell>
          <cell r="D3212">
            <v>0.125</v>
          </cell>
          <cell r="G3212">
            <v>0</v>
          </cell>
        </row>
        <row r="3213">
          <cell r="B3213" t="str">
            <v xml:space="preserve">Bahan </v>
          </cell>
          <cell r="D3213">
            <v>1.2999999999999999E-2</v>
          </cell>
          <cell r="G3213">
            <v>0</v>
          </cell>
        </row>
        <row r="3214">
          <cell r="C3214" t="str">
            <v>Nok Stel rata</v>
          </cell>
          <cell r="D3214">
            <v>4.0000000000000001E-3</v>
          </cell>
          <cell r="E3214" t="str">
            <v>lbr</v>
          </cell>
          <cell r="G3214">
            <v>0</v>
          </cell>
        </row>
        <row r="3215">
          <cell r="C3215" t="str">
            <v>Paku Sekerup 3,5"</v>
          </cell>
          <cell r="E3215" t="str">
            <v>bh</v>
          </cell>
          <cell r="G3215">
            <v>0</v>
          </cell>
        </row>
        <row r="3216">
          <cell r="B3216" t="str">
            <v xml:space="preserve">Tenaga </v>
          </cell>
          <cell r="G3216">
            <v>0</v>
          </cell>
        </row>
        <row r="3217">
          <cell r="C3217" t="str">
            <v>Pekerja</v>
          </cell>
          <cell r="E3217" t="str">
            <v xml:space="preserve">Oh </v>
          </cell>
          <cell r="G3217">
            <v>0</v>
          </cell>
        </row>
        <row r="3218">
          <cell r="C3218" t="str">
            <v>Tukang Kayu</v>
          </cell>
          <cell r="D3218">
            <v>1.1000000000000001</v>
          </cell>
          <cell r="E3218" t="str">
            <v xml:space="preserve"> Oh </v>
          </cell>
          <cell r="G3218">
            <v>0</v>
          </cell>
        </row>
        <row r="3219">
          <cell r="C3219" t="str">
            <v>Kep. Tukang Kayu</v>
          </cell>
          <cell r="D3219">
            <v>6</v>
          </cell>
          <cell r="E3219" t="str">
            <v xml:space="preserve"> Oh </v>
          </cell>
          <cell r="G3219">
            <v>0</v>
          </cell>
        </row>
        <row r="3220">
          <cell r="C3220" t="str">
            <v>Mandor</v>
          </cell>
          <cell r="E3220" t="str">
            <v xml:space="preserve"> Oh </v>
          </cell>
          <cell r="G3220">
            <v>0</v>
          </cell>
        </row>
        <row r="3221">
          <cell r="D3221">
            <v>8.4000000000000005E-2</v>
          </cell>
          <cell r="G3221">
            <v>0</v>
          </cell>
        </row>
        <row r="3222">
          <cell r="B3222" t="str">
            <v>1 M2 Pas.atap Genteng Beton</v>
          </cell>
          <cell r="D3222">
            <v>0.125</v>
          </cell>
          <cell r="G3222">
            <v>0</v>
          </cell>
        </row>
        <row r="3223">
          <cell r="B3223" t="str">
            <v xml:space="preserve">Bahan </v>
          </cell>
          <cell r="D3223">
            <v>1.2999999999999999E-2</v>
          </cell>
          <cell r="G3223">
            <v>0</v>
          </cell>
        </row>
        <row r="3224">
          <cell r="C3224" t="str">
            <v>Genteng Beton</v>
          </cell>
          <cell r="D3224">
            <v>4.0000000000000001E-3</v>
          </cell>
          <cell r="E3224" t="str">
            <v>lbr</v>
          </cell>
          <cell r="G3224">
            <v>0</v>
          </cell>
        </row>
        <row r="3225">
          <cell r="C3225" t="str">
            <v>Paku 2"-5"</v>
          </cell>
          <cell r="E3225" t="str">
            <v>kg</v>
          </cell>
          <cell r="G3225">
            <v>0</v>
          </cell>
        </row>
        <row r="3226">
          <cell r="B3226" t="str">
            <v xml:space="preserve">Tenaga </v>
          </cell>
          <cell r="G3226">
            <v>0</v>
          </cell>
        </row>
        <row r="3227">
          <cell r="C3227" t="str">
            <v>Pekerja</v>
          </cell>
          <cell r="E3227" t="str">
            <v xml:space="preserve">Oh </v>
          </cell>
          <cell r="G3227">
            <v>0</v>
          </cell>
        </row>
        <row r="3228">
          <cell r="C3228" t="str">
            <v>Tukang Kayu</v>
          </cell>
          <cell r="D3228">
            <v>11</v>
          </cell>
          <cell r="E3228" t="str">
            <v xml:space="preserve"> Oh </v>
          </cell>
          <cell r="G3228">
            <v>0</v>
          </cell>
        </row>
        <row r="3229">
          <cell r="C3229" t="str">
            <v>Kep. Tukang Kayu</v>
          </cell>
          <cell r="D3229">
            <v>0.03</v>
          </cell>
          <cell r="E3229" t="str">
            <v xml:space="preserve"> Oh </v>
          </cell>
          <cell r="G3229">
            <v>0</v>
          </cell>
        </row>
        <row r="3230">
          <cell r="C3230" t="str">
            <v>Mandor</v>
          </cell>
          <cell r="E3230" t="str">
            <v xml:space="preserve"> Oh </v>
          </cell>
          <cell r="G3230">
            <v>0</v>
          </cell>
        </row>
        <row r="3231">
          <cell r="D3231">
            <v>0.2</v>
          </cell>
          <cell r="G3231">
            <v>0</v>
          </cell>
        </row>
        <row r="3232">
          <cell r="B3232" t="str">
            <v>1 M2 Pas.atap Genteng aspal</v>
          </cell>
          <cell r="D3232">
            <v>0.1</v>
          </cell>
          <cell r="G3232">
            <v>0</v>
          </cell>
        </row>
        <row r="3233">
          <cell r="B3233" t="str">
            <v xml:space="preserve">Bahan </v>
          </cell>
          <cell r="D3233">
            <v>0.01</v>
          </cell>
          <cell r="G3233">
            <v>0</v>
          </cell>
        </row>
        <row r="3234">
          <cell r="C3234" t="str">
            <v>Genteng Aspal</v>
          </cell>
          <cell r="D3234">
            <v>0.01</v>
          </cell>
          <cell r="E3234" t="str">
            <v>lbr</v>
          </cell>
          <cell r="G3234">
            <v>0</v>
          </cell>
        </row>
        <row r="3235">
          <cell r="C3235" t="str">
            <v>Plywood 4" X 8" X 6 mm</v>
          </cell>
          <cell r="E3235" t="str">
            <v>lbr</v>
          </cell>
          <cell r="G3235">
            <v>0</v>
          </cell>
        </row>
        <row r="3236">
          <cell r="C3236" t="str">
            <v>Paku biasa 1/2" - 1"</v>
          </cell>
          <cell r="E3236" t="str">
            <v>kg</v>
          </cell>
          <cell r="G3236">
            <v>0</v>
          </cell>
        </row>
        <row r="3237">
          <cell r="C3237" t="str">
            <v>Plastic aerator</v>
          </cell>
          <cell r="E3237" t="str">
            <v>bh</v>
          </cell>
          <cell r="G3237">
            <v>0</v>
          </cell>
        </row>
        <row r="3238">
          <cell r="D3238">
            <v>6.9</v>
          </cell>
          <cell r="G3238">
            <v>0</v>
          </cell>
        </row>
        <row r="3239">
          <cell r="B3239" t="str">
            <v xml:space="preserve">Tenaga </v>
          </cell>
          <cell r="D3239">
            <v>0.35</v>
          </cell>
          <cell r="G3239">
            <v>0</v>
          </cell>
        </row>
        <row r="3240">
          <cell r="C3240" t="str">
            <v>Pekerja</v>
          </cell>
          <cell r="D3240">
            <v>0.03</v>
          </cell>
          <cell r="E3240" t="str">
            <v xml:space="preserve">Oh </v>
          </cell>
          <cell r="G3240">
            <v>0</v>
          </cell>
        </row>
        <row r="3241">
          <cell r="C3241" t="str">
            <v>Tukang Kayu</v>
          </cell>
          <cell r="D3241">
            <v>0.5</v>
          </cell>
          <cell r="E3241" t="str">
            <v xml:space="preserve"> Oh </v>
          </cell>
          <cell r="G3241">
            <v>0</v>
          </cell>
        </row>
        <row r="3242">
          <cell r="C3242" t="str">
            <v>Kep. Tukang Kayu</v>
          </cell>
          <cell r="E3242" t="str">
            <v xml:space="preserve"> Oh </v>
          </cell>
          <cell r="G3242">
            <v>0</v>
          </cell>
        </row>
        <row r="3243">
          <cell r="C3243" t="str">
            <v>Mandor</v>
          </cell>
          <cell r="E3243" t="str">
            <v xml:space="preserve"> Oh </v>
          </cell>
          <cell r="G3243">
            <v>0</v>
          </cell>
        </row>
        <row r="3244">
          <cell r="D3244">
            <v>0.2</v>
          </cell>
          <cell r="G3244">
            <v>0</v>
          </cell>
        </row>
        <row r="3245">
          <cell r="B3245" t="str">
            <v>1 M2 Pas. Atap genteng metal</v>
          </cell>
          <cell r="D3245">
            <v>0.3</v>
          </cell>
          <cell r="G3245">
            <v>0</v>
          </cell>
        </row>
        <row r="3246">
          <cell r="B3246" t="str">
            <v xml:space="preserve">Bahan </v>
          </cell>
          <cell r="D3246">
            <v>3.0000000000000001E-3</v>
          </cell>
          <cell r="G3246">
            <v>0</v>
          </cell>
        </row>
        <row r="3247">
          <cell r="C3247" t="str">
            <v>Genteng metal</v>
          </cell>
          <cell r="D3247">
            <v>0.01</v>
          </cell>
          <cell r="E3247" t="str">
            <v>lbr</v>
          </cell>
          <cell r="G3247">
            <v>0</v>
          </cell>
        </row>
        <row r="3248">
          <cell r="C3248" t="str">
            <v>Paku biasa 2" - 5"</v>
          </cell>
          <cell r="E3248" t="str">
            <v>kg</v>
          </cell>
          <cell r="G3248">
            <v>0</v>
          </cell>
        </row>
        <row r="3249">
          <cell r="B3249" t="str">
            <v xml:space="preserve">Tenaga </v>
          </cell>
          <cell r="G3249">
            <v>0</v>
          </cell>
        </row>
        <row r="3250">
          <cell r="C3250" t="str">
            <v>Pekerja</v>
          </cell>
          <cell r="E3250" t="str">
            <v xml:space="preserve">Oh </v>
          </cell>
          <cell r="G3250">
            <v>0</v>
          </cell>
        </row>
        <row r="3251">
          <cell r="C3251" t="str">
            <v>Tukang Kayu</v>
          </cell>
          <cell r="D3251">
            <v>1.02</v>
          </cell>
          <cell r="E3251" t="str">
            <v xml:space="preserve"> Oh </v>
          </cell>
          <cell r="G3251">
            <v>0</v>
          </cell>
        </row>
        <row r="3252">
          <cell r="C3252" t="str">
            <v>Kep. Tukang Kayu</v>
          </cell>
          <cell r="D3252">
            <v>0.2</v>
          </cell>
          <cell r="E3252" t="str">
            <v xml:space="preserve"> Oh </v>
          </cell>
          <cell r="G3252">
            <v>0</v>
          </cell>
        </row>
        <row r="3253">
          <cell r="C3253" t="str">
            <v>Mandor</v>
          </cell>
          <cell r="E3253" t="str">
            <v xml:space="preserve"> Oh </v>
          </cell>
          <cell r="G3253">
            <v>0</v>
          </cell>
        </row>
        <row r="3254">
          <cell r="D3254">
            <v>0.2</v>
          </cell>
          <cell r="G3254">
            <v>0</v>
          </cell>
        </row>
        <row r="3255">
          <cell r="B3255" t="str">
            <v>1 M2 Pas. Atap sirap</v>
          </cell>
          <cell r="D3255">
            <v>0.1</v>
          </cell>
          <cell r="G3255">
            <v>0</v>
          </cell>
        </row>
        <row r="3256">
          <cell r="B3256" t="str">
            <v xml:space="preserve">Bahan </v>
          </cell>
          <cell r="D3256">
            <v>0.01</v>
          </cell>
          <cell r="G3256">
            <v>0</v>
          </cell>
        </row>
        <row r="3257">
          <cell r="C3257" t="str">
            <v>Genteng Sirap</v>
          </cell>
          <cell r="D3257">
            <v>0.01</v>
          </cell>
          <cell r="E3257" t="str">
            <v>bh</v>
          </cell>
          <cell r="G3257">
            <v>0</v>
          </cell>
        </row>
        <row r="3258">
          <cell r="C3258" t="str">
            <v>Paku biasa 1/2" - 1"</v>
          </cell>
          <cell r="E3258" t="str">
            <v>kg</v>
          </cell>
          <cell r="G3258">
            <v>0</v>
          </cell>
        </row>
        <row r="3259">
          <cell r="B3259" t="str">
            <v xml:space="preserve">Tenaga </v>
          </cell>
          <cell r="G3259">
            <v>0</v>
          </cell>
        </row>
        <row r="3260">
          <cell r="C3260" t="str">
            <v>Pekerja</v>
          </cell>
          <cell r="E3260" t="str">
            <v xml:space="preserve">Oh </v>
          </cell>
          <cell r="G3260">
            <v>0</v>
          </cell>
        </row>
        <row r="3261">
          <cell r="C3261" t="str">
            <v>Tukang Kayu</v>
          </cell>
          <cell r="D3261">
            <v>60</v>
          </cell>
          <cell r="E3261" t="str">
            <v xml:space="preserve"> Oh </v>
          </cell>
          <cell r="G3261">
            <v>0</v>
          </cell>
        </row>
        <row r="3262">
          <cell r="C3262" t="str">
            <v>Kep. Tukang Kayu</v>
          </cell>
          <cell r="D3262">
            <v>0.2</v>
          </cell>
          <cell r="E3262" t="str">
            <v xml:space="preserve"> Oh </v>
          </cell>
          <cell r="G3262">
            <v>0</v>
          </cell>
        </row>
        <row r="3263">
          <cell r="C3263" t="str">
            <v>Mandor</v>
          </cell>
          <cell r="E3263" t="str">
            <v xml:space="preserve"> Oh </v>
          </cell>
          <cell r="G3263">
            <v>0</v>
          </cell>
        </row>
        <row r="3264">
          <cell r="D3264">
            <v>0.16600000000000001</v>
          </cell>
          <cell r="G3264">
            <v>0</v>
          </cell>
        </row>
        <row r="3265">
          <cell r="B3265" t="str">
            <v>1 M2 Pas. Atap sirap</v>
          </cell>
          <cell r="D3265">
            <v>0.25</v>
          </cell>
          <cell r="G3265">
            <v>0</v>
          </cell>
        </row>
        <row r="3266">
          <cell r="B3266" t="str">
            <v xml:space="preserve">Bahan </v>
          </cell>
          <cell r="D3266">
            <v>2.5000000000000001E-2</v>
          </cell>
          <cell r="G3266">
            <v>0</v>
          </cell>
        </row>
        <row r="3267">
          <cell r="C3267" t="str">
            <v>Genteng Sirap</v>
          </cell>
          <cell r="D3267">
            <v>8.0000000000000002E-3</v>
          </cell>
          <cell r="E3267" t="str">
            <v>bh</v>
          </cell>
          <cell r="G3267">
            <v>0</v>
          </cell>
        </row>
        <row r="3268">
          <cell r="C3268" t="str">
            <v>Paku biasa 1/2" - 1"</v>
          </cell>
          <cell r="E3268" t="str">
            <v>kg</v>
          </cell>
          <cell r="G3268">
            <v>0</v>
          </cell>
        </row>
        <row r="3269">
          <cell r="B3269" t="str">
            <v xml:space="preserve">Tenaga </v>
          </cell>
          <cell r="G3269">
            <v>0</v>
          </cell>
        </row>
        <row r="3270">
          <cell r="C3270" t="str">
            <v>Pekerja</v>
          </cell>
          <cell r="E3270" t="str">
            <v xml:space="preserve">Oh </v>
          </cell>
          <cell r="G3270">
            <v>0</v>
          </cell>
        </row>
        <row r="3271">
          <cell r="C3271" t="str">
            <v>Tukang Kayu</v>
          </cell>
          <cell r="D3271">
            <v>60</v>
          </cell>
          <cell r="E3271" t="str">
            <v xml:space="preserve"> Oh </v>
          </cell>
          <cell r="G3271">
            <v>0</v>
          </cell>
        </row>
        <row r="3272">
          <cell r="C3272" t="str">
            <v>Kep. Tukang Kayu</v>
          </cell>
          <cell r="D3272">
            <v>0.2</v>
          </cell>
          <cell r="E3272" t="str">
            <v xml:space="preserve"> Oh </v>
          </cell>
          <cell r="G3272">
            <v>0</v>
          </cell>
        </row>
        <row r="3273">
          <cell r="C3273" t="str">
            <v>Mandor</v>
          </cell>
          <cell r="E3273" t="str">
            <v xml:space="preserve"> Oh </v>
          </cell>
          <cell r="G3273">
            <v>0</v>
          </cell>
        </row>
        <row r="3274">
          <cell r="D3274">
            <v>0.16600000000000001</v>
          </cell>
          <cell r="G3274">
            <v>0</v>
          </cell>
        </row>
        <row r="3275">
          <cell r="B3275" t="str">
            <v>1 M2 Pas. Nok genteng beton</v>
          </cell>
          <cell r="D3275">
            <v>0.25</v>
          </cell>
          <cell r="G3275">
            <v>0</v>
          </cell>
        </row>
        <row r="3276">
          <cell r="B3276" t="str">
            <v xml:space="preserve">Bahan </v>
          </cell>
          <cell r="D3276">
            <v>2.5000000000000001E-2</v>
          </cell>
          <cell r="G3276">
            <v>0</v>
          </cell>
        </row>
        <row r="3277">
          <cell r="C3277" t="str">
            <v>Nok Genteng Beton</v>
          </cell>
          <cell r="D3277">
            <v>8.0000000000000002E-3</v>
          </cell>
          <cell r="E3277" t="str">
            <v>bh</v>
          </cell>
          <cell r="G3277">
            <v>0</v>
          </cell>
        </row>
        <row r="3278">
          <cell r="C3278" t="str">
            <v>Paku biasa 2" X 5"</v>
          </cell>
          <cell r="E3278" t="str">
            <v>kg</v>
          </cell>
          <cell r="G3278">
            <v>0</v>
          </cell>
        </row>
        <row r="3279">
          <cell r="C3279" t="str">
            <v>Semen Abu-abu</v>
          </cell>
          <cell r="E3279" t="str">
            <v>kg</v>
          </cell>
          <cell r="G3279">
            <v>0</v>
          </cell>
        </row>
        <row r="3280">
          <cell r="C3280" t="str">
            <v>Pasir Pasang</v>
          </cell>
          <cell r="E3280" t="str">
            <v>m3</v>
          </cell>
          <cell r="G3280">
            <v>0</v>
          </cell>
        </row>
        <row r="3281">
          <cell r="C3281" t="str">
            <v>Semen Warna</v>
          </cell>
          <cell r="D3281">
            <v>3.5</v>
          </cell>
          <cell r="E3281" t="str">
            <v>kg</v>
          </cell>
          <cell r="G3281">
            <v>0</v>
          </cell>
        </row>
        <row r="3282">
          <cell r="D3282">
            <v>0.05</v>
          </cell>
          <cell r="G3282">
            <v>0</v>
          </cell>
        </row>
        <row r="3283">
          <cell r="B3283" t="str">
            <v xml:space="preserve">Tenaga </v>
          </cell>
          <cell r="D3283">
            <v>10.8</v>
          </cell>
          <cell r="G3283">
            <v>0</v>
          </cell>
        </row>
        <row r="3284">
          <cell r="C3284" t="str">
            <v>Pekerja</v>
          </cell>
          <cell r="D3284">
            <v>3.2000000000000001E-2</v>
          </cell>
          <cell r="E3284" t="str">
            <v xml:space="preserve">Oh </v>
          </cell>
          <cell r="G3284">
            <v>0</v>
          </cell>
        </row>
        <row r="3285">
          <cell r="C3285" t="str">
            <v>Tukang Kayu</v>
          </cell>
          <cell r="D3285">
            <v>1</v>
          </cell>
          <cell r="E3285" t="str">
            <v xml:space="preserve"> Oh </v>
          </cell>
          <cell r="G3285">
            <v>0</v>
          </cell>
        </row>
        <row r="3286">
          <cell r="C3286" t="str">
            <v>Kep. Tukang Kayu</v>
          </cell>
          <cell r="E3286" t="str">
            <v xml:space="preserve"> Oh </v>
          </cell>
          <cell r="G3286">
            <v>0</v>
          </cell>
        </row>
        <row r="3287">
          <cell r="C3287" t="str">
            <v>Mandor</v>
          </cell>
          <cell r="E3287" t="str">
            <v xml:space="preserve"> Oh </v>
          </cell>
          <cell r="G3287">
            <v>0</v>
          </cell>
        </row>
        <row r="3288">
          <cell r="D3288">
            <v>0.4</v>
          </cell>
          <cell r="G3288">
            <v>0</v>
          </cell>
        </row>
        <row r="3289">
          <cell r="B3289" t="str">
            <v>1 M2 Pas. Nok genteng aspal</v>
          </cell>
          <cell r="D3289">
            <v>0.2</v>
          </cell>
          <cell r="G3289">
            <v>0</v>
          </cell>
        </row>
        <row r="3290">
          <cell r="B3290" t="str">
            <v xml:space="preserve">Bahan </v>
          </cell>
          <cell r="D3290">
            <v>0.02</v>
          </cell>
          <cell r="G3290">
            <v>0</v>
          </cell>
        </row>
        <row r="3291">
          <cell r="C3291" t="str">
            <v xml:space="preserve"> Genteng Aspal</v>
          </cell>
          <cell r="D3291">
            <v>0.02</v>
          </cell>
          <cell r="E3291" t="str">
            <v>bh</v>
          </cell>
          <cell r="G3291">
            <v>0</v>
          </cell>
        </row>
        <row r="3292">
          <cell r="C3292" t="str">
            <v>Paku biasa 1/2" - 1"</v>
          </cell>
          <cell r="E3292" t="str">
            <v>kg</v>
          </cell>
          <cell r="G3292">
            <v>0</v>
          </cell>
        </row>
        <row r="3293">
          <cell r="C3293" t="str">
            <v>Kayu borneo balok</v>
          </cell>
          <cell r="E3293" t="str">
            <v>m3</v>
          </cell>
          <cell r="G3293">
            <v>0</v>
          </cell>
        </row>
        <row r="3294">
          <cell r="G3294">
            <v>0</v>
          </cell>
        </row>
        <row r="3295">
          <cell r="B3295" t="str">
            <v xml:space="preserve">Tenaga </v>
          </cell>
          <cell r="D3295">
            <v>2</v>
          </cell>
          <cell r="G3295">
            <v>0</v>
          </cell>
        </row>
        <row r="3296">
          <cell r="C3296" t="str">
            <v>Pekerja</v>
          </cell>
          <cell r="D3296">
            <v>0.05</v>
          </cell>
          <cell r="E3296" t="str">
            <v xml:space="preserve">Oh </v>
          </cell>
          <cell r="G3296">
            <v>0</v>
          </cell>
        </row>
        <row r="3297">
          <cell r="C3297" t="str">
            <v>Tukang Kayu</v>
          </cell>
          <cell r="D3297">
            <v>3.5000000000000001E-3</v>
          </cell>
          <cell r="E3297" t="str">
            <v xml:space="preserve"> Oh </v>
          </cell>
          <cell r="G3297">
            <v>0</v>
          </cell>
        </row>
        <row r="3298">
          <cell r="C3298" t="str">
            <v>Kep. Tukang Kayu</v>
          </cell>
          <cell r="E3298" t="str">
            <v xml:space="preserve"> Oh </v>
          </cell>
          <cell r="G3298">
            <v>0</v>
          </cell>
        </row>
        <row r="3299">
          <cell r="C3299" t="str">
            <v>Mandor</v>
          </cell>
          <cell r="E3299" t="str">
            <v xml:space="preserve"> Oh </v>
          </cell>
          <cell r="G3299">
            <v>0</v>
          </cell>
        </row>
        <row r="3300">
          <cell r="D3300">
            <v>0.125</v>
          </cell>
          <cell r="G3300">
            <v>0</v>
          </cell>
        </row>
        <row r="3301">
          <cell r="B3301" t="str">
            <v xml:space="preserve">1 m' Pasang nok genteng metal </v>
          </cell>
          <cell r="D3301">
            <v>0.25</v>
          </cell>
          <cell r="G3301">
            <v>0</v>
          </cell>
        </row>
        <row r="3302">
          <cell r="B3302" t="str">
            <v xml:space="preserve">Bahan </v>
          </cell>
          <cell r="D3302">
            <v>2.5000000000000001E-2</v>
          </cell>
          <cell r="G3302">
            <v>0</v>
          </cell>
        </row>
        <row r="3303">
          <cell r="C3303" t="str">
            <v>Genteng decra bond</v>
          </cell>
          <cell r="D3303">
            <v>6.0000000000000001E-3</v>
          </cell>
          <cell r="E3303" t="str">
            <v>bh</v>
          </cell>
          <cell r="G3303">
            <v>0</v>
          </cell>
        </row>
        <row r="3304">
          <cell r="C3304" t="str">
            <v>Paku biasa 1/2" - 1"</v>
          </cell>
          <cell r="E3304" t="str">
            <v>kg</v>
          </cell>
          <cell r="G3304">
            <v>0</v>
          </cell>
        </row>
        <row r="3305">
          <cell r="B3305" t="str">
            <v xml:space="preserve">Tenaga </v>
          </cell>
          <cell r="G3305">
            <v>0</v>
          </cell>
        </row>
        <row r="3306">
          <cell r="C3306" t="str">
            <v xml:space="preserve">Pekerja </v>
          </cell>
          <cell r="E3306" t="str">
            <v xml:space="preserve">Oh </v>
          </cell>
          <cell r="G3306">
            <v>0</v>
          </cell>
        </row>
        <row r="3307">
          <cell r="C3307" t="str">
            <v xml:space="preserve">Tukang kayu </v>
          </cell>
          <cell r="D3307">
            <v>1.1000000000000001</v>
          </cell>
          <cell r="E3307" t="str">
            <v xml:space="preserve"> Oh </v>
          </cell>
          <cell r="G3307">
            <v>0</v>
          </cell>
        </row>
        <row r="3308">
          <cell r="C3308" t="str">
            <v xml:space="preserve">Kepala tukang </v>
          </cell>
          <cell r="D3308">
            <v>0.05</v>
          </cell>
          <cell r="E3308" t="str">
            <v xml:space="preserve"> Oh </v>
          </cell>
          <cell r="G3308">
            <v>0</v>
          </cell>
        </row>
        <row r="3309">
          <cell r="C3309" t="str">
            <v xml:space="preserve">Mandor </v>
          </cell>
          <cell r="E3309" t="str">
            <v xml:space="preserve"> Oh </v>
          </cell>
          <cell r="G3309">
            <v>0</v>
          </cell>
        </row>
        <row r="3310">
          <cell r="D3310">
            <v>0.25</v>
          </cell>
          <cell r="G3310">
            <v>0</v>
          </cell>
        </row>
        <row r="3311">
          <cell r="B3311" t="str">
            <v xml:space="preserve">1 m' Pasang nok sirap </v>
          </cell>
          <cell r="D3311">
            <v>0.15</v>
          </cell>
          <cell r="G3311">
            <v>0</v>
          </cell>
        </row>
        <row r="3312">
          <cell r="B3312" t="str">
            <v xml:space="preserve">Bahan </v>
          </cell>
          <cell r="D3312">
            <v>1.4999999999999999E-2</v>
          </cell>
          <cell r="G3312">
            <v>0</v>
          </cell>
        </row>
        <row r="3313">
          <cell r="C3313" t="str">
            <v>Seng plat 3" x 6" bjs 28</v>
          </cell>
          <cell r="D3313">
            <v>1.2999999999999999E-2</v>
          </cell>
          <cell r="E3313" t="str">
            <v>lbr</v>
          </cell>
          <cell r="G3313">
            <v>0</v>
          </cell>
        </row>
        <row r="3314">
          <cell r="C3314" t="str">
            <v>Paku biasa 1/2" - 1"</v>
          </cell>
          <cell r="E3314" t="str">
            <v>kg</v>
          </cell>
          <cell r="G3314">
            <v>0</v>
          </cell>
        </row>
        <row r="3315">
          <cell r="C3315" t="str">
            <v>Paku biasa 2" - 5"</v>
          </cell>
          <cell r="E3315" t="str">
            <v>kg</v>
          </cell>
          <cell r="G3315">
            <v>0</v>
          </cell>
        </row>
        <row r="3316">
          <cell r="C3316" t="str">
            <v>Kayu borneo papan tebal 3 cm</v>
          </cell>
          <cell r="E3316" t="str">
            <v>m3</v>
          </cell>
          <cell r="G3316">
            <v>0</v>
          </cell>
        </row>
        <row r="3317">
          <cell r="D3317">
            <v>0.4</v>
          </cell>
          <cell r="G3317">
            <v>0</v>
          </cell>
        </row>
        <row r="3318">
          <cell r="B3318" t="str">
            <v xml:space="preserve">Tenaga </v>
          </cell>
          <cell r="D3318">
            <v>0.06</v>
          </cell>
          <cell r="G3318">
            <v>0</v>
          </cell>
        </row>
        <row r="3319">
          <cell r="C3319" t="str">
            <v xml:space="preserve">Pekerja </v>
          </cell>
          <cell r="D3319">
            <v>0.05</v>
          </cell>
          <cell r="E3319" t="str">
            <v xml:space="preserve">Oh </v>
          </cell>
          <cell r="G3319">
            <v>0</v>
          </cell>
        </row>
        <row r="3320">
          <cell r="C3320" t="str">
            <v xml:space="preserve">Tukang kayu </v>
          </cell>
          <cell r="D3320">
            <v>4.0000000000000001E-3</v>
          </cell>
          <cell r="E3320" t="str">
            <v xml:space="preserve"> Oh </v>
          </cell>
          <cell r="G3320">
            <v>0</v>
          </cell>
        </row>
        <row r="3321">
          <cell r="C3321" t="str">
            <v xml:space="preserve">Kepala tukang </v>
          </cell>
          <cell r="E3321" t="str">
            <v xml:space="preserve"> Oh </v>
          </cell>
          <cell r="G3321">
            <v>0</v>
          </cell>
        </row>
        <row r="3322">
          <cell r="C3322" t="str">
            <v xml:space="preserve">Mandor </v>
          </cell>
          <cell r="E3322" t="str">
            <v xml:space="preserve"> Oh </v>
          </cell>
          <cell r="G3322">
            <v>0</v>
          </cell>
        </row>
        <row r="3323">
          <cell r="D3323">
            <v>0.125</v>
          </cell>
          <cell r="G3323">
            <v>0</v>
          </cell>
        </row>
        <row r="3324">
          <cell r="B3324" t="str">
            <v xml:space="preserve">1 m' Atap Seng Gelombang </v>
          </cell>
          <cell r="D3324">
            <v>0.25</v>
          </cell>
          <cell r="G3324">
            <v>0</v>
          </cell>
        </row>
        <row r="3325">
          <cell r="B3325" t="str">
            <v xml:space="preserve">Bahan </v>
          </cell>
          <cell r="D3325">
            <v>2.5000000000000001E-3</v>
          </cell>
          <cell r="G3325">
            <v>0</v>
          </cell>
        </row>
        <row r="3326">
          <cell r="C3326" t="str">
            <v>Seng Gelombang plat 3" x 6" bjs 28</v>
          </cell>
          <cell r="D3326">
            <v>6.0000000000000001E-3</v>
          </cell>
          <cell r="E3326" t="str">
            <v>lbr</v>
          </cell>
          <cell r="G3326">
            <v>0</v>
          </cell>
        </row>
        <row r="3327">
          <cell r="C3327" t="str">
            <v>Paku biasa 1/2" - 1"</v>
          </cell>
          <cell r="E3327" t="str">
            <v>kg</v>
          </cell>
          <cell r="G3327">
            <v>0</v>
          </cell>
        </row>
        <row r="3328">
          <cell r="G3328">
            <v>0</v>
          </cell>
        </row>
        <row r="3329">
          <cell r="B3329" t="str">
            <v xml:space="preserve">Tenaga </v>
          </cell>
          <cell r="G3329">
            <v>0</v>
          </cell>
        </row>
        <row r="3330">
          <cell r="C3330" t="str">
            <v xml:space="preserve">Pekerja </v>
          </cell>
          <cell r="D3330">
            <v>0.7</v>
          </cell>
          <cell r="E3330" t="str">
            <v xml:space="preserve">Oh </v>
          </cell>
          <cell r="G3330">
            <v>0</v>
          </cell>
        </row>
        <row r="3331">
          <cell r="C3331" t="str">
            <v xml:space="preserve">Tukang kayu </v>
          </cell>
          <cell r="D3331">
            <v>0.02</v>
          </cell>
          <cell r="E3331" t="str">
            <v xml:space="preserve"> Oh </v>
          </cell>
          <cell r="G3331">
            <v>0</v>
          </cell>
        </row>
        <row r="3332">
          <cell r="C3332" t="str">
            <v xml:space="preserve">Kepala tukang </v>
          </cell>
          <cell r="E3332" t="str">
            <v xml:space="preserve"> Oh </v>
          </cell>
          <cell r="G3332">
            <v>0</v>
          </cell>
        </row>
        <row r="3333">
          <cell r="C3333" t="str">
            <v xml:space="preserve">Mandor </v>
          </cell>
          <cell r="E3333" t="str">
            <v xml:space="preserve"> Oh </v>
          </cell>
          <cell r="G3333">
            <v>0</v>
          </cell>
        </row>
        <row r="3334">
          <cell r="D3334">
            <v>0.12</v>
          </cell>
          <cell r="G3334">
            <v>0</v>
          </cell>
        </row>
        <row r="3335">
          <cell r="B3335" t="str">
            <v xml:space="preserve">1 m' Pas. Atap Nok Seng  </v>
          </cell>
          <cell r="D3335">
            <v>0.06</v>
          </cell>
          <cell r="G3335">
            <v>0</v>
          </cell>
        </row>
        <row r="3336">
          <cell r="B3336" t="str">
            <v xml:space="preserve">Bahan </v>
          </cell>
          <cell r="D3336">
            <v>6.0000000000000001E-3</v>
          </cell>
          <cell r="G3336">
            <v>0</v>
          </cell>
        </row>
        <row r="3337">
          <cell r="C3337" t="str">
            <v>Seng  plat 3" x 6" bjls 28</v>
          </cell>
          <cell r="D3337">
            <v>6.0000000000000001E-3</v>
          </cell>
          <cell r="E3337" t="str">
            <v>lbr</v>
          </cell>
          <cell r="G3337">
            <v>0</v>
          </cell>
        </row>
        <row r="3338">
          <cell r="C3338" t="str">
            <v>Paku biasa 1/2" - 1"</v>
          </cell>
          <cell r="E3338" t="str">
            <v>kg</v>
          </cell>
          <cell r="G3338">
            <v>0</v>
          </cell>
        </row>
        <row r="3339">
          <cell r="G3339">
            <v>0</v>
          </cell>
        </row>
        <row r="3340">
          <cell r="B3340" t="str">
            <v xml:space="preserve">Tenaga </v>
          </cell>
          <cell r="G3340">
            <v>0</v>
          </cell>
        </row>
        <row r="3341">
          <cell r="C3341" t="str">
            <v xml:space="preserve">Pekerja </v>
          </cell>
          <cell r="D3341">
            <v>0.3</v>
          </cell>
          <cell r="E3341" t="str">
            <v xml:space="preserve">Oh </v>
          </cell>
          <cell r="G3341">
            <v>0</v>
          </cell>
        </row>
        <row r="3342">
          <cell r="C3342" t="str">
            <v xml:space="preserve">Tukang kayu </v>
          </cell>
          <cell r="D3342">
            <v>0.04</v>
          </cell>
          <cell r="E3342" t="str">
            <v xml:space="preserve"> Oh </v>
          </cell>
          <cell r="G3342">
            <v>0</v>
          </cell>
        </row>
        <row r="3343">
          <cell r="C3343" t="str">
            <v xml:space="preserve">Kepala tukang </v>
          </cell>
          <cell r="E3343" t="str">
            <v xml:space="preserve"> Oh </v>
          </cell>
          <cell r="G3343">
            <v>0</v>
          </cell>
        </row>
        <row r="3344">
          <cell r="C3344" t="str">
            <v xml:space="preserve">Mandor </v>
          </cell>
          <cell r="E3344" t="str">
            <v xml:space="preserve"> Oh </v>
          </cell>
          <cell r="G3344">
            <v>0</v>
          </cell>
        </row>
        <row r="3345">
          <cell r="D3345">
            <v>0.15</v>
          </cell>
          <cell r="G3345">
            <v>0</v>
          </cell>
        </row>
        <row r="3346">
          <cell r="B3346" t="str">
            <v xml:space="preserve">1 m' Pas. Atap Aluminium  </v>
          </cell>
          <cell r="D3346">
            <v>7.0000000000000007E-2</v>
          </cell>
          <cell r="G3346">
            <v>0</v>
          </cell>
        </row>
        <row r="3347">
          <cell r="B3347" t="str">
            <v xml:space="preserve">Bahan </v>
          </cell>
          <cell r="D3347">
            <v>8.0000000000000002E-3</v>
          </cell>
          <cell r="G3347">
            <v>0</v>
          </cell>
        </row>
        <row r="3348">
          <cell r="C3348" t="str">
            <v>Atap aluminium  Gelombang TB 0,55</v>
          </cell>
          <cell r="D3348">
            <v>6.0000000000000001E-3</v>
          </cell>
          <cell r="E3348" t="str">
            <v>lbr</v>
          </cell>
          <cell r="G3348">
            <v>0</v>
          </cell>
        </row>
        <row r="3349">
          <cell r="C3349" t="str">
            <v>Paku hak panjang 15 cm</v>
          </cell>
          <cell r="E3349" t="str">
            <v>kg</v>
          </cell>
          <cell r="G3349">
            <v>0</v>
          </cell>
        </row>
        <row r="3350">
          <cell r="G3350">
            <v>0</v>
          </cell>
        </row>
        <row r="3351">
          <cell r="B3351" t="str">
            <v xml:space="preserve">Tenaga </v>
          </cell>
          <cell r="G3351">
            <v>0</v>
          </cell>
        </row>
        <row r="3352">
          <cell r="C3352" t="str">
            <v xml:space="preserve">Pekerja </v>
          </cell>
          <cell r="D3352">
            <v>1.05</v>
          </cell>
          <cell r="E3352" t="str">
            <v xml:space="preserve">Oh </v>
          </cell>
          <cell r="G3352">
            <v>0</v>
          </cell>
        </row>
        <row r="3353">
          <cell r="C3353" t="str">
            <v xml:space="preserve">Tukang kayu </v>
          </cell>
          <cell r="D3353">
            <v>0.02</v>
          </cell>
          <cell r="E3353" t="str">
            <v xml:space="preserve"> Oh </v>
          </cell>
          <cell r="G3353">
            <v>0</v>
          </cell>
        </row>
        <row r="3354">
          <cell r="C3354" t="str">
            <v xml:space="preserve">Kepala tukang </v>
          </cell>
          <cell r="E3354" t="str">
            <v xml:space="preserve"> Oh </v>
          </cell>
          <cell r="G3354">
            <v>0</v>
          </cell>
        </row>
        <row r="3355">
          <cell r="C3355" t="str">
            <v xml:space="preserve">Mandor </v>
          </cell>
          <cell r="E3355" t="str">
            <v xml:space="preserve"> Oh </v>
          </cell>
          <cell r="G3355">
            <v>0</v>
          </cell>
        </row>
        <row r="3356">
          <cell r="D3356">
            <v>0.15</v>
          </cell>
          <cell r="G3356">
            <v>0</v>
          </cell>
        </row>
        <row r="3357">
          <cell r="B3357" t="str">
            <v xml:space="preserve">1 m' Pas.nok  Aluminium  </v>
          </cell>
          <cell r="D3357">
            <v>0.75</v>
          </cell>
          <cell r="G3357">
            <v>0</v>
          </cell>
        </row>
        <row r="3358">
          <cell r="B3358" t="str">
            <v xml:space="preserve">Bahan </v>
          </cell>
          <cell r="D3358">
            <v>8.0000000000000002E-3</v>
          </cell>
          <cell r="G3358">
            <v>0</v>
          </cell>
        </row>
        <row r="3359">
          <cell r="C3359" t="str">
            <v xml:space="preserve"> Nok Standrant 40 cm,18 SWG 22</v>
          </cell>
          <cell r="D3359">
            <v>6.0000000000000001E-3</v>
          </cell>
          <cell r="E3359" t="str">
            <v>lbr</v>
          </cell>
          <cell r="G3359">
            <v>0</v>
          </cell>
        </row>
        <row r="3360">
          <cell r="C3360" t="str">
            <v>Paku hak panjang 15 cm</v>
          </cell>
          <cell r="E3360" t="str">
            <v>kg</v>
          </cell>
          <cell r="G3360">
            <v>0</v>
          </cell>
        </row>
        <row r="3361">
          <cell r="G3361">
            <v>0</v>
          </cell>
        </row>
        <row r="3362">
          <cell r="B3362" t="str">
            <v xml:space="preserve">Tenaga </v>
          </cell>
          <cell r="G3362">
            <v>0</v>
          </cell>
        </row>
        <row r="3363">
          <cell r="C3363" t="str">
            <v xml:space="preserve">Pekerja </v>
          </cell>
          <cell r="D3363">
            <v>1.2</v>
          </cell>
          <cell r="E3363" t="str">
            <v xml:space="preserve">Oh </v>
          </cell>
          <cell r="G3363">
            <v>0</v>
          </cell>
        </row>
        <row r="3364">
          <cell r="C3364" t="str">
            <v xml:space="preserve">Tukang kayu </v>
          </cell>
          <cell r="D3364">
            <v>0.04</v>
          </cell>
          <cell r="E3364" t="str">
            <v xml:space="preserve"> Oh </v>
          </cell>
          <cell r="G3364">
            <v>0</v>
          </cell>
        </row>
        <row r="3365">
          <cell r="C3365" t="str">
            <v xml:space="preserve">Kepala tukang </v>
          </cell>
          <cell r="E3365" t="str">
            <v xml:space="preserve"> Oh </v>
          </cell>
          <cell r="G3365">
            <v>0</v>
          </cell>
        </row>
        <row r="3366">
          <cell r="C3366" t="str">
            <v xml:space="preserve">Mandor </v>
          </cell>
          <cell r="E3366" t="str">
            <v xml:space="preserve"> Oh </v>
          </cell>
          <cell r="G3366">
            <v>0</v>
          </cell>
        </row>
        <row r="3367">
          <cell r="D3367">
            <v>0.1</v>
          </cell>
          <cell r="G3367">
            <v>0</v>
          </cell>
        </row>
        <row r="3368">
          <cell r="B3368" t="str">
            <v xml:space="preserve">1 m' Pas.  Aluminium foil / sisalation </v>
          </cell>
          <cell r="D3368">
            <v>1</v>
          </cell>
          <cell r="G3368">
            <v>0</v>
          </cell>
        </row>
        <row r="3369">
          <cell r="B3369" t="str">
            <v xml:space="preserve">Bahan </v>
          </cell>
          <cell r="D3369">
            <v>0.01</v>
          </cell>
          <cell r="G3369">
            <v>0</v>
          </cell>
        </row>
        <row r="3370">
          <cell r="C3370" t="str">
            <v xml:space="preserve"> sisalation / aluminium foil</v>
          </cell>
          <cell r="D3370">
            <v>0.01</v>
          </cell>
          <cell r="E3370" t="str">
            <v>m2</v>
          </cell>
          <cell r="G3370">
            <v>0</v>
          </cell>
        </row>
        <row r="3371">
          <cell r="G3371">
            <v>0</v>
          </cell>
        </row>
        <row r="3372">
          <cell r="B3372" t="str">
            <v xml:space="preserve">Tenaga </v>
          </cell>
          <cell r="G3372">
            <v>0</v>
          </cell>
        </row>
        <row r="3373">
          <cell r="C3373" t="str">
            <v xml:space="preserve">Pekerja </v>
          </cell>
          <cell r="E3373" t="str">
            <v xml:space="preserve">Oh </v>
          </cell>
          <cell r="G3373">
            <v>0</v>
          </cell>
        </row>
        <row r="3374">
          <cell r="C3374" t="str">
            <v xml:space="preserve">Tukang kayu </v>
          </cell>
          <cell r="D3374">
            <v>1.05</v>
          </cell>
          <cell r="E3374" t="str">
            <v xml:space="preserve"> Oh </v>
          </cell>
          <cell r="G3374">
            <v>0</v>
          </cell>
        </row>
        <row r="3375">
          <cell r="C3375" t="str">
            <v xml:space="preserve">Kepala tukang </v>
          </cell>
          <cell r="E3375" t="str">
            <v xml:space="preserve"> Oh </v>
          </cell>
          <cell r="G3375">
            <v>0</v>
          </cell>
        </row>
        <row r="3376">
          <cell r="C3376" t="str">
            <v xml:space="preserve">Mandor </v>
          </cell>
          <cell r="E3376" t="str">
            <v xml:space="preserve"> Oh </v>
          </cell>
          <cell r="G3376">
            <v>0</v>
          </cell>
        </row>
        <row r="3377">
          <cell r="D3377">
            <v>0.15</v>
          </cell>
          <cell r="G3377">
            <v>0</v>
          </cell>
        </row>
        <row r="3378">
          <cell r="B3378" t="str">
            <v xml:space="preserve">Analisa Biaya Kontruksi Pekerjaan </v>
          </cell>
          <cell r="D3378">
            <v>0.05</v>
          </cell>
          <cell r="G3378">
            <v>0</v>
          </cell>
        </row>
        <row r="3379">
          <cell r="B3379" t="str">
            <v>Langit- langit</v>
          </cell>
          <cell r="D3379">
            <v>5.0000000000000001E-3</v>
          </cell>
          <cell r="G3379">
            <v>0</v>
          </cell>
        </row>
        <row r="3380">
          <cell r="B3380" t="str">
            <v xml:space="preserve">1 m2 langit langit asbes (1,00 X 1,00)M, </v>
          </cell>
          <cell r="D3380">
            <v>8.0000000000000002E-3</v>
          </cell>
          <cell r="G3380">
            <v>0</v>
          </cell>
        </row>
        <row r="3381">
          <cell r="B3381" t="str">
            <v>Tebal 6 mm</v>
          </cell>
          <cell r="G3381">
            <v>0</v>
          </cell>
        </row>
        <row r="3382">
          <cell r="B3382" t="str">
            <v xml:space="preserve">Bahan </v>
          </cell>
          <cell r="G3382">
            <v>0</v>
          </cell>
        </row>
        <row r="3383">
          <cell r="C3383" t="str">
            <v>Plat Asbes tebal 6 mm</v>
          </cell>
          <cell r="E3383" t="str">
            <v>lbr</v>
          </cell>
          <cell r="G3383">
            <v>0</v>
          </cell>
        </row>
        <row r="3384">
          <cell r="C3384" t="str">
            <v xml:space="preserve">Paku </v>
          </cell>
          <cell r="E3384" t="str">
            <v>kg</v>
          </cell>
          <cell r="G3384">
            <v>0</v>
          </cell>
        </row>
        <row r="3385">
          <cell r="G3385">
            <v>0</v>
          </cell>
        </row>
        <row r="3386">
          <cell r="B3386" t="str">
            <v xml:space="preserve">Tenaga </v>
          </cell>
          <cell r="G3386">
            <v>0</v>
          </cell>
        </row>
        <row r="3387">
          <cell r="C3387" t="str">
            <v xml:space="preserve">Pekerja </v>
          </cell>
          <cell r="D3387">
            <v>1.1000000000000001</v>
          </cell>
          <cell r="E3387" t="str">
            <v xml:space="preserve">Oh </v>
          </cell>
          <cell r="G3387">
            <v>0</v>
          </cell>
        </row>
        <row r="3388">
          <cell r="C3388" t="str">
            <v xml:space="preserve">Tukang kayu </v>
          </cell>
          <cell r="D3388">
            <v>0.01</v>
          </cell>
          <cell r="E3388" t="str">
            <v xml:space="preserve"> Oh </v>
          </cell>
          <cell r="G3388">
            <v>0</v>
          </cell>
        </row>
        <row r="3389">
          <cell r="C3389" t="str">
            <v xml:space="preserve">Kepala tukang </v>
          </cell>
          <cell r="E3389" t="str">
            <v xml:space="preserve"> Oh </v>
          </cell>
          <cell r="G3389">
            <v>0</v>
          </cell>
        </row>
        <row r="3390">
          <cell r="C3390" t="str">
            <v xml:space="preserve">Mandor </v>
          </cell>
          <cell r="E3390" t="str">
            <v xml:space="preserve"> Oh </v>
          </cell>
          <cell r="G3390">
            <v>0</v>
          </cell>
        </row>
        <row r="3391">
          <cell r="D3391">
            <v>0.03</v>
          </cell>
          <cell r="G3391">
            <v>0</v>
          </cell>
        </row>
        <row r="3392">
          <cell r="B3392" t="str">
            <v xml:space="preserve">1 m2 langit langit asbes (1,00 X 1,00)M, </v>
          </cell>
          <cell r="D3392">
            <v>7.0000000000000007E-2</v>
          </cell>
          <cell r="G3392">
            <v>0</v>
          </cell>
        </row>
        <row r="3393">
          <cell r="B3393" t="str">
            <v>Tebal 5 mm</v>
          </cell>
          <cell r="D3393">
            <v>7.0000000000000001E-3</v>
          </cell>
          <cell r="G3393">
            <v>0</v>
          </cell>
        </row>
        <row r="3394">
          <cell r="B3394" t="str">
            <v xml:space="preserve">Bahan </v>
          </cell>
          <cell r="D3394">
            <v>1.5E-3</v>
          </cell>
          <cell r="G3394">
            <v>0</v>
          </cell>
        </row>
        <row r="3395">
          <cell r="C3395" t="str">
            <v>Plat Asbes tebal 5 mm</v>
          </cell>
          <cell r="E3395" t="str">
            <v>lbr</v>
          </cell>
          <cell r="G3395">
            <v>0</v>
          </cell>
        </row>
        <row r="3396">
          <cell r="C3396" t="str">
            <v xml:space="preserve">Paku </v>
          </cell>
          <cell r="E3396" t="str">
            <v>kg</v>
          </cell>
          <cell r="G3396">
            <v>0</v>
          </cell>
        </row>
        <row r="3397">
          <cell r="G3397">
            <v>0</v>
          </cell>
        </row>
        <row r="3398">
          <cell r="B3398" t="str">
            <v xml:space="preserve">Tenaga </v>
          </cell>
          <cell r="G3398">
            <v>0</v>
          </cell>
        </row>
        <row r="3399">
          <cell r="C3399" t="str">
            <v xml:space="preserve">Pekerja </v>
          </cell>
          <cell r="D3399">
            <v>1.1000000000000001</v>
          </cell>
          <cell r="E3399" t="str">
            <v xml:space="preserve">Oh </v>
          </cell>
          <cell r="G3399">
            <v>0</v>
          </cell>
        </row>
        <row r="3400">
          <cell r="C3400" t="str">
            <v xml:space="preserve">Tukang kayu </v>
          </cell>
          <cell r="D3400">
            <v>0.01</v>
          </cell>
          <cell r="E3400" t="str">
            <v xml:space="preserve"> Oh </v>
          </cell>
          <cell r="G3400">
            <v>0</v>
          </cell>
        </row>
        <row r="3401">
          <cell r="C3401" t="str">
            <v xml:space="preserve">Kepala tukang </v>
          </cell>
          <cell r="E3401" t="str">
            <v xml:space="preserve"> Oh </v>
          </cell>
          <cell r="G3401">
            <v>0</v>
          </cell>
        </row>
        <row r="3402">
          <cell r="C3402" t="str">
            <v xml:space="preserve">Mandor </v>
          </cell>
          <cell r="E3402" t="str">
            <v xml:space="preserve"> Oh </v>
          </cell>
          <cell r="G3402">
            <v>0</v>
          </cell>
        </row>
        <row r="3403">
          <cell r="D3403">
            <v>0.03</v>
          </cell>
          <cell r="G3403">
            <v>0</v>
          </cell>
        </row>
        <row r="3404">
          <cell r="B3404" t="str">
            <v xml:space="preserve">1 m2 langit langit asbes (1,00 X 1,00)M, </v>
          </cell>
          <cell r="D3404">
            <v>7.0000000000000007E-2</v>
          </cell>
          <cell r="G3404">
            <v>0</v>
          </cell>
        </row>
        <row r="3405">
          <cell r="B3405" t="str">
            <v>Tebal 4 mm</v>
          </cell>
          <cell r="D3405">
            <v>7.0000000000000001E-3</v>
          </cell>
          <cell r="G3405">
            <v>0</v>
          </cell>
        </row>
        <row r="3406">
          <cell r="B3406" t="str">
            <v xml:space="preserve">Bahan </v>
          </cell>
          <cell r="D3406">
            <v>1.5E-3</v>
          </cell>
          <cell r="G3406">
            <v>0</v>
          </cell>
        </row>
        <row r="3407">
          <cell r="C3407" t="str">
            <v>Plat Asbes tebal 4 mm</v>
          </cell>
          <cell r="E3407" t="str">
            <v>lbr</v>
          </cell>
          <cell r="G3407">
            <v>0</v>
          </cell>
        </row>
        <row r="3408">
          <cell r="C3408" t="str">
            <v xml:space="preserve">Paku </v>
          </cell>
          <cell r="E3408" t="str">
            <v>kg</v>
          </cell>
          <cell r="G3408">
            <v>0</v>
          </cell>
        </row>
        <row r="3409">
          <cell r="G3409">
            <v>0</v>
          </cell>
        </row>
        <row r="3410">
          <cell r="B3410" t="str">
            <v xml:space="preserve">Tenaga </v>
          </cell>
          <cell r="G3410">
            <v>0</v>
          </cell>
        </row>
        <row r="3411">
          <cell r="C3411" t="str">
            <v xml:space="preserve">Pekerja </v>
          </cell>
          <cell r="D3411">
            <v>1.1000000000000001</v>
          </cell>
          <cell r="E3411" t="str">
            <v xml:space="preserve">Oh </v>
          </cell>
          <cell r="G3411">
            <v>0</v>
          </cell>
        </row>
        <row r="3412">
          <cell r="C3412" t="str">
            <v xml:space="preserve">Tukang kayu </v>
          </cell>
          <cell r="D3412">
            <v>0.01</v>
          </cell>
          <cell r="E3412" t="str">
            <v xml:space="preserve"> Oh </v>
          </cell>
          <cell r="G3412">
            <v>0</v>
          </cell>
        </row>
        <row r="3413">
          <cell r="C3413" t="str">
            <v xml:space="preserve">Kepala tukang </v>
          </cell>
          <cell r="E3413" t="str">
            <v xml:space="preserve"> Oh </v>
          </cell>
          <cell r="G3413">
            <v>0</v>
          </cell>
        </row>
        <row r="3414">
          <cell r="C3414" t="str">
            <v xml:space="preserve">Mandor </v>
          </cell>
          <cell r="E3414" t="str">
            <v xml:space="preserve"> Oh </v>
          </cell>
          <cell r="G3414">
            <v>0</v>
          </cell>
        </row>
        <row r="3415">
          <cell r="D3415">
            <v>0.03</v>
          </cell>
          <cell r="G3415">
            <v>0</v>
          </cell>
        </row>
        <row r="3416">
          <cell r="B3416" t="str">
            <v xml:space="preserve">1 m2 langit langit asbes (1,00 X 1,00)M, </v>
          </cell>
          <cell r="D3416">
            <v>7.0000000000000007E-2</v>
          </cell>
          <cell r="G3416">
            <v>0</v>
          </cell>
        </row>
        <row r="3417">
          <cell r="B3417" t="str">
            <v>Tebal 3.5 mm</v>
          </cell>
          <cell r="D3417">
            <v>7.0000000000000001E-3</v>
          </cell>
          <cell r="G3417">
            <v>0</v>
          </cell>
        </row>
        <row r="3418">
          <cell r="B3418" t="str">
            <v xml:space="preserve">Bahan </v>
          </cell>
          <cell r="D3418">
            <v>1.5E-3</v>
          </cell>
          <cell r="G3418">
            <v>0</v>
          </cell>
        </row>
        <row r="3419">
          <cell r="C3419" t="str">
            <v>Plat Asbes tebal 3.5 mm</v>
          </cell>
          <cell r="E3419" t="str">
            <v>lbr</v>
          </cell>
          <cell r="G3419">
            <v>0</v>
          </cell>
        </row>
        <row r="3420">
          <cell r="C3420" t="str">
            <v xml:space="preserve">Paku </v>
          </cell>
          <cell r="E3420" t="str">
            <v>kg</v>
          </cell>
          <cell r="G3420">
            <v>0</v>
          </cell>
        </row>
        <row r="3421">
          <cell r="G3421">
            <v>0</v>
          </cell>
        </row>
        <row r="3422">
          <cell r="B3422" t="str">
            <v xml:space="preserve">Tenaga </v>
          </cell>
          <cell r="G3422">
            <v>0</v>
          </cell>
        </row>
        <row r="3423">
          <cell r="C3423" t="str">
            <v xml:space="preserve">Pekerja </v>
          </cell>
          <cell r="D3423">
            <v>1.1000000000000001</v>
          </cell>
          <cell r="E3423" t="str">
            <v xml:space="preserve">Oh </v>
          </cell>
          <cell r="G3423">
            <v>0</v>
          </cell>
        </row>
        <row r="3424">
          <cell r="C3424" t="str">
            <v xml:space="preserve">Tukang kayu </v>
          </cell>
          <cell r="D3424">
            <v>0.01</v>
          </cell>
          <cell r="E3424" t="str">
            <v xml:space="preserve"> Oh </v>
          </cell>
          <cell r="G3424">
            <v>0</v>
          </cell>
        </row>
        <row r="3425">
          <cell r="C3425" t="str">
            <v xml:space="preserve">Kepala tukang </v>
          </cell>
          <cell r="E3425" t="str">
            <v xml:space="preserve"> Oh </v>
          </cell>
          <cell r="G3425">
            <v>0</v>
          </cell>
        </row>
        <row r="3426">
          <cell r="C3426" t="str">
            <v xml:space="preserve">Mandor </v>
          </cell>
          <cell r="E3426" t="str">
            <v xml:space="preserve"> Oh </v>
          </cell>
          <cell r="G3426">
            <v>0</v>
          </cell>
        </row>
        <row r="3427">
          <cell r="D3427">
            <v>0.03</v>
          </cell>
          <cell r="G3427">
            <v>0</v>
          </cell>
        </row>
        <row r="3428">
          <cell r="B3428" t="str">
            <v xml:space="preserve">1 m2 langit langit akustik (30 X 30)CM, </v>
          </cell>
          <cell r="D3428">
            <v>7.0000000000000007E-2</v>
          </cell>
          <cell r="G3428">
            <v>0</v>
          </cell>
        </row>
        <row r="3429">
          <cell r="B3429" t="str">
            <v xml:space="preserve">Bahan </v>
          </cell>
          <cell r="D3429">
            <v>7.0000000000000001E-3</v>
          </cell>
          <cell r="G3429">
            <v>0</v>
          </cell>
        </row>
        <row r="3430">
          <cell r="C3430" t="str">
            <v>Akustik ukuran 30 x 30 cm</v>
          </cell>
          <cell r="D3430">
            <v>1.5E-3</v>
          </cell>
          <cell r="E3430" t="str">
            <v>lbr</v>
          </cell>
          <cell r="G3430">
            <v>0</v>
          </cell>
        </row>
        <row r="3431">
          <cell r="C3431" t="str">
            <v xml:space="preserve">Paku </v>
          </cell>
          <cell r="E3431" t="str">
            <v>kg</v>
          </cell>
          <cell r="G3431">
            <v>0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RFP009"/>
      <sheetName val="Analisa"/>
      <sheetName val="KH-Q1,Q2,01"/>
      <sheetName val="PriceList"/>
      <sheetName val="Pt"/>
      <sheetName val="Cover"/>
      <sheetName val="Fill this out first..."/>
      <sheetName val="Fill this out first___"/>
      <sheetName val="FAKTOR"/>
      <sheetName val="struktur tdk dipakai"/>
      <sheetName val="DAF-2"/>
      <sheetName val="Material"/>
      <sheetName val="HRG BAHAN &amp; UPAH okk"/>
      <sheetName val="Analis Kusen okk"/>
      <sheetName val="Pipe"/>
      <sheetName val="Cover Daf-2"/>
      <sheetName val="A"/>
      <sheetName val="H_Satuan"/>
      <sheetName val="SBDY"/>
      <sheetName val="Breakdown"/>
      <sheetName val="harsat"/>
      <sheetName val="HARGA BAHAN"/>
      <sheetName val="BAG-2"/>
      <sheetName val="DAF_2"/>
      <sheetName val="JAN"/>
      <sheetName val="Elektrikal"/>
      <sheetName val="product"/>
      <sheetName val="PLUMB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 ME"/>
      <sheetName val="ANALISA ME"/>
      <sheetName val="Analis Upah Beton , UPAH RIIL "/>
      <sheetName val="Material RIIL"/>
      <sheetName val="AnalisaSIPIL RIIL"/>
      <sheetName val="REKAP BAHAN &amp; UPAH RIIL "/>
      <sheetName val="REKAP TOTAL"/>
      <sheetName val="TERMINAL UNIT 1"/>
      <sheetName val="TERMINAL UNIT 2"/>
      <sheetName val="MENARA PANTAU"/>
      <sheetName val="POS JAGA"/>
      <sheetName val="DEPO"/>
      <sheetName val="LANDSCP"/>
      <sheetName val="DNDNG PENAHAN"/>
      <sheetName val="ME"/>
      <sheetName val="PLAMBNG"/>
      <sheetName val="HRG BAHAN &amp; UPAH okk"/>
      <sheetName val="Analis Kusen okk"/>
      <sheetName val="Analis_ME"/>
      <sheetName val="ANALISA_ME"/>
      <sheetName val="Analis_Upah_Beton_,_UPAH_RIIL_"/>
      <sheetName val="Material_RIIL"/>
      <sheetName val="AnalisaSIPIL_RIIL"/>
      <sheetName val="REKAP_BAHAN_&amp;_UPAH_RIIL_"/>
      <sheetName val="REKAP_TOTAL"/>
      <sheetName val="TERMINAL_UNIT_1"/>
      <sheetName val="TERMINAL_UNIT_2"/>
      <sheetName val="MENARA_PANTAU"/>
      <sheetName val="POS_JAGA"/>
      <sheetName val="DNDNG_PENAHAN"/>
      <sheetName val="HRG_BAHAN_&amp;_UPAH_okk"/>
      <sheetName val="Analis_Kusen_okk"/>
      <sheetName val="Estimate"/>
      <sheetName val="FAKTOR"/>
      <sheetName val="Elektrikal"/>
      <sheetName val="AnalisaSIPIL RIIL RAP"/>
      <sheetName val="ANALISA railing"/>
    </sheetNames>
    <sheetDataSet>
      <sheetData sheetId="0" refreshError="1"/>
      <sheetData sheetId="1" refreshError="1"/>
      <sheetData sheetId="2" refreshError="1"/>
      <sheetData sheetId="3"/>
      <sheetData sheetId="4" refreshError="1">
        <row r="208">
          <cell r="B208" t="str">
            <v>C.13</v>
          </cell>
          <cell r="C208" t="str">
            <v>1 M3 Sloof 150x300 K225</v>
          </cell>
        </row>
        <row r="209">
          <cell r="C209">
            <v>1</v>
          </cell>
          <cell r="D209" t="str">
            <v>M3</v>
          </cell>
          <cell r="E209" t="str">
            <v>Beton Readymix</v>
          </cell>
          <cell r="F209" t="str">
            <v>@Rp</v>
          </cell>
          <cell r="G209">
            <v>430000</v>
          </cell>
          <cell r="H209" t="str">
            <v>=Rp</v>
          </cell>
          <cell r="I209">
            <v>430000</v>
          </cell>
        </row>
        <row r="210">
          <cell r="C210">
            <v>104.6743765591079</v>
          </cell>
          <cell r="D210" t="str">
            <v>Kg</v>
          </cell>
          <cell r="E210" t="str">
            <v>Pembesian Polos</v>
          </cell>
          <cell r="F210" t="str">
            <v>@Rp</v>
          </cell>
          <cell r="G210">
            <v>6100</v>
          </cell>
          <cell r="H210" t="str">
            <v>=Rp</v>
          </cell>
          <cell r="I210">
            <v>638513.69701055821</v>
          </cell>
        </row>
        <row r="211">
          <cell r="C211">
            <v>0</v>
          </cell>
          <cell r="D211" t="str">
            <v>Kg</v>
          </cell>
          <cell r="E211" t="str">
            <v>Pembesian Ulir</v>
          </cell>
          <cell r="F211" t="str">
            <v>@Rp</v>
          </cell>
          <cell r="G211">
            <v>5850</v>
          </cell>
          <cell r="H211" t="str">
            <v>=Rp</v>
          </cell>
          <cell r="I211">
            <v>0</v>
          </cell>
        </row>
        <row r="212">
          <cell r="C212">
            <v>13.333333333333334</v>
          </cell>
          <cell r="D212" t="str">
            <v>M2</v>
          </cell>
          <cell r="E212" t="str">
            <v>Bekisting Non Struktur</v>
          </cell>
          <cell r="F212" t="str">
            <v>@Rp</v>
          </cell>
          <cell r="G212">
            <v>31900</v>
          </cell>
          <cell r="H212" t="str">
            <v>=Rp</v>
          </cell>
          <cell r="I212">
            <v>425333.33333333337</v>
          </cell>
        </row>
        <row r="213">
          <cell r="G213" t="str">
            <v>Jumlah</v>
          </cell>
          <cell r="H213" t="str">
            <v>=Rp</v>
          </cell>
          <cell r="I213">
            <v>1493847.0303438916</v>
          </cell>
        </row>
        <row r="214">
          <cell r="G214" t="str">
            <v>Dibulatkan</v>
          </cell>
          <cell r="H214" t="str">
            <v>=Rp</v>
          </cell>
          <cell r="I214">
            <v>1493900</v>
          </cell>
        </row>
        <row r="225">
          <cell r="B225" t="str">
            <v>C.15</v>
          </cell>
          <cell r="C225" t="str">
            <v>1 M3 Sloof 150x200 K225</v>
          </cell>
        </row>
        <row r="226">
          <cell r="C226">
            <v>1</v>
          </cell>
          <cell r="D226" t="str">
            <v>M3</v>
          </cell>
          <cell r="E226" t="str">
            <v>Beton Readymix</v>
          </cell>
          <cell r="F226" t="str">
            <v>@Rp</v>
          </cell>
          <cell r="G226">
            <v>430000</v>
          </cell>
          <cell r="H226" t="str">
            <v>=Rp</v>
          </cell>
          <cell r="I226">
            <v>430000</v>
          </cell>
        </row>
        <row r="227">
          <cell r="C227">
            <v>131.36360241475481</v>
          </cell>
          <cell r="D227" t="str">
            <v>Kg</v>
          </cell>
          <cell r="E227" t="str">
            <v>Pembesian Polos</v>
          </cell>
          <cell r="F227" t="str">
            <v>@Rp</v>
          </cell>
          <cell r="G227">
            <v>6100</v>
          </cell>
          <cell r="H227" t="str">
            <v>=Rp</v>
          </cell>
          <cell r="I227">
            <v>801317.97473000432</v>
          </cell>
        </row>
        <row r="228">
          <cell r="C228">
            <v>0</v>
          </cell>
          <cell r="D228" t="str">
            <v>Kg</v>
          </cell>
          <cell r="E228" t="str">
            <v>Pembesian Ulir</v>
          </cell>
          <cell r="F228" t="str">
            <v>@Rp</v>
          </cell>
          <cell r="G228">
            <v>5850</v>
          </cell>
          <cell r="H228" t="str">
            <v>=Rp</v>
          </cell>
          <cell r="I228">
            <v>0</v>
          </cell>
        </row>
        <row r="229">
          <cell r="C229">
            <v>13.333333333333334</v>
          </cell>
          <cell r="D229" t="str">
            <v>M2</v>
          </cell>
          <cell r="E229" t="str">
            <v>Bekisting Non Struktur</v>
          </cell>
          <cell r="F229" t="str">
            <v>@Rp</v>
          </cell>
          <cell r="G229">
            <v>31900</v>
          </cell>
          <cell r="H229" t="str">
            <v>=Rp</v>
          </cell>
          <cell r="I229">
            <v>425333.33333333337</v>
          </cell>
        </row>
        <row r="230">
          <cell r="G230" t="str">
            <v>Jumlah</v>
          </cell>
          <cell r="H230" t="str">
            <v>=Rp</v>
          </cell>
          <cell r="I230">
            <v>1656651.3080633376</v>
          </cell>
        </row>
        <row r="231">
          <cell r="G231" t="str">
            <v>Dibulatkan</v>
          </cell>
          <cell r="H231" t="str">
            <v>=Rp</v>
          </cell>
          <cell r="I231">
            <v>1656700</v>
          </cell>
        </row>
        <row r="468">
          <cell r="B468" t="str">
            <v>C.37</v>
          </cell>
          <cell r="C468" t="str">
            <v>1 M3 Kolom 500x500 K225</v>
          </cell>
        </row>
        <row r="469">
          <cell r="C469">
            <v>1</v>
          </cell>
          <cell r="D469" t="str">
            <v>M3</v>
          </cell>
          <cell r="E469" t="str">
            <v>Beton Readymix</v>
          </cell>
          <cell r="F469" t="str">
            <v>@Rp</v>
          </cell>
          <cell r="G469">
            <v>430000</v>
          </cell>
          <cell r="H469" t="str">
            <v>=Rp</v>
          </cell>
          <cell r="I469">
            <v>430000</v>
          </cell>
        </row>
        <row r="470">
          <cell r="C470">
            <v>31.936645518230439</v>
          </cell>
          <cell r="D470" t="str">
            <v>Kg</v>
          </cell>
          <cell r="E470" t="str">
            <v>Pembesian Polos</v>
          </cell>
          <cell r="F470" t="str">
            <v>@Rp</v>
          </cell>
          <cell r="G470">
            <v>6100</v>
          </cell>
          <cell r="H470" t="str">
            <v>=Rp</v>
          </cell>
          <cell r="I470">
            <v>194813.53766120569</v>
          </cell>
        </row>
        <row r="471">
          <cell r="C471">
            <v>178.05604682750868</v>
          </cell>
          <cell r="D471" t="str">
            <v>Kg</v>
          </cell>
          <cell r="E471" t="str">
            <v>Pembesian Ulir</v>
          </cell>
          <cell r="F471" t="str">
            <v>@Rp</v>
          </cell>
          <cell r="G471">
            <v>5850</v>
          </cell>
          <cell r="H471" t="str">
            <v>=Rp</v>
          </cell>
          <cell r="I471">
            <v>1041627.8739409258</v>
          </cell>
        </row>
        <row r="472">
          <cell r="C472">
            <v>8</v>
          </cell>
          <cell r="D472" t="str">
            <v>M2</v>
          </cell>
          <cell r="E472" t="str">
            <v>Bekisting Struktur+Scafolding</v>
          </cell>
          <cell r="F472" t="str">
            <v>@Rp</v>
          </cell>
          <cell r="G472">
            <v>44200</v>
          </cell>
          <cell r="H472" t="str">
            <v>=Rp</v>
          </cell>
          <cell r="I472">
            <v>353600</v>
          </cell>
        </row>
        <row r="473">
          <cell r="G473" t="str">
            <v>Jumlah</v>
          </cell>
          <cell r="H473" t="str">
            <v>=Rp</v>
          </cell>
          <cell r="I473">
            <v>2020041.4116021316</v>
          </cell>
        </row>
        <row r="474">
          <cell r="G474" t="str">
            <v>Dibulatkan</v>
          </cell>
          <cell r="H474" t="str">
            <v>=Rp</v>
          </cell>
          <cell r="I474">
            <v>2020100</v>
          </cell>
        </row>
        <row r="476">
          <cell r="B476" t="str">
            <v>C.38</v>
          </cell>
          <cell r="C476" t="str">
            <v>1 M3 Kolom 450x450 K225</v>
          </cell>
        </row>
        <row r="477">
          <cell r="C477">
            <v>1</v>
          </cell>
          <cell r="D477" t="str">
            <v>M3</v>
          </cell>
          <cell r="E477" t="str">
            <v>Beton Readymix</v>
          </cell>
          <cell r="F477" t="str">
            <v>@Rp</v>
          </cell>
          <cell r="G477">
            <v>430000</v>
          </cell>
          <cell r="H477" t="str">
            <v>=Rp</v>
          </cell>
          <cell r="I477">
            <v>430000</v>
          </cell>
        </row>
        <row r="478">
          <cell r="C478">
            <v>35.16547554559908</v>
          </cell>
          <cell r="D478" t="str">
            <v>Kg</v>
          </cell>
          <cell r="E478" t="str">
            <v>Pembesian Polos</v>
          </cell>
          <cell r="F478" t="str">
            <v>@Rp</v>
          </cell>
          <cell r="G478">
            <v>6100</v>
          </cell>
          <cell r="H478" t="str">
            <v>=Rp</v>
          </cell>
          <cell r="I478">
            <v>214509.40082815438</v>
          </cell>
        </row>
        <row r="479">
          <cell r="C479">
            <v>175.85782402716904</v>
          </cell>
          <cell r="D479" t="str">
            <v>Kg</v>
          </cell>
          <cell r="E479" t="str">
            <v>Pembesian Ulir</v>
          </cell>
          <cell r="F479" t="str">
            <v>@Rp</v>
          </cell>
          <cell r="G479">
            <v>5850</v>
          </cell>
          <cell r="H479" t="str">
            <v>=Rp</v>
          </cell>
          <cell r="I479">
            <v>1028768.270558939</v>
          </cell>
        </row>
        <row r="480">
          <cell r="C480">
            <v>8.8888888888888893</v>
          </cell>
          <cell r="D480" t="str">
            <v>M2</v>
          </cell>
          <cell r="E480" t="str">
            <v>Bekisting Struktur+Scafolding</v>
          </cell>
          <cell r="F480" t="str">
            <v>@Rp</v>
          </cell>
          <cell r="G480">
            <v>44200</v>
          </cell>
          <cell r="H480" t="str">
            <v>=Rp</v>
          </cell>
          <cell r="I480">
            <v>392888.88888888893</v>
          </cell>
        </row>
        <row r="481">
          <cell r="G481" t="str">
            <v>Jumlah</v>
          </cell>
          <cell r="H481" t="str">
            <v>=Rp</v>
          </cell>
          <cell r="I481">
            <v>2066166.5602759824</v>
          </cell>
        </row>
        <row r="482">
          <cell r="G482" t="str">
            <v>Dibulatkan</v>
          </cell>
          <cell r="H482" t="str">
            <v>=Rp</v>
          </cell>
          <cell r="I482">
            <v>2066200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Oret-oret"/>
      <sheetName val="Sheet3"/>
    </sheetNames>
    <sheetDataSet>
      <sheetData sheetId="0">
        <row r="10">
          <cell r="E10">
            <v>5427000</v>
          </cell>
        </row>
        <row r="14">
          <cell r="E14">
            <v>1578000</v>
          </cell>
        </row>
      </sheetData>
      <sheetData sheetId="1"/>
      <sheetData sheetId="2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Analisa"/>
      <sheetName val="Rekap"/>
      <sheetName val="01.Pekerjaan Tiang besi"/>
      <sheetName val="02. Pekerjaan Sloof besi"/>
      <sheetName val="03. Pemasangan Atap"/>
      <sheetName val="04. Pekerjaan tutup Samping"/>
      <sheetName val="05. Pekerjaan lantai"/>
      <sheetName val="06. Pekerjaan dinding"/>
      <sheetName val="07. Pekerjaan pembuatan selasar"/>
      <sheetName val="08. Pek. Dinding seng"/>
    </sheetNames>
    <sheetDataSet>
      <sheetData sheetId="0" refreshError="1">
        <row r="17">
          <cell r="G17">
            <v>825000</v>
          </cell>
        </row>
        <row r="62">
          <cell r="G62">
            <v>161219386</v>
          </cell>
        </row>
        <row r="75">
          <cell r="G75">
            <v>41760000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Analisa"/>
      <sheetName val="Rekap"/>
      <sheetName val="01.Pekerjaan Tiang besi"/>
      <sheetName val="02. Pekerjaan Sloof besi"/>
      <sheetName val="03. Pemasangan Atap"/>
      <sheetName val="04. Pekerjaan tutup Samping"/>
      <sheetName val="05. Pekerjaan lantai"/>
      <sheetName val="06. Pekerjaan dinding"/>
      <sheetName val="07. Pekerjaan pembuatan selasar"/>
      <sheetName val="08. Pek. Dinding seng"/>
    </sheetNames>
    <sheetDataSet>
      <sheetData sheetId="0">
        <row r="17">
          <cell r="G17">
            <v>825000</v>
          </cell>
        </row>
        <row r="62">
          <cell r="G62">
            <v>125305386</v>
          </cell>
        </row>
        <row r="75">
          <cell r="G75">
            <v>41760000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TU"/>
      <sheetName val="RAK COBA COBA"/>
      <sheetName val="utak atik baraeng di kecamatan"/>
      <sheetName val="Pnj APBDES"/>
      <sheetName val="RKP"/>
      <sheetName val="DU-RKP"/>
      <sheetName val="PAGU"/>
      <sheetName val="APBDES"/>
      <sheetName val="4.4 Bintek Perikanan"/>
      <sheetName val="4.3 Pelatihan karng taruna"/>
      <sheetName val="RKA"/>
      <sheetName val="RAK "/>
      <sheetName val="RKK"/>
      <sheetName val="RAK"/>
      <sheetName val="1.1 Siltun Kds"/>
      <sheetName val="1.2 Siltun Prngkt "/>
      <sheetName val="1.3 Bpjs "/>
      <sheetName val="1.4 O PEM -"/>
      <sheetName val="1.4 O PEM UTK OPSI 2"/>
      <sheetName val="1.5 BPD"/>
      <sheetName val="1.6 OP BPD"/>
      <sheetName val="1.7 RT"/>
      <sheetName val="1.8 Mdl"/>
      <sheetName val="1.9 Musdes"/>
      <sheetName val="1.10 Hnr RKP"/>
      <sheetName val="1.11 Aset"/>
      <sheetName val="1.12 Pemilihan BPD"/>
      <sheetName val="1.13 Profil"/>
      <sheetName val="1.13 PBB"/>
      <sheetName val="1.14 TKD"/>
      <sheetName val="PSI Desa"/>
      <sheetName val=" LOMDES"/>
      <sheetName val="2.1 PAMSIMAS"/>
      <sheetName val="2.1 PAUD DAN TK"/>
      <sheetName val="2.2 PAUD DAN TK (Teralis TK)"/>
      <sheetName val="2.2 HONOR MAdrasah"/>
      <sheetName val="2.3A. PSYANDU"/>
      <sheetName val="3.1 Linmas"/>
      <sheetName val="3.2 Kagmaan SARA"/>
      <sheetName val="3.3 HUT RI"/>
      <sheetName val="3.9 STQ - "/>
      <sheetName val="3.4 KATARUNA"/>
      <sheetName val="3.5 L.A"/>
      <sheetName val="3.6 LPM"/>
      <sheetName val="3.7 PKK"/>
      <sheetName val="3.8 HONOR RT"/>
      <sheetName val="4.1 Kds"/>
      <sheetName val="4.2 Prnkt"/>
      <sheetName val="4.5 Embung"/>
      <sheetName val="RINCIAN JAMBORE"/>
      <sheetName val="PENANGGULANGAN BENCANA"/>
      <sheetName val="ringkasan pengurangan"/>
      <sheetName val="Sheet2"/>
    </sheetNames>
    <sheetDataSet>
      <sheetData sheetId="0"/>
      <sheetData sheetId="1"/>
      <sheetData sheetId="2"/>
      <sheetData sheetId="3">
        <row r="130">
          <cell r="K130">
            <v>7005000</v>
          </cell>
        </row>
        <row r="154">
          <cell r="K154">
            <v>5649000</v>
          </cell>
        </row>
        <row r="243">
          <cell r="K243">
            <v>203804386</v>
          </cell>
        </row>
      </sheetData>
      <sheetData sheetId="4"/>
      <sheetData sheetId="5"/>
      <sheetData sheetId="6"/>
      <sheetData sheetId="7"/>
      <sheetData sheetId="8">
        <row r="64">
          <cell r="H64">
            <v>17600000</v>
          </cell>
        </row>
      </sheetData>
      <sheetData sheetId="9"/>
      <sheetData sheetId="10"/>
      <sheetData sheetId="11"/>
      <sheetData sheetId="12"/>
      <sheetData sheetId="13"/>
      <sheetData sheetId="14">
        <row r="23">
          <cell r="H23">
            <v>43250000</v>
          </cell>
        </row>
      </sheetData>
      <sheetData sheetId="15">
        <row r="33">
          <cell r="G33">
            <v>280110000</v>
          </cell>
        </row>
      </sheetData>
      <sheetData sheetId="16">
        <row r="11">
          <cell r="D11">
            <v>29676000</v>
          </cell>
        </row>
      </sheetData>
      <sheetData sheetId="17">
        <row r="96">
          <cell r="H96">
            <v>69933500</v>
          </cell>
        </row>
      </sheetData>
      <sheetData sheetId="18"/>
      <sheetData sheetId="19">
        <row r="9">
          <cell r="D9">
            <v>58800000</v>
          </cell>
        </row>
      </sheetData>
      <sheetData sheetId="20"/>
      <sheetData sheetId="21"/>
      <sheetData sheetId="22"/>
      <sheetData sheetId="23"/>
      <sheetData sheetId="24"/>
      <sheetData sheetId="25">
        <row r="11">
          <cell r="D11">
            <v>2700000</v>
          </cell>
        </row>
      </sheetData>
      <sheetData sheetId="26"/>
      <sheetData sheetId="27"/>
      <sheetData sheetId="28">
        <row r="11">
          <cell r="D11">
            <v>1209000</v>
          </cell>
        </row>
      </sheetData>
      <sheetData sheetId="29">
        <row r="22">
          <cell r="H22">
            <v>8600000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>
        <row r="20">
          <cell r="H20">
            <v>8700000</v>
          </cell>
        </row>
      </sheetData>
      <sheetData sheetId="38">
        <row r="22">
          <cell r="H22">
            <v>24300000</v>
          </cell>
        </row>
      </sheetData>
      <sheetData sheetId="39">
        <row r="28">
          <cell r="H28">
            <v>2160000</v>
          </cell>
        </row>
      </sheetData>
      <sheetData sheetId="40">
        <row r="43">
          <cell r="I43">
            <v>6810000</v>
          </cell>
        </row>
      </sheetData>
      <sheetData sheetId="41">
        <row r="19">
          <cell r="H19">
            <v>1200000</v>
          </cell>
        </row>
      </sheetData>
      <sheetData sheetId="42">
        <row r="20">
          <cell r="H20">
            <v>2400000</v>
          </cell>
        </row>
      </sheetData>
      <sheetData sheetId="43">
        <row r="21">
          <cell r="H21">
            <v>3900000</v>
          </cell>
        </row>
      </sheetData>
      <sheetData sheetId="44">
        <row r="56">
          <cell r="H56">
            <v>17485000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TU"/>
      <sheetName val="RAK COBA COBA"/>
      <sheetName val="RKP"/>
      <sheetName val="DU-RKP"/>
      <sheetName val="PAGU"/>
      <sheetName val="APBDES"/>
      <sheetName val="Pnj APBDES"/>
      <sheetName val="4.4 Bintek Perikanan"/>
      <sheetName val="4.3 Pelatihan karng taruna"/>
      <sheetName val="RKA"/>
      <sheetName val="RAK "/>
      <sheetName val="RKK"/>
      <sheetName val="RAK"/>
      <sheetName val="1.1 Siltun Kds"/>
      <sheetName val="1.2 Siltun Prngkt "/>
      <sheetName val="1.3 Bpjs "/>
      <sheetName val="1.4 O PEM -"/>
      <sheetName val="1.5 BPD"/>
      <sheetName val="1.6 OP BPD"/>
      <sheetName val="1.7 RT"/>
      <sheetName val="1.8 Mdl"/>
      <sheetName val="1.9 Musdes"/>
      <sheetName val="1.10 Hnr RKP"/>
      <sheetName val="1.11 Aset"/>
      <sheetName val="1.12 Pemilihan BPD"/>
      <sheetName val="1.13 Profil"/>
      <sheetName val="1.13 PBB"/>
      <sheetName val="1.14 TKD"/>
      <sheetName val="PSI Desa"/>
      <sheetName val=" LOMDES"/>
      <sheetName val="2.1 PAUD DAN TK"/>
      <sheetName val="2.2 PAUD DAN TK (Teralis TK)"/>
      <sheetName val="2.2 HONOR MAdrasah"/>
      <sheetName val="2.3A. PSYANDU"/>
      <sheetName val="3.1 Linmas"/>
      <sheetName val="3.2 Kagmaan SARA"/>
      <sheetName val="3.3 HUT RI"/>
      <sheetName val="3.9 STQ - "/>
      <sheetName val="3.4 KATARUNA"/>
      <sheetName val="3.5 L.A"/>
      <sheetName val="3.6 LPM"/>
      <sheetName val="3.7 PKK"/>
      <sheetName val="3.8 HONOR RT"/>
      <sheetName val="4.1 Kds"/>
      <sheetName val="4.2 Prnkt"/>
      <sheetName val="4.5 Embung"/>
      <sheetName val="RINCIAN JAMBORE"/>
      <sheetName val="2.1 PAMSIMAS"/>
      <sheetName val="BENCANA"/>
      <sheetName val="BLT DESA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2. Pekerjaan Bowplank"/>
      <sheetName val="3. Pekerjaan Pondasi"/>
      <sheetName val="4. Pekerjaan Cor Sloof"/>
      <sheetName val="5. Pekerjaan Tiang Tepi"/>
      <sheetName val="6. Pekerjaan Tiang Tengah"/>
      <sheetName val="7.Pekerjaan Cor Sloof Atas Tepi"/>
      <sheetName val="8. Pek Cor Sloof Ats tengah"/>
      <sheetName val="9. Pekerjaan dinding"/>
      <sheetName val="10. Pekerjaan Ram"/>
      <sheetName val="11. Pekerjaan Atap B. Utama"/>
      <sheetName val="12. Pek. Pemasangan Listplank"/>
      <sheetName val="13. Pekerjaan Lantai"/>
      <sheetName val="14. Pekerjaan Tiang Teras"/>
      <sheetName val="15. Pek Cor Sloof tiang teras"/>
      <sheetName val="16. Pekerjaan Atap teras"/>
      <sheetName val="rekap"/>
      <sheetName val="03. TEMPAT MAIN PAU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D3" t="str">
            <v>58</v>
          </cell>
        </row>
        <row r="4">
          <cell r="D4" t="str">
            <v>3</v>
          </cell>
        </row>
        <row r="5">
          <cell r="D5" t="str">
            <v>1</v>
          </cell>
        </row>
        <row r="6">
          <cell r="D6" t="str">
            <v>2,517</v>
          </cell>
          <cell r="E6">
            <v>650</v>
          </cell>
        </row>
        <row r="7">
          <cell r="D7" t="str">
            <v>26</v>
          </cell>
        </row>
        <row r="8">
          <cell r="D8" t="str">
            <v>35</v>
          </cell>
        </row>
        <row r="9">
          <cell r="D9" t="str">
            <v>4</v>
          </cell>
          <cell r="E9">
            <v>25000</v>
          </cell>
        </row>
        <row r="10">
          <cell r="D10" t="str">
            <v>38</v>
          </cell>
          <cell r="E10">
            <v>35000</v>
          </cell>
        </row>
        <row r="11">
          <cell r="D11" t="str">
            <v>15</v>
          </cell>
          <cell r="E11">
            <v>35000</v>
          </cell>
        </row>
        <row r="12">
          <cell r="D12" t="str">
            <v>6</v>
          </cell>
          <cell r="E12">
            <v>25000</v>
          </cell>
        </row>
        <row r="13">
          <cell r="D13" t="str">
            <v>5</v>
          </cell>
          <cell r="E13">
            <v>5000</v>
          </cell>
        </row>
        <row r="14">
          <cell r="D14" t="str">
            <v>17</v>
          </cell>
          <cell r="E14">
            <v>100000</v>
          </cell>
        </row>
        <row r="15">
          <cell r="D15" t="str">
            <v>12</v>
          </cell>
          <cell r="E15">
            <v>50000</v>
          </cell>
        </row>
        <row r="16">
          <cell r="D16" t="str">
            <v>10</v>
          </cell>
          <cell r="E16">
            <v>300000</v>
          </cell>
        </row>
        <row r="17">
          <cell r="D17" t="str">
            <v>200</v>
          </cell>
          <cell r="E17">
            <v>400</v>
          </cell>
        </row>
        <row r="18">
          <cell r="D18" t="str">
            <v>30</v>
          </cell>
          <cell r="E18">
            <v>10000</v>
          </cell>
        </row>
        <row r="19">
          <cell r="D19" t="str">
            <v>7</v>
          </cell>
          <cell r="E19">
            <v>100000</v>
          </cell>
        </row>
        <row r="20">
          <cell r="D20">
            <v>1</v>
          </cell>
          <cell r="E20">
            <v>2500000</v>
          </cell>
        </row>
        <row r="21">
          <cell r="D21" t="str">
            <v>22</v>
          </cell>
          <cell r="E21">
            <v>30000</v>
          </cell>
        </row>
        <row r="22">
          <cell r="F22">
            <v>7360000</v>
          </cell>
        </row>
      </sheetData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4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4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.bin"/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Relationship Id="rId4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.bin"/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Relationship Id="rId4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4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Relationship Id="rId4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.bin"/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Relationship Id="rId4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.bin"/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Relationship Id="rId4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.bin"/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Relationship Id="rId4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.bin"/><Relationship Id="rId2" Type="http://schemas.openxmlformats.org/officeDocument/2006/relationships/printerSettings" Target="../printerSettings/printerSettings49.bin"/><Relationship Id="rId1" Type="http://schemas.openxmlformats.org/officeDocument/2006/relationships/printerSettings" Target="../printerSettings/printerSettings48.bin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.bin"/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4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5.bin"/><Relationship Id="rId4" Type="http://schemas.openxmlformats.org/officeDocument/2006/relationships/comments" Target="../comments5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.bin"/><Relationship Id="rId2" Type="http://schemas.openxmlformats.org/officeDocument/2006/relationships/printerSettings" Target="../printerSettings/printerSettings57.bin"/><Relationship Id="rId1" Type="http://schemas.openxmlformats.org/officeDocument/2006/relationships/printerSettings" Target="../printerSettings/printerSettings56.bin"/><Relationship Id="rId4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4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4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4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printerSettings" Target="../printerSettings/printerSettings69.bin"/><Relationship Id="rId1" Type="http://schemas.openxmlformats.org/officeDocument/2006/relationships/printerSettings" Target="../printerSettings/printerSettings68.bin"/><Relationship Id="rId4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3.bin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4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6.bin"/><Relationship Id="rId2" Type="http://schemas.openxmlformats.org/officeDocument/2006/relationships/printerSettings" Target="../printerSettings/printerSettings75.bin"/><Relationship Id="rId1" Type="http://schemas.openxmlformats.org/officeDocument/2006/relationships/printerSettings" Target="../printerSettings/printerSettings74.bin"/><Relationship Id="rId4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9.bin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4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2.bin"/><Relationship Id="rId2" Type="http://schemas.openxmlformats.org/officeDocument/2006/relationships/printerSettings" Target="../printerSettings/printerSettings81.bin"/><Relationship Id="rId1" Type="http://schemas.openxmlformats.org/officeDocument/2006/relationships/printerSettings" Target="../printerSettings/printerSettings80.bin"/><Relationship Id="rId4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4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8.bin"/><Relationship Id="rId2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86.bin"/><Relationship Id="rId4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1.bin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4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4.bin"/><Relationship Id="rId2" Type="http://schemas.openxmlformats.org/officeDocument/2006/relationships/printerSettings" Target="../printerSettings/printerSettings93.bin"/><Relationship Id="rId1" Type="http://schemas.openxmlformats.org/officeDocument/2006/relationships/printerSettings" Target="../printerSettings/printerSettings92.bin"/><Relationship Id="rId4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5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8.bin"/><Relationship Id="rId2" Type="http://schemas.openxmlformats.org/officeDocument/2006/relationships/printerSettings" Target="../printerSettings/printerSettings97.bin"/><Relationship Id="rId1" Type="http://schemas.openxmlformats.org/officeDocument/2006/relationships/printerSettings" Target="../printerSettings/printerSettings96.bin"/><Relationship Id="rId4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1.bin"/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Relationship Id="rId4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4.bin"/><Relationship Id="rId2" Type="http://schemas.openxmlformats.org/officeDocument/2006/relationships/printerSettings" Target="../printerSettings/printerSettings103.bin"/><Relationship Id="rId1" Type="http://schemas.openxmlformats.org/officeDocument/2006/relationships/printerSettings" Target="../printerSettings/printerSettings102.bin"/><Relationship Id="rId4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7.bin"/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Relationship Id="rId4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0.bin"/><Relationship Id="rId2" Type="http://schemas.openxmlformats.org/officeDocument/2006/relationships/printerSettings" Target="../printerSettings/printerSettings109.bin"/><Relationship Id="rId1" Type="http://schemas.openxmlformats.org/officeDocument/2006/relationships/printerSettings" Target="../printerSettings/printerSettings108.bin"/><Relationship Id="rId4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3.bin"/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Relationship Id="rId4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6.bin"/><Relationship Id="rId2" Type="http://schemas.openxmlformats.org/officeDocument/2006/relationships/printerSettings" Target="../printerSettings/printerSettings115.bin"/><Relationship Id="rId1" Type="http://schemas.openxmlformats.org/officeDocument/2006/relationships/printerSettings" Target="../printerSettings/printerSettings114.bin"/><Relationship Id="rId4" Type="http://schemas.openxmlformats.org/officeDocument/2006/relationships/drawing" Target="../drawings/drawing38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9.bin"/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Relationship Id="rId4" Type="http://schemas.openxmlformats.org/officeDocument/2006/relationships/drawing" Target="../drawings/drawing39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2.bin"/><Relationship Id="rId2" Type="http://schemas.openxmlformats.org/officeDocument/2006/relationships/printerSettings" Target="../printerSettings/printerSettings121.bin"/><Relationship Id="rId1" Type="http://schemas.openxmlformats.org/officeDocument/2006/relationships/printerSettings" Target="../printerSettings/printerSettings120.bin"/><Relationship Id="rId4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5.bin"/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Relationship Id="rId4" Type="http://schemas.openxmlformats.org/officeDocument/2006/relationships/drawing" Target="../drawings/drawing41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8.bin"/><Relationship Id="rId2" Type="http://schemas.openxmlformats.org/officeDocument/2006/relationships/printerSettings" Target="../printerSettings/printerSettings127.bin"/><Relationship Id="rId1" Type="http://schemas.openxmlformats.org/officeDocument/2006/relationships/printerSettings" Target="../printerSettings/printerSettings126.bin"/><Relationship Id="rId4" Type="http://schemas.openxmlformats.org/officeDocument/2006/relationships/drawing" Target="../drawings/drawing42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1.bin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Relationship Id="rId4" Type="http://schemas.openxmlformats.org/officeDocument/2006/relationships/drawing" Target="../drawings/drawing43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4.bin"/><Relationship Id="rId2" Type="http://schemas.openxmlformats.org/officeDocument/2006/relationships/printerSettings" Target="../printerSettings/printerSettings133.bin"/><Relationship Id="rId1" Type="http://schemas.openxmlformats.org/officeDocument/2006/relationships/printerSettings" Target="../printerSettings/printerSettings132.bin"/><Relationship Id="rId4" Type="http://schemas.openxmlformats.org/officeDocument/2006/relationships/drawing" Target="../drawings/drawing44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7.bin"/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Relationship Id="rId4" Type="http://schemas.openxmlformats.org/officeDocument/2006/relationships/drawing" Target="../drawings/drawing45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0.bin"/><Relationship Id="rId2" Type="http://schemas.openxmlformats.org/officeDocument/2006/relationships/printerSettings" Target="../printerSettings/printerSettings139.bin"/><Relationship Id="rId1" Type="http://schemas.openxmlformats.org/officeDocument/2006/relationships/printerSettings" Target="../printerSettings/printerSettings138.bin"/><Relationship Id="rId4" Type="http://schemas.openxmlformats.org/officeDocument/2006/relationships/drawing" Target="../drawings/drawing4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3.bin"/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Relationship Id="rId4" Type="http://schemas.openxmlformats.org/officeDocument/2006/relationships/drawing" Target="../drawings/drawing47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6.bin"/><Relationship Id="rId2" Type="http://schemas.openxmlformats.org/officeDocument/2006/relationships/printerSettings" Target="../printerSettings/printerSettings145.bin"/><Relationship Id="rId1" Type="http://schemas.openxmlformats.org/officeDocument/2006/relationships/printerSettings" Target="../printerSettings/printerSettings144.bin"/><Relationship Id="rId4" Type="http://schemas.openxmlformats.org/officeDocument/2006/relationships/drawing" Target="../drawings/drawing48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9.bin"/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2.bin"/><Relationship Id="rId2" Type="http://schemas.openxmlformats.org/officeDocument/2006/relationships/printerSettings" Target="../printerSettings/printerSettings151.bin"/><Relationship Id="rId1" Type="http://schemas.openxmlformats.org/officeDocument/2006/relationships/printerSettings" Target="../printerSettings/printerSettings150.bin"/><Relationship Id="rId4" Type="http://schemas.openxmlformats.org/officeDocument/2006/relationships/drawing" Target="../drawings/drawing49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53.bin"/><Relationship Id="rId4" Type="http://schemas.openxmlformats.org/officeDocument/2006/relationships/comments" Target="../comments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workbookViewId="0"/>
  </sheetViews>
  <sheetFormatPr defaultRowHeight="15"/>
  <sheetData/>
  <customSheetViews>
    <customSheetView guid="{0F09EDAE-127A-4543-88A5-04139BD32AD8}" state="hidden">
      <pageMargins left="0.7" right="0.7" top="0.75" bottom="0.75" header="0.3" footer="0.3"/>
      <pageSetup orientation="portrait" horizontalDpi="4294967293" r:id="rId1"/>
    </customSheetView>
    <customSheetView guid="{C05430D3-5A25-4A4C-823C-7D6EA772E5F0}" showPageBreaks="1" state="hidden">
      <pageMargins left="0.7" right="0.7" top="0.75" bottom="0.75" header="0.3" footer="0.3"/>
      <pageSetup orientation="portrait" horizontalDpi="4294967293" r:id="rId2"/>
    </customSheetView>
  </customSheetViews>
  <pageMargins left="0.7" right="0.7" top="0.75" bottom="0.75" header="0.3" footer="0.3"/>
  <pageSetup orientation="portrait" horizontalDpi="4294967293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0000"/>
  </sheetPr>
  <dimension ref="A2:AV451"/>
  <sheetViews>
    <sheetView workbookViewId="0"/>
  </sheetViews>
  <sheetFormatPr defaultColWidth="9.140625" defaultRowHeight="15.75"/>
  <cols>
    <col min="1" max="2" width="5.42578125" style="1" customWidth="1"/>
    <col min="3" max="3" width="6.28515625" style="1" customWidth="1"/>
    <col min="4" max="7" width="5.42578125" style="1" customWidth="1"/>
    <col min="8" max="8" width="95.85546875" style="1" customWidth="1"/>
    <col min="9" max="9" width="23.28515625" style="1" customWidth="1"/>
    <col min="10" max="10" width="18.85546875" style="1" customWidth="1"/>
    <col min="11" max="11" width="19.42578125" style="1" customWidth="1"/>
    <col min="12" max="18" width="18.7109375" style="1" bestFit="1" customWidth="1"/>
    <col min="19" max="19" width="18.7109375" style="1" customWidth="1"/>
    <col min="20" max="20" width="18.7109375" style="1" bestFit="1" customWidth="1"/>
    <col min="21" max="21" width="17.85546875" style="1" customWidth="1"/>
    <col min="22" max="22" width="17.28515625" style="1" customWidth="1"/>
    <col min="23" max="23" width="23.85546875" style="1" customWidth="1"/>
    <col min="24" max="25" width="11.42578125" style="1" customWidth="1"/>
    <col min="26" max="26" width="4.140625" style="1" customWidth="1"/>
    <col min="27" max="27" width="10.140625" style="1" bestFit="1" customWidth="1"/>
    <col min="28" max="28" width="16.42578125" style="1" bestFit="1" customWidth="1"/>
    <col min="29" max="30" width="17.28515625" style="1" customWidth="1"/>
    <col min="31" max="31" width="23" style="1" bestFit="1" customWidth="1"/>
    <col min="32" max="32" width="17.28515625" style="1" bestFit="1" customWidth="1"/>
    <col min="33" max="33" width="18.140625" style="1" bestFit="1" customWidth="1"/>
    <col min="34" max="34" width="17.28515625" style="1" bestFit="1" customWidth="1"/>
    <col min="35" max="36" width="17.7109375" style="1" customWidth="1"/>
    <col min="37" max="37" width="17.140625" style="1" bestFit="1" customWidth="1"/>
    <col min="38" max="44" width="9.140625" style="1"/>
    <col min="45" max="45" width="9.140625" style="1" customWidth="1"/>
    <col min="46" max="46" width="83" style="1" customWidth="1"/>
    <col min="47" max="47" width="14.28515625" style="1" bestFit="1" customWidth="1"/>
    <col min="48" max="16384" width="9.140625" style="1"/>
  </cols>
  <sheetData>
    <row r="2" spans="1:36" ht="18.75">
      <c r="A2" s="445"/>
      <c r="B2" s="445"/>
      <c r="C2" s="445"/>
      <c r="D2" s="445"/>
      <c r="E2" s="445"/>
      <c r="F2" s="445"/>
      <c r="G2" s="445"/>
      <c r="H2" s="445"/>
      <c r="I2" s="446"/>
      <c r="J2" s="447"/>
      <c r="K2" s="447"/>
      <c r="L2" s="447"/>
      <c r="M2" s="418"/>
      <c r="N2" s="418"/>
      <c r="O2" s="418"/>
      <c r="P2" s="418"/>
      <c r="Q2" s="418"/>
      <c r="R2" s="418"/>
      <c r="S2" s="418"/>
      <c r="T2" s="418"/>
      <c r="U2" s="418"/>
      <c r="V2" s="418"/>
      <c r="W2" s="418"/>
      <c r="X2" s="418"/>
      <c r="Y2" s="418"/>
    </row>
    <row r="3" spans="1:36" ht="18.75">
      <c r="A3" s="445"/>
      <c r="B3" s="445"/>
      <c r="C3" s="445"/>
      <c r="D3" s="445"/>
      <c r="E3" s="445"/>
      <c r="F3" s="445"/>
      <c r="G3" s="445"/>
      <c r="H3" s="445"/>
      <c r="I3" s="448"/>
      <c r="J3" s="445"/>
      <c r="K3" s="445"/>
      <c r="L3" s="445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418"/>
    </row>
    <row r="4" spans="1:36" ht="18.75">
      <c r="A4" s="445"/>
      <c r="B4" s="445"/>
      <c r="C4" s="445"/>
      <c r="D4" s="445"/>
      <c r="E4" s="445"/>
      <c r="F4" s="445"/>
      <c r="G4" s="445"/>
      <c r="H4" s="445"/>
      <c r="I4" s="448"/>
      <c r="J4" s="445"/>
      <c r="K4" s="445"/>
      <c r="L4" s="445"/>
      <c r="M4" s="418"/>
      <c r="N4" s="418"/>
      <c r="O4" s="418"/>
      <c r="P4" s="418"/>
      <c r="Q4" s="418"/>
      <c r="R4" s="418"/>
      <c r="S4" s="418"/>
      <c r="T4" s="418"/>
      <c r="U4" s="418"/>
      <c r="V4" s="418"/>
      <c r="W4" s="418"/>
      <c r="X4" s="418"/>
      <c r="Y4" s="418"/>
    </row>
    <row r="5" spans="1:36" ht="18.75">
      <c r="A5" s="445"/>
      <c r="B5" s="445"/>
      <c r="C5" s="445"/>
      <c r="D5" s="445"/>
      <c r="E5" s="445"/>
      <c r="F5" s="445"/>
      <c r="G5" s="445"/>
      <c r="H5" s="445"/>
      <c r="I5" s="448"/>
      <c r="J5" s="445"/>
      <c r="K5" s="445"/>
      <c r="L5" s="445"/>
      <c r="M5" s="418"/>
      <c r="N5" s="418"/>
      <c r="O5" s="418"/>
      <c r="P5" s="418"/>
      <c r="Q5" s="418"/>
      <c r="R5" s="418"/>
      <c r="S5" s="418"/>
      <c r="T5" s="418"/>
      <c r="U5" s="418"/>
      <c r="V5" s="418"/>
      <c r="W5" s="418"/>
      <c r="X5" s="418"/>
      <c r="Y5" s="418"/>
    </row>
    <row r="6" spans="1:36" ht="18.75">
      <c r="A6" s="2778" t="s">
        <v>850</v>
      </c>
      <c r="B6" s="2778"/>
      <c r="C6" s="2778"/>
      <c r="D6" s="2778"/>
      <c r="E6" s="2778"/>
      <c r="F6" s="2778"/>
      <c r="G6" s="2778"/>
      <c r="H6" s="2778"/>
      <c r="I6" s="2779"/>
      <c r="J6" s="2778"/>
      <c r="K6" s="607"/>
      <c r="L6" s="607"/>
      <c r="M6" s="418"/>
      <c r="N6" s="418"/>
      <c r="O6" s="418"/>
      <c r="P6" s="418"/>
      <c r="Q6" s="418"/>
      <c r="R6" s="418"/>
      <c r="S6" s="418"/>
      <c r="T6" s="418"/>
      <c r="U6" s="418"/>
      <c r="V6" s="418"/>
      <c r="W6" s="418"/>
      <c r="X6" s="418"/>
      <c r="Y6" s="418"/>
    </row>
    <row r="7" spans="1:36" ht="18.75">
      <c r="A7" s="2778" t="s">
        <v>879</v>
      </c>
      <c r="B7" s="2778"/>
      <c r="C7" s="2778"/>
      <c r="D7" s="2778"/>
      <c r="E7" s="2778"/>
      <c r="F7" s="2778"/>
      <c r="G7" s="2778"/>
      <c r="H7" s="2778"/>
      <c r="I7" s="2779"/>
      <c r="J7" s="2778"/>
      <c r="K7" s="607"/>
      <c r="L7" s="607"/>
      <c r="M7" s="418"/>
      <c r="N7" s="418"/>
      <c r="O7" s="418"/>
      <c r="P7" s="418"/>
      <c r="Q7" s="418"/>
      <c r="R7" s="418"/>
      <c r="S7" s="418"/>
      <c r="T7" s="418"/>
      <c r="U7" s="418"/>
      <c r="V7" s="418"/>
      <c r="W7" s="418"/>
      <c r="X7" s="418"/>
      <c r="Y7" s="418"/>
    </row>
    <row r="8" spans="1:36" ht="18.75">
      <c r="A8" s="2778" t="s">
        <v>587</v>
      </c>
      <c r="B8" s="2778"/>
      <c r="C8" s="2778"/>
      <c r="D8" s="2778"/>
      <c r="E8" s="2778"/>
      <c r="F8" s="2778"/>
      <c r="G8" s="2778"/>
      <c r="H8" s="2778"/>
      <c r="I8" s="2779"/>
      <c r="J8" s="2778"/>
      <c r="K8" s="607"/>
      <c r="L8" s="607"/>
      <c r="M8" s="418"/>
      <c r="N8" s="418"/>
      <c r="O8" s="418"/>
      <c r="P8" s="418"/>
      <c r="Q8" s="418"/>
      <c r="R8" s="418"/>
      <c r="S8" s="418"/>
      <c r="T8" s="418"/>
      <c r="U8" s="418"/>
      <c r="V8" s="418"/>
      <c r="W8" s="418"/>
      <c r="X8" s="418"/>
      <c r="Y8" s="418"/>
      <c r="AB8" s="1" t="s">
        <v>21</v>
      </c>
    </row>
    <row r="9" spans="1:36" ht="18.75">
      <c r="A9" s="607"/>
      <c r="B9" s="607"/>
      <c r="C9" s="607"/>
      <c r="D9" s="607"/>
      <c r="E9" s="607"/>
      <c r="F9" s="607"/>
      <c r="G9" s="607"/>
      <c r="H9" s="607"/>
      <c r="I9" s="608"/>
      <c r="J9" s="607"/>
      <c r="K9" s="607"/>
      <c r="L9" s="607"/>
      <c r="M9" s="418"/>
      <c r="N9" s="418"/>
      <c r="O9" s="418"/>
      <c r="P9" s="418"/>
      <c r="Q9" s="418"/>
      <c r="R9" s="418"/>
      <c r="S9" s="418"/>
      <c r="T9" s="418"/>
      <c r="U9" s="418"/>
      <c r="V9" s="418"/>
      <c r="W9" s="418"/>
      <c r="X9" s="418"/>
      <c r="Y9" s="418"/>
    </row>
    <row r="10" spans="1:36" ht="18.75">
      <c r="A10" s="607"/>
      <c r="B10" s="607"/>
      <c r="C10" s="607"/>
      <c r="D10" s="607"/>
      <c r="E10" s="607"/>
      <c r="F10" s="607"/>
      <c r="G10" s="607"/>
      <c r="H10" s="607"/>
      <c r="I10" s="608"/>
      <c r="J10" s="607"/>
      <c r="K10" s="607"/>
      <c r="L10" s="607"/>
      <c r="M10" s="418"/>
      <c r="N10" s="418"/>
      <c r="O10" s="418"/>
      <c r="P10" s="418"/>
      <c r="Q10" s="418"/>
      <c r="R10" s="418"/>
      <c r="S10" s="418"/>
      <c r="T10" s="418"/>
      <c r="U10" s="418"/>
      <c r="V10" s="418"/>
      <c r="W10" s="418"/>
      <c r="X10" s="418"/>
      <c r="Y10" s="418"/>
    </row>
    <row r="11" spans="1:36" ht="18.75">
      <c r="A11" s="2780"/>
      <c r="B11" s="2780"/>
      <c r="C11" s="445"/>
      <c r="D11" s="445"/>
      <c r="E11" s="445"/>
      <c r="F11" s="445"/>
      <c r="G11" s="445"/>
      <c r="H11" s="445"/>
      <c r="I11" s="448"/>
      <c r="J11" s="445"/>
      <c r="K11" s="445"/>
      <c r="L11" s="445"/>
      <c r="M11" s="418"/>
      <c r="N11" s="418"/>
      <c r="O11" s="418"/>
      <c r="P11" s="418"/>
      <c r="Q11" s="418"/>
      <c r="R11" s="418"/>
      <c r="S11" s="418"/>
      <c r="T11" s="418"/>
      <c r="U11" s="418"/>
      <c r="V11" s="418"/>
      <c r="W11" s="418"/>
      <c r="X11" s="418"/>
      <c r="Y11" s="418"/>
    </row>
    <row r="12" spans="1:36" ht="18.75" customHeight="1">
      <c r="A12" s="2781" t="s">
        <v>0</v>
      </c>
      <c r="B12" s="2782"/>
      <c r="C12" s="2782"/>
      <c r="D12" s="2782"/>
      <c r="E12" s="2782"/>
      <c r="F12" s="2782"/>
      <c r="G12" s="2783"/>
      <c r="H12" s="2776" t="s">
        <v>1</v>
      </c>
      <c r="I12" s="2775" t="s">
        <v>2</v>
      </c>
      <c r="J12" s="2775"/>
      <c r="K12" s="2775" t="s">
        <v>851</v>
      </c>
      <c r="L12" s="2775"/>
      <c r="M12" s="2775"/>
      <c r="N12" s="2775"/>
      <c r="O12" s="2775"/>
      <c r="P12" s="2775"/>
      <c r="Q12" s="2775"/>
      <c r="R12" s="2775"/>
      <c r="S12" s="2775"/>
      <c r="T12" s="2775"/>
      <c r="U12" s="2775"/>
      <c r="V12" s="2775"/>
      <c r="W12" s="2776" t="s">
        <v>320</v>
      </c>
      <c r="X12" s="418"/>
      <c r="Y12" s="418"/>
    </row>
    <row r="13" spans="1:36" ht="36">
      <c r="A13" s="2784"/>
      <c r="B13" s="2785"/>
      <c r="C13" s="2785"/>
      <c r="D13" s="2785"/>
      <c r="E13" s="2785"/>
      <c r="F13" s="2785"/>
      <c r="G13" s="2786"/>
      <c r="H13" s="2777"/>
      <c r="I13" s="680" t="s">
        <v>320</v>
      </c>
      <c r="J13" s="680" t="s">
        <v>39</v>
      </c>
      <c r="K13" s="680" t="s">
        <v>852</v>
      </c>
      <c r="L13" s="680" t="s">
        <v>853</v>
      </c>
      <c r="M13" s="680" t="s">
        <v>854</v>
      </c>
      <c r="N13" s="680" t="s">
        <v>855</v>
      </c>
      <c r="O13" s="680" t="s">
        <v>856</v>
      </c>
      <c r="P13" s="680" t="s">
        <v>857</v>
      </c>
      <c r="Q13" s="680" t="s">
        <v>858</v>
      </c>
      <c r="R13" s="680" t="s">
        <v>859</v>
      </c>
      <c r="S13" s="680" t="s">
        <v>860</v>
      </c>
      <c r="T13" s="680" t="s">
        <v>861</v>
      </c>
      <c r="U13" s="680" t="s">
        <v>862</v>
      </c>
      <c r="V13" s="680" t="s">
        <v>863</v>
      </c>
      <c r="W13" s="2777"/>
      <c r="X13" s="674"/>
      <c r="Y13" s="674"/>
    </row>
    <row r="14" spans="1:36" ht="18.75">
      <c r="A14" s="2772">
        <v>1</v>
      </c>
      <c r="B14" s="2773"/>
      <c r="C14" s="2774"/>
      <c r="D14" s="2772">
        <v>2</v>
      </c>
      <c r="E14" s="2773"/>
      <c r="F14" s="2773"/>
      <c r="G14" s="2774"/>
      <c r="H14" s="449">
        <v>3</v>
      </c>
      <c r="I14" s="450">
        <v>4</v>
      </c>
      <c r="J14" s="449">
        <v>5</v>
      </c>
      <c r="K14" s="609"/>
      <c r="L14" s="609"/>
      <c r="M14" s="418"/>
      <c r="N14" s="418"/>
      <c r="O14" s="418"/>
      <c r="P14" s="418"/>
      <c r="Q14" s="418"/>
      <c r="R14" s="418"/>
      <c r="S14" s="418"/>
      <c r="T14" s="418"/>
      <c r="U14" s="418"/>
      <c r="V14" s="418"/>
      <c r="W14" s="418"/>
      <c r="X14" s="418"/>
      <c r="Y14" s="418"/>
      <c r="AC14" s="197" t="s">
        <v>415</v>
      </c>
      <c r="AD14" s="197"/>
      <c r="AE14" s="198">
        <v>5000000</v>
      </c>
    </row>
    <row r="15" spans="1:36" ht="18.75">
      <c r="A15" s="451" t="s">
        <v>72</v>
      </c>
      <c r="B15" s="610" t="s">
        <v>73</v>
      </c>
      <c r="C15" s="610" t="s">
        <v>264</v>
      </c>
      <c r="D15" s="610" t="s">
        <v>72</v>
      </c>
      <c r="E15" s="610" t="s">
        <v>73</v>
      </c>
      <c r="F15" s="610" t="s">
        <v>264</v>
      </c>
      <c r="G15" s="610" t="s">
        <v>75</v>
      </c>
      <c r="H15" s="610"/>
      <c r="I15" s="523"/>
      <c r="J15" s="610"/>
      <c r="K15" s="609"/>
      <c r="L15" s="609"/>
      <c r="M15" s="418"/>
      <c r="N15" s="418"/>
      <c r="O15" s="418"/>
      <c r="P15" s="418"/>
      <c r="Q15" s="418"/>
      <c r="R15" s="418"/>
      <c r="S15" s="418"/>
      <c r="T15" s="418"/>
      <c r="U15" s="418"/>
      <c r="V15" s="418"/>
      <c r="W15" s="418"/>
      <c r="X15" s="418"/>
      <c r="Y15" s="418"/>
      <c r="AC15" s="145" t="s">
        <v>330</v>
      </c>
      <c r="AD15" s="145"/>
      <c r="AE15" s="146">
        <v>12692000</v>
      </c>
    </row>
    <row r="16" spans="1:36" s="144" customFormat="1" ht="18">
      <c r="A16" s="452"/>
      <c r="B16" s="452"/>
      <c r="C16" s="452"/>
      <c r="D16" s="453">
        <v>4</v>
      </c>
      <c r="E16" s="453"/>
      <c r="F16" s="453"/>
      <c r="G16" s="453" t="s">
        <v>589</v>
      </c>
      <c r="H16" s="453" t="s">
        <v>590</v>
      </c>
      <c r="I16" s="524" t="e">
        <f>I17+I18+I19</f>
        <v>#REF!</v>
      </c>
      <c r="J16" s="454"/>
      <c r="K16" s="675"/>
      <c r="L16" s="675"/>
      <c r="M16" s="455"/>
      <c r="N16" s="455"/>
      <c r="O16" s="455"/>
      <c r="P16" s="455"/>
      <c r="Q16" s="455"/>
      <c r="R16" s="455"/>
      <c r="S16" s="455"/>
      <c r="T16" s="455"/>
      <c r="U16" s="455"/>
      <c r="V16" s="455"/>
      <c r="W16" s="455"/>
      <c r="X16" s="455"/>
      <c r="Y16" s="455"/>
      <c r="AC16" s="147" t="s">
        <v>329</v>
      </c>
      <c r="AD16" s="147"/>
      <c r="AE16" s="148">
        <v>60000000</v>
      </c>
      <c r="AF16" s="1"/>
      <c r="AG16" s="1"/>
      <c r="AH16" s="1"/>
      <c r="AI16" s="1"/>
      <c r="AJ16" s="1"/>
    </row>
    <row r="17" spans="1:40" s="144" customFormat="1" ht="18">
      <c r="A17" s="452"/>
      <c r="B17" s="452"/>
      <c r="C17" s="452"/>
      <c r="D17" s="456">
        <v>4</v>
      </c>
      <c r="E17" s="456"/>
      <c r="F17" s="456"/>
      <c r="G17" s="456">
        <v>1</v>
      </c>
      <c r="H17" s="456" t="s">
        <v>3</v>
      </c>
      <c r="I17" s="525">
        <v>0</v>
      </c>
      <c r="J17" s="454"/>
      <c r="K17" s="675"/>
      <c r="L17" s="675"/>
      <c r="M17" s="455"/>
      <c r="N17" s="455"/>
      <c r="O17" s="455"/>
      <c r="P17" s="455"/>
      <c r="Q17" s="455"/>
      <c r="R17" s="455"/>
      <c r="S17" s="455"/>
      <c r="T17" s="455"/>
      <c r="U17" s="455"/>
      <c r="V17" s="455"/>
      <c r="W17" s="455"/>
      <c r="X17" s="455"/>
      <c r="Y17" s="455"/>
      <c r="AC17" s="149" t="s">
        <v>23</v>
      </c>
      <c r="AD17" s="149"/>
      <c r="AE17" s="150">
        <f>J30</f>
        <v>0</v>
      </c>
      <c r="AF17" s="1">
        <f>AE17*40%</f>
        <v>0</v>
      </c>
      <c r="AG17" s="1">
        <f>AE17*20%</f>
        <v>0</v>
      </c>
      <c r="AH17" s="1"/>
      <c r="AI17" s="1"/>
      <c r="AJ17" s="1"/>
    </row>
    <row r="18" spans="1:40" ht="18">
      <c r="A18" s="452"/>
      <c r="B18" s="452"/>
      <c r="C18" s="452"/>
      <c r="D18" s="456">
        <v>4</v>
      </c>
      <c r="E18" s="456"/>
      <c r="F18" s="456"/>
      <c r="G18" s="456">
        <v>2</v>
      </c>
      <c r="H18" s="456" t="s">
        <v>591</v>
      </c>
      <c r="I18" s="525" t="e">
        <f>#REF!</f>
        <v>#REF!</v>
      </c>
      <c r="J18" s="454"/>
      <c r="K18" s="675"/>
      <c r="L18" s="675"/>
      <c r="M18" s="455"/>
      <c r="N18" s="455"/>
      <c r="O18" s="455"/>
      <c r="P18" s="455"/>
      <c r="Q18" s="455"/>
      <c r="R18" s="455"/>
      <c r="S18" s="455"/>
      <c r="T18" s="455"/>
      <c r="U18" s="455"/>
      <c r="V18" s="455"/>
      <c r="W18" s="455"/>
      <c r="X18" s="455"/>
      <c r="Y18" s="455"/>
      <c r="AC18" s="151" t="s">
        <v>22</v>
      </c>
      <c r="AD18" s="151"/>
      <c r="AE18" s="152">
        <f>J28</f>
        <v>0</v>
      </c>
      <c r="AF18" s="1">
        <f>AE18*60%</f>
        <v>0</v>
      </c>
      <c r="AG18" s="1">
        <f>AE18*40%</f>
        <v>0</v>
      </c>
    </row>
    <row r="19" spans="1:40" s="144" customFormat="1" ht="18">
      <c r="A19" s="452"/>
      <c r="B19" s="452"/>
      <c r="C19" s="452"/>
      <c r="D19" s="456">
        <v>4</v>
      </c>
      <c r="E19" s="456"/>
      <c r="F19" s="456"/>
      <c r="G19" s="456">
        <v>3</v>
      </c>
      <c r="H19" s="456" t="s">
        <v>13</v>
      </c>
      <c r="I19" s="525" t="e">
        <f>#REF!</f>
        <v>#REF!</v>
      </c>
      <c r="J19" s="454"/>
      <c r="K19" s="675"/>
      <c r="L19" s="675"/>
      <c r="M19" s="455"/>
      <c r="N19" s="455"/>
      <c r="O19" s="455"/>
      <c r="P19" s="455"/>
      <c r="Q19" s="455"/>
      <c r="R19" s="455"/>
      <c r="S19" s="455"/>
      <c r="T19" s="455"/>
      <c r="U19" s="455"/>
      <c r="V19" s="455"/>
      <c r="W19" s="455"/>
      <c r="X19" s="455"/>
      <c r="Y19" s="455"/>
      <c r="AC19" s="153" t="s">
        <v>24</v>
      </c>
      <c r="AD19" s="153"/>
      <c r="AE19" s="154">
        <f>SUM(AE14:AE18)</f>
        <v>77692000</v>
      </c>
      <c r="AF19" s="1"/>
      <c r="AG19" s="1"/>
      <c r="AH19" s="1"/>
      <c r="AI19" s="1"/>
      <c r="AJ19" s="1"/>
    </row>
    <row r="20" spans="1:40" ht="18">
      <c r="A20" s="457"/>
      <c r="B20" s="457"/>
      <c r="C20" s="457"/>
      <c r="D20" s="456"/>
      <c r="E20" s="456"/>
      <c r="F20" s="456"/>
      <c r="G20" s="456"/>
      <c r="H20" s="453" t="s">
        <v>6</v>
      </c>
      <c r="I20" s="524" t="e">
        <f>I16</f>
        <v>#REF!</v>
      </c>
      <c r="J20" s="458"/>
      <c r="K20" s="676"/>
      <c r="L20" s="676"/>
      <c r="M20" s="445"/>
      <c r="N20" s="445"/>
      <c r="O20" s="445"/>
      <c r="P20" s="445"/>
      <c r="Q20" s="445"/>
      <c r="R20" s="445"/>
      <c r="S20" s="445"/>
      <c r="T20" s="445"/>
      <c r="U20" s="445"/>
      <c r="V20" s="445"/>
      <c r="W20" s="445"/>
      <c r="X20" s="445"/>
      <c r="Y20" s="445"/>
    </row>
    <row r="21" spans="1:40" ht="18">
      <c r="A21" s="457"/>
      <c r="B21" s="457"/>
      <c r="C21" s="457"/>
      <c r="D21" s="457"/>
      <c r="E21" s="457"/>
      <c r="F21" s="457"/>
      <c r="G21" s="457"/>
      <c r="H21" s="456"/>
      <c r="I21" s="525"/>
      <c r="J21" s="458"/>
      <c r="K21" s="676"/>
      <c r="L21" s="676"/>
      <c r="M21" s="445"/>
      <c r="N21" s="445"/>
      <c r="O21" s="445"/>
      <c r="P21" s="445"/>
      <c r="Q21" s="445"/>
      <c r="R21" s="445"/>
      <c r="S21" s="445"/>
      <c r="T21" s="445"/>
      <c r="U21" s="445"/>
      <c r="V21" s="445"/>
      <c r="W21" s="445"/>
      <c r="X21" s="445"/>
      <c r="Y21" s="445"/>
      <c r="AC21" s="197" t="s">
        <v>415</v>
      </c>
      <c r="AD21" s="197"/>
      <c r="AE21" s="198">
        <v>5000000</v>
      </c>
      <c r="AG21" s="1" t="s">
        <v>21</v>
      </c>
    </row>
    <row r="22" spans="1:40" ht="18">
      <c r="A22" s="452"/>
      <c r="B22" s="452"/>
      <c r="C22" s="452"/>
      <c r="D22" s="452">
        <v>5</v>
      </c>
      <c r="E22" s="452"/>
      <c r="F22" s="452"/>
      <c r="G22" s="452"/>
      <c r="H22" s="453" t="s">
        <v>7</v>
      </c>
      <c r="I22" s="524" t="e">
        <f>I23+I122+I286+I345+I423</f>
        <v>#REF!</v>
      </c>
      <c r="J22" s="454"/>
      <c r="K22" s="675"/>
      <c r="L22" s="675"/>
      <c r="M22" s="455"/>
      <c r="N22" s="455"/>
      <c r="O22" s="455"/>
      <c r="P22" s="455"/>
      <c r="Q22" s="455"/>
      <c r="R22" s="455"/>
      <c r="S22" s="455"/>
      <c r="T22" s="455"/>
      <c r="U22" s="455"/>
      <c r="V22" s="455"/>
      <c r="W22" s="455"/>
      <c r="X22" s="455"/>
      <c r="Y22" s="455"/>
      <c r="AC22" s="145" t="s">
        <v>330</v>
      </c>
      <c r="AD22" s="145"/>
      <c r="AE22" s="146">
        <f>AE15</f>
        <v>12692000</v>
      </c>
    </row>
    <row r="23" spans="1:40" ht="18">
      <c r="A23" s="452">
        <v>1</v>
      </c>
      <c r="B23" s="452"/>
      <c r="C23" s="452"/>
      <c r="D23" s="452"/>
      <c r="E23" s="452"/>
      <c r="F23" s="452"/>
      <c r="G23" s="452"/>
      <c r="H23" s="453" t="s">
        <v>86</v>
      </c>
      <c r="I23" s="524" t="e">
        <f>I24+I55+I64+I77+I103</f>
        <v>#REF!</v>
      </c>
      <c r="J23" s="454"/>
      <c r="K23" s="675"/>
      <c r="L23" s="675"/>
      <c r="M23" s="455"/>
      <c r="N23" s="455"/>
      <c r="O23" s="455"/>
      <c r="P23" s="455"/>
      <c r="Q23" s="455"/>
      <c r="R23" s="455"/>
      <c r="S23" s="455"/>
      <c r="T23" s="455"/>
      <c r="U23" s="455"/>
      <c r="V23" s="455"/>
      <c r="W23" s="455"/>
      <c r="X23" s="455"/>
      <c r="Y23" s="455"/>
      <c r="AC23" s="147" t="s">
        <v>356</v>
      </c>
      <c r="AD23" s="147"/>
      <c r="AE23" s="148">
        <f>AE16</f>
        <v>60000000</v>
      </c>
    </row>
    <row r="24" spans="1:40" ht="31.5">
      <c r="A24" s="452">
        <v>1</v>
      </c>
      <c r="B24" s="459">
        <v>1</v>
      </c>
      <c r="C24" s="452"/>
      <c r="D24" s="452"/>
      <c r="E24" s="452"/>
      <c r="F24" s="452"/>
      <c r="G24" s="452"/>
      <c r="H24" s="460" t="s">
        <v>592</v>
      </c>
      <c r="I24" s="526" t="e">
        <f>I25+I27+I29+I31+I33+I35+I53</f>
        <v>#REF!</v>
      </c>
      <c r="J24" s="461"/>
      <c r="K24" s="677"/>
      <c r="L24" s="677"/>
      <c r="M24" s="455"/>
      <c r="N24" s="455"/>
      <c r="O24" s="455"/>
      <c r="P24" s="455"/>
      <c r="Q24" s="455"/>
      <c r="R24" s="455"/>
      <c r="S24" s="455"/>
      <c r="T24" s="455"/>
      <c r="U24" s="455"/>
      <c r="V24" s="455"/>
      <c r="W24" s="455"/>
      <c r="X24" s="455"/>
      <c r="Y24" s="455"/>
      <c r="AC24" s="149" t="s">
        <v>23</v>
      </c>
      <c r="AD24" s="149"/>
      <c r="AE24" s="150">
        <f>AE17</f>
        <v>0</v>
      </c>
      <c r="AF24" s="155">
        <f>AE24*60%</f>
        <v>0</v>
      </c>
      <c r="AG24" s="156">
        <f>70%*AE26</f>
        <v>54384400</v>
      </c>
    </row>
    <row r="25" spans="1:40" ht="18">
      <c r="A25" s="457">
        <v>1</v>
      </c>
      <c r="B25" s="462">
        <v>1</v>
      </c>
      <c r="C25" s="462" t="s">
        <v>593</v>
      </c>
      <c r="D25" s="457"/>
      <c r="E25" s="457"/>
      <c r="F25" s="457"/>
      <c r="G25" s="457"/>
      <c r="H25" s="456" t="s">
        <v>548</v>
      </c>
      <c r="I25" s="525" t="e">
        <f>I26</f>
        <v>#REF!</v>
      </c>
      <c r="J25" s="458"/>
      <c r="K25" s="676"/>
      <c r="L25" s="676"/>
      <c r="M25" s="445"/>
      <c r="N25" s="445"/>
      <c r="O25" s="445"/>
      <c r="P25" s="445"/>
      <c r="Q25" s="445"/>
      <c r="R25" s="445"/>
      <c r="S25" s="445"/>
      <c r="T25" s="445"/>
      <c r="U25" s="445"/>
      <c r="V25" s="445"/>
      <c r="W25" s="445"/>
      <c r="X25" s="445"/>
      <c r="Y25" s="445"/>
      <c r="AA25" s="1" t="s">
        <v>21</v>
      </c>
      <c r="AC25" s="151" t="s">
        <v>22</v>
      </c>
      <c r="AD25" s="151"/>
      <c r="AE25" s="152">
        <f>AE18</f>
        <v>0</v>
      </c>
      <c r="AF25" s="1" t="s">
        <v>224</v>
      </c>
      <c r="AG25" s="156">
        <f>30%*AE26</f>
        <v>23307600</v>
      </c>
      <c r="AH25" s="2" t="e">
        <f>#REF!</f>
        <v>#REF!</v>
      </c>
    </row>
    <row r="26" spans="1:40" ht="18">
      <c r="A26" s="457">
        <v>1</v>
      </c>
      <c r="B26" s="462">
        <v>1</v>
      </c>
      <c r="C26" s="462" t="s">
        <v>593</v>
      </c>
      <c r="D26" s="457">
        <v>5</v>
      </c>
      <c r="E26" s="457"/>
      <c r="F26" s="457"/>
      <c r="G26" s="457">
        <v>1</v>
      </c>
      <c r="H26" s="686" t="s">
        <v>312</v>
      </c>
      <c r="I26" s="525" t="e">
        <f>#REF!</f>
        <v>#REF!</v>
      </c>
      <c r="J26" s="458"/>
      <c r="K26" s="676"/>
      <c r="L26" s="676"/>
      <c r="M26" s="445"/>
      <c r="N26" s="445"/>
      <c r="O26" s="445"/>
      <c r="P26" s="445"/>
      <c r="Q26" s="445"/>
      <c r="R26" s="445"/>
      <c r="S26" s="445"/>
      <c r="T26" s="445"/>
      <c r="U26" s="445"/>
      <c r="V26" s="445"/>
      <c r="W26" s="445"/>
      <c r="X26" s="445"/>
      <c r="Y26" s="445"/>
      <c r="AC26" s="153" t="s">
        <v>24</v>
      </c>
      <c r="AD26" s="153"/>
      <c r="AE26" s="154">
        <f>SUM(AE21:AE25)</f>
        <v>77692000</v>
      </c>
      <c r="AF26" s="144"/>
      <c r="AG26" s="144"/>
      <c r="AH26" s="157" t="e">
        <f>AG25-AH25</f>
        <v>#REF!</v>
      </c>
      <c r="AN26" s="1" t="s">
        <v>21</v>
      </c>
    </row>
    <row r="27" spans="1:40" ht="18">
      <c r="A27" s="457">
        <v>1</v>
      </c>
      <c r="B27" s="462">
        <v>1</v>
      </c>
      <c r="C27" s="462" t="s">
        <v>594</v>
      </c>
      <c r="D27" s="457"/>
      <c r="E27" s="457"/>
      <c r="F27" s="457"/>
      <c r="G27" s="457"/>
      <c r="H27" s="456" t="s">
        <v>547</v>
      </c>
      <c r="I27" s="525" t="e">
        <f>I28</f>
        <v>#REF!</v>
      </c>
      <c r="J27" s="458"/>
      <c r="K27" s="681"/>
      <c r="L27" s="681" t="e">
        <f>M27*2</f>
        <v>#REF!</v>
      </c>
      <c r="M27" s="448" t="e">
        <f>I27/12</f>
        <v>#REF!</v>
      </c>
      <c r="N27" s="448" t="e">
        <f>M27</f>
        <v>#REF!</v>
      </c>
      <c r="O27" s="448" t="e">
        <f t="shared" ref="O27:V27" si="0">N27</f>
        <v>#REF!</v>
      </c>
      <c r="P27" s="448" t="e">
        <f t="shared" si="0"/>
        <v>#REF!</v>
      </c>
      <c r="Q27" s="448" t="e">
        <f t="shared" si="0"/>
        <v>#REF!</v>
      </c>
      <c r="R27" s="448" t="e">
        <f t="shared" si="0"/>
        <v>#REF!</v>
      </c>
      <c r="S27" s="448" t="e">
        <f t="shared" si="0"/>
        <v>#REF!</v>
      </c>
      <c r="T27" s="448" t="e">
        <f t="shared" si="0"/>
        <v>#REF!</v>
      </c>
      <c r="U27" s="448" t="e">
        <f t="shared" si="0"/>
        <v>#REF!</v>
      </c>
      <c r="V27" s="448" t="e">
        <f t="shared" si="0"/>
        <v>#REF!</v>
      </c>
      <c r="W27" s="682" t="e">
        <f>SUM(K27:V27)</f>
        <v>#REF!</v>
      </c>
      <c r="X27" s="445"/>
      <c r="Y27" s="445"/>
      <c r="AF27" s="158">
        <f>AE26-AE28</f>
        <v>54384400</v>
      </c>
      <c r="AH27" s="2"/>
    </row>
    <row r="28" spans="1:40" ht="18">
      <c r="A28" s="457">
        <v>1</v>
      </c>
      <c r="B28" s="462">
        <v>1</v>
      </c>
      <c r="C28" s="462" t="s">
        <v>594</v>
      </c>
      <c r="D28" s="457">
        <v>5</v>
      </c>
      <c r="E28" s="457"/>
      <c r="F28" s="457"/>
      <c r="G28" s="457">
        <v>1</v>
      </c>
      <c r="H28" s="686" t="s">
        <v>312</v>
      </c>
      <c r="I28" s="525" t="e">
        <f>#REF!</f>
        <v>#REF!</v>
      </c>
      <c r="J28" s="458"/>
      <c r="K28" s="676"/>
      <c r="L28" s="681"/>
      <c r="M28" s="448"/>
      <c r="N28" s="445"/>
      <c r="O28" s="445"/>
      <c r="P28" s="445"/>
      <c r="Q28" s="445"/>
      <c r="R28" s="445"/>
      <c r="S28" s="445"/>
      <c r="T28" s="445"/>
      <c r="U28" s="445"/>
      <c r="V28" s="445"/>
      <c r="W28" s="683"/>
      <c r="X28" s="445"/>
      <c r="Y28" s="445"/>
      <c r="AC28" s="159" t="s">
        <v>25</v>
      </c>
      <c r="AD28" s="159"/>
      <c r="AE28" s="160">
        <f>AE26*30%</f>
        <v>23307600</v>
      </c>
      <c r="AF28" s="2">
        <f>J58</f>
        <v>0</v>
      </c>
      <c r="AG28" s="2">
        <f>AE28-AF28</f>
        <v>23307600</v>
      </c>
    </row>
    <row r="29" spans="1:40" ht="18">
      <c r="A29" s="457">
        <v>1</v>
      </c>
      <c r="B29" s="462">
        <v>1</v>
      </c>
      <c r="C29" s="462" t="s">
        <v>595</v>
      </c>
      <c r="D29" s="457"/>
      <c r="E29" s="457"/>
      <c r="F29" s="457"/>
      <c r="G29" s="457"/>
      <c r="H29" s="456" t="s">
        <v>546</v>
      </c>
      <c r="I29" s="525" t="e">
        <f>I30</f>
        <v>#REF!</v>
      </c>
      <c r="J29" s="458"/>
      <c r="K29" s="676"/>
      <c r="L29" s="681" t="e">
        <f>M29*2</f>
        <v>#REF!</v>
      </c>
      <c r="M29" s="448" t="e">
        <f>I29/12</f>
        <v>#REF!</v>
      </c>
      <c r="N29" s="448" t="e">
        <f t="shared" ref="N29:Q30" si="1">M29</f>
        <v>#REF!</v>
      </c>
      <c r="O29" s="448" t="e">
        <f t="shared" si="1"/>
        <v>#REF!</v>
      </c>
      <c r="P29" s="448" t="e">
        <f t="shared" si="1"/>
        <v>#REF!</v>
      </c>
      <c r="Q29" s="448" t="e">
        <f t="shared" si="1"/>
        <v>#REF!</v>
      </c>
      <c r="R29" s="448" t="e">
        <f t="shared" ref="R29:V30" si="2">Q29</f>
        <v>#REF!</v>
      </c>
      <c r="S29" s="448" t="e">
        <f t="shared" si="2"/>
        <v>#REF!</v>
      </c>
      <c r="T29" s="448" t="e">
        <f t="shared" si="2"/>
        <v>#REF!</v>
      </c>
      <c r="U29" s="448" t="e">
        <f t="shared" si="2"/>
        <v>#REF!</v>
      </c>
      <c r="V29" s="448" t="e">
        <f t="shared" si="2"/>
        <v>#REF!</v>
      </c>
      <c r="W29" s="682" t="e">
        <f>SUM(K29:V29)</f>
        <v>#REF!</v>
      </c>
      <c r="X29" s="445"/>
      <c r="Y29" s="445"/>
      <c r="AC29" s="161" t="s">
        <v>26</v>
      </c>
      <c r="AD29" s="161"/>
      <c r="AE29" s="162">
        <f>AF27*70%</f>
        <v>38069080</v>
      </c>
    </row>
    <row r="30" spans="1:40" ht="18">
      <c r="A30" s="457">
        <v>1</v>
      </c>
      <c r="B30" s="462">
        <v>1</v>
      </c>
      <c r="C30" s="462" t="s">
        <v>595</v>
      </c>
      <c r="D30" s="457">
        <v>5</v>
      </c>
      <c r="E30" s="457"/>
      <c r="F30" s="457"/>
      <c r="G30" s="457">
        <v>1</v>
      </c>
      <c r="H30" s="686" t="s">
        <v>312</v>
      </c>
      <c r="I30" s="525" t="e">
        <f>#REF!</f>
        <v>#REF!</v>
      </c>
      <c r="J30" s="458"/>
      <c r="K30" s="676"/>
      <c r="L30" s="681" t="e">
        <f>M30*2</f>
        <v>#REF!</v>
      </c>
      <c r="M30" s="448" t="e">
        <f>I30/12</f>
        <v>#REF!</v>
      </c>
      <c r="N30" s="448" t="e">
        <f t="shared" si="1"/>
        <v>#REF!</v>
      </c>
      <c r="O30" s="448" t="e">
        <f t="shared" si="1"/>
        <v>#REF!</v>
      </c>
      <c r="P30" s="448" t="e">
        <f t="shared" si="1"/>
        <v>#REF!</v>
      </c>
      <c r="Q30" s="448" t="e">
        <f t="shared" si="1"/>
        <v>#REF!</v>
      </c>
      <c r="R30" s="448" t="e">
        <f t="shared" si="2"/>
        <v>#REF!</v>
      </c>
      <c r="S30" s="448" t="e">
        <f t="shared" si="2"/>
        <v>#REF!</v>
      </c>
      <c r="T30" s="448" t="e">
        <f t="shared" si="2"/>
        <v>#REF!</v>
      </c>
      <c r="U30" s="448" t="e">
        <f t="shared" si="2"/>
        <v>#REF!</v>
      </c>
      <c r="V30" s="448" t="e">
        <f t="shared" si="2"/>
        <v>#REF!</v>
      </c>
      <c r="W30" s="682" t="e">
        <f>SUM(K30:V30)</f>
        <v>#REF!</v>
      </c>
      <c r="X30" s="445"/>
      <c r="Y30" s="445"/>
      <c r="AC30" s="163" t="s">
        <v>27</v>
      </c>
      <c r="AD30" s="163"/>
      <c r="AE30" s="164"/>
      <c r="AF30" s="165">
        <f>AF27-AE29</f>
        <v>16315320</v>
      </c>
    </row>
    <row r="31" spans="1:40" ht="18">
      <c r="A31" s="457">
        <v>1</v>
      </c>
      <c r="B31" s="462">
        <v>1</v>
      </c>
      <c r="C31" s="462" t="s">
        <v>596</v>
      </c>
      <c r="D31" s="457"/>
      <c r="E31" s="457"/>
      <c r="F31" s="457"/>
      <c r="G31" s="457"/>
      <c r="H31" s="456" t="s">
        <v>549</v>
      </c>
      <c r="I31" s="525" t="e">
        <f>I32</f>
        <v>#REF!</v>
      </c>
      <c r="J31" s="458"/>
      <c r="K31" s="676"/>
      <c r="L31" s="681" t="e">
        <f>M31*2</f>
        <v>#REF!</v>
      </c>
      <c r="M31" s="448" t="e">
        <f>I31/12</f>
        <v>#REF!</v>
      </c>
      <c r="N31" s="448" t="e">
        <f t="shared" ref="N31:V31" si="3">M31</f>
        <v>#REF!</v>
      </c>
      <c r="O31" s="448" t="e">
        <f t="shared" si="3"/>
        <v>#REF!</v>
      </c>
      <c r="P31" s="448" t="e">
        <f t="shared" si="3"/>
        <v>#REF!</v>
      </c>
      <c r="Q31" s="448" t="e">
        <f t="shared" si="3"/>
        <v>#REF!</v>
      </c>
      <c r="R31" s="448" t="e">
        <f t="shared" si="3"/>
        <v>#REF!</v>
      </c>
      <c r="S31" s="448" t="e">
        <f t="shared" si="3"/>
        <v>#REF!</v>
      </c>
      <c r="T31" s="448" t="e">
        <f t="shared" si="3"/>
        <v>#REF!</v>
      </c>
      <c r="U31" s="448" t="e">
        <f t="shared" si="3"/>
        <v>#REF!</v>
      </c>
      <c r="V31" s="448" t="e">
        <f t="shared" si="3"/>
        <v>#REF!</v>
      </c>
      <c r="W31" s="682" t="e">
        <f>SUM(K31:V31)</f>
        <v>#REF!</v>
      </c>
      <c r="X31" s="445"/>
      <c r="Y31" s="445"/>
      <c r="AC31" s="166" t="s">
        <v>28</v>
      </c>
      <c r="AD31" s="166"/>
      <c r="AE31" s="167"/>
      <c r="AF31" s="165"/>
    </row>
    <row r="32" spans="1:40" ht="15.75" customHeight="1">
      <c r="A32" s="457">
        <v>1</v>
      </c>
      <c r="B32" s="462">
        <v>1</v>
      </c>
      <c r="C32" s="462" t="s">
        <v>596</v>
      </c>
      <c r="D32" s="457">
        <v>5</v>
      </c>
      <c r="E32" s="457"/>
      <c r="F32" s="457"/>
      <c r="G32" s="457">
        <v>2</v>
      </c>
      <c r="H32" s="687" t="s">
        <v>8</v>
      </c>
      <c r="I32" s="525" t="e">
        <f>#REF!</f>
        <v>#REF!</v>
      </c>
      <c r="J32" s="458"/>
      <c r="K32" s="676"/>
      <c r="L32" s="681" t="e">
        <f>M32*2</f>
        <v>#REF!</v>
      </c>
      <c r="M32" s="448" t="e">
        <f>I32/12</f>
        <v>#REF!</v>
      </c>
      <c r="N32" s="448" t="e">
        <f t="shared" ref="N32:V32" si="4">M32</f>
        <v>#REF!</v>
      </c>
      <c r="O32" s="448" t="e">
        <f t="shared" si="4"/>
        <v>#REF!</v>
      </c>
      <c r="P32" s="448" t="e">
        <f t="shared" si="4"/>
        <v>#REF!</v>
      </c>
      <c r="Q32" s="448" t="e">
        <f t="shared" si="4"/>
        <v>#REF!</v>
      </c>
      <c r="R32" s="448" t="e">
        <f t="shared" si="4"/>
        <v>#REF!</v>
      </c>
      <c r="S32" s="448" t="e">
        <f t="shared" si="4"/>
        <v>#REF!</v>
      </c>
      <c r="T32" s="448" t="e">
        <f t="shared" si="4"/>
        <v>#REF!</v>
      </c>
      <c r="U32" s="448" t="e">
        <f t="shared" si="4"/>
        <v>#REF!</v>
      </c>
      <c r="V32" s="448" t="e">
        <f t="shared" si="4"/>
        <v>#REF!</v>
      </c>
      <c r="W32" s="682" t="e">
        <f>SUM(K32:V32)</f>
        <v>#REF!</v>
      </c>
      <c r="X32" s="445"/>
      <c r="Y32" s="445"/>
      <c r="AB32" s="1">
        <v>657178000</v>
      </c>
      <c r="AE32" s="2"/>
      <c r="AG32" s="1" t="s">
        <v>21</v>
      </c>
    </row>
    <row r="33" spans="1:31" ht="18.75" customHeight="1">
      <c r="A33" s="457">
        <v>1</v>
      </c>
      <c r="B33" s="462">
        <v>1</v>
      </c>
      <c r="C33" s="462" t="s">
        <v>597</v>
      </c>
      <c r="D33" s="457"/>
      <c r="E33" s="457"/>
      <c r="F33" s="457"/>
      <c r="G33" s="457"/>
      <c r="H33" s="456" t="s">
        <v>545</v>
      </c>
      <c r="I33" s="525" t="e">
        <f>I34</f>
        <v>#REF!</v>
      </c>
      <c r="J33" s="458"/>
      <c r="K33" s="676"/>
      <c r="L33" s="681" t="e">
        <f>M33*2</f>
        <v>#REF!</v>
      </c>
      <c r="M33" s="448" t="e">
        <f>I33/12</f>
        <v>#REF!</v>
      </c>
      <c r="N33" s="448" t="e">
        <f t="shared" ref="N33:V33" si="5">M33</f>
        <v>#REF!</v>
      </c>
      <c r="O33" s="448" t="e">
        <f t="shared" si="5"/>
        <v>#REF!</v>
      </c>
      <c r="P33" s="448" t="e">
        <f t="shared" si="5"/>
        <v>#REF!</v>
      </c>
      <c r="Q33" s="448" t="e">
        <f t="shared" si="5"/>
        <v>#REF!</v>
      </c>
      <c r="R33" s="448" t="e">
        <f t="shared" si="5"/>
        <v>#REF!</v>
      </c>
      <c r="S33" s="448" t="e">
        <f t="shared" si="5"/>
        <v>#REF!</v>
      </c>
      <c r="T33" s="448" t="e">
        <f t="shared" si="5"/>
        <v>#REF!</v>
      </c>
      <c r="U33" s="448" t="e">
        <f t="shared" si="5"/>
        <v>#REF!</v>
      </c>
      <c r="V33" s="448" t="e">
        <f t="shared" si="5"/>
        <v>#REF!</v>
      </c>
      <c r="W33" s="682" t="e">
        <f>SUM(K33:V33)</f>
        <v>#REF!</v>
      </c>
      <c r="X33" s="445"/>
      <c r="Y33" s="445"/>
      <c r="AB33" s="1">
        <v>12692000</v>
      </c>
      <c r="AC33" s="2791" t="s">
        <v>29</v>
      </c>
      <c r="AD33" s="2792"/>
      <c r="AE33" s="2793"/>
    </row>
    <row r="34" spans="1:31" ht="15.75" customHeight="1">
      <c r="A34" s="457">
        <v>1</v>
      </c>
      <c r="B34" s="462">
        <v>1</v>
      </c>
      <c r="C34" s="462" t="s">
        <v>597</v>
      </c>
      <c r="D34" s="457">
        <v>5</v>
      </c>
      <c r="E34" s="457"/>
      <c r="F34" s="457"/>
      <c r="G34" s="457">
        <v>1</v>
      </c>
      <c r="H34" s="686" t="s">
        <v>312</v>
      </c>
      <c r="I34" s="525" t="e">
        <f>#REF!</f>
        <v>#REF!</v>
      </c>
      <c r="J34" s="458"/>
      <c r="K34" s="676"/>
      <c r="L34" s="676"/>
      <c r="M34" s="445"/>
      <c r="N34" s="445"/>
      <c r="O34" s="445"/>
      <c r="P34" s="445"/>
      <c r="Q34" s="445"/>
      <c r="R34" s="445"/>
      <c r="S34" s="445"/>
      <c r="T34" s="445"/>
      <c r="U34" s="445"/>
      <c r="V34" s="445"/>
      <c r="W34" s="445"/>
      <c r="X34" s="445"/>
      <c r="Y34" s="445"/>
      <c r="AB34" s="1">
        <v>430453000</v>
      </c>
      <c r="AC34" s="168"/>
      <c r="AD34" s="168"/>
      <c r="AE34" s="168"/>
    </row>
    <row r="35" spans="1:31" ht="31.5">
      <c r="A35" s="457">
        <v>1</v>
      </c>
      <c r="B35" s="462">
        <v>1</v>
      </c>
      <c r="C35" s="462" t="s">
        <v>598</v>
      </c>
      <c r="D35" s="457"/>
      <c r="E35" s="457"/>
      <c r="F35" s="457"/>
      <c r="G35" s="457"/>
      <c r="H35" s="456" t="s">
        <v>599</v>
      </c>
      <c r="I35" s="525">
        <f>I43</f>
        <v>0</v>
      </c>
      <c r="J35" s="458"/>
      <c r="K35" s="676"/>
      <c r="L35" s="676"/>
      <c r="M35" s="445"/>
      <c r="N35" s="445"/>
      <c r="O35" s="445"/>
      <c r="P35" s="445"/>
      <c r="Q35" s="445"/>
      <c r="R35" s="445"/>
      <c r="S35" s="445"/>
      <c r="T35" s="445"/>
      <c r="U35" s="445"/>
      <c r="V35" s="445"/>
      <c r="W35" s="445"/>
      <c r="X35" s="445"/>
      <c r="Y35" s="445"/>
      <c r="AC35" s="169" t="s">
        <v>30</v>
      </c>
      <c r="AD35" s="169"/>
      <c r="AE35" s="169" t="s">
        <v>31</v>
      </c>
    </row>
    <row r="36" spans="1:31" ht="18">
      <c r="A36" s="457"/>
      <c r="B36" s="462"/>
      <c r="C36" s="462"/>
      <c r="D36" s="457"/>
      <c r="E36" s="457"/>
      <c r="F36" s="457"/>
      <c r="G36" s="457"/>
      <c r="H36" s="684" t="str">
        <f>'1.6 OP BPD'!B16</f>
        <v>Alat Tulis Kantor (ATK)</v>
      </c>
      <c r="I36" s="688">
        <f>'1.6 OP BPD'!H30</f>
        <v>809500</v>
      </c>
      <c r="J36" s="458"/>
      <c r="K36" s="676"/>
      <c r="L36" s="676"/>
      <c r="M36" s="445"/>
      <c r="N36" s="445"/>
      <c r="O36" s="445"/>
      <c r="P36" s="445"/>
      <c r="Q36" s="445"/>
      <c r="R36" s="445"/>
      <c r="S36" s="445"/>
      <c r="T36" s="445"/>
      <c r="U36" s="445"/>
      <c r="V36" s="445"/>
      <c r="W36" s="445"/>
      <c r="X36" s="445"/>
      <c r="Y36" s="445"/>
      <c r="AC36" s="169"/>
      <c r="AD36" s="169"/>
      <c r="AE36" s="169"/>
    </row>
    <row r="37" spans="1:31" ht="18">
      <c r="A37" s="457"/>
      <c r="B37" s="462"/>
      <c r="C37" s="462"/>
      <c r="D37" s="457"/>
      <c r="E37" s="457"/>
      <c r="F37" s="457"/>
      <c r="G37" s="457"/>
      <c r="H37" s="684" t="e">
        <f>'1.6 OP BPD'!#REF!</f>
        <v>#REF!</v>
      </c>
      <c r="I37" s="688" t="e">
        <f>'1.6 OP BPD'!#REF!</f>
        <v>#REF!</v>
      </c>
      <c r="J37" s="458"/>
      <c r="K37" s="676"/>
      <c r="L37" s="676"/>
      <c r="M37" s="445"/>
      <c r="N37" s="445"/>
      <c r="O37" s="445"/>
      <c r="P37" s="445"/>
      <c r="Q37" s="445"/>
      <c r="R37" s="445"/>
      <c r="S37" s="445"/>
      <c r="T37" s="445"/>
      <c r="U37" s="445"/>
      <c r="V37" s="445"/>
      <c r="W37" s="445"/>
      <c r="X37" s="445"/>
      <c r="Y37" s="445"/>
      <c r="AC37" s="169"/>
      <c r="AD37" s="169"/>
      <c r="AE37" s="169"/>
    </row>
    <row r="38" spans="1:31" ht="18">
      <c r="A38" s="457"/>
      <c r="B38" s="462"/>
      <c r="C38" s="462"/>
      <c r="D38" s="457"/>
      <c r="E38" s="457"/>
      <c r="F38" s="457"/>
      <c r="G38" s="457"/>
      <c r="H38" s="684" t="str">
        <f>'1.6 OP BPD'!B31</f>
        <v>Makan Minum Rapat BPD</v>
      </c>
      <c r="I38" s="688">
        <f>'1.6 OP BPD'!H35</f>
        <v>870000</v>
      </c>
      <c r="J38" s="458"/>
      <c r="K38" s="676"/>
      <c r="L38" s="676"/>
      <c r="M38" s="445"/>
      <c r="N38" s="445"/>
      <c r="O38" s="445"/>
      <c r="P38" s="445"/>
      <c r="Q38" s="445"/>
      <c r="R38" s="445"/>
      <c r="S38" s="445"/>
      <c r="T38" s="445"/>
      <c r="U38" s="445"/>
      <c r="V38" s="445"/>
      <c r="W38" s="445"/>
      <c r="X38" s="445"/>
      <c r="Y38" s="445"/>
      <c r="AC38" s="169"/>
      <c r="AD38" s="169"/>
      <c r="AE38" s="169"/>
    </row>
    <row r="39" spans="1:31" ht="18">
      <c r="A39" s="457"/>
      <c r="B39" s="462"/>
      <c r="C39" s="462"/>
      <c r="D39" s="457"/>
      <c r="E39" s="457"/>
      <c r="F39" s="457"/>
      <c r="G39" s="457"/>
      <c r="H39" s="684" t="str">
        <f>'1.6 OP BPD'!B36</f>
        <v>Perjalanan Dinas BPD</v>
      </c>
      <c r="I39" s="688">
        <f>'1.6 OP BPD'!H39</f>
        <v>1760000</v>
      </c>
      <c r="J39" s="458"/>
      <c r="K39" s="676"/>
      <c r="L39" s="676"/>
      <c r="M39" s="445"/>
      <c r="N39" s="445"/>
      <c r="O39" s="445"/>
      <c r="P39" s="445"/>
      <c r="Q39" s="445"/>
      <c r="R39" s="445"/>
      <c r="S39" s="445"/>
      <c r="T39" s="445"/>
      <c r="U39" s="445"/>
      <c r="V39" s="445"/>
      <c r="W39" s="445"/>
      <c r="X39" s="445"/>
      <c r="Y39" s="445"/>
      <c r="AC39" s="169"/>
      <c r="AD39" s="169"/>
      <c r="AE39" s="169"/>
    </row>
    <row r="40" spans="1:31" ht="18">
      <c r="A40" s="457"/>
      <c r="B40" s="462"/>
      <c r="C40" s="462"/>
      <c r="D40" s="457"/>
      <c r="E40" s="457"/>
      <c r="F40" s="457"/>
      <c r="G40" s="457"/>
      <c r="H40" s="456"/>
      <c r="I40" s="525"/>
      <c r="J40" s="458"/>
      <c r="K40" s="676"/>
      <c r="L40" s="676"/>
      <c r="M40" s="445"/>
      <c r="N40" s="445"/>
      <c r="O40" s="445"/>
      <c r="P40" s="445"/>
      <c r="Q40" s="445"/>
      <c r="R40" s="445"/>
      <c r="S40" s="445"/>
      <c r="T40" s="445"/>
      <c r="U40" s="445"/>
      <c r="V40" s="445"/>
      <c r="W40" s="445"/>
      <c r="X40" s="445"/>
      <c r="Y40" s="445"/>
      <c r="AC40" s="169"/>
      <c r="AD40" s="169"/>
      <c r="AE40" s="169"/>
    </row>
    <row r="41" spans="1:31" ht="18">
      <c r="A41" s="457"/>
      <c r="B41" s="462"/>
      <c r="C41" s="462"/>
      <c r="D41" s="457"/>
      <c r="E41" s="457"/>
      <c r="F41" s="457"/>
      <c r="G41" s="457"/>
      <c r="H41" s="456"/>
      <c r="I41" s="525"/>
      <c r="J41" s="458"/>
      <c r="K41" s="676"/>
      <c r="L41" s="676"/>
      <c r="M41" s="445"/>
      <c r="N41" s="445"/>
      <c r="O41" s="445"/>
      <c r="P41" s="445"/>
      <c r="Q41" s="445"/>
      <c r="R41" s="445"/>
      <c r="S41" s="445"/>
      <c r="T41" s="445"/>
      <c r="U41" s="445"/>
      <c r="V41" s="445"/>
      <c r="W41" s="445"/>
      <c r="X41" s="445"/>
      <c r="Y41" s="445"/>
      <c r="AC41" s="169"/>
      <c r="AD41" s="169"/>
      <c r="AE41" s="169"/>
    </row>
    <row r="42" spans="1:31" ht="18">
      <c r="A42" s="457"/>
      <c r="B42" s="462"/>
      <c r="C42" s="462"/>
      <c r="D42" s="457"/>
      <c r="E42" s="457"/>
      <c r="F42" s="457"/>
      <c r="G42" s="457"/>
      <c r="H42" s="456"/>
      <c r="I42" s="525"/>
      <c r="J42" s="458"/>
      <c r="K42" s="676"/>
      <c r="L42" s="676"/>
      <c r="M42" s="445"/>
      <c r="N42" s="445"/>
      <c r="O42" s="445"/>
      <c r="P42" s="445"/>
      <c r="Q42" s="445"/>
      <c r="R42" s="445"/>
      <c r="S42" s="445"/>
      <c r="T42" s="445"/>
      <c r="U42" s="445"/>
      <c r="V42" s="445"/>
      <c r="W42" s="445"/>
      <c r="X42" s="445"/>
      <c r="Y42" s="445"/>
      <c r="AC42" s="169"/>
      <c r="AD42" s="169"/>
      <c r="AE42" s="169"/>
    </row>
    <row r="43" spans="1:31" ht="15.75" customHeight="1">
      <c r="A43" s="457">
        <v>1</v>
      </c>
      <c r="B43" s="462">
        <v>1</v>
      </c>
      <c r="C43" s="462" t="s">
        <v>598</v>
      </c>
      <c r="D43" s="457">
        <v>5</v>
      </c>
      <c r="E43" s="457"/>
      <c r="F43" s="457"/>
      <c r="G43" s="457">
        <v>2</v>
      </c>
      <c r="H43" s="456" t="s">
        <v>8</v>
      </c>
      <c r="I43" s="525"/>
      <c r="J43" s="458"/>
      <c r="K43" s="676"/>
      <c r="L43" s="676"/>
      <c r="M43" s="445"/>
      <c r="N43" s="445"/>
      <c r="O43" s="445"/>
      <c r="P43" s="445"/>
      <c r="Q43" s="445"/>
      <c r="R43" s="445"/>
      <c r="S43" s="445"/>
      <c r="T43" s="445"/>
      <c r="U43" s="445"/>
      <c r="V43" s="445"/>
      <c r="W43" s="445"/>
      <c r="X43" s="445"/>
      <c r="Y43" s="445"/>
      <c r="AB43" s="1">
        <v>60000000</v>
      </c>
      <c r="AC43" s="170">
        <v>0.6</v>
      </c>
      <c r="AD43" s="170"/>
      <c r="AE43" s="171">
        <f>AC43*J28</f>
        <v>0</v>
      </c>
    </row>
    <row r="44" spans="1:31" ht="18">
      <c r="A44" s="457"/>
      <c r="B44" s="462"/>
      <c r="C44" s="462"/>
      <c r="D44" s="457"/>
      <c r="E44" s="457"/>
      <c r="F44" s="457"/>
      <c r="G44" s="685">
        <v>1</v>
      </c>
      <c r="H44" s="684" t="s">
        <v>215</v>
      </c>
      <c r="I44" s="688" t="e">
        <f>#REF!</f>
        <v>#REF!</v>
      </c>
      <c r="J44" s="458"/>
      <c r="K44" s="676"/>
      <c r="L44" s="676"/>
      <c r="M44" s="445"/>
      <c r="N44" s="445"/>
      <c r="O44" s="445"/>
      <c r="P44" s="445"/>
      <c r="Q44" s="445"/>
      <c r="R44" s="445"/>
      <c r="S44" s="445"/>
      <c r="T44" s="445"/>
      <c r="U44" s="445"/>
      <c r="V44" s="445"/>
      <c r="W44" s="445"/>
      <c r="X44" s="445"/>
      <c r="Y44" s="445"/>
      <c r="AC44" s="169"/>
      <c r="AD44" s="169"/>
      <c r="AE44" s="169"/>
    </row>
    <row r="45" spans="1:31" ht="18">
      <c r="A45" s="457"/>
      <c r="B45" s="462"/>
      <c r="C45" s="462"/>
      <c r="D45" s="457"/>
      <c r="E45" s="457"/>
      <c r="F45" s="457"/>
      <c r="G45" s="685">
        <v>2</v>
      </c>
      <c r="H45" s="684" t="s">
        <v>310</v>
      </c>
      <c r="I45" s="688" t="e">
        <f>#REF!</f>
        <v>#REF!</v>
      </c>
      <c r="J45" s="458"/>
      <c r="K45" s="676"/>
      <c r="L45" s="676"/>
      <c r="M45" s="445"/>
      <c r="N45" s="445"/>
      <c r="O45" s="445"/>
      <c r="P45" s="445"/>
      <c r="Q45" s="445"/>
      <c r="R45" s="445"/>
      <c r="S45" s="445"/>
      <c r="T45" s="445"/>
      <c r="U45" s="445"/>
      <c r="V45" s="445"/>
      <c r="W45" s="445"/>
      <c r="X45" s="445"/>
      <c r="Y45" s="445"/>
      <c r="AC45" s="169"/>
      <c r="AD45" s="169"/>
      <c r="AE45" s="169"/>
    </row>
    <row r="46" spans="1:31" ht="18">
      <c r="A46" s="457"/>
      <c r="B46" s="462"/>
      <c r="C46" s="462"/>
      <c r="D46" s="457"/>
      <c r="E46" s="457"/>
      <c r="F46" s="457"/>
      <c r="G46" s="685">
        <v>3</v>
      </c>
      <c r="H46" s="684" t="s">
        <v>306</v>
      </c>
      <c r="I46" s="688" t="e">
        <f>#REF!</f>
        <v>#REF!</v>
      </c>
      <c r="J46" s="458"/>
      <c r="K46" s="676"/>
      <c r="L46" s="676"/>
      <c r="M46" s="445"/>
      <c r="N46" s="445"/>
      <c r="O46" s="445"/>
      <c r="P46" s="445"/>
      <c r="Q46" s="445"/>
      <c r="R46" s="445"/>
      <c r="S46" s="445"/>
      <c r="T46" s="445"/>
      <c r="U46" s="445"/>
      <c r="V46" s="445"/>
      <c r="W46" s="445"/>
      <c r="X46" s="445"/>
      <c r="Y46" s="445"/>
      <c r="AC46" s="169"/>
      <c r="AD46" s="169"/>
      <c r="AE46" s="169"/>
    </row>
    <row r="47" spans="1:31" ht="18">
      <c r="A47" s="457"/>
      <c r="B47" s="462"/>
      <c r="C47" s="462"/>
      <c r="D47" s="457"/>
      <c r="E47" s="457"/>
      <c r="F47" s="457"/>
      <c r="G47" s="685">
        <v>4</v>
      </c>
      <c r="H47" s="684" t="s">
        <v>308</v>
      </c>
      <c r="I47" s="688" t="e">
        <f>#REF!</f>
        <v>#REF!</v>
      </c>
      <c r="J47" s="458"/>
      <c r="K47" s="676"/>
      <c r="L47" s="676"/>
      <c r="M47" s="445"/>
      <c r="N47" s="445"/>
      <c r="O47" s="445"/>
      <c r="P47" s="445"/>
      <c r="Q47" s="445"/>
      <c r="R47" s="445"/>
      <c r="S47" s="445"/>
      <c r="T47" s="445"/>
      <c r="U47" s="445"/>
      <c r="V47" s="445"/>
      <c r="W47" s="445"/>
      <c r="X47" s="445"/>
      <c r="Y47" s="445"/>
      <c r="AC47" s="169"/>
      <c r="AD47" s="169"/>
      <c r="AE47" s="169"/>
    </row>
    <row r="48" spans="1:31" ht="18">
      <c r="A48" s="457"/>
      <c r="B48" s="462"/>
      <c r="C48" s="462"/>
      <c r="D48" s="457"/>
      <c r="E48" s="457"/>
      <c r="F48" s="457"/>
      <c r="G48" s="685">
        <v>5</v>
      </c>
      <c r="H48" s="684" t="s">
        <v>195</v>
      </c>
      <c r="I48" s="688" t="e">
        <f>#REF!</f>
        <v>#REF!</v>
      </c>
      <c r="J48" s="458"/>
      <c r="K48" s="676"/>
      <c r="L48" s="676"/>
      <c r="M48" s="445"/>
      <c r="N48" s="445"/>
      <c r="O48" s="445"/>
      <c r="P48" s="445"/>
      <c r="Q48" s="445"/>
      <c r="R48" s="445"/>
      <c r="S48" s="445"/>
      <c r="T48" s="445"/>
      <c r="U48" s="445"/>
      <c r="V48" s="445"/>
      <c r="W48" s="445"/>
      <c r="X48" s="445"/>
      <c r="Y48" s="445"/>
      <c r="AC48" s="169"/>
      <c r="AD48" s="169"/>
      <c r="AE48" s="169"/>
    </row>
    <row r="49" spans="1:37" ht="18">
      <c r="A49" s="457"/>
      <c r="B49" s="462"/>
      <c r="C49" s="462"/>
      <c r="D49" s="457"/>
      <c r="E49" s="457"/>
      <c r="F49" s="457"/>
      <c r="G49" s="685">
        <v>6</v>
      </c>
      <c r="H49" s="684" t="s">
        <v>309</v>
      </c>
      <c r="I49" s="688" t="e">
        <f>#REF!</f>
        <v>#REF!</v>
      </c>
      <c r="J49" s="458"/>
      <c r="K49" s="676"/>
      <c r="L49" s="676"/>
      <c r="M49" s="445"/>
      <c r="N49" s="445"/>
      <c r="O49" s="445"/>
      <c r="P49" s="445"/>
      <c r="Q49" s="445"/>
      <c r="R49" s="445"/>
      <c r="S49" s="445"/>
      <c r="T49" s="445"/>
      <c r="U49" s="445"/>
      <c r="V49" s="445"/>
      <c r="W49" s="445"/>
      <c r="X49" s="445"/>
      <c r="Y49" s="445"/>
      <c r="AC49" s="169"/>
      <c r="AD49" s="169"/>
      <c r="AE49" s="169"/>
    </row>
    <row r="50" spans="1:37" ht="18">
      <c r="A50" s="457"/>
      <c r="B50" s="462"/>
      <c r="C50" s="462"/>
      <c r="D50" s="457"/>
      <c r="E50" s="457"/>
      <c r="F50" s="457"/>
      <c r="G50" s="685">
        <v>7</v>
      </c>
      <c r="H50" s="684" t="s">
        <v>305</v>
      </c>
      <c r="I50" s="688" t="e">
        <f>#REF!</f>
        <v>#REF!</v>
      </c>
      <c r="J50" s="458"/>
      <c r="K50" s="676"/>
      <c r="L50" s="681">
        <v>250000</v>
      </c>
      <c r="M50" s="448">
        <v>125000</v>
      </c>
      <c r="N50" s="448">
        <v>125000</v>
      </c>
      <c r="O50" s="448">
        <v>125000</v>
      </c>
      <c r="P50" s="448">
        <v>125000</v>
      </c>
      <c r="Q50" s="448">
        <v>125000</v>
      </c>
      <c r="R50" s="448">
        <v>125000</v>
      </c>
      <c r="S50" s="448">
        <v>125000</v>
      </c>
      <c r="T50" s="448">
        <v>125000</v>
      </c>
      <c r="U50" s="448">
        <v>125000</v>
      </c>
      <c r="V50" s="448">
        <v>125000</v>
      </c>
      <c r="W50" s="682">
        <v>1500000</v>
      </c>
      <c r="X50" s="445"/>
      <c r="Y50" s="445"/>
      <c r="AC50" s="169"/>
      <c r="AD50" s="169"/>
      <c r="AE50" s="169"/>
    </row>
    <row r="51" spans="1:37" ht="18">
      <c r="A51" s="457"/>
      <c r="B51" s="462"/>
      <c r="C51" s="462"/>
      <c r="D51" s="457"/>
      <c r="E51" s="457"/>
      <c r="F51" s="457"/>
      <c r="G51" s="685">
        <v>8</v>
      </c>
      <c r="H51" s="684" t="s">
        <v>258</v>
      </c>
      <c r="I51" s="688" t="e">
        <f>#REF!</f>
        <v>#REF!</v>
      </c>
      <c r="J51" s="458"/>
      <c r="K51" s="676"/>
      <c r="L51" s="676"/>
      <c r="M51" s="445"/>
      <c r="N51" s="445"/>
      <c r="O51" s="445"/>
      <c r="P51" s="445"/>
      <c r="Q51" s="445"/>
      <c r="R51" s="445"/>
      <c r="S51" s="445"/>
      <c r="T51" s="445"/>
      <c r="U51" s="445"/>
      <c r="V51" s="445"/>
      <c r="W51" s="445"/>
      <c r="X51" s="445"/>
      <c r="Y51" s="445"/>
      <c r="AC51" s="169"/>
      <c r="AD51" s="169"/>
      <c r="AE51" s="169"/>
    </row>
    <row r="52" spans="1:37" ht="15.75" customHeight="1">
      <c r="A52" s="457"/>
      <c r="B52" s="462"/>
      <c r="C52" s="462"/>
      <c r="D52" s="457"/>
      <c r="E52" s="457"/>
      <c r="F52" s="457"/>
      <c r="G52" s="457"/>
      <c r="H52" s="456"/>
      <c r="I52" s="525"/>
      <c r="J52" s="458"/>
      <c r="K52" s="676"/>
      <c r="L52" s="676"/>
      <c r="M52" s="445"/>
      <c r="N52" s="445"/>
      <c r="O52" s="445"/>
      <c r="P52" s="445"/>
      <c r="Q52" s="445"/>
      <c r="R52" s="445"/>
      <c r="S52" s="445"/>
      <c r="T52" s="445"/>
      <c r="U52" s="445"/>
      <c r="V52" s="445"/>
      <c r="W52" s="445"/>
      <c r="X52" s="445"/>
      <c r="Y52" s="445"/>
      <c r="AC52" s="170"/>
      <c r="AD52" s="170"/>
      <c r="AE52" s="171"/>
    </row>
    <row r="53" spans="1:37" ht="18">
      <c r="A53" s="457">
        <v>1</v>
      </c>
      <c r="B53" s="462">
        <v>1</v>
      </c>
      <c r="C53" s="462" t="s">
        <v>600</v>
      </c>
      <c r="D53" s="457"/>
      <c r="E53" s="457"/>
      <c r="F53" s="457"/>
      <c r="G53" s="457"/>
      <c r="H53" s="456" t="s">
        <v>601</v>
      </c>
      <c r="I53" s="525" t="e">
        <f>I54</f>
        <v>#REF!</v>
      </c>
      <c r="J53" s="458"/>
      <c r="K53" s="676"/>
      <c r="L53" s="681" t="e">
        <f>M53*2</f>
        <v>#REF!</v>
      </c>
      <c r="M53" s="448" t="e">
        <f>I53/12</f>
        <v>#REF!</v>
      </c>
      <c r="N53" s="448" t="e">
        <f t="shared" ref="N53:V53" si="6">M53</f>
        <v>#REF!</v>
      </c>
      <c r="O53" s="448" t="e">
        <f t="shared" si="6"/>
        <v>#REF!</v>
      </c>
      <c r="P53" s="448" t="e">
        <f t="shared" si="6"/>
        <v>#REF!</v>
      </c>
      <c r="Q53" s="448" t="e">
        <f t="shared" si="6"/>
        <v>#REF!</v>
      </c>
      <c r="R53" s="448" t="e">
        <f t="shared" si="6"/>
        <v>#REF!</v>
      </c>
      <c r="S53" s="448" t="e">
        <f t="shared" si="6"/>
        <v>#REF!</v>
      </c>
      <c r="T53" s="448" t="e">
        <f t="shared" si="6"/>
        <v>#REF!</v>
      </c>
      <c r="U53" s="448" t="e">
        <f t="shared" si="6"/>
        <v>#REF!</v>
      </c>
      <c r="V53" s="448" t="e">
        <f t="shared" si="6"/>
        <v>#REF!</v>
      </c>
      <c r="W53" s="682" t="e">
        <f>SUM(K53:V53)</f>
        <v>#REF!</v>
      </c>
      <c r="X53" s="445"/>
      <c r="Y53" s="445"/>
      <c r="AC53" s="170">
        <v>0.4</v>
      </c>
      <c r="AD53" s="170"/>
      <c r="AE53" s="171">
        <f>AC53*J28</f>
        <v>0</v>
      </c>
    </row>
    <row r="54" spans="1:37" ht="18">
      <c r="A54" s="457">
        <v>1</v>
      </c>
      <c r="B54" s="462">
        <v>1</v>
      </c>
      <c r="C54" s="462" t="s">
        <v>600</v>
      </c>
      <c r="D54" s="457">
        <v>5</v>
      </c>
      <c r="E54" s="457"/>
      <c r="F54" s="457"/>
      <c r="G54" s="457">
        <v>2</v>
      </c>
      <c r="H54" s="456" t="s">
        <v>8</v>
      </c>
      <c r="I54" s="525" t="e">
        <f>#REF!</f>
        <v>#REF!</v>
      </c>
      <c r="J54" s="458"/>
      <c r="K54" s="676"/>
      <c r="L54" s="676"/>
      <c r="M54" s="445"/>
      <c r="N54" s="445"/>
      <c r="O54" s="445"/>
      <c r="P54" s="445"/>
      <c r="Q54" s="445"/>
      <c r="R54" s="445"/>
      <c r="S54" s="445"/>
      <c r="T54" s="445"/>
      <c r="U54" s="445"/>
      <c r="V54" s="445"/>
      <c r="W54" s="445"/>
      <c r="X54" s="445"/>
      <c r="Y54" s="445"/>
      <c r="AC54" s="168" t="s">
        <v>32</v>
      </c>
      <c r="AD54" s="168"/>
      <c r="AE54" s="172">
        <f>SUM(AE43:AE53)</f>
        <v>0</v>
      </c>
      <c r="AG54" s="2">
        <f>AG60-AE54</f>
        <v>0</v>
      </c>
    </row>
    <row r="55" spans="1:37" ht="15.75" customHeight="1">
      <c r="A55" s="452">
        <v>1</v>
      </c>
      <c r="B55" s="459">
        <v>2</v>
      </c>
      <c r="C55" s="459"/>
      <c r="D55" s="452"/>
      <c r="E55" s="452"/>
      <c r="F55" s="452"/>
      <c r="G55" s="452"/>
      <c r="H55" s="453" t="s">
        <v>602</v>
      </c>
      <c r="I55" s="524" t="e">
        <f>I56+I58+I60+I62</f>
        <v>#REF!</v>
      </c>
      <c r="J55" s="454"/>
      <c r="K55" s="675"/>
      <c r="L55" s="675"/>
      <c r="M55" s="455"/>
      <c r="N55" s="455"/>
      <c r="O55" s="455"/>
      <c r="P55" s="455"/>
      <c r="Q55" s="455"/>
      <c r="R55" s="455"/>
      <c r="S55" s="455"/>
      <c r="T55" s="455"/>
      <c r="U55" s="455"/>
      <c r="V55" s="455"/>
      <c r="W55" s="455"/>
      <c r="X55" s="455"/>
      <c r="Y55" s="455"/>
      <c r="AB55" s="1">
        <v>5000000</v>
      </c>
    </row>
    <row r="56" spans="1:37" ht="15.75" customHeight="1">
      <c r="A56" s="457">
        <v>1</v>
      </c>
      <c r="B56" s="462">
        <v>2</v>
      </c>
      <c r="C56" s="462" t="s">
        <v>593</v>
      </c>
      <c r="D56" s="457"/>
      <c r="E56" s="457"/>
      <c r="F56" s="457"/>
      <c r="G56" s="457"/>
      <c r="H56" s="456" t="s">
        <v>544</v>
      </c>
      <c r="I56" s="525" t="e">
        <f>I57</f>
        <v>#REF!</v>
      </c>
      <c r="J56" s="458"/>
      <c r="K56" s="676"/>
      <c r="L56" s="676"/>
      <c r="M56" s="445"/>
      <c r="N56" s="445"/>
      <c r="O56" s="445"/>
      <c r="P56" s="445"/>
      <c r="Q56" s="445"/>
      <c r="R56" s="445"/>
      <c r="S56" s="445"/>
      <c r="T56" s="445"/>
      <c r="U56" s="445"/>
      <c r="V56" s="445"/>
      <c r="W56" s="445"/>
      <c r="X56" s="445"/>
      <c r="Y56" s="445"/>
      <c r="AB56" s="1">
        <v>5000000</v>
      </c>
    </row>
    <row r="57" spans="1:37" ht="18">
      <c r="A57" s="457">
        <v>1</v>
      </c>
      <c r="B57" s="462">
        <v>2</v>
      </c>
      <c r="C57" s="462" t="s">
        <v>593</v>
      </c>
      <c r="D57" s="457">
        <v>5</v>
      </c>
      <c r="E57" s="457"/>
      <c r="F57" s="457"/>
      <c r="G57" s="457">
        <v>3</v>
      </c>
      <c r="H57" s="456" t="s">
        <v>9</v>
      </c>
      <c r="I57" s="525" t="e">
        <f>#REF!</f>
        <v>#REF!</v>
      </c>
      <c r="J57" s="458"/>
      <c r="K57" s="676"/>
      <c r="L57" s="676"/>
      <c r="M57" s="445"/>
      <c r="N57" s="445"/>
      <c r="O57" s="445"/>
      <c r="P57" s="445"/>
      <c r="Q57" s="445"/>
      <c r="R57" s="445"/>
      <c r="S57" s="445"/>
      <c r="T57" s="445"/>
      <c r="U57" s="445"/>
      <c r="V57" s="445"/>
      <c r="W57" s="445"/>
      <c r="X57" s="445"/>
      <c r="Y57" s="445"/>
      <c r="AE57" s="158">
        <f>AE17-J57</f>
        <v>0</v>
      </c>
      <c r="AF57" s="586" t="s">
        <v>43</v>
      </c>
      <c r="AG57" s="586" t="s">
        <v>44</v>
      </c>
    </row>
    <row r="58" spans="1:37" ht="18.75" customHeight="1">
      <c r="A58" s="457">
        <v>1</v>
      </c>
      <c r="B58" s="462">
        <v>2</v>
      </c>
      <c r="C58" s="462" t="s">
        <v>594</v>
      </c>
      <c r="D58" s="457"/>
      <c r="E58" s="457"/>
      <c r="F58" s="457"/>
      <c r="G58" s="457"/>
      <c r="H58" s="456" t="s">
        <v>543</v>
      </c>
      <c r="I58" s="525">
        <f>I59</f>
        <v>0</v>
      </c>
      <c r="J58" s="458"/>
      <c r="K58" s="676"/>
      <c r="L58" s="676"/>
      <c r="M58" s="445"/>
      <c r="N58" s="445"/>
      <c r="O58" s="445"/>
      <c r="P58" s="445"/>
      <c r="Q58" s="445"/>
      <c r="R58" s="445"/>
      <c r="S58" s="445"/>
      <c r="T58" s="445"/>
      <c r="U58" s="445"/>
      <c r="V58" s="445"/>
      <c r="W58" s="445"/>
      <c r="X58" s="445"/>
      <c r="Y58" s="445"/>
      <c r="AC58" s="2794" t="s">
        <v>33</v>
      </c>
      <c r="AD58" s="2795"/>
      <c r="AE58" s="2796"/>
      <c r="AF58" s="173" t="s">
        <v>23</v>
      </c>
      <c r="AG58" s="173" t="s">
        <v>22</v>
      </c>
      <c r="AH58" s="173" t="s">
        <v>415</v>
      </c>
      <c r="AI58" s="173" t="s">
        <v>330</v>
      </c>
      <c r="AJ58" s="173" t="s">
        <v>429</v>
      </c>
      <c r="AK58" s="586" t="s">
        <v>42</v>
      </c>
    </row>
    <row r="59" spans="1:37" ht="18.75">
      <c r="A59" s="457">
        <v>1</v>
      </c>
      <c r="B59" s="462">
        <v>2</v>
      </c>
      <c r="C59" s="462" t="s">
        <v>594</v>
      </c>
      <c r="D59" s="457">
        <v>5</v>
      </c>
      <c r="E59" s="457"/>
      <c r="F59" s="457"/>
      <c r="G59" s="457">
        <v>2</v>
      </c>
      <c r="H59" s="456" t="s">
        <v>8</v>
      </c>
      <c r="I59" s="525">
        <v>0</v>
      </c>
      <c r="J59" s="458"/>
      <c r="K59" s="676"/>
      <c r="L59" s="676"/>
      <c r="M59" s="445"/>
      <c r="N59" s="445"/>
      <c r="O59" s="445"/>
      <c r="P59" s="445"/>
      <c r="Q59" s="445"/>
      <c r="R59" s="445"/>
      <c r="S59" s="445"/>
      <c r="T59" s="445"/>
      <c r="U59" s="445"/>
      <c r="V59" s="445"/>
      <c r="W59" s="445"/>
      <c r="X59" s="445"/>
      <c r="Y59" s="445"/>
      <c r="AA59" s="261" t="s">
        <v>430</v>
      </c>
      <c r="AB59" s="2">
        <f>J58+J66+J80+J87</f>
        <v>0</v>
      </c>
      <c r="AC59" s="196" t="s">
        <v>25</v>
      </c>
      <c r="AD59" s="196"/>
      <c r="AE59" s="174">
        <f>AF59+AG59+AH59+AI59</f>
        <v>0</v>
      </c>
      <c r="AF59" s="174">
        <f>SUMIFS(J58:J110,M58:M110,"ADD")</f>
        <v>0</v>
      </c>
      <c r="AG59" s="174">
        <f>SUMIFS(J59:J110,M59:M110,"DD")</f>
        <v>0</v>
      </c>
      <c r="AH59" s="174">
        <f>SUMIFS(J59:J110,M59:M110,"PAD")</f>
        <v>0</v>
      </c>
      <c r="AI59" s="174">
        <f>SUMIFS(J59:J110,M59:M110,"PBH")</f>
        <v>0</v>
      </c>
      <c r="AJ59" s="174">
        <f>SUMIFS(J59:J110,M59:M110,"PBP")</f>
        <v>0</v>
      </c>
      <c r="AK59" s="175">
        <f>AE26*30%</f>
        <v>23307600</v>
      </c>
    </row>
    <row r="60" spans="1:37" ht="18.75" customHeight="1">
      <c r="A60" s="457">
        <v>1</v>
      </c>
      <c r="B60" s="462">
        <v>2</v>
      </c>
      <c r="C60" s="462" t="s">
        <v>595</v>
      </c>
      <c r="D60" s="457"/>
      <c r="E60" s="457"/>
      <c r="F60" s="457"/>
      <c r="G60" s="457"/>
      <c r="H60" s="456" t="s">
        <v>603</v>
      </c>
      <c r="I60" s="525">
        <f>I61</f>
        <v>0</v>
      </c>
      <c r="J60" s="458"/>
      <c r="K60" s="676"/>
      <c r="L60" s="676"/>
      <c r="M60" s="445"/>
      <c r="N60" s="445"/>
      <c r="O60" s="445"/>
      <c r="P60" s="445"/>
      <c r="Q60" s="445"/>
      <c r="R60" s="445"/>
      <c r="S60" s="445"/>
      <c r="T60" s="445"/>
      <c r="U60" s="445"/>
      <c r="V60" s="445"/>
      <c r="W60" s="445"/>
      <c r="X60" s="445"/>
      <c r="Y60" s="445"/>
      <c r="Z60" s="2797" t="s">
        <v>431</v>
      </c>
      <c r="AA60" s="2797"/>
      <c r="AB60" s="2">
        <f>J55-40000000</f>
        <v>-40000000</v>
      </c>
      <c r="AC60" s="196" t="s">
        <v>26</v>
      </c>
      <c r="AD60" s="196"/>
      <c r="AE60" s="174">
        <f>AF60+AG60+AH60+AI60</f>
        <v>0</v>
      </c>
      <c r="AF60" s="174">
        <f>SUMIFS(J111:J162,M111:M162,"ADD")</f>
        <v>0</v>
      </c>
      <c r="AG60" s="174">
        <f>SUMIFS(J111:J162,M111:M162,"DD")</f>
        <v>0</v>
      </c>
      <c r="AH60" s="174">
        <f>SUMIFS(J111:J162,M111:M162,"PAD")</f>
        <v>0</v>
      </c>
      <c r="AI60" s="174">
        <f>SUMIFS(J112:J162,M112:M162,"PBH")</f>
        <v>0</v>
      </c>
      <c r="AJ60" s="174">
        <f>SUMIFS(J112:J162,M112:M162,"PBP")</f>
        <v>0</v>
      </c>
      <c r="AK60" s="175">
        <f>AE26*40%</f>
        <v>31076800</v>
      </c>
    </row>
    <row r="61" spans="1:37" ht="18.75">
      <c r="A61" s="457">
        <v>1</v>
      </c>
      <c r="B61" s="462">
        <v>2</v>
      </c>
      <c r="C61" s="462" t="s">
        <v>595</v>
      </c>
      <c r="D61" s="457">
        <v>5</v>
      </c>
      <c r="E61" s="457"/>
      <c r="F61" s="457"/>
      <c r="G61" s="457">
        <v>3</v>
      </c>
      <c r="H61" s="456" t="s">
        <v>9</v>
      </c>
      <c r="I61" s="525">
        <v>0</v>
      </c>
      <c r="J61" s="458"/>
      <c r="K61" s="676"/>
      <c r="L61" s="676"/>
      <c r="M61" s="445"/>
      <c r="N61" s="445"/>
      <c r="O61" s="445"/>
      <c r="P61" s="445"/>
      <c r="Q61" s="445"/>
      <c r="R61" s="445"/>
      <c r="S61" s="445"/>
      <c r="T61" s="445"/>
      <c r="U61" s="445"/>
      <c r="V61" s="445"/>
      <c r="W61" s="445"/>
      <c r="X61" s="445"/>
      <c r="Y61" s="445"/>
      <c r="AB61" s="2">
        <f>AB60*30%</f>
        <v>-12000000</v>
      </c>
      <c r="AC61" s="196" t="s">
        <v>34</v>
      </c>
      <c r="AD61" s="196"/>
      <c r="AE61" s="174">
        <f>AF61+AG61+AH61+AI61</f>
        <v>0</v>
      </c>
      <c r="AF61" s="174">
        <f>SUMIFS(J164:J217,M164:M217,"ADD")</f>
        <v>0</v>
      </c>
      <c r="AG61" s="174">
        <f>SUMIFS(J164:J217,M164:M217,"DD")</f>
        <v>0</v>
      </c>
      <c r="AH61" s="174">
        <f>SUMIFS(J164:J217,M164:M217,"DLL")</f>
        <v>0</v>
      </c>
      <c r="AI61" s="174">
        <f>SUMIFS(J165:J217,M165:M217,"PBH")</f>
        <v>0</v>
      </c>
      <c r="AJ61" s="174">
        <f>SUMIFS(J165:J217,M165:M217,"PBP")</f>
        <v>0</v>
      </c>
      <c r="AK61" s="175">
        <f>AE26*20%</f>
        <v>15538400</v>
      </c>
    </row>
    <row r="62" spans="1:37" ht="15.75" customHeight="1">
      <c r="A62" s="457">
        <v>1</v>
      </c>
      <c r="B62" s="462">
        <v>2</v>
      </c>
      <c r="C62" s="462" t="s">
        <v>437</v>
      </c>
      <c r="D62" s="457"/>
      <c r="E62" s="457"/>
      <c r="F62" s="457"/>
      <c r="G62" s="457"/>
      <c r="H62" s="456" t="s">
        <v>604</v>
      </c>
      <c r="I62" s="525">
        <f>I63</f>
        <v>0</v>
      </c>
      <c r="J62" s="458"/>
      <c r="K62" s="676"/>
      <c r="L62" s="676"/>
      <c r="M62" s="445"/>
      <c r="N62" s="445"/>
      <c r="O62" s="445"/>
      <c r="P62" s="445"/>
      <c r="Q62" s="445"/>
      <c r="R62" s="445"/>
      <c r="S62" s="445"/>
      <c r="T62" s="445"/>
      <c r="U62" s="445"/>
      <c r="V62" s="445"/>
      <c r="W62" s="445"/>
      <c r="X62" s="445"/>
      <c r="Y62" s="445"/>
      <c r="AA62" s="262">
        <f>AB59/AB60</f>
        <v>0</v>
      </c>
      <c r="AC62" s="196" t="s">
        <v>35</v>
      </c>
      <c r="AD62" s="196"/>
      <c r="AE62" s="174" t="e">
        <f>AF62+AG62+AH62+AI62+AJ62</f>
        <v>#REF!</v>
      </c>
      <c r="AF62" s="174">
        <f>SUMIFS(J218:J250,M218:M250,"ADD")</f>
        <v>0</v>
      </c>
      <c r="AG62" s="174">
        <f>SUMIFS(J218:J250,M218:M250,"DD")</f>
        <v>0</v>
      </c>
      <c r="AH62" s="174">
        <f>SUMIFS(J218:J250,M218:M250,"DLL")</f>
        <v>0</v>
      </c>
      <c r="AI62" s="174" t="e">
        <f>SUMIFS(M218:M250,#REF!,"PBH")</f>
        <v>#REF!</v>
      </c>
      <c r="AJ62" s="174">
        <f>SUMIFS(J219:J249,M219:M249,"PBP")</f>
        <v>0</v>
      </c>
      <c r="AK62" s="175">
        <f>AE26*10%</f>
        <v>7769200</v>
      </c>
    </row>
    <row r="63" spans="1:37" ht="19.5" customHeight="1">
      <c r="A63" s="457">
        <v>1</v>
      </c>
      <c r="B63" s="462">
        <v>2</v>
      </c>
      <c r="C63" s="462" t="s">
        <v>437</v>
      </c>
      <c r="D63" s="457">
        <v>5</v>
      </c>
      <c r="E63" s="457"/>
      <c r="F63" s="457"/>
      <c r="G63" s="457">
        <v>3</v>
      </c>
      <c r="H63" s="456" t="s">
        <v>9</v>
      </c>
      <c r="I63" s="525"/>
      <c r="J63" s="458"/>
      <c r="K63" s="676"/>
      <c r="L63" s="676"/>
      <c r="M63" s="445"/>
      <c r="N63" s="445"/>
      <c r="O63" s="445"/>
      <c r="P63" s="445"/>
      <c r="Q63" s="445"/>
      <c r="R63" s="445"/>
      <c r="S63" s="445"/>
      <c r="T63" s="445"/>
      <c r="U63" s="445"/>
      <c r="V63" s="445"/>
      <c r="W63" s="445"/>
      <c r="X63" s="445"/>
      <c r="Y63" s="445"/>
      <c r="AC63" s="196" t="s">
        <v>15</v>
      </c>
      <c r="AD63" s="196"/>
      <c r="AE63" s="174">
        <f>AF63+AG63+AH63+AI63+AJ63</f>
        <v>0</v>
      </c>
      <c r="AF63" s="174"/>
      <c r="AG63" s="174"/>
      <c r="AH63" s="174"/>
      <c r="AI63" s="174"/>
      <c r="AJ63" s="174">
        <f>SUMIFS(J257:J266,M257:M266,"PBP")</f>
        <v>0</v>
      </c>
    </row>
    <row r="64" spans="1:37" ht="19.5" customHeight="1">
      <c r="A64" s="452">
        <v>1</v>
      </c>
      <c r="B64" s="459">
        <v>3</v>
      </c>
      <c r="C64" s="459"/>
      <c r="D64" s="452"/>
      <c r="E64" s="452"/>
      <c r="F64" s="452"/>
      <c r="G64" s="452"/>
      <c r="H64" s="453" t="s">
        <v>605</v>
      </c>
      <c r="I64" s="524" t="e">
        <f>I65+I67+I69+I71+I73+I75</f>
        <v>#REF!</v>
      </c>
      <c r="J64" s="454"/>
      <c r="K64" s="675"/>
      <c r="L64" s="675"/>
      <c r="M64" s="455"/>
      <c r="N64" s="455"/>
      <c r="O64" s="455"/>
      <c r="P64" s="455"/>
      <c r="Q64" s="455"/>
      <c r="R64" s="455"/>
      <c r="S64" s="455"/>
      <c r="T64" s="455"/>
      <c r="U64" s="455"/>
      <c r="V64" s="455"/>
      <c r="W64" s="455"/>
      <c r="X64" s="455"/>
      <c r="Y64" s="455"/>
      <c r="AC64" s="176" t="s">
        <v>36</v>
      </c>
      <c r="AD64" s="176"/>
      <c r="AE64" s="177" t="e">
        <f>AE59+AE60+AE61+AE62+AE63</f>
        <v>#REF!</v>
      </c>
      <c r="AF64" s="177">
        <f>AF59+AF60+AF61+AF62</f>
        <v>0</v>
      </c>
      <c r="AG64" s="177">
        <f>AG59+AG60+AG61+AG62</f>
        <v>0</v>
      </c>
      <c r="AH64" s="177">
        <f>AH59+AH60+AH61+AH62</f>
        <v>0</v>
      </c>
      <c r="AI64" s="177" t="e">
        <f>AI59+AI60+AI61+AI62</f>
        <v>#REF!</v>
      </c>
      <c r="AJ64" s="177">
        <f>AJ59+AJ60+AJ61+AJ62+AJ63</f>
        <v>0</v>
      </c>
    </row>
    <row r="65" spans="1:48" ht="19.5" customHeight="1">
      <c r="A65" s="457">
        <v>1</v>
      </c>
      <c r="B65" s="462">
        <v>3</v>
      </c>
      <c r="C65" s="462" t="s">
        <v>593</v>
      </c>
      <c r="D65" s="457"/>
      <c r="E65" s="457"/>
      <c r="F65" s="457"/>
      <c r="G65" s="457"/>
      <c r="H65" s="456" t="s">
        <v>606</v>
      </c>
      <c r="I65" s="525">
        <f>I66</f>
        <v>0</v>
      </c>
      <c r="J65" s="458"/>
      <c r="K65" s="676"/>
      <c r="L65" s="676"/>
      <c r="M65" s="445"/>
      <c r="N65" s="445"/>
      <c r="O65" s="445"/>
      <c r="P65" s="445"/>
      <c r="Q65" s="445"/>
      <c r="R65" s="445"/>
      <c r="S65" s="445"/>
      <c r="T65" s="445"/>
      <c r="U65" s="445"/>
      <c r="V65" s="445"/>
      <c r="W65" s="445"/>
      <c r="X65" s="445"/>
      <c r="Y65" s="445"/>
      <c r="AC65" s="178" t="s">
        <v>37</v>
      </c>
      <c r="AD65" s="178"/>
      <c r="AE65" s="179" t="e">
        <f>AE26-AE64</f>
        <v>#REF!</v>
      </c>
      <c r="AF65" s="179">
        <f>AE24-AF64</f>
        <v>0</v>
      </c>
      <c r="AG65" s="179">
        <f>AE25-AG64</f>
        <v>0</v>
      </c>
      <c r="AH65" s="179">
        <f>AE21-AH64</f>
        <v>5000000</v>
      </c>
      <c r="AI65" s="179" t="e">
        <f>AE22-AI64</f>
        <v>#REF!</v>
      </c>
      <c r="AJ65" s="179">
        <f>AF22-AJ61</f>
        <v>0</v>
      </c>
    </row>
    <row r="66" spans="1:48" ht="27.95" customHeight="1">
      <c r="A66" s="457">
        <v>1</v>
      </c>
      <c r="B66" s="462">
        <v>3</v>
      </c>
      <c r="C66" s="462" t="s">
        <v>593</v>
      </c>
      <c r="D66" s="457">
        <v>5</v>
      </c>
      <c r="E66" s="457"/>
      <c r="F66" s="457"/>
      <c r="G66" s="457">
        <v>2</v>
      </c>
      <c r="H66" s="456" t="s">
        <v>8</v>
      </c>
      <c r="I66" s="525"/>
      <c r="J66" s="458"/>
      <c r="K66" s="676"/>
      <c r="L66" s="676"/>
      <c r="M66" s="445"/>
      <c r="N66" s="445"/>
      <c r="O66" s="445"/>
      <c r="P66" s="445"/>
      <c r="Q66" s="445"/>
      <c r="R66" s="445"/>
      <c r="S66" s="445"/>
      <c r="T66" s="445"/>
      <c r="U66" s="445"/>
      <c r="V66" s="445"/>
      <c r="W66" s="445"/>
      <c r="X66" s="445"/>
      <c r="Y66" s="445"/>
      <c r="AC66" s="180"/>
      <c r="AD66" s="180"/>
      <c r="AE66" s="181"/>
      <c r="AF66" s="181"/>
      <c r="AG66" s="181"/>
      <c r="AH66" s="181"/>
      <c r="AI66" s="181"/>
      <c r="AJ66" s="181"/>
    </row>
    <row r="67" spans="1:48" ht="44.25" customHeight="1">
      <c r="A67" s="457">
        <v>1</v>
      </c>
      <c r="B67" s="462">
        <v>3</v>
      </c>
      <c r="C67" s="462" t="s">
        <v>594</v>
      </c>
      <c r="D67" s="457"/>
      <c r="E67" s="457"/>
      <c r="F67" s="457"/>
      <c r="G67" s="457"/>
      <c r="H67" s="456" t="s">
        <v>607</v>
      </c>
      <c r="I67" s="525" t="e">
        <f>I68</f>
        <v>#REF!</v>
      </c>
      <c r="J67" s="458"/>
      <c r="K67" s="676"/>
      <c r="L67" s="676"/>
      <c r="M67" s="445"/>
      <c r="N67" s="445"/>
      <c r="O67" s="445"/>
      <c r="P67" s="445"/>
      <c r="Q67" s="445"/>
      <c r="R67" s="445"/>
      <c r="S67" s="445"/>
      <c r="T67" s="445"/>
      <c r="U67" s="445"/>
      <c r="V67" s="445"/>
      <c r="W67" s="445"/>
      <c r="X67" s="445"/>
      <c r="Y67" s="445"/>
    </row>
    <row r="68" spans="1:48" ht="15.75" customHeight="1">
      <c r="A68" s="457">
        <v>1</v>
      </c>
      <c r="B68" s="462">
        <v>3</v>
      </c>
      <c r="C68" s="462" t="s">
        <v>594</v>
      </c>
      <c r="D68" s="457">
        <v>5</v>
      </c>
      <c r="E68" s="457"/>
      <c r="F68" s="457"/>
      <c r="G68" s="457">
        <v>2</v>
      </c>
      <c r="H68" s="456" t="s">
        <v>8</v>
      </c>
      <c r="I68" s="525" t="e">
        <f>#REF!</f>
        <v>#REF!</v>
      </c>
      <c r="J68" s="458"/>
      <c r="K68" s="676"/>
      <c r="L68" s="676"/>
      <c r="M68" s="445"/>
      <c r="N68" s="445"/>
      <c r="O68" s="445"/>
      <c r="P68" s="445"/>
      <c r="Q68" s="445"/>
      <c r="R68" s="445"/>
      <c r="S68" s="445"/>
      <c r="T68" s="445"/>
      <c r="U68" s="445"/>
      <c r="V68" s="445"/>
      <c r="W68" s="445"/>
      <c r="X68" s="445"/>
      <c r="Y68" s="445"/>
      <c r="AC68" s="2798" t="s">
        <v>38</v>
      </c>
      <c r="AD68" s="2799"/>
      <c r="AE68" s="2799"/>
      <c r="AF68" s="2800"/>
      <c r="AG68" s="2"/>
    </row>
    <row r="69" spans="1:48" ht="39" customHeight="1">
      <c r="A69" s="463">
        <v>1</v>
      </c>
      <c r="B69" s="464">
        <v>3</v>
      </c>
      <c r="C69" s="464" t="s">
        <v>595</v>
      </c>
      <c r="D69" s="457"/>
      <c r="E69" s="457"/>
      <c r="F69" s="457"/>
      <c r="G69" s="457"/>
      <c r="H69" s="465" t="s">
        <v>542</v>
      </c>
      <c r="I69" s="525">
        <f>I70</f>
        <v>0</v>
      </c>
      <c r="J69" s="458"/>
      <c r="K69" s="676"/>
      <c r="L69" s="681">
        <f>M69*2</f>
        <v>0</v>
      </c>
      <c r="M69" s="448">
        <f>I69/12</f>
        <v>0</v>
      </c>
      <c r="N69" s="448">
        <f t="shared" ref="N69:V69" si="7">M69</f>
        <v>0</v>
      </c>
      <c r="O69" s="448">
        <f t="shared" si="7"/>
        <v>0</v>
      </c>
      <c r="P69" s="448">
        <f t="shared" si="7"/>
        <v>0</v>
      </c>
      <c r="Q69" s="448">
        <f t="shared" si="7"/>
        <v>0</v>
      </c>
      <c r="R69" s="448">
        <f t="shared" si="7"/>
        <v>0</v>
      </c>
      <c r="S69" s="448">
        <f t="shared" si="7"/>
        <v>0</v>
      </c>
      <c r="T69" s="448">
        <f t="shared" si="7"/>
        <v>0</v>
      </c>
      <c r="U69" s="448">
        <f t="shared" si="7"/>
        <v>0</v>
      </c>
      <c r="V69" s="448">
        <f t="shared" si="7"/>
        <v>0</v>
      </c>
      <c r="W69" s="682">
        <f>SUM(K69:V69)</f>
        <v>0</v>
      </c>
      <c r="X69" s="445"/>
      <c r="Y69" s="445"/>
      <c r="AC69" s="195" t="s">
        <v>39</v>
      </c>
      <c r="AD69" s="195"/>
      <c r="AE69" s="195" t="s">
        <v>40</v>
      </c>
      <c r="AF69" s="195" t="s">
        <v>41</v>
      </c>
    </row>
    <row r="70" spans="1:48" ht="15.75" customHeight="1">
      <c r="A70" s="463">
        <v>1</v>
      </c>
      <c r="B70" s="464">
        <v>3</v>
      </c>
      <c r="C70" s="464" t="s">
        <v>595</v>
      </c>
      <c r="D70" s="457">
        <v>5</v>
      </c>
      <c r="E70" s="457"/>
      <c r="F70" s="457"/>
      <c r="G70" s="457">
        <v>2</v>
      </c>
      <c r="H70" s="456" t="s">
        <v>8</v>
      </c>
      <c r="I70" s="525"/>
      <c r="J70" s="458"/>
      <c r="K70" s="676"/>
      <c r="L70" s="676"/>
      <c r="M70" s="445"/>
      <c r="N70" s="445"/>
      <c r="O70" s="445"/>
      <c r="P70" s="445"/>
      <c r="Q70" s="445"/>
      <c r="R70" s="445"/>
      <c r="S70" s="445"/>
      <c r="T70" s="445"/>
      <c r="U70" s="445"/>
      <c r="V70" s="445"/>
      <c r="W70" s="445"/>
      <c r="X70" s="445"/>
      <c r="Y70" s="445"/>
      <c r="AC70" s="182" t="s">
        <v>415</v>
      </c>
      <c r="AD70" s="182"/>
      <c r="AE70" s="183">
        <f>SUMIFS(J56:J248,M56:M248,"DLL")</f>
        <v>0</v>
      </c>
      <c r="AF70" s="184">
        <f>AE21-AE70</f>
        <v>5000000</v>
      </c>
      <c r="AP70" s="108"/>
      <c r="AQ70" s="108"/>
      <c r="AR70" s="108"/>
      <c r="AS70" s="108"/>
      <c r="AT70" s="109" t="s">
        <v>222</v>
      </c>
      <c r="AU70" s="110" t="e">
        <v>#REF!</v>
      </c>
      <c r="AV70" s="111"/>
    </row>
    <row r="71" spans="1:48" ht="15.75" customHeight="1">
      <c r="A71" s="457">
        <v>1</v>
      </c>
      <c r="B71" s="462">
        <v>3</v>
      </c>
      <c r="C71" s="462" t="s">
        <v>596</v>
      </c>
      <c r="D71" s="457"/>
      <c r="E71" s="457"/>
      <c r="F71" s="457"/>
      <c r="G71" s="457"/>
      <c r="H71" s="465" t="s">
        <v>541</v>
      </c>
      <c r="I71" s="525"/>
      <c r="J71" s="458"/>
      <c r="K71" s="676"/>
      <c r="L71" s="676"/>
      <c r="M71" s="445"/>
      <c r="N71" s="445"/>
      <c r="O71" s="445"/>
      <c r="P71" s="445"/>
      <c r="Q71" s="445"/>
      <c r="R71" s="445"/>
      <c r="S71" s="445"/>
      <c r="T71" s="445"/>
      <c r="U71" s="445"/>
      <c r="V71" s="445"/>
      <c r="W71" s="445"/>
      <c r="X71" s="445"/>
      <c r="Y71" s="445"/>
      <c r="AA71" s="185"/>
      <c r="AB71" s="186"/>
      <c r="AC71" s="182" t="s">
        <v>330</v>
      </c>
      <c r="AD71" s="182"/>
      <c r="AE71" s="183">
        <f>SUMIFS(J57:J249,M57:M249,"PBH")</f>
        <v>0</v>
      </c>
      <c r="AF71" s="184">
        <f>AE22-AE71</f>
        <v>12692000</v>
      </c>
      <c r="AH71" s="1" t="s">
        <v>21</v>
      </c>
    </row>
    <row r="72" spans="1:48" ht="18">
      <c r="A72" s="457">
        <v>1</v>
      </c>
      <c r="B72" s="462">
        <v>3</v>
      </c>
      <c r="C72" s="462" t="s">
        <v>596</v>
      </c>
      <c r="D72" s="457">
        <v>5</v>
      </c>
      <c r="E72" s="457"/>
      <c r="F72" s="457"/>
      <c r="G72" s="457">
        <v>2</v>
      </c>
      <c r="H72" s="456" t="s">
        <v>8</v>
      </c>
      <c r="I72" s="525"/>
      <c r="J72" s="458"/>
      <c r="K72" s="676"/>
      <c r="L72" s="676"/>
      <c r="M72" s="445"/>
      <c r="N72" s="445"/>
      <c r="O72" s="445"/>
      <c r="P72" s="445"/>
      <c r="Q72" s="445"/>
      <c r="R72" s="445"/>
      <c r="S72" s="445"/>
      <c r="T72" s="445"/>
      <c r="U72" s="445"/>
      <c r="V72" s="445"/>
      <c r="W72" s="445"/>
      <c r="X72" s="445"/>
      <c r="Y72" s="445"/>
      <c r="AA72" s="185"/>
      <c r="AB72" s="185"/>
      <c r="AC72" s="182" t="s">
        <v>429</v>
      </c>
      <c r="AD72" s="182"/>
      <c r="AE72" s="183">
        <f>SUMIFS(J58:J266,M58:M266,"PBP")</f>
        <v>0</v>
      </c>
      <c r="AF72" s="184">
        <f>AE23-AE72</f>
        <v>60000000</v>
      </c>
    </row>
    <row r="73" spans="1:48" ht="15" hidden="1" customHeight="1">
      <c r="A73" s="457">
        <v>1</v>
      </c>
      <c r="B73" s="462">
        <v>3</v>
      </c>
      <c r="C73" s="462" t="s">
        <v>597</v>
      </c>
      <c r="D73" s="457"/>
      <c r="E73" s="457"/>
      <c r="F73" s="457"/>
      <c r="G73" s="457"/>
      <c r="H73" s="465" t="s">
        <v>540</v>
      </c>
      <c r="I73" s="525">
        <f>I74</f>
        <v>0</v>
      </c>
      <c r="J73" s="458"/>
      <c r="K73" s="676"/>
      <c r="L73" s="676"/>
      <c r="M73" s="445"/>
      <c r="N73" s="445"/>
      <c r="O73" s="445"/>
      <c r="P73" s="445"/>
      <c r="Q73" s="445"/>
      <c r="R73" s="445"/>
      <c r="S73" s="445"/>
      <c r="T73" s="445"/>
      <c r="U73" s="445"/>
      <c r="V73" s="445"/>
      <c r="W73" s="445"/>
      <c r="X73" s="445"/>
      <c r="Y73" s="445"/>
      <c r="AA73" s="185"/>
      <c r="AB73" s="186"/>
      <c r="AC73" s="182" t="s">
        <v>23</v>
      </c>
      <c r="AD73" s="182"/>
      <c r="AE73" s="183">
        <f>SUMIFS(J58:J250,M58:M250,"ADD")</f>
        <v>0</v>
      </c>
      <c r="AF73" s="184">
        <f>AE24-AE73</f>
        <v>0</v>
      </c>
      <c r="AG73" s="1" t="s">
        <v>21</v>
      </c>
      <c r="AI73" s="1" t="s">
        <v>21</v>
      </c>
      <c r="AJ73" s="1" t="s">
        <v>21</v>
      </c>
    </row>
    <row r="74" spans="1:48" ht="15" hidden="1" customHeight="1">
      <c r="A74" s="457">
        <v>1</v>
      </c>
      <c r="B74" s="462">
        <v>3</v>
      </c>
      <c r="C74" s="462" t="s">
        <v>597</v>
      </c>
      <c r="D74" s="457">
        <v>5</v>
      </c>
      <c r="E74" s="457"/>
      <c r="F74" s="457"/>
      <c r="G74" s="457">
        <v>2</v>
      </c>
      <c r="H74" s="456" t="s">
        <v>8</v>
      </c>
      <c r="I74" s="525">
        <v>0</v>
      </c>
      <c r="J74" s="458"/>
      <c r="K74" s="676"/>
      <c r="L74" s="676"/>
      <c r="M74" s="445"/>
      <c r="N74" s="445"/>
      <c r="O74" s="445"/>
      <c r="P74" s="445"/>
      <c r="Q74" s="445"/>
      <c r="R74" s="445"/>
      <c r="S74" s="445"/>
      <c r="T74" s="445"/>
      <c r="U74" s="445"/>
      <c r="V74" s="445"/>
      <c r="W74" s="445"/>
      <c r="X74" s="445"/>
      <c r="Y74" s="445"/>
      <c r="AA74" s="185"/>
      <c r="AB74" s="186"/>
      <c r="AC74" s="182" t="s">
        <v>22</v>
      </c>
      <c r="AD74" s="182"/>
      <c r="AE74" s="183">
        <f>SUMIFS(J59:J250,M59:M250,"DD")</f>
        <v>0</v>
      </c>
      <c r="AF74" s="184">
        <f>AE25-AE74</f>
        <v>0</v>
      </c>
    </row>
    <row r="75" spans="1:48" ht="31.5">
      <c r="A75" s="457">
        <v>1</v>
      </c>
      <c r="B75" s="462">
        <v>3</v>
      </c>
      <c r="C75" s="462" t="s">
        <v>437</v>
      </c>
      <c r="D75" s="457"/>
      <c r="E75" s="457"/>
      <c r="F75" s="457"/>
      <c r="G75" s="457"/>
      <c r="H75" s="466" t="s">
        <v>608</v>
      </c>
      <c r="I75" s="477">
        <f>I76</f>
        <v>0</v>
      </c>
      <c r="J75" s="458"/>
      <c r="K75" s="676"/>
      <c r="L75" s="676"/>
      <c r="M75" s="445"/>
      <c r="N75" s="445"/>
      <c r="O75" s="445"/>
      <c r="P75" s="445"/>
      <c r="Q75" s="445"/>
      <c r="R75" s="445"/>
      <c r="S75" s="445"/>
      <c r="T75" s="445"/>
      <c r="U75" s="445"/>
      <c r="V75" s="445"/>
      <c r="W75" s="445"/>
      <c r="X75" s="445"/>
      <c r="Y75" s="445"/>
      <c r="AA75" s="185"/>
      <c r="AB75" s="186"/>
    </row>
    <row r="76" spans="1:48" ht="31.5">
      <c r="A76" s="457">
        <v>1</v>
      </c>
      <c r="B76" s="462">
        <v>3</v>
      </c>
      <c r="C76" s="462" t="s">
        <v>437</v>
      </c>
      <c r="D76" s="457">
        <v>5</v>
      </c>
      <c r="E76" s="457"/>
      <c r="F76" s="457"/>
      <c r="G76" s="457">
        <v>2</v>
      </c>
      <c r="H76" s="456" t="s">
        <v>8</v>
      </c>
      <c r="I76" s="525"/>
      <c r="J76" s="458"/>
      <c r="K76" s="676"/>
      <c r="L76" s="676"/>
      <c r="M76" s="445"/>
      <c r="N76" s="445"/>
      <c r="O76" s="445"/>
      <c r="P76" s="445"/>
      <c r="Q76" s="445"/>
      <c r="R76" s="445"/>
      <c r="S76" s="445"/>
      <c r="T76" s="445"/>
      <c r="U76" s="445"/>
      <c r="V76" s="445"/>
      <c r="W76" s="445"/>
      <c r="X76" s="445"/>
      <c r="Y76" s="445"/>
      <c r="AA76" s="185"/>
      <c r="AB76" s="186"/>
      <c r="AG76" s="1" t="s">
        <v>268</v>
      </c>
    </row>
    <row r="77" spans="1:48" ht="18">
      <c r="A77" s="467">
        <v>1</v>
      </c>
      <c r="B77" s="468">
        <v>4</v>
      </c>
      <c r="C77" s="468"/>
      <c r="D77" s="467"/>
      <c r="E77" s="467"/>
      <c r="F77" s="467"/>
      <c r="G77" s="467"/>
      <c r="H77" s="469" t="s">
        <v>609</v>
      </c>
      <c r="I77" s="527" t="e">
        <f>I78+I80+I82+I84+I86+I88+I90+I92+I95+I97+I99</f>
        <v>#REF!</v>
      </c>
      <c r="J77" s="470"/>
      <c r="K77" s="678"/>
      <c r="L77" s="678"/>
      <c r="M77" s="471"/>
      <c r="N77" s="471"/>
      <c r="O77" s="471"/>
      <c r="P77" s="471"/>
      <c r="Q77" s="471"/>
      <c r="R77" s="471"/>
      <c r="S77" s="471"/>
      <c r="T77" s="471"/>
      <c r="U77" s="471"/>
      <c r="V77" s="471"/>
      <c r="W77" s="471"/>
      <c r="X77" s="471"/>
      <c r="Y77" s="471"/>
      <c r="AA77" s="185"/>
      <c r="AB77" s="186"/>
      <c r="AC77" s="1" t="s">
        <v>314</v>
      </c>
      <c r="AE77" s="174">
        <f>SUMIFS(J55:J109,G55:G109,"Belanja Pegawai")</f>
        <v>0</v>
      </c>
      <c r="AG77" s="174">
        <f>SUMIFS(J55:J249,I55:I249," Upah tenaga kerja")</f>
        <v>0</v>
      </c>
    </row>
    <row r="78" spans="1:48" ht="31.5">
      <c r="A78" s="472">
        <v>1</v>
      </c>
      <c r="B78" s="464">
        <v>4</v>
      </c>
      <c r="C78" s="472" t="s">
        <v>593</v>
      </c>
      <c r="D78" s="457"/>
      <c r="E78" s="457"/>
      <c r="F78" s="457"/>
      <c r="G78" s="457"/>
      <c r="H78" s="473" t="s">
        <v>610</v>
      </c>
      <c r="I78" s="528" t="e">
        <f>I79</f>
        <v>#REF!</v>
      </c>
      <c r="J78" s="458"/>
      <c r="K78" s="676"/>
      <c r="L78" s="676"/>
      <c r="M78" s="445"/>
      <c r="N78" s="445"/>
      <c r="O78" s="445"/>
      <c r="P78" s="445"/>
      <c r="Q78" s="445"/>
      <c r="R78" s="445"/>
      <c r="S78" s="445"/>
      <c r="T78" s="445"/>
      <c r="U78" s="445"/>
      <c r="V78" s="445"/>
      <c r="W78" s="445"/>
      <c r="X78" s="445"/>
      <c r="Y78" s="445"/>
      <c r="AA78" s="185"/>
      <c r="AB78" s="186"/>
      <c r="AC78" s="1" t="s">
        <v>315</v>
      </c>
      <c r="AE78" s="174">
        <f>SUMIFS(J55:J249,G55:G249,"Belanja Barang dan Jasa")</f>
        <v>0</v>
      </c>
      <c r="AF78" s="2">
        <f>AE78-AG77</f>
        <v>0</v>
      </c>
      <c r="AG78" s="2">
        <f>AF79-J77</f>
        <v>0</v>
      </c>
    </row>
    <row r="79" spans="1:48" ht="18">
      <c r="A79" s="472">
        <v>1</v>
      </c>
      <c r="B79" s="464">
        <v>4</v>
      </c>
      <c r="C79" s="472" t="s">
        <v>593</v>
      </c>
      <c r="D79" s="457">
        <v>5</v>
      </c>
      <c r="E79" s="457"/>
      <c r="F79" s="457"/>
      <c r="G79" s="457">
        <v>2</v>
      </c>
      <c r="H79" s="456" t="s">
        <v>8</v>
      </c>
      <c r="I79" s="525" t="e">
        <f>#REF!</f>
        <v>#REF!</v>
      </c>
      <c r="J79" s="458"/>
      <c r="K79" s="676"/>
      <c r="L79" s="676"/>
      <c r="M79" s="445"/>
      <c r="N79" s="445"/>
      <c r="O79" s="445"/>
      <c r="P79" s="445"/>
      <c r="Q79" s="445"/>
      <c r="R79" s="445"/>
      <c r="S79" s="445"/>
      <c r="T79" s="445"/>
      <c r="U79" s="445"/>
      <c r="V79" s="445"/>
      <c r="W79" s="445"/>
      <c r="X79" s="445"/>
      <c r="Y79" s="445"/>
      <c r="AA79" s="185"/>
      <c r="AB79" s="186"/>
      <c r="AC79" s="1" t="s">
        <v>316</v>
      </c>
      <c r="AE79" s="174">
        <f>SUMIFS(J56:J250,G56:G250,"Belanja Modal")</f>
        <v>0</v>
      </c>
      <c r="AF79" s="2">
        <f>AE79+AG77</f>
        <v>0</v>
      </c>
      <c r="AG79" s="2">
        <f>AG78-AE74</f>
        <v>0</v>
      </c>
    </row>
    <row r="80" spans="1:48" ht="31.5">
      <c r="A80" s="472">
        <v>1</v>
      </c>
      <c r="B80" s="464">
        <v>4</v>
      </c>
      <c r="C80" s="474" t="s">
        <v>594</v>
      </c>
      <c r="D80" s="457"/>
      <c r="E80" s="457"/>
      <c r="F80" s="457"/>
      <c r="G80" s="457"/>
      <c r="H80" s="473" t="s">
        <v>611</v>
      </c>
      <c r="I80" s="477">
        <f>I81</f>
        <v>0</v>
      </c>
      <c r="J80" s="458"/>
      <c r="K80" s="676"/>
      <c r="L80" s="676"/>
      <c r="M80" s="445"/>
      <c r="N80" s="445"/>
      <c r="O80" s="445"/>
      <c r="P80" s="445"/>
      <c r="Q80" s="445"/>
      <c r="R80" s="445"/>
      <c r="S80" s="445"/>
      <c r="T80" s="445"/>
      <c r="U80" s="445"/>
      <c r="V80" s="445"/>
      <c r="W80" s="445"/>
      <c r="X80" s="445"/>
      <c r="Y80" s="445"/>
      <c r="AA80" s="185"/>
      <c r="AB80" s="186"/>
      <c r="AC80" s="1" t="s">
        <v>320</v>
      </c>
      <c r="AE80" s="193">
        <f>SUM(AE77:AE79)</f>
        <v>0</v>
      </c>
      <c r="AG80" s="1" t="s">
        <v>322</v>
      </c>
    </row>
    <row r="81" spans="1:33" ht="18">
      <c r="A81" s="472">
        <v>1</v>
      </c>
      <c r="B81" s="464">
        <v>4</v>
      </c>
      <c r="C81" s="474" t="s">
        <v>594</v>
      </c>
      <c r="D81" s="457">
        <v>5</v>
      </c>
      <c r="E81" s="457"/>
      <c r="F81" s="457"/>
      <c r="G81" s="457">
        <v>2</v>
      </c>
      <c r="H81" s="456" t="s">
        <v>8</v>
      </c>
      <c r="I81" s="525"/>
      <c r="J81" s="458"/>
      <c r="K81" s="676"/>
      <c r="L81" s="676"/>
      <c r="M81" s="445"/>
      <c r="N81" s="445"/>
      <c r="O81" s="445"/>
      <c r="P81" s="445"/>
      <c r="Q81" s="445"/>
      <c r="R81" s="445"/>
      <c r="S81" s="445"/>
      <c r="T81" s="445"/>
      <c r="U81" s="445"/>
      <c r="V81" s="445"/>
      <c r="W81" s="445"/>
      <c r="X81" s="445"/>
      <c r="Y81" s="445"/>
      <c r="AA81" s="185"/>
      <c r="AB81" s="186"/>
      <c r="AC81" s="475" t="s">
        <v>321</v>
      </c>
      <c r="AD81" s="475"/>
      <c r="AE81" s="190" t="e">
        <f>AE64-AE80</f>
        <v>#REF!</v>
      </c>
      <c r="AG81" s="174">
        <f>SUMIFS(J58:J249,I58:I249,"Honorarium TPK")</f>
        <v>0</v>
      </c>
    </row>
    <row r="82" spans="1:33" ht="18">
      <c r="A82" s="472">
        <v>1</v>
      </c>
      <c r="B82" s="464">
        <v>4</v>
      </c>
      <c r="C82" s="472" t="s">
        <v>595</v>
      </c>
      <c r="D82" s="457"/>
      <c r="E82" s="457"/>
      <c r="F82" s="457"/>
      <c r="G82" s="457"/>
      <c r="H82" s="476" t="s">
        <v>612</v>
      </c>
      <c r="I82" s="477" t="e">
        <f>I83</f>
        <v>#REF!</v>
      </c>
      <c r="J82" s="458"/>
      <c r="K82" s="676"/>
      <c r="L82" s="676"/>
      <c r="M82" s="445"/>
      <c r="N82" s="445"/>
      <c r="O82" s="445"/>
      <c r="P82" s="445"/>
      <c r="Q82" s="445"/>
      <c r="R82" s="445"/>
      <c r="S82" s="445"/>
      <c r="T82" s="445"/>
      <c r="U82" s="445"/>
      <c r="V82" s="445"/>
      <c r="W82" s="445"/>
      <c r="X82" s="445"/>
      <c r="Y82" s="445"/>
      <c r="AA82" s="185"/>
      <c r="AB82" s="186"/>
      <c r="AE82" s="187"/>
    </row>
    <row r="83" spans="1:33" ht="18">
      <c r="A83" s="472">
        <v>1</v>
      </c>
      <c r="B83" s="464">
        <v>4</v>
      </c>
      <c r="C83" s="472" t="s">
        <v>595</v>
      </c>
      <c r="D83" s="457">
        <v>5</v>
      </c>
      <c r="E83" s="457"/>
      <c r="F83" s="457"/>
      <c r="G83" s="457">
        <v>2</v>
      </c>
      <c r="H83" s="456" t="s">
        <v>8</v>
      </c>
      <c r="I83" s="525" t="e">
        <f>#REF!</f>
        <v>#REF!</v>
      </c>
      <c r="J83" s="458"/>
      <c r="K83" s="676"/>
      <c r="L83" s="676"/>
      <c r="M83" s="445"/>
      <c r="N83" s="445"/>
      <c r="O83" s="445"/>
      <c r="P83" s="445"/>
      <c r="Q83" s="445"/>
      <c r="R83" s="445"/>
      <c r="S83" s="445"/>
      <c r="T83" s="445"/>
      <c r="U83" s="445"/>
      <c r="V83" s="445"/>
      <c r="W83" s="445"/>
      <c r="X83" s="445"/>
      <c r="Y83" s="445"/>
      <c r="AA83" s="185"/>
      <c r="AB83" s="186"/>
      <c r="AE83" s="187"/>
      <c r="AF83" s="1" t="s">
        <v>21</v>
      </c>
    </row>
    <row r="84" spans="1:33" ht="15.75" customHeight="1">
      <c r="A84" s="472">
        <v>1</v>
      </c>
      <c r="B84" s="464">
        <v>4</v>
      </c>
      <c r="C84" s="474" t="s">
        <v>596</v>
      </c>
      <c r="D84" s="457"/>
      <c r="E84" s="457"/>
      <c r="F84" s="457"/>
      <c r="G84" s="457"/>
      <c r="H84" s="473" t="s">
        <v>613</v>
      </c>
      <c r="I84" s="477" t="e">
        <f>I85</f>
        <v>#REF!</v>
      </c>
      <c r="J84" s="458"/>
      <c r="K84" s="676"/>
      <c r="L84" s="676"/>
      <c r="M84" s="445"/>
      <c r="N84" s="445"/>
      <c r="O84" s="445"/>
      <c r="P84" s="445"/>
      <c r="Q84" s="445"/>
      <c r="R84" s="445"/>
      <c r="S84" s="445"/>
      <c r="T84" s="445"/>
      <c r="U84" s="445"/>
      <c r="V84" s="445"/>
      <c r="W84" s="445"/>
      <c r="X84" s="445"/>
      <c r="Y84" s="445"/>
      <c r="AA84" s="185"/>
      <c r="AB84" s="186"/>
      <c r="AE84" s="187"/>
    </row>
    <row r="85" spans="1:33" ht="18">
      <c r="A85" s="472">
        <v>1</v>
      </c>
      <c r="B85" s="464">
        <v>4</v>
      </c>
      <c r="C85" s="474" t="s">
        <v>596</v>
      </c>
      <c r="D85" s="457">
        <v>5</v>
      </c>
      <c r="E85" s="457"/>
      <c r="F85" s="457"/>
      <c r="G85" s="457">
        <v>2</v>
      </c>
      <c r="H85" s="456" t="s">
        <v>8</v>
      </c>
      <c r="I85" s="525" t="e">
        <f>#REF!</f>
        <v>#REF!</v>
      </c>
      <c r="J85" s="458"/>
      <c r="K85" s="676"/>
      <c r="L85" s="676"/>
      <c r="M85" s="445"/>
      <c r="N85" s="445"/>
      <c r="O85" s="445"/>
      <c r="P85" s="445"/>
      <c r="Q85" s="445"/>
      <c r="R85" s="445"/>
      <c r="S85" s="445"/>
      <c r="T85" s="445"/>
      <c r="U85" s="445"/>
      <c r="V85" s="445"/>
      <c r="W85" s="445"/>
      <c r="X85" s="445"/>
      <c r="Y85" s="445"/>
      <c r="AA85" s="185"/>
      <c r="AB85" s="186"/>
      <c r="AE85" s="2"/>
    </row>
    <row r="86" spans="1:33" ht="15.75" customHeight="1">
      <c r="A86" s="472">
        <v>1</v>
      </c>
      <c r="B86" s="464">
        <v>4</v>
      </c>
      <c r="C86" s="472" t="s">
        <v>597</v>
      </c>
      <c r="D86" s="457"/>
      <c r="E86" s="457"/>
      <c r="F86" s="457"/>
      <c r="G86" s="457"/>
      <c r="H86" s="465" t="s">
        <v>539</v>
      </c>
      <c r="I86" s="525" t="e">
        <f>I87</f>
        <v>#REF!</v>
      </c>
      <c r="J86" s="458"/>
      <c r="K86" s="676"/>
      <c r="L86" s="676"/>
      <c r="M86" s="445"/>
      <c r="N86" s="445"/>
      <c r="O86" s="445"/>
      <c r="P86" s="445"/>
      <c r="Q86" s="445"/>
      <c r="R86" s="445"/>
      <c r="S86" s="445"/>
      <c r="T86" s="445"/>
      <c r="U86" s="445"/>
      <c r="V86" s="445"/>
      <c r="W86" s="445"/>
      <c r="X86" s="445"/>
      <c r="Y86" s="445"/>
      <c r="AA86" s="187"/>
      <c r="AB86" s="2"/>
    </row>
    <row r="87" spans="1:33" ht="15.75" customHeight="1">
      <c r="A87" s="472">
        <v>1</v>
      </c>
      <c r="B87" s="464">
        <v>4</v>
      </c>
      <c r="C87" s="472" t="s">
        <v>597</v>
      </c>
      <c r="D87" s="457">
        <v>5</v>
      </c>
      <c r="E87" s="457"/>
      <c r="F87" s="457"/>
      <c r="G87" s="457">
        <v>2</v>
      </c>
      <c r="H87" s="456" t="s">
        <v>8</v>
      </c>
      <c r="I87" s="525" t="e">
        <f>#REF!</f>
        <v>#REF!</v>
      </c>
      <c r="J87" s="458"/>
      <c r="K87" s="676"/>
      <c r="L87" s="676"/>
      <c r="M87" s="445"/>
      <c r="N87" s="445"/>
      <c r="O87" s="445"/>
      <c r="P87" s="445"/>
      <c r="Q87" s="445"/>
      <c r="R87" s="445"/>
      <c r="S87" s="445"/>
      <c r="T87" s="445"/>
      <c r="U87" s="445"/>
      <c r="V87" s="445"/>
      <c r="W87" s="445"/>
      <c r="X87" s="445"/>
      <c r="Y87" s="445"/>
    </row>
    <row r="88" spans="1:33" ht="15.75" customHeight="1">
      <c r="A88" s="478">
        <v>1</v>
      </c>
      <c r="B88" s="464">
        <v>4</v>
      </c>
      <c r="C88" s="479" t="s">
        <v>598</v>
      </c>
      <c r="D88" s="457"/>
      <c r="E88" s="457"/>
      <c r="F88" s="457"/>
      <c r="G88" s="457"/>
      <c r="H88" s="473" t="s">
        <v>538</v>
      </c>
      <c r="I88" s="477">
        <f>I89</f>
        <v>0</v>
      </c>
      <c r="J88" s="458"/>
      <c r="K88" s="676"/>
      <c r="L88" s="676"/>
      <c r="M88" s="445"/>
      <c r="N88" s="445"/>
      <c r="O88" s="445"/>
      <c r="P88" s="445"/>
      <c r="Q88" s="445"/>
      <c r="R88" s="445"/>
      <c r="S88" s="445"/>
      <c r="T88" s="445"/>
      <c r="U88" s="445"/>
      <c r="V88" s="445"/>
      <c r="W88" s="445"/>
      <c r="X88" s="445"/>
      <c r="Y88" s="445"/>
      <c r="AB88" s="188"/>
    </row>
    <row r="89" spans="1:33" ht="15.75" customHeight="1">
      <c r="A89" s="478">
        <v>1</v>
      </c>
      <c r="B89" s="464">
        <v>4</v>
      </c>
      <c r="C89" s="479" t="s">
        <v>598</v>
      </c>
      <c r="D89" s="457">
        <v>5</v>
      </c>
      <c r="E89" s="457"/>
      <c r="F89" s="457"/>
      <c r="G89" s="457">
        <v>2</v>
      </c>
      <c r="H89" s="456" t="s">
        <v>8</v>
      </c>
      <c r="I89" s="525"/>
      <c r="J89" s="458"/>
      <c r="K89" s="676"/>
      <c r="L89" s="676"/>
      <c r="M89" s="445"/>
      <c r="N89" s="445"/>
      <c r="O89" s="445"/>
      <c r="P89" s="445"/>
      <c r="Q89" s="445"/>
      <c r="R89" s="445"/>
      <c r="S89" s="445"/>
      <c r="T89" s="445"/>
      <c r="U89" s="445"/>
      <c r="V89" s="445"/>
      <c r="W89" s="445"/>
      <c r="X89" s="445"/>
      <c r="Y89" s="445"/>
      <c r="AB89" s="188"/>
      <c r="AC89" s="187"/>
      <c r="AD89" s="187"/>
    </row>
    <row r="90" spans="1:33" ht="47.25">
      <c r="A90" s="478">
        <v>1</v>
      </c>
      <c r="B90" s="464">
        <v>4</v>
      </c>
      <c r="C90" s="478" t="s">
        <v>600</v>
      </c>
      <c r="D90" s="457"/>
      <c r="E90" s="457"/>
      <c r="F90" s="457"/>
      <c r="G90" s="457"/>
      <c r="H90" s="473" t="s">
        <v>537</v>
      </c>
      <c r="I90" s="477">
        <f>I91</f>
        <v>0</v>
      </c>
      <c r="J90" s="458"/>
      <c r="K90" s="676"/>
      <c r="L90" s="676"/>
      <c r="M90" s="445"/>
      <c r="N90" s="445"/>
      <c r="O90" s="445"/>
      <c r="P90" s="445"/>
      <c r="Q90" s="445"/>
      <c r="R90" s="445"/>
      <c r="S90" s="445"/>
      <c r="T90" s="445"/>
      <c r="U90" s="445"/>
      <c r="V90" s="445"/>
      <c r="W90" s="445"/>
      <c r="X90" s="445"/>
      <c r="Y90" s="445"/>
      <c r="AB90" s="188"/>
    </row>
    <row r="91" spans="1:33" ht="15.75" customHeight="1">
      <c r="A91" s="478">
        <v>1</v>
      </c>
      <c r="B91" s="464">
        <v>4</v>
      </c>
      <c r="C91" s="478" t="s">
        <v>600</v>
      </c>
      <c r="D91" s="457">
        <v>5</v>
      </c>
      <c r="E91" s="457"/>
      <c r="F91" s="457"/>
      <c r="G91" s="457">
        <v>2</v>
      </c>
      <c r="H91" s="456" t="s">
        <v>8</v>
      </c>
      <c r="I91" s="525"/>
      <c r="J91" s="458"/>
      <c r="K91" s="676"/>
      <c r="L91" s="676"/>
      <c r="M91" s="445"/>
      <c r="N91" s="445"/>
      <c r="O91" s="445"/>
      <c r="P91" s="445"/>
      <c r="Q91" s="445"/>
      <c r="R91" s="445"/>
      <c r="S91" s="445"/>
      <c r="T91" s="445"/>
      <c r="U91" s="445"/>
      <c r="V91" s="445"/>
      <c r="W91" s="445"/>
      <c r="X91" s="445"/>
      <c r="Y91" s="445"/>
    </row>
    <row r="92" spans="1:33" ht="18">
      <c r="A92" s="472">
        <v>1</v>
      </c>
      <c r="B92" s="464">
        <v>4</v>
      </c>
      <c r="C92" s="474" t="s">
        <v>614</v>
      </c>
      <c r="D92" s="457"/>
      <c r="E92" s="457"/>
      <c r="F92" s="457"/>
      <c r="G92" s="457"/>
      <c r="H92" s="465" t="s">
        <v>615</v>
      </c>
      <c r="I92" s="525">
        <f>I93+I94</f>
        <v>0</v>
      </c>
      <c r="J92" s="458"/>
      <c r="K92" s="676"/>
      <c r="L92" s="676"/>
      <c r="M92" s="445"/>
      <c r="N92" s="445"/>
      <c r="O92" s="445"/>
      <c r="P92" s="445"/>
      <c r="Q92" s="445"/>
      <c r="R92" s="445"/>
      <c r="S92" s="445"/>
      <c r="T92" s="445"/>
      <c r="U92" s="445"/>
      <c r="V92" s="445"/>
      <c r="W92" s="445"/>
      <c r="X92" s="445"/>
      <c r="Y92" s="445"/>
    </row>
    <row r="93" spans="1:33" ht="18">
      <c r="A93" s="472">
        <v>1</v>
      </c>
      <c r="B93" s="464">
        <v>4</v>
      </c>
      <c r="C93" s="474" t="s">
        <v>614</v>
      </c>
      <c r="D93" s="457">
        <v>5</v>
      </c>
      <c r="E93" s="457"/>
      <c r="F93" s="457"/>
      <c r="G93" s="457">
        <v>2</v>
      </c>
      <c r="H93" s="456" t="s">
        <v>8</v>
      </c>
      <c r="I93" s="525"/>
      <c r="J93" s="458"/>
      <c r="K93" s="676"/>
      <c r="L93" s="676"/>
      <c r="M93" s="445"/>
      <c r="N93" s="445"/>
      <c r="O93" s="445"/>
      <c r="P93" s="445"/>
      <c r="Q93" s="445"/>
      <c r="R93" s="445"/>
      <c r="S93" s="445"/>
      <c r="T93" s="445"/>
      <c r="U93" s="445"/>
      <c r="V93" s="445"/>
      <c r="W93" s="445"/>
      <c r="X93" s="445"/>
      <c r="Y93" s="445"/>
      <c r="AB93" s="2"/>
    </row>
    <row r="94" spans="1:33" ht="18">
      <c r="A94" s="472">
        <v>1</v>
      </c>
      <c r="B94" s="464">
        <v>4</v>
      </c>
      <c r="C94" s="474" t="s">
        <v>614</v>
      </c>
      <c r="D94" s="457">
        <v>5</v>
      </c>
      <c r="E94" s="457"/>
      <c r="F94" s="457"/>
      <c r="G94" s="457">
        <v>3</v>
      </c>
      <c r="H94" s="456" t="s">
        <v>9</v>
      </c>
      <c r="I94" s="525"/>
      <c r="J94" s="458"/>
      <c r="K94" s="676"/>
      <c r="L94" s="676"/>
      <c r="M94" s="445"/>
      <c r="N94" s="445"/>
      <c r="O94" s="445"/>
      <c r="P94" s="445"/>
      <c r="Q94" s="445"/>
      <c r="R94" s="445"/>
      <c r="S94" s="445"/>
      <c r="T94" s="445"/>
      <c r="U94" s="445"/>
      <c r="V94" s="445"/>
      <c r="W94" s="445"/>
      <c r="X94" s="445"/>
      <c r="Y94" s="445"/>
    </row>
    <row r="95" spans="1:33" ht="15.75" customHeight="1">
      <c r="A95" s="478">
        <v>1</v>
      </c>
      <c r="B95" s="464">
        <v>4</v>
      </c>
      <c r="C95" s="478" t="s">
        <v>616</v>
      </c>
      <c r="D95" s="457"/>
      <c r="E95" s="457"/>
      <c r="F95" s="457"/>
      <c r="G95" s="457"/>
      <c r="H95" s="473" t="s">
        <v>617</v>
      </c>
      <c r="I95" s="477">
        <f>I96</f>
        <v>0</v>
      </c>
      <c r="J95" s="458"/>
      <c r="K95" s="676"/>
      <c r="L95" s="676"/>
      <c r="M95" s="445"/>
      <c r="N95" s="445"/>
      <c r="O95" s="445"/>
      <c r="P95" s="445"/>
      <c r="Q95" s="445"/>
      <c r="R95" s="445"/>
      <c r="S95" s="445"/>
      <c r="T95" s="445"/>
      <c r="U95" s="445"/>
      <c r="V95" s="445"/>
      <c r="W95" s="445"/>
      <c r="X95" s="445"/>
      <c r="Y95" s="445"/>
    </row>
    <row r="96" spans="1:33" ht="18">
      <c r="A96" s="478">
        <v>1</v>
      </c>
      <c r="B96" s="464">
        <v>4</v>
      </c>
      <c r="C96" s="478" t="s">
        <v>616</v>
      </c>
      <c r="D96" s="457">
        <v>5</v>
      </c>
      <c r="E96" s="457"/>
      <c r="F96" s="457"/>
      <c r="G96" s="457">
        <v>2</v>
      </c>
      <c r="H96" s="456" t="s">
        <v>8</v>
      </c>
      <c r="I96" s="525"/>
      <c r="J96" s="458"/>
      <c r="K96" s="676"/>
      <c r="L96" s="676"/>
      <c r="M96" s="445"/>
      <c r="N96" s="445"/>
      <c r="O96" s="445"/>
      <c r="P96" s="445"/>
      <c r="Q96" s="445"/>
      <c r="R96" s="445"/>
      <c r="S96" s="445"/>
      <c r="T96" s="445"/>
      <c r="U96" s="445"/>
      <c r="V96" s="445"/>
      <c r="W96" s="445"/>
      <c r="X96" s="445"/>
      <c r="Y96" s="445"/>
      <c r="AC96" s="2"/>
      <c r="AD96" s="2"/>
    </row>
    <row r="97" spans="1:29" ht="15.75" customHeight="1">
      <c r="A97" s="478">
        <v>1</v>
      </c>
      <c r="B97" s="464">
        <v>4</v>
      </c>
      <c r="C97" s="479" t="s">
        <v>250</v>
      </c>
      <c r="D97" s="457"/>
      <c r="E97" s="457"/>
      <c r="F97" s="457"/>
      <c r="G97" s="457"/>
      <c r="H97" s="473" t="s">
        <v>536</v>
      </c>
      <c r="I97" s="477">
        <f>I98</f>
        <v>0</v>
      </c>
      <c r="J97" s="458"/>
      <c r="K97" s="676"/>
      <c r="L97" s="676"/>
      <c r="M97" s="445"/>
      <c r="N97" s="445"/>
      <c r="O97" s="445"/>
      <c r="P97" s="445"/>
      <c r="Q97" s="445"/>
      <c r="R97" s="445"/>
      <c r="S97" s="445"/>
      <c r="T97" s="445"/>
      <c r="U97" s="445"/>
      <c r="V97" s="445"/>
      <c r="W97" s="445"/>
      <c r="X97" s="445"/>
      <c r="Y97" s="445"/>
    </row>
    <row r="98" spans="1:29" ht="18">
      <c r="A98" s="478">
        <v>1</v>
      </c>
      <c r="B98" s="464">
        <v>4</v>
      </c>
      <c r="C98" s="479" t="s">
        <v>250</v>
      </c>
      <c r="D98" s="457">
        <v>5</v>
      </c>
      <c r="E98" s="457"/>
      <c r="F98" s="457"/>
      <c r="G98" s="457">
        <v>2</v>
      </c>
      <c r="H98" s="456" t="s">
        <v>8</v>
      </c>
      <c r="I98" s="525"/>
      <c r="J98" s="458"/>
      <c r="K98" s="676"/>
      <c r="L98" s="676"/>
      <c r="M98" s="445"/>
      <c r="N98" s="445"/>
      <c r="O98" s="445"/>
      <c r="P98" s="445"/>
      <c r="Q98" s="445"/>
      <c r="R98" s="445"/>
      <c r="S98" s="445"/>
      <c r="T98" s="445"/>
      <c r="U98" s="445"/>
      <c r="V98" s="445"/>
      <c r="W98" s="445"/>
      <c r="X98" s="445"/>
      <c r="Y98" s="445"/>
    </row>
    <row r="99" spans="1:29" ht="15.75" customHeight="1">
      <c r="A99" s="478">
        <v>1</v>
      </c>
      <c r="B99" s="464">
        <v>4</v>
      </c>
      <c r="C99" s="478" t="s">
        <v>618</v>
      </c>
      <c r="D99" s="457"/>
      <c r="E99" s="457"/>
      <c r="F99" s="457"/>
      <c r="G99" s="457"/>
      <c r="H99" s="473" t="s">
        <v>619</v>
      </c>
      <c r="I99" s="477">
        <f>I100</f>
        <v>0</v>
      </c>
      <c r="J99" s="458"/>
      <c r="K99" s="676"/>
      <c r="L99" s="676"/>
      <c r="M99" s="445"/>
      <c r="N99" s="445"/>
      <c r="O99" s="445"/>
      <c r="P99" s="445"/>
      <c r="Q99" s="445"/>
      <c r="R99" s="445"/>
      <c r="S99" s="445"/>
      <c r="T99" s="445"/>
      <c r="U99" s="445"/>
      <c r="V99" s="445"/>
      <c r="W99" s="445"/>
      <c r="X99" s="445"/>
      <c r="Y99" s="445"/>
    </row>
    <row r="100" spans="1:29" ht="18">
      <c r="A100" s="478">
        <v>1</v>
      </c>
      <c r="B100" s="464">
        <v>4</v>
      </c>
      <c r="C100" s="478" t="s">
        <v>618</v>
      </c>
      <c r="D100" s="457">
        <v>5</v>
      </c>
      <c r="E100" s="457"/>
      <c r="F100" s="457"/>
      <c r="G100" s="457">
        <v>2</v>
      </c>
      <c r="H100" s="456" t="s">
        <v>8</v>
      </c>
      <c r="I100" s="525"/>
      <c r="J100" s="458"/>
      <c r="K100" s="676"/>
      <c r="L100" s="676"/>
      <c r="M100" s="445"/>
      <c r="N100" s="445"/>
      <c r="O100" s="445"/>
      <c r="P100" s="445"/>
      <c r="Q100" s="445"/>
      <c r="R100" s="445"/>
      <c r="S100" s="445"/>
      <c r="T100" s="445"/>
      <c r="U100" s="445"/>
      <c r="V100" s="445"/>
      <c r="W100" s="445"/>
      <c r="X100" s="445"/>
      <c r="Y100" s="445"/>
    </row>
    <row r="101" spans="1:29" ht="31.5">
      <c r="A101" s="478">
        <v>1</v>
      </c>
      <c r="B101" s="464">
        <v>4</v>
      </c>
      <c r="C101" s="478" t="s">
        <v>437</v>
      </c>
      <c r="D101" s="457"/>
      <c r="E101" s="457"/>
      <c r="F101" s="457"/>
      <c r="G101" s="457"/>
      <c r="H101" s="473" t="s">
        <v>620</v>
      </c>
      <c r="I101" s="477">
        <f>I102</f>
        <v>0</v>
      </c>
      <c r="J101" s="458"/>
      <c r="K101" s="676"/>
      <c r="L101" s="676"/>
      <c r="M101" s="445"/>
      <c r="N101" s="445"/>
      <c r="O101" s="445"/>
      <c r="P101" s="445"/>
      <c r="Q101" s="445"/>
      <c r="R101" s="445"/>
      <c r="S101" s="445"/>
      <c r="T101" s="445"/>
      <c r="U101" s="445"/>
      <c r="V101" s="445"/>
      <c r="W101" s="445"/>
      <c r="X101" s="445"/>
      <c r="Y101" s="445"/>
    </row>
    <row r="102" spans="1:29" ht="18">
      <c r="A102" s="478">
        <v>1</v>
      </c>
      <c r="B102" s="464">
        <v>4</v>
      </c>
      <c r="C102" s="478" t="s">
        <v>437</v>
      </c>
      <c r="D102" s="457">
        <v>5</v>
      </c>
      <c r="E102" s="457"/>
      <c r="F102" s="457"/>
      <c r="G102" s="457">
        <v>2</v>
      </c>
      <c r="H102" s="456" t="s">
        <v>8</v>
      </c>
      <c r="I102" s="525"/>
      <c r="J102" s="458"/>
      <c r="K102" s="676"/>
      <c r="L102" s="676"/>
      <c r="M102" s="445"/>
      <c r="N102" s="445"/>
      <c r="O102" s="445"/>
      <c r="P102" s="445"/>
      <c r="Q102" s="445"/>
      <c r="R102" s="445"/>
      <c r="S102" s="445"/>
      <c r="T102" s="445"/>
      <c r="U102" s="445"/>
      <c r="V102" s="445"/>
      <c r="W102" s="445"/>
      <c r="X102" s="445"/>
      <c r="Y102" s="445"/>
    </row>
    <row r="103" spans="1:29" ht="15.75" customHeight="1">
      <c r="A103" s="480">
        <v>1</v>
      </c>
      <c r="B103" s="481">
        <v>5</v>
      </c>
      <c r="C103" s="482"/>
      <c r="D103" s="452"/>
      <c r="E103" s="452"/>
      <c r="F103" s="452"/>
      <c r="G103" s="452"/>
      <c r="H103" s="483" t="s">
        <v>621</v>
      </c>
      <c r="I103" s="529" t="e">
        <f>I104+I106+I108+I110+I112+I114+I116+I119</f>
        <v>#REF!</v>
      </c>
      <c r="J103" s="454"/>
      <c r="K103" s="675"/>
      <c r="L103" s="675"/>
      <c r="M103" s="455"/>
      <c r="N103" s="455"/>
      <c r="O103" s="455"/>
      <c r="P103" s="455"/>
      <c r="Q103" s="455"/>
      <c r="R103" s="455"/>
      <c r="S103" s="455"/>
      <c r="T103" s="455"/>
      <c r="U103" s="455"/>
      <c r="V103" s="455"/>
      <c r="W103" s="455"/>
      <c r="X103" s="455"/>
      <c r="Y103" s="455"/>
      <c r="AB103" s="1" t="s">
        <v>21</v>
      </c>
    </row>
    <row r="104" spans="1:29" ht="18">
      <c r="A104" s="478">
        <v>1</v>
      </c>
      <c r="B104" s="464">
        <v>5</v>
      </c>
      <c r="C104" s="479" t="s">
        <v>593</v>
      </c>
      <c r="D104" s="457"/>
      <c r="E104" s="457"/>
      <c r="F104" s="457"/>
      <c r="G104" s="457"/>
      <c r="H104" s="476" t="s">
        <v>535</v>
      </c>
      <c r="I104" s="525"/>
      <c r="J104" s="458"/>
      <c r="K104" s="676"/>
      <c r="L104" s="676"/>
      <c r="M104" s="445"/>
      <c r="N104" s="445"/>
      <c r="O104" s="445"/>
      <c r="P104" s="445"/>
      <c r="Q104" s="445"/>
      <c r="R104" s="445"/>
      <c r="S104" s="445"/>
      <c r="T104" s="445"/>
      <c r="U104" s="445"/>
      <c r="V104" s="445"/>
      <c r="W104" s="445"/>
      <c r="X104" s="445"/>
      <c r="Y104" s="445"/>
    </row>
    <row r="105" spans="1:29" ht="15.75" customHeight="1">
      <c r="A105" s="478">
        <v>1</v>
      </c>
      <c r="B105" s="464">
        <v>5</v>
      </c>
      <c r="C105" s="479" t="s">
        <v>600</v>
      </c>
      <c r="D105" s="457">
        <v>5</v>
      </c>
      <c r="E105" s="457"/>
      <c r="F105" s="457"/>
      <c r="G105" s="457">
        <v>3</v>
      </c>
      <c r="H105" s="456" t="s">
        <v>9</v>
      </c>
      <c r="I105" s="525"/>
      <c r="J105" s="458"/>
      <c r="K105" s="676"/>
      <c r="L105" s="676"/>
      <c r="M105" s="445"/>
      <c r="N105" s="445"/>
      <c r="O105" s="445"/>
      <c r="P105" s="445"/>
      <c r="Q105" s="445"/>
      <c r="R105" s="445"/>
      <c r="S105" s="445"/>
      <c r="T105" s="445"/>
      <c r="U105" s="445"/>
      <c r="V105" s="445"/>
      <c r="W105" s="445"/>
      <c r="X105" s="445"/>
      <c r="Y105" s="445"/>
    </row>
    <row r="106" spans="1:29" ht="31.5">
      <c r="A106" s="478">
        <v>1</v>
      </c>
      <c r="B106" s="464">
        <v>5</v>
      </c>
      <c r="C106" s="479" t="s">
        <v>594</v>
      </c>
      <c r="D106" s="457"/>
      <c r="E106" s="457"/>
      <c r="F106" s="457"/>
      <c r="G106" s="457"/>
      <c r="H106" s="473" t="s">
        <v>534</v>
      </c>
      <c r="I106" s="477">
        <f>I107</f>
        <v>0</v>
      </c>
      <c r="J106" s="458"/>
      <c r="K106" s="676"/>
      <c r="L106" s="676"/>
      <c r="M106" s="445"/>
      <c r="N106" s="445"/>
      <c r="O106" s="445"/>
      <c r="P106" s="445"/>
      <c r="Q106" s="445"/>
      <c r="R106" s="445"/>
      <c r="S106" s="445"/>
      <c r="T106" s="445"/>
      <c r="U106" s="445"/>
      <c r="V106" s="445"/>
      <c r="W106" s="445"/>
      <c r="X106" s="445"/>
      <c r="Y106" s="445"/>
    </row>
    <row r="107" spans="1:29" ht="15.75" customHeight="1">
      <c r="A107" s="478">
        <v>1</v>
      </c>
      <c r="B107" s="464">
        <v>5</v>
      </c>
      <c r="C107" s="479" t="s">
        <v>594</v>
      </c>
      <c r="D107" s="457">
        <v>5</v>
      </c>
      <c r="E107" s="457"/>
      <c r="F107" s="457"/>
      <c r="G107" s="457">
        <v>2</v>
      </c>
      <c r="H107" s="456" t="s">
        <v>8</v>
      </c>
      <c r="I107" s="525"/>
      <c r="J107" s="458"/>
      <c r="K107" s="676"/>
      <c r="L107" s="676"/>
      <c r="M107" s="445"/>
      <c r="N107" s="445"/>
      <c r="O107" s="445"/>
      <c r="P107" s="445"/>
      <c r="Q107" s="445"/>
      <c r="R107" s="445"/>
      <c r="S107" s="445"/>
      <c r="T107" s="445"/>
      <c r="U107" s="445"/>
      <c r="V107" s="445"/>
      <c r="W107" s="445"/>
      <c r="X107" s="445"/>
      <c r="Y107" s="445"/>
    </row>
    <row r="108" spans="1:29" ht="18">
      <c r="A108" s="478">
        <v>1</v>
      </c>
      <c r="B108" s="464">
        <v>5</v>
      </c>
      <c r="C108" s="479" t="s">
        <v>595</v>
      </c>
      <c r="D108" s="457"/>
      <c r="E108" s="457"/>
      <c r="F108" s="457"/>
      <c r="G108" s="457"/>
      <c r="H108" s="476" t="s">
        <v>533</v>
      </c>
      <c r="I108" s="500">
        <f>I109</f>
        <v>0</v>
      </c>
      <c r="J108" s="458"/>
      <c r="K108" s="676"/>
      <c r="L108" s="676"/>
      <c r="M108" s="445"/>
      <c r="N108" s="445"/>
      <c r="O108" s="445"/>
      <c r="P108" s="445"/>
      <c r="Q108" s="445"/>
      <c r="R108" s="445"/>
      <c r="S108" s="445"/>
      <c r="T108" s="445"/>
      <c r="U108" s="445"/>
      <c r="V108" s="445"/>
      <c r="W108" s="445"/>
      <c r="X108" s="445"/>
      <c r="Y108" s="445"/>
    </row>
    <row r="109" spans="1:29" ht="15.75" customHeight="1">
      <c r="A109" s="478">
        <v>1</v>
      </c>
      <c r="B109" s="464">
        <v>5</v>
      </c>
      <c r="C109" s="479" t="s">
        <v>595</v>
      </c>
      <c r="D109" s="457">
        <v>5</v>
      </c>
      <c r="E109" s="457"/>
      <c r="F109" s="457"/>
      <c r="G109" s="457">
        <v>2</v>
      </c>
      <c r="H109" s="456" t="s">
        <v>8</v>
      </c>
      <c r="I109" s="525"/>
      <c r="J109" s="458"/>
      <c r="K109" s="676"/>
      <c r="L109" s="676"/>
      <c r="M109" s="445"/>
      <c r="N109" s="445"/>
      <c r="O109" s="445"/>
      <c r="P109" s="445"/>
      <c r="Q109" s="445"/>
      <c r="R109" s="445"/>
      <c r="S109" s="445"/>
      <c r="T109" s="445"/>
      <c r="U109" s="445"/>
      <c r="V109" s="445"/>
      <c r="W109" s="445"/>
      <c r="X109" s="445"/>
      <c r="Y109" s="445"/>
    </row>
    <row r="110" spans="1:29" ht="18">
      <c r="A110" s="478">
        <v>1</v>
      </c>
      <c r="B110" s="464">
        <v>5</v>
      </c>
      <c r="C110" s="479" t="s">
        <v>596</v>
      </c>
      <c r="D110" s="457"/>
      <c r="E110" s="457"/>
      <c r="F110" s="457"/>
      <c r="G110" s="457"/>
      <c r="H110" s="476" t="s">
        <v>532</v>
      </c>
      <c r="I110" s="500">
        <f>I111</f>
        <v>0</v>
      </c>
      <c r="J110" s="458"/>
      <c r="K110" s="676"/>
      <c r="L110" s="676"/>
      <c r="M110" s="445"/>
      <c r="N110" s="445"/>
      <c r="O110" s="445"/>
      <c r="P110" s="445"/>
      <c r="Q110" s="445"/>
      <c r="R110" s="445"/>
      <c r="S110" s="445"/>
      <c r="T110" s="445"/>
      <c r="U110" s="445"/>
      <c r="V110" s="445"/>
      <c r="W110" s="445"/>
      <c r="X110" s="445"/>
      <c r="Y110" s="445"/>
    </row>
    <row r="111" spans="1:29" ht="15.75" customHeight="1">
      <c r="A111" s="478">
        <v>1</v>
      </c>
      <c r="B111" s="464">
        <v>5</v>
      </c>
      <c r="C111" s="479" t="s">
        <v>596</v>
      </c>
      <c r="D111" s="457">
        <v>5</v>
      </c>
      <c r="E111" s="457"/>
      <c r="F111" s="457"/>
      <c r="G111" s="457">
        <v>2</v>
      </c>
      <c r="H111" s="456" t="s">
        <v>8</v>
      </c>
      <c r="I111" s="525"/>
      <c r="J111" s="458"/>
      <c r="K111" s="676"/>
      <c r="L111" s="676"/>
      <c r="M111" s="445"/>
      <c r="N111" s="445"/>
      <c r="O111" s="445"/>
      <c r="P111" s="445"/>
      <c r="Q111" s="445"/>
      <c r="R111" s="445"/>
      <c r="S111" s="445"/>
      <c r="T111" s="445"/>
      <c r="U111" s="445"/>
      <c r="V111" s="445"/>
      <c r="W111" s="445"/>
      <c r="X111" s="445"/>
      <c r="Y111" s="445"/>
      <c r="AC111" s="1" t="s">
        <v>21</v>
      </c>
    </row>
    <row r="112" spans="1:29" ht="18">
      <c r="A112" s="478">
        <v>1</v>
      </c>
      <c r="B112" s="464">
        <v>5</v>
      </c>
      <c r="C112" s="479" t="s">
        <v>597</v>
      </c>
      <c r="D112" s="457"/>
      <c r="E112" s="457"/>
      <c r="F112" s="457"/>
      <c r="G112" s="457"/>
      <c r="H112" s="476" t="s">
        <v>531</v>
      </c>
      <c r="I112" s="500">
        <f>I113</f>
        <v>0</v>
      </c>
      <c r="J112" s="458"/>
      <c r="K112" s="676"/>
      <c r="L112" s="676"/>
      <c r="M112" s="445"/>
      <c r="N112" s="445"/>
      <c r="O112" s="445"/>
      <c r="P112" s="445"/>
      <c r="Q112" s="445"/>
      <c r="R112" s="445"/>
      <c r="S112" s="445"/>
      <c r="T112" s="445"/>
      <c r="U112" s="445"/>
      <c r="V112" s="445"/>
      <c r="W112" s="445"/>
      <c r="X112" s="445"/>
      <c r="Y112" s="445"/>
    </row>
    <row r="113" spans="1:34" ht="15.75" customHeight="1">
      <c r="A113" s="478">
        <v>1</v>
      </c>
      <c r="B113" s="464">
        <v>5</v>
      </c>
      <c r="C113" s="479" t="s">
        <v>597</v>
      </c>
      <c r="D113" s="457">
        <v>5</v>
      </c>
      <c r="E113" s="457"/>
      <c r="F113" s="457"/>
      <c r="G113" s="457">
        <v>2</v>
      </c>
      <c r="H113" s="456" t="s">
        <v>8</v>
      </c>
      <c r="I113" s="525"/>
      <c r="J113" s="458"/>
      <c r="K113" s="676"/>
      <c r="L113" s="676"/>
      <c r="M113" s="445"/>
      <c r="N113" s="445"/>
      <c r="O113" s="445"/>
      <c r="P113" s="445"/>
      <c r="Q113" s="445"/>
      <c r="R113" s="445"/>
      <c r="S113" s="445"/>
      <c r="T113" s="445"/>
      <c r="U113" s="445"/>
      <c r="V113" s="445"/>
      <c r="W113" s="445"/>
      <c r="X113" s="445"/>
      <c r="Y113" s="445"/>
    </row>
    <row r="114" spans="1:34" ht="18">
      <c r="A114" s="478">
        <v>1</v>
      </c>
      <c r="B114" s="464">
        <v>5</v>
      </c>
      <c r="C114" s="479" t="s">
        <v>598</v>
      </c>
      <c r="D114" s="457"/>
      <c r="E114" s="457"/>
      <c r="F114" s="457"/>
      <c r="G114" s="457"/>
      <c r="H114" s="476" t="s">
        <v>530</v>
      </c>
      <c r="I114" s="500" t="e">
        <f>I115</f>
        <v>#REF!</v>
      </c>
      <c r="J114" s="458"/>
      <c r="K114" s="676"/>
      <c r="L114" s="676"/>
      <c r="M114" s="445"/>
      <c r="N114" s="445"/>
      <c r="O114" s="445"/>
      <c r="P114" s="445"/>
      <c r="Q114" s="445"/>
      <c r="R114" s="445"/>
      <c r="S114" s="445"/>
      <c r="T114" s="445"/>
      <c r="U114" s="445"/>
      <c r="V114" s="445"/>
      <c r="W114" s="445"/>
      <c r="X114" s="445"/>
      <c r="Y114" s="445"/>
      <c r="AE114" s="1" t="s">
        <v>21</v>
      </c>
    </row>
    <row r="115" spans="1:34" ht="18">
      <c r="A115" s="478">
        <v>1</v>
      </c>
      <c r="B115" s="464">
        <v>5</v>
      </c>
      <c r="C115" s="479" t="s">
        <v>598</v>
      </c>
      <c r="D115" s="457">
        <v>5</v>
      </c>
      <c r="E115" s="457"/>
      <c r="F115" s="457"/>
      <c r="G115" s="457">
        <v>2</v>
      </c>
      <c r="H115" s="456" t="s">
        <v>8</v>
      </c>
      <c r="I115" s="525" t="e">
        <f>#REF!</f>
        <v>#REF!</v>
      </c>
      <c r="J115" s="458"/>
      <c r="K115" s="676"/>
      <c r="L115" s="676"/>
      <c r="M115" s="445"/>
      <c r="N115" s="445"/>
      <c r="O115" s="445"/>
      <c r="P115" s="445"/>
      <c r="Q115" s="445"/>
      <c r="R115" s="445"/>
      <c r="S115" s="445"/>
      <c r="T115" s="445"/>
      <c r="U115" s="445"/>
      <c r="V115" s="445"/>
      <c r="W115" s="445"/>
      <c r="X115" s="445"/>
      <c r="Y115" s="445"/>
    </row>
    <row r="116" spans="1:34" ht="30.75" customHeight="1">
      <c r="A116" s="478">
        <v>1</v>
      </c>
      <c r="B116" s="464">
        <v>5</v>
      </c>
      <c r="C116" s="479" t="s">
        <v>600</v>
      </c>
      <c r="D116" s="457"/>
      <c r="E116" s="457"/>
      <c r="F116" s="457"/>
      <c r="G116" s="457"/>
      <c r="H116" s="476" t="s">
        <v>622</v>
      </c>
      <c r="I116" s="500">
        <f>I117+I118</f>
        <v>0</v>
      </c>
      <c r="J116" s="458"/>
      <c r="K116" s="676"/>
      <c r="L116" s="676"/>
      <c r="M116" s="445"/>
      <c r="N116" s="445"/>
      <c r="O116" s="445"/>
      <c r="P116" s="445"/>
      <c r="Q116" s="445"/>
      <c r="R116" s="445"/>
      <c r="S116" s="445"/>
      <c r="T116" s="445"/>
      <c r="U116" s="445"/>
      <c r="V116" s="445"/>
      <c r="W116" s="445"/>
      <c r="X116" s="445"/>
      <c r="Y116" s="445"/>
    </row>
    <row r="117" spans="1:34" ht="18">
      <c r="A117" s="478">
        <v>1</v>
      </c>
      <c r="B117" s="464">
        <v>5</v>
      </c>
      <c r="C117" s="479" t="s">
        <v>600</v>
      </c>
      <c r="D117" s="457">
        <v>5</v>
      </c>
      <c r="E117" s="457"/>
      <c r="F117" s="457"/>
      <c r="G117" s="457">
        <v>2</v>
      </c>
      <c r="H117" s="456" t="s">
        <v>8</v>
      </c>
      <c r="I117" s="525"/>
      <c r="J117" s="458"/>
      <c r="K117" s="676"/>
      <c r="L117" s="676"/>
      <c r="M117" s="445"/>
      <c r="N117" s="445"/>
      <c r="O117" s="445"/>
      <c r="P117" s="445"/>
      <c r="Q117" s="445"/>
      <c r="R117" s="445"/>
      <c r="S117" s="445"/>
      <c r="T117" s="445"/>
      <c r="U117" s="445"/>
      <c r="V117" s="445"/>
      <c r="W117" s="445"/>
      <c r="X117" s="445"/>
      <c r="Y117" s="445"/>
    </row>
    <row r="118" spans="1:34" ht="18">
      <c r="A118" s="478">
        <v>1</v>
      </c>
      <c r="B118" s="464">
        <v>5</v>
      </c>
      <c r="C118" s="479" t="s">
        <v>600</v>
      </c>
      <c r="D118" s="457">
        <v>5</v>
      </c>
      <c r="E118" s="457"/>
      <c r="F118" s="457"/>
      <c r="G118" s="457">
        <v>3</v>
      </c>
      <c r="H118" s="456" t="s">
        <v>9</v>
      </c>
      <c r="I118" s="525"/>
      <c r="J118" s="458"/>
      <c r="K118" s="676"/>
      <c r="L118" s="676"/>
      <c r="M118" s="445"/>
      <c r="N118" s="445"/>
      <c r="O118" s="445"/>
      <c r="P118" s="445"/>
      <c r="Q118" s="445"/>
      <c r="R118" s="445"/>
      <c r="S118" s="445"/>
      <c r="T118" s="445"/>
      <c r="U118" s="445"/>
      <c r="V118" s="445"/>
      <c r="W118" s="445"/>
      <c r="X118" s="445"/>
      <c r="Y118" s="445"/>
      <c r="AB118" s="1" t="s">
        <v>417</v>
      </c>
      <c r="AC118" s="2">
        <f>J28</f>
        <v>0</v>
      </c>
      <c r="AD118" s="2" t="s">
        <v>427</v>
      </c>
      <c r="AE118" s="2">
        <f>J118+J126+J134+J142+J149+J157</f>
        <v>0</v>
      </c>
      <c r="AF118" s="1" t="s">
        <v>35</v>
      </c>
      <c r="AG118" s="2">
        <f>AC118-AE118</f>
        <v>0</v>
      </c>
    </row>
    <row r="119" spans="1:34" ht="18">
      <c r="A119" s="485">
        <v>1</v>
      </c>
      <c r="B119" s="464">
        <v>5</v>
      </c>
      <c r="C119" s="486" t="s">
        <v>437</v>
      </c>
      <c r="D119" s="457"/>
      <c r="E119" s="457"/>
      <c r="F119" s="457"/>
      <c r="G119" s="457"/>
      <c r="H119" s="476" t="s">
        <v>623</v>
      </c>
      <c r="I119" s="500">
        <f>I120+I121</f>
        <v>0</v>
      </c>
      <c r="J119" s="458"/>
      <c r="K119" s="676"/>
      <c r="L119" s="676"/>
      <c r="M119" s="445"/>
      <c r="N119" s="445"/>
      <c r="O119" s="445"/>
      <c r="P119" s="445"/>
      <c r="Q119" s="445"/>
      <c r="R119" s="445"/>
      <c r="S119" s="445"/>
      <c r="T119" s="445"/>
      <c r="U119" s="445"/>
      <c r="V119" s="445"/>
      <c r="W119" s="445"/>
      <c r="X119" s="445"/>
      <c r="Y119" s="445"/>
      <c r="AB119" s="2"/>
      <c r="AE119" s="2"/>
    </row>
    <row r="120" spans="1:34" ht="15.75" customHeight="1">
      <c r="A120" s="485">
        <v>1</v>
      </c>
      <c r="B120" s="464">
        <v>5</v>
      </c>
      <c r="C120" s="486" t="s">
        <v>437</v>
      </c>
      <c r="D120" s="457">
        <v>5</v>
      </c>
      <c r="E120" s="457"/>
      <c r="F120" s="457"/>
      <c r="G120" s="457">
        <v>2</v>
      </c>
      <c r="H120" s="456" t="s">
        <v>8</v>
      </c>
      <c r="I120" s="525"/>
      <c r="J120" s="458"/>
      <c r="K120" s="676"/>
      <c r="L120" s="676"/>
      <c r="M120" s="445"/>
      <c r="N120" s="445"/>
      <c r="O120" s="445"/>
      <c r="P120" s="445"/>
      <c r="Q120" s="445"/>
      <c r="R120" s="445"/>
      <c r="S120" s="445"/>
      <c r="T120" s="445"/>
      <c r="U120" s="445"/>
      <c r="V120" s="445"/>
      <c r="W120" s="445"/>
      <c r="X120" s="445"/>
      <c r="Y120" s="445"/>
      <c r="AA120" s="247" t="e">
        <f>J120/J123</f>
        <v>#DIV/0!</v>
      </c>
      <c r="AB120" s="2"/>
      <c r="AC120" s="257" t="s">
        <v>426</v>
      </c>
      <c r="AD120" s="257" t="s">
        <v>425</v>
      </c>
      <c r="AE120" s="258" t="s">
        <v>416</v>
      </c>
      <c r="AF120" s="258" t="s">
        <v>315</v>
      </c>
      <c r="AG120" s="260" t="s">
        <v>424</v>
      </c>
      <c r="AH120" s="259" t="s">
        <v>424</v>
      </c>
    </row>
    <row r="121" spans="1:34" ht="18">
      <c r="A121" s="485">
        <v>1</v>
      </c>
      <c r="B121" s="464">
        <v>5</v>
      </c>
      <c r="C121" s="486" t="s">
        <v>437</v>
      </c>
      <c r="D121" s="457">
        <v>5</v>
      </c>
      <c r="E121" s="457"/>
      <c r="F121" s="457"/>
      <c r="G121" s="457">
        <v>3</v>
      </c>
      <c r="H121" s="456" t="s">
        <v>9</v>
      </c>
      <c r="I121" s="525"/>
      <c r="J121" s="458"/>
      <c r="K121" s="676"/>
      <c r="L121" s="676"/>
      <c r="M121" s="445"/>
      <c r="N121" s="445"/>
      <c r="O121" s="445"/>
      <c r="P121" s="445"/>
      <c r="Q121" s="445"/>
      <c r="R121" s="445"/>
      <c r="S121" s="445"/>
      <c r="T121" s="445"/>
      <c r="U121" s="445"/>
      <c r="V121" s="445"/>
      <c r="W121" s="445"/>
      <c r="X121" s="445"/>
      <c r="Y121" s="445"/>
      <c r="AB121" s="254" t="s">
        <v>418</v>
      </c>
      <c r="AC121" s="190">
        <f>J118</f>
        <v>0</v>
      </c>
      <c r="AD121" s="190">
        <f>J124</f>
        <v>0</v>
      </c>
      <c r="AE121" s="190">
        <f>J120</f>
        <v>0</v>
      </c>
      <c r="AF121" s="190">
        <f>J119</f>
        <v>0</v>
      </c>
      <c r="AG121" s="251" t="e">
        <f t="shared" ref="AG121:AG127" si="8">AF121/AC121</f>
        <v>#DIV/0!</v>
      </c>
      <c r="AH121" s="251" t="e">
        <f>AE121/AC121</f>
        <v>#DIV/0!</v>
      </c>
    </row>
    <row r="122" spans="1:34" ht="27" customHeight="1">
      <c r="A122" s="452">
        <v>2</v>
      </c>
      <c r="B122" s="459"/>
      <c r="C122" s="459"/>
      <c r="D122" s="452"/>
      <c r="E122" s="452"/>
      <c r="F122" s="452"/>
      <c r="G122" s="452"/>
      <c r="H122" s="453" t="s">
        <v>91</v>
      </c>
      <c r="I122" s="529" t="e">
        <f>I123+I150+I172+I213+I250+I259+I270+I277</f>
        <v>#REF!</v>
      </c>
      <c r="J122" s="454"/>
      <c r="K122" s="675"/>
      <c r="L122" s="675"/>
      <c r="M122" s="455"/>
      <c r="N122" s="455"/>
      <c r="O122" s="455"/>
      <c r="P122" s="455"/>
      <c r="Q122" s="455"/>
      <c r="R122" s="455"/>
      <c r="S122" s="455"/>
      <c r="T122" s="455"/>
      <c r="U122" s="455"/>
      <c r="V122" s="455"/>
      <c r="W122" s="455"/>
      <c r="X122" s="455"/>
      <c r="Y122" s="455"/>
      <c r="AA122" s="248" t="e">
        <f>J119/J118</f>
        <v>#DIV/0!</v>
      </c>
      <c r="AB122" s="255" t="s">
        <v>419</v>
      </c>
      <c r="AC122" s="190">
        <f>J126</f>
        <v>0</v>
      </c>
      <c r="AD122" s="190">
        <f>J132</f>
        <v>0</v>
      </c>
      <c r="AE122" s="190">
        <f>J128</f>
        <v>0</v>
      </c>
      <c r="AF122" s="190">
        <f>J127</f>
        <v>0</v>
      </c>
      <c r="AG122" s="251" t="e">
        <f t="shared" si="8"/>
        <v>#DIV/0!</v>
      </c>
      <c r="AH122" s="251" t="e">
        <f t="shared" ref="AH122:AH127" si="9">AE122/AC122</f>
        <v>#DIV/0!</v>
      </c>
    </row>
    <row r="123" spans="1:34" ht="18">
      <c r="A123" s="452">
        <v>2</v>
      </c>
      <c r="B123" s="459">
        <v>1</v>
      </c>
      <c r="C123" s="459"/>
      <c r="D123" s="452"/>
      <c r="E123" s="452"/>
      <c r="F123" s="452"/>
      <c r="G123" s="452"/>
      <c r="H123" s="453" t="s">
        <v>624</v>
      </c>
      <c r="I123" s="529" t="e">
        <f>I124+I127+I129+I131+I133+I135+I137+I139+I142+I145+I147</f>
        <v>#REF!</v>
      </c>
      <c r="J123" s="454"/>
      <c r="K123" s="675"/>
      <c r="L123" s="675"/>
      <c r="M123" s="455"/>
      <c r="N123" s="455"/>
      <c r="O123" s="455"/>
      <c r="P123" s="455"/>
      <c r="Q123" s="455"/>
      <c r="R123" s="455"/>
      <c r="S123" s="455"/>
      <c r="T123" s="455"/>
      <c r="U123" s="455"/>
      <c r="V123" s="455"/>
      <c r="W123" s="455"/>
      <c r="X123" s="455"/>
      <c r="Y123" s="455"/>
      <c r="AB123" s="255" t="s">
        <v>420</v>
      </c>
      <c r="AC123" s="190">
        <f>J134</f>
        <v>0</v>
      </c>
      <c r="AD123" s="190">
        <f>J140</f>
        <v>0</v>
      </c>
      <c r="AE123" s="190">
        <f>J136</f>
        <v>0</v>
      </c>
      <c r="AF123" s="190">
        <f>J135</f>
        <v>0</v>
      </c>
      <c r="AG123" s="251" t="e">
        <f t="shared" si="8"/>
        <v>#DIV/0!</v>
      </c>
      <c r="AH123" s="251" t="e">
        <f t="shared" si="9"/>
        <v>#DIV/0!</v>
      </c>
    </row>
    <row r="124" spans="1:34" ht="15.75" customHeight="1">
      <c r="A124" s="463">
        <v>2</v>
      </c>
      <c r="B124" s="464">
        <v>1</v>
      </c>
      <c r="C124" s="464" t="s">
        <v>593</v>
      </c>
      <c r="D124" s="457"/>
      <c r="E124" s="457"/>
      <c r="F124" s="457"/>
      <c r="G124" s="457"/>
      <c r="H124" s="473" t="s">
        <v>625</v>
      </c>
      <c r="I124" s="477">
        <f>I125+I126</f>
        <v>0</v>
      </c>
      <c r="J124" s="458"/>
      <c r="K124" s="676"/>
      <c r="L124" s="676"/>
      <c r="M124" s="445"/>
      <c r="N124" s="445"/>
      <c r="O124" s="445"/>
      <c r="P124" s="445"/>
      <c r="Q124" s="445"/>
      <c r="R124" s="445"/>
      <c r="S124" s="445"/>
      <c r="T124" s="445"/>
      <c r="U124" s="445"/>
      <c r="V124" s="445"/>
      <c r="W124" s="445"/>
      <c r="X124" s="445"/>
      <c r="Y124" s="445"/>
      <c r="AB124" s="254" t="s">
        <v>421</v>
      </c>
      <c r="AC124" s="190">
        <f>J142</f>
        <v>0</v>
      </c>
      <c r="AD124" s="190">
        <f>J147</f>
        <v>0</v>
      </c>
      <c r="AE124" s="190">
        <f>J144</f>
        <v>0</v>
      </c>
      <c r="AF124" s="190">
        <f>J143</f>
        <v>0</v>
      </c>
      <c r="AG124" s="251" t="e">
        <f t="shared" si="8"/>
        <v>#DIV/0!</v>
      </c>
      <c r="AH124" s="251" t="e">
        <f t="shared" si="9"/>
        <v>#DIV/0!</v>
      </c>
    </row>
    <row r="125" spans="1:34" ht="18">
      <c r="A125" s="463">
        <v>2</v>
      </c>
      <c r="B125" s="464">
        <v>1</v>
      </c>
      <c r="C125" s="464" t="s">
        <v>593</v>
      </c>
      <c r="D125" s="457">
        <v>5</v>
      </c>
      <c r="E125" s="457"/>
      <c r="F125" s="457"/>
      <c r="G125" s="457">
        <v>2</v>
      </c>
      <c r="H125" s="456" t="s">
        <v>8</v>
      </c>
      <c r="I125" s="500"/>
      <c r="J125" s="458"/>
      <c r="K125" s="676"/>
      <c r="L125" s="676"/>
      <c r="M125" s="445"/>
      <c r="N125" s="445"/>
      <c r="O125" s="445"/>
      <c r="P125" s="445"/>
      <c r="Q125" s="445"/>
      <c r="R125" s="445"/>
      <c r="S125" s="445"/>
      <c r="T125" s="445"/>
      <c r="U125" s="445"/>
      <c r="V125" s="445"/>
      <c r="W125" s="445"/>
      <c r="X125" s="445"/>
      <c r="Y125" s="445"/>
      <c r="AB125" s="254" t="s">
        <v>422</v>
      </c>
      <c r="AC125" s="190">
        <f>J149</f>
        <v>0</v>
      </c>
      <c r="AD125" s="190">
        <f>J154</f>
        <v>0</v>
      </c>
      <c r="AE125" s="190">
        <f>J151</f>
        <v>0</v>
      </c>
      <c r="AF125" s="190">
        <f>J150</f>
        <v>0</v>
      </c>
      <c r="AG125" s="251" t="e">
        <f t="shared" si="8"/>
        <v>#DIV/0!</v>
      </c>
      <c r="AH125" s="251" t="e">
        <f t="shared" si="9"/>
        <v>#DIV/0!</v>
      </c>
    </row>
    <row r="126" spans="1:34" ht="18">
      <c r="A126" s="463">
        <v>2</v>
      </c>
      <c r="B126" s="464">
        <v>1</v>
      </c>
      <c r="C126" s="464" t="s">
        <v>593</v>
      </c>
      <c r="D126" s="457">
        <v>5</v>
      </c>
      <c r="E126" s="457"/>
      <c r="F126" s="457"/>
      <c r="G126" s="457">
        <v>3</v>
      </c>
      <c r="H126" s="456" t="s">
        <v>9</v>
      </c>
      <c r="I126" s="500"/>
      <c r="J126" s="458"/>
      <c r="K126" s="676"/>
      <c r="L126" s="676"/>
      <c r="M126" s="445"/>
      <c r="N126" s="445"/>
      <c r="O126" s="445"/>
      <c r="P126" s="445"/>
      <c r="Q126" s="445"/>
      <c r="R126" s="445"/>
      <c r="S126" s="445"/>
      <c r="T126" s="445"/>
      <c r="U126" s="445"/>
      <c r="V126" s="445"/>
      <c r="W126" s="445"/>
      <c r="X126" s="445"/>
      <c r="Y126" s="445"/>
      <c r="AB126" s="256" t="s">
        <v>423</v>
      </c>
      <c r="AC126" s="252">
        <f>J157</f>
        <v>0</v>
      </c>
      <c r="AD126" s="252">
        <f>J162</f>
        <v>0</v>
      </c>
      <c r="AE126" s="252">
        <f>J159</f>
        <v>0</v>
      </c>
      <c r="AF126" s="252">
        <f>J158</f>
        <v>0</v>
      </c>
      <c r="AG126" s="253" t="e">
        <f t="shared" si="8"/>
        <v>#DIV/0!</v>
      </c>
      <c r="AH126" s="253" t="e">
        <f t="shared" si="9"/>
        <v>#DIV/0!</v>
      </c>
    </row>
    <row r="127" spans="1:34" ht="18">
      <c r="A127" s="457">
        <v>2</v>
      </c>
      <c r="B127" s="464">
        <v>1</v>
      </c>
      <c r="C127" s="464" t="s">
        <v>594</v>
      </c>
      <c r="D127" s="457"/>
      <c r="E127" s="457"/>
      <c r="F127" s="457"/>
      <c r="G127" s="457"/>
      <c r="H127" s="476" t="s">
        <v>529</v>
      </c>
      <c r="I127" s="500">
        <f>I128</f>
        <v>0</v>
      </c>
      <c r="J127" s="458"/>
      <c r="K127" s="676"/>
      <c r="L127" s="676"/>
      <c r="M127" s="445"/>
      <c r="N127" s="445"/>
      <c r="O127" s="445"/>
      <c r="P127" s="445"/>
      <c r="Q127" s="445"/>
      <c r="R127" s="445"/>
      <c r="S127" s="445"/>
      <c r="T127" s="445"/>
      <c r="U127" s="445"/>
      <c r="V127" s="445"/>
      <c r="W127" s="445"/>
      <c r="X127" s="445"/>
      <c r="Y127" s="445"/>
      <c r="AA127" s="247" t="e">
        <f>J128/J132</f>
        <v>#DIV/0!</v>
      </c>
      <c r="AB127" s="2"/>
      <c r="AC127" s="190">
        <f>SUM(AC121:AC126)</f>
        <v>0</v>
      </c>
      <c r="AD127" s="190">
        <f>SUM(AD121:AD126)</f>
        <v>0</v>
      </c>
      <c r="AE127" s="190">
        <f>SUM(AE121:AE126)</f>
        <v>0</v>
      </c>
      <c r="AF127" s="190">
        <f>SUM(AF121:AF126)</f>
        <v>0</v>
      </c>
      <c r="AG127" s="251" t="e">
        <f t="shared" si="8"/>
        <v>#DIV/0!</v>
      </c>
      <c r="AH127" s="251" t="e">
        <f t="shared" si="9"/>
        <v>#DIV/0!</v>
      </c>
    </row>
    <row r="128" spans="1:34" ht="18">
      <c r="A128" s="457">
        <v>2</v>
      </c>
      <c r="B128" s="464">
        <v>1</v>
      </c>
      <c r="C128" s="464" t="s">
        <v>594</v>
      </c>
      <c r="D128" s="457">
        <v>5</v>
      </c>
      <c r="E128" s="457"/>
      <c r="F128" s="457"/>
      <c r="G128" s="457">
        <v>2</v>
      </c>
      <c r="H128" s="456" t="s">
        <v>8</v>
      </c>
      <c r="I128" s="500"/>
      <c r="J128" s="458"/>
      <c r="K128" s="676"/>
      <c r="L128" s="676"/>
      <c r="M128" s="445"/>
      <c r="N128" s="445"/>
      <c r="O128" s="445"/>
      <c r="P128" s="445"/>
      <c r="Q128" s="445"/>
      <c r="R128" s="445"/>
      <c r="S128" s="445"/>
      <c r="T128" s="445"/>
      <c r="U128" s="445"/>
      <c r="V128" s="445"/>
      <c r="W128" s="445"/>
      <c r="X128" s="445"/>
      <c r="Y128" s="445"/>
      <c r="AE128" s="190">
        <f>J120+J121</f>
        <v>0</v>
      </c>
      <c r="AG128" s="251" t="e">
        <f t="shared" ref="AG128:AG133" si="10">AE128/AC121</f>
        <v>#DIV/0!</v>
      </c>
    </row>
    <row r="129" spans="1:33" ht="18">
      <c r="A129" s="463">
        <v>2</v>
      </c>
      <c r="B129" s="464">
        <v>1</v>
      </c>
      <c r="C129" s="464" t="s">
        <v>595</v>
      </c>
      <c r="D129" s="457"/>
      <c r="E129" s="457"/>
      <c r="F129" s="457"/>
      <c r="G129" s="457"/>
      <c r="H129" s="473" t="s">
        <v>528</v>
      </c>
      <c r="I129" s="477">
        <f>I130</f>
        <v>0</v>
      </c>
      <c r="J129" s="458"/>
      <c r="K129" s="676"/>
      <c r="L129" s="676"/>
      <c r="M129" s="445"/>
      <c r="N129" s="445"/>
      <c r="O129" s="445"/>
      <c r="P129" s="445"/>
      <c r="Q129" s="445"/>
      <c r="R129" s="445"/>
      <c r="S129" s="445"/>
      <c r="T129" s="445"/>
      <c r="U129" s="445"/>
      <c r="V129" s="445"/>
      <c r="W129" s="445"/>
      <c r="X129" s="445"/>
      <c r="Y129" s="445"/>
      <c r="AA129" s="248" t="e">
        <f>J127/J126</f>
        <v>#DIV/0!</v>
      </c>
      <c r="AE129" s="190">
        <f>J128+J129</f>
        <v>0</v>
      </c>
      <c r="AG129" s="251" t="e">
        <f t="shared" si="10"/>
        <v>#DIV/0!</v>
      </c>
    </row>
    <row r="130" spans="1:33" ht="18">
      <c r="A130" s="463">
        <v>2</v>
      </c>
      <c r="B130" s="464">
        <v>1</v>
      </c>
      <c r="C130" s="464" t="s">
        <v>595</v>
      </c>
      <c r="D130" s="457">
        <v>5</v>
      </c>
      <c r="E130" s="457"/>
      <c r="F130" s="457"/>
      <c r="G130" s="457">
        <v>2</v>
      </c>
      <c r="H130" s="456" t="s">
        <v>8</v>
      </c>
      <c r="I130" s="500"/>
      <c r="J130" s="458"/>
      <c r="K130" s="676"/>
      <c r="L130" s="676"/>
      <c r="M130" s="445"/>
      <c r="N130" s="445"/>
      <c r="O130" s="445"/>
      <c r="P130" s="445"/>
      <c r="Q130" s="445"/>
      <c r="R130" s="445"/>
      <c r="S130" s="445"/>
      <c r="T130" s="445"/>
      <c r="U130" s="445"/>
      <c r="V130" s="445"/>
      <c r="W130" s="445"/>
      <c r="X130" s="445"/>
      <c r="Y130" s="445"/>
      <c r="AE130" s="190">
        <f>J136+J137</f>
        <v>0</v>
      </c>
      <c r="AG130" s="251" t="e">
        <f t="shared" si="10"/>
        <v>#DIV/0!</v>
      </c>
    </row>
    <row r="131" spans="1:33" ht="31.5">
      <c r="A131" s="463">
        <v>2</v>
      </c>
      <c r="B131" s="464">
        <v>1</v>
      </c>
      <c r="C131" s="464" t="s">
        <v>596</v>
      </c>
      <c r="D131" s="457"/>
      <c r="E131" s="457"/>
      <c r="F131" s="457"/>
      <c r="G131" s="457"/>
      <c r="H131" s="473" t="s">
        <v>626</v>
      </c>
      <c r="I131" s="477">
        <f>I132</f>
        <v>0</v>
      </c>
      <c r="J131" s="458"/>
      <c r="K131" s="676"/>
      <c r="L131" s="676"/>
      <c r="M131" s="445"/>
      <c r="N131" s="445"/>
      <c r="O131" s="445"/>
      <c r="P131" s="445"/>
      <c r="Q131" s="445"/>
      <c r="R131" s="445"/>
      <c r="S131" s="445"/>
      <c r="T131" s="445"/>
      <c r="U131" s="445"/>
      <c r="V131" s="445"/>
      <c r="W131" s="445"/>
      <c r="X131" s="445"/>
      <c r="Y131" s="445"/>
      <c r="AE131" s="190">
        <f>J144</f>
        <v>0</v>
      </c>
      <c r="AG131" s="251" t="e">
        <f t="shared" si="10"/>
        <v>#DIV/0!</v>
      </c>
    </row>
    <row r="132" spans="1:33" ht="15.75" customHeight="1">
      <c r="A132" s="463">
        <v>2</v>
      </c>
      <c r="B132" s="464">
        <v>1</v>
      </c>
      <c r="C132" s="464" t="s">
        <v>596</v>
      </c>
      <c r="D132" s="457">
        <v>5</v>
      </c>
      <c r="E132" s="457"/>
      <c r="F132" s="457"/>
      <c r="G132" s="457">
        <v>2</v>
      </c>
      <c r="H132" s="456" t="s">
        <v>8</v>
      </c>
      <c r="I132" s="500"/>
      <c r="J132" s="458"/>
      <c r="K132" s="676"/>
      <c r="L132" s="676"/>
      <c r="M132" s="445"/>
      <c r="N132" s="445"/>
      <c r="O132" s="445"/>
      <c r="P132" s="445"/>
      <c r="Q132" s="445"/>
      <c r="R132" s="445"/>
      <c r="S132" s="445"/>
      <c r="T132" s="445"/>
      <c r="U132" s="445"/>
      <c r="V132" s="445"/>
      <c r="W132" s="445"/>
      <c r="X132" s="445"/>
      <c r="Y132" s="445"/>
      <c r="AE132" s="190">
        <f>J151</f>
        <v>0</v>
      </c>
      <c r="AG132" s="251" t="e">
        <f t="shared" si="10"/>
        <v>#DIV/0!</v>
      </c>
    </row>
    <row r="133" spans="1:33" ht="31.5">
      <c r="A133" s="463">
        <v>2</v>
      </c>
      <c r="B133" s="464">
        <v>1</v>
      </c>
      <c r="C133" s="464" t="s">
        <v>597</v>
      </c>
      <c r="D133" s="457"/>
      <c r="E133" s="457"/>
      <c r="F133" s="457"/>
      <c r="G133" s="457"/>
      <c r="H133" s="473" t="s">
        <v>627</v>
      </c>
      <c r="I133" s="477">
        <f>I134</f>
        <v>0</v>
      </c>
      <c r="J133" s="458"/>
      <c r="K133" s="676"/>
      <c r="L133" s="676"/>
      <c r="M133" s="445"/>
      <c r="N133" s="445"/>
      <c r="O133" s="445"/>
      <c r="P133" s="445"/>
      <c r="Q133" s="445"/>
      <c r="R133" s="445"/>
      <c r="S133" s="445"/>
      <c r="T133" s="445"/>
      <c r="U133" s="445"/>
      <c r="V133" s="445"/>
      <c r="W133" s="445"/>
      <c r="X133" s="445"/>
      <c r="Y133" s="445"/>
      <c r="AE133" s="190">
        <f>J159</f>
        <v>0</v>
      </c>
      <c r="AG133" s="251" t="e">
        <f t="shared" si="10"/>
        <v>#DIV/0!</v>
      </c>
    </row>
    <row r="134" spans="1:33" ht="18">
      <c r="A134" s="463">
        <v>2</v>
      </c>
      <c r="B134" s="464">
        <v>1</v>
      </c>
      <c r="C134" s="464" t="s">
        <v>597</v>
      </c>
      <c r="D134" s="457">
        <v>5</v>
      </c>
      <c r="E134" s="457"/>
      <c r="F134" s="457"/>
      <c r="G134" s="457">
        <v>2</v>
      </c>
      <c r="H134" s="456" t="s">
        <v>8</v>
      </c>
      <c r="I134" s="500"/>
      <c r="J134" s="458"/>
      <c r="K134" s="676"/>
      <c r="L134" s="676"/>
      <c r="M134" s="445"/>
      <c r="N134" s="445"/>
      <c r="O134" s="445"/>
      <c r="P134" s="445"/>
      <c r="Q134" s="445"/>
      <c r="R134" s="445"/>
      <c r="S134" s="445"/>
      <c r="T134" s="445"/>
      <c r="U134" s="445"/>
      <c r="V134" s="445"/>
      <c r="W134" s="445"/>
      <c r="X134" s="445"/>
      <c r="Y134" s="445"/>
      <c r="AE134" s="252">
        <f>SUM(AE128:AE133)</f>
        <v>0</v>
      </c>
      <c r="AG134" s="253" t="e">
        <f>AE134/AE118</f>
        <v>#DIV/0!</v>
      </c>
    </row>
    <row r="135" spans="1:33" ht="47.25">
      <c r="A135" s="463">
        <v>2</v>
      </c>
      <c r="B135" s="464">
        <v>1</v>
      </c>
      <c r="C135" s="464" t="s">
        <v>598</v>
      </c>
      <c r="D135" s="457"/>
      <c r="E135" s="457"/>
      <c r="F135" s="457"/>
      <c r="G135" s="457"/>
      <c r="H135" s="473" t="s">
        <v>628</v>
      </c>
      <c r="I135" s="477" t="e">
        <f>I136</f>
        <v>#REF!</v>
      </c>
      <c r="J135" s="458"/>
      <c r="K135" s="676"/>
      <c r="L135" s="676"/>
      <c r="M135" s="445"/>
      <c r="N135" s="445"/>
      <c r="O135" s="445"/>
      <c r="P135" s="445"/>
      <c r="Q135" s="445"/>
      <c r="R135" s="445"/>
      <c r="S135" s="445"/>
      <c r="T135" s="445"/>
      <c r="U135" s="445"/>
      <c r="V135" s="445"/>
      <c r="W135" s="445"/>
      <c r="X135" s="445"/>
      <c r="Y135" s="445"/>
    </row>
    <row r="136" spans="1:33" ht="15.75" customHeight="1">
      <c r="A136" s="463">
        <v>2</v>
      </c>
      <c r="B136" s="464">
        <v>1</v>
      </c>
      <c r="C136" s="464" t="s">
        <v>598</v>
      </c>
      <c r="D136" s="457">
        <v>5</v>
      </c>
      <c r="E136" s="457"/>
      <c r="F136" s="457"/>
      <c r="G136" s="457">
        <v>3</v>
      </c>
      <c r="H136" s="456" t="s">
        <v>9</v>
      </c>
      <c r="I136" s="500" t="e">
        <f>#REF!</f>
        <v>#REF!</v>
      </c>
      <c r="J136" s="458"/>
      <c r="K136" s="676"/>
      <c r="L136" s="676"/>
      <c r="M136" s="445"/>
      <c r="N136" s="445"/>
      <c r="O136" s="445"/>
      <c r="P136" s="445"/>
      <c r="Q136" s="445"/>
      <c r="R136" s="445"/>
      <c r="S136" s="445"/>
      <c r="T136" s="445"/>
      <c r="U136" s="445"/>
      <c r="V136" s="445"/>
      <c r="W136" s="445"/>
      <c r="X136" s="445"/>
      <c r="Y136" s="445"/>
      <c r="AA136" s="247" t="e">
        <f>J136/J140</f>
        <v>#DIV/0!</v>
      </c>
    </row>
    <row r="137" spans="1:33" ht="31.5">
      <c r="A137" s="463">
        <v>2</v>
      </c>
      <c r="B137" s="464">
        <v>1</v>
      </c>
      <c r="C137" s="464" t="s">
        <v>600</v>
      </c>
      <c r="D137" s="457"/>
      <c r="E137" s="457"/>
      <c r="F137" s="457"/>
      <c r="G137" s="457"/>
      <c r="H137" s="473" t="s">
        <v>527</v>
      </c>
      <c r="I137" s="477">
        <f>I138</f>
        <v>0</v>
      </c>
      <c r="J137" s="458"/>
      <c r="K137" s="676"/>
      <c r="L137" s="676"/>
      <c r="M137" s="445"/>
      <c r="N137" s="445"/>
      <c r="O137" s="445"/>
      <c r="P137" s="445"/>
      <c r="Q137" s="445"/>
      <c r="R137" s="445"/>
      <c r="S137" s="445"/>
      <c r="T137" s="445"/>
      <c r="U137" s="445"/>
      <c r="V137" s="445"/>
      <c r="W137" s="445"/>
      <c r="X137" s="445"/>
      <c r="Y137" s="445"/>
    </row>
    <row r="138" spans="1:33" ht="31.5" customHeight="1">
      <c r="A138" s="463">
        <v>2</v>
      </c>
      <c r="B138" s="464">
        <v>1</v>
      </c>
      <c r="C138" s="464" t="s">
        <v>600</v>
      </c>
      <c r="D138" s="457">
        <v>5</v>
      </c>
      <c r="E138" s="457"/>
      <c r="F138" s="457"/>
      <c r="G138" s="457">
        <v>3</v>
      </c>
      <c r="H138" s="456" t="s">
        <v>9</v>
      </c>
      <c r="I138" s="500"/>
      <c r="J138" s="458"/>
      <c r="K138" s="676"/>
      <c r="L138" s="676"/>
      <c r="M138" s="445"/>
      <c r="N138" s="445"/>
      <c r="O138" s="445"/>
      <c r="P138" s="445"/>
      <c r="Q138" s="445"/>
      <c r="R138" s="445"/>
      <c r="S138" s="445"/>
      <c r="T138" s="445"/>
      <c r="U138" s="445"/>
      <c r="V138" s="445"/>
      <c r="W138" s="445"/>
      <c r="X138" s="445"/>
      <c r="Y138" s="445"/>
      <c r="AA138" s="248" t="e">
        <f>J135/J134</f>
        <v>#DIV/0!</v>
      </c>
    </row>
    <row r="139" spans="1:33" ht="31.5">
      <c r="A139" s="463">
        <v>2</v>
      </c>
      <c r="B139" s="464">
        <v>1</v>
      </c>
      <c r="C139" s="464" t="s">
        <v>614</v>
      </c>
      <c r="D139" s="457"/>
      <c r="E139" s="457"/>
      <c r="F139" s="457"/>
      <c r="G139" s="457"/>
      <c r="H139" s="473" t="s">
        <v>526</v>
      </c>
      <c r="I139" s="477">
        <f>I140+I141</f>
        <v>0</v>
      </c>
      <c r="J139" s="458"/>
      <c r="K139" s="676"/>
      <c r="L139" s="676"/>
      <c r="M139" s="445"/>
      <c r="N139" s="445"/>
      <c r="O139" s="445"/>
      <c r="P139" s="445"/>
      <c r="Q139" s="445"/>
      <c r="R139" s="445"/>
      <c r="S139" s="445"/>
      <c r="T139" s="445"/>
      <c r="U139" s="445"/>
      <c r="V139" s="445"/>
      <c r="W139" s="445"/>
      <c r="X139" s="445"/>
      <c r="Y139" s="445"/>
    </row>
    <row r="140" spans="1:33" ht="15.75" customHeight="1">
      <c r="A140" s="463">
        <v>2</v>
      </c>
      <c r="B140" s="464">
        <v>1</v>
      </c>
      <c r="C140" s="464" t="s">
        <v>614</v>
      </c>
      <c r="D140" s="457">
        <v>5</v>
      </c>
      <c r="E140" s="457"/>
      <c r="F140" s="457"/>
      <c r="G140" s="457">
        <v>2</v>
      </c>
      <c r="H140" s="456" t="s">
        <v>8</v>
      </c>
      <c r="I140" s="500"/>
      <c r="J140" s="458"/>
      <c r="K140" s="676"/>
      <c r="L140" s="676"/>
      <c r="M140" s="445"/>
      <c r="N140" s="445"/>
      <c r="O140" s="445"/>
      <c r="P140" s="445"/>
      <c r="Q140" s="445"/>
      <c r="R140" s="445"/>
      <c r="S140" s="445"/>
      <c r="T140" s="445"/>
      <c r="U140" s="445"/>
      <c r="V140" s="445"/>
      <c r="W140" s="445"/>
      <c r="X140" s="445"/>
      <c r="Y140" s="445"/>
    </row>
    <row r="141" spans="1:33" ht="18">
      <c r="A141" s="463">
        <v>2</v>
      </c>
      <c r="B141" s="464">
        <v>1</v>
      </c>
      <c r="C141" s="464" t="s">
        <v>614</v>
      </c>
      <c r="D141" s="457">
        <v>5</v>
      </c>
      <c r="E141" s="457"/>
      <c r="F141" s="457"/>
      <c r="G141" s="457">
        <v>3</v>
      </c>
      <c r="H141" s="456" t="s">
        <v>9</v>
      </c>
      <c r="I141" s="500"/>
      <c r="J141" s="458"/>
      <c r="K141" s="676"/>
      <c r="L141" s="676"/>
      <c r="M141" s="445"/>
      <c r="N141" s="445"/>
      <c r="O141" s="445"/>
      <c r="P141" s="445"/>
      <c r="Q141" s="445"/>
      <c r="R141" s="445"/>
      <c r="S141" s="445"/>
      <c r="T141" s="445"/>
      <c r="U141" s="445"/>
      <c r="V141" s="445"/>
      <c r="W141" s="445"/>
      <c r="X141" s="445"/>
      <c r="Y141" s="445"/>
    </row>
    <row r="142" spans="1:33" ht="18">
      <c r="A142" s="463">
        <v>2</v>
      </c>
      <c r="B142" s="464">
        <v>1</v>
      </c>
      <c r="C142" s="464" t="s">
        <v>616</v>
      </c>
      <c r="D142" s="457"/>
      <c r="E142" s="457"/>
      <c r="F142" s="457"/>
      <c r="G142" s="457"/>
      <c r="H142" s="487" t="s">
        <v>525</v>
      </c>
      <c r="I142" s="477">
        <f>I143+I144</f>
        <v>0</v>
      </c>
      <c r="J142" s="458"/>
      <c r="K142" s="676"/>
      <c r="L142" s="676"/>
      <c r="M142" s="445"/>
      <c r="N142" s="445"/>
      <c r="O142" s="445"/>
      <c r="P142" s="445"/>
      <c r="Q142" s="445"/>
      <c r="R142" s="445"/>
      <c r="S142" s="445"/>
      <c r="T142" s="445"/>
      <c r="U142" s="445"/>
      <c r="V142" s="445"/>
      <c r="W142" s="445"/>
      <c r="X142" s="445"/>
      <c r="Y142" s="445"/>
    </row>
    <row r="143" spans="1:33" ht="18">
      <c r="A143" s="463">
        <v>2</v>
      </c>
      <c r="B143" s="464">
        <v>1</v>
      </c>
      <c r="C143" s="464" t="s">
        <v>616</v>
      </c>
      <c r="D143" s="457">
        <v>5</v>
      </c>
      <c r="E143" s="457"/>
      <c r="F143" s="457"/>
      <c r="G143" s="457">
        <v>2</v>
      </c>
      <c r="H143" s="456" t="s">
        <v>8</v>
      </c>
      <c r="I143" s="500"/>
      <c r="J143" s="458"/>
      <c r="K143" s="676"/>
      <c r="L143" s="676"/>
      <c r="M143" s="445"/>
      <c r="N143" s="445"/>
      <c r="O143" s="445"/>
      <c r="P143" s="445"/>
      <c r="Q143" s="445"/>
      <c r="R143" s="445"/>
      <c r="S143" s="445"/>
      <c r="T143" s="445"/>
      <c r="U143" s="445"/>
      <c r="V143" s="445"/>
      <c r="W143" s="445"/>
      <c r="X143" s="445"/>
      <c r="Y143" s="445"/>
      <c r="AA143" s="247" t="e">
        <f>J144/J147</f>
        <v>#DIV/0!</v>
      </c>
    </row>
    <row r="144" spans="1:33" ht="15.75" customHeight="1">
      <c r="A144" s="463">
        <v>2</v>
      </c>
      <c r="B144" s="464">
        <v>1</v>
      </c>
      <c r="C144" s="464" t="s">
        <v>616</v>
      </c>
      <c r="D144" s="457">
        <v>5</v>
      </c>
      <c r="E144" s="457"/>
      <c r="F144" s="457"/>
      <c r="G144" s="457">
        <v>3</v>
      </c>
      <c r="H144" s="456" t="s">
        <v>9</v>
      </c>
      <c r="I144" s="500"/>
      <c r="J144" s="458"/>
      <c r="K144" s="676"/>
      <c r="L144" s="676"/>
      <c r="M144" s="445"/>
      <c r="N144" s="445"/>
      <c r="O144" s="445"/>
      <c r="P144" s="445"/>
      <c r="Q144" s="445"/>
      <c r="R144" s="445"/>
      <c r="S144" s="445"/>
      <c r="T144" s="445"/>
      <c r="U144" s="445"/>
      <c r="V144" s="445"/>
      <c r="W144" s="445"/>
      <c r="X144" s="445"/>
      <c r="Y144" s="445"/>
    </row>
    <row r="145" spans="1:28" ht="18">
      <c r="A145" s="463">
        <v>2</v>
      </c>
      <c r="B145" s="464">
        <v>1</v>
      </c>
      <c r="C145" s="464" t="s">
        <v>250</v>
      </c>
      <c r="D145" s="457"/>
      <c r="E145" s="457"/>
      <c r="F145" s="457"/>
      <c r="G145" s="457"/>
      <c r="H145" s="465" t="s">
        <v>524</v>
      </c>
      <c r="I145" s="525">
        <f>I146</f>
        <v>0</v>
      </c>
      <c r="J145" s="458"/>
      <c r="K145" s="676"/>
      <c r="L145" s="676"/>
      <c r="M145" s="445"/>
      <c r="N145" s="445"/>
      <c r="O145" s="445"/>
      <c r="P145" s="445"/>
      <c r="Q145" s="445"/>
      <c r="R145" s="445"/>
      <c r="S145" s="445"/>
      <c r="T145" s="445"/>
      <c r="U145" s="445"/>
      <c r="V145" s="445"/>
      <c r="W145" s="445"/>
      <c r="X145" s="445"/>
      <c r="Y145" s="445"/>
      <c r="AA145" s="248" t="e">
        <f>J143/J142</f>
        <v>#DIV/0!</v>
      </c>
    </row>
    <row r="146" spans="1:28" ht="30.75" customHeight="1">
      <c r="A146" s="463">
        <v>2</v>
      </c>
      <c r="B146" s="464">
        <v>1</v>
      </c>
      <c r="C146" s="464" t="s">
        <v>250</v>
      </c>
      <c r="D146" s="457">
        <v>5</v>
      </c>
      <c r="E146" s="457"/>
      <c r="F146" s="457"/>
      <c r="G146" s="457">
        <v>2</v>
      </c>
      <c r="H146" s="456" t="s">
        <v>8</v>
      </c>
      <c r="I146" s="500"/>
      <c r="J146" s="458"/>
      <c r="K146" s="676"/>
      <c r="L146" s="676"/>
      <c r="M146" s="445"/>
      <c r="N146" s="445"/>
      <c r="O146" s="445"/>
      <c r="P146" s="445"/>
      <c r="Q146" s="445"/>
      <c r="R146" s="445"/>
      <c r="S146" s="445"/>
      <c r="T146" s="445"/>
      <c r="U146" s="445"/>
      <c r="V146" s="445"/>
      <c r="W146" s="445"/>
      <c r="X146" s="445"/>
      <c r="Y146" s="445"/>
    </row>
    <row r="147" spans="1:28" ht="18">
      <c r="A147" s="463">
        <v>2</v>
      </c>
      <c r="B147" s="464">
        <v>1</v>
      </c>
      <c r="C147" s="464" t="s">
        <v>437</v>
      </c>
      <c r="D147" s="457"/>
      <c r="E147" s="457"/>
      <c r="F147" s="457"/>
      <c r="G147" s="457"/>
      <c r="H147" s="473" t="s">
        <v>523</v>
      </c>
      <c r="I147" s="477">
        <f>I148+I149</f>
        <v>0</v>
      </c>
      <c r="J147" s="458"/>
      <c r="K147" s="676"/>
      <c r="L147" s="676"/>
      <c r="M147" s="445"/>
      <c r="N147" s="445"/>
      <c r="O147" s="445"/>
      <c r="P147" s="445"/>
      <c r="Q147" s="445"/>
      <c r="R147" s="445"/>
      <c r="S147" s="445"/>
      <c r="T147" s="445"/>
      <c r="U147" s="445"/>
      <c r="V147" s="445"/>
      <c r="W147" s="445"/>
      <c r="X147" s="445"/>
      <c r="Y147" s="445"/>
    </row>
    <row r="148" spans="1:28" ht="15.75" customHeight="1">
      <c r="A148" s="463">
        <v>2</v>
      </c>
      <c r="B148" s="464">
        <v>1</v>
      </c>
      <c r="C148" s="464" t="s">
        <v>437</v>
      </c>
      <c r="D148" s="457">
        <v>5</v>
      </c>
      <c r="E148" s="457"/>
      <c r="F148" s="457"/>
      <c r="G148" s="457">
        <v>2</v>
      </c>
      <c r="H148" s="456" t="s">
        <v>8</v>
      </c>
      <c r="I148" s="500"/>
      <c r="J148" s="458"/>
      <c r="K148" s="676"/>
      <c r="L148" s="676"/>
      <c r="M148" s="445"/>
      <c r="N148" s="445"/>
      <c r="O148" s="445"/>
      <c r="P148" s="445"/>
      <c r="Q148" s="445"/>
      <c r="R148" s="445"/>
      <c r="S148" s="445"/>
      <c r="T148" s="445"/>
      <c r="U148" s="445"/>
      <c r="V148" s="445"/>
      <c r="W148" s="445"/>
      <c r="X148" s="445"/>
      <c r="Y148" s="445"/>
    </row>
    <row r="149" spans="1:28" ht="18">
      <c r="A149" s="463">
        <v>2</v>
      </c>
      <c r="B149" s="464">
        <v>1</v>
      </c>
      <c r="C149" s="464" t="s">
        <v>437</v>
      </c>
      <c r="D149" s="457">
        <v>5</v>
      </c>
      <c r="E149" s="457"/>
      <c r="F149" s="457"/>
      <c r="G149" s="457">
        <v>3</v>
      </c>
      <c r="H149" s="456" t="s">
        <v>9</v>
      </c>
      <c r="I149" s="500"/>
      <c r="J149" s="458"/>
      <c r="K149" s="676"/>
      <c r="L149" s="676"/>
      <c r="M149" s="445"/>
      <c r="N149" s="445"/>
      <c r="O149" s="445"/>
      <c r="P149" s="445"/>
      <c r="Q149" s="445"/>
      <c r="R149" s="445"/>
      <c r="S149" s="445"/>
      <c r="T149" s="445"/>
      <c r="U149" s="445"/>
      <c r="V149" s="445"/>
      <c r="W149" s="445"/>
      <c r="X149" s="445"/>
      <c r="Y149" s="445"/>
    </row>
    <row r="150" spans="1:28" ht="18">
      <c r="A150" s="488">
        <v>2</v>
      </c>
      <c r="B150" s="481">
        <v>2</v>
      </c>
      <c r="C150" s="481"/>
      <c r="D150" s="452"/>
      <c r="E150" s="452"/>
      <c r="F150" s="452"/>
      <c r="G150" s="452"/>
      <c r="H150" s="489" t="s">
        <v>629</v>
      </c>
      <c r="I150" s="530">
        <f>I151+I153+I155+I157+I159+I161+I163+I165+I167+I169</f>
        <v>0</v>
      </c>
      <c r="J150" s="454"/>
      <c r="K150" s="675"/>
      <c r="L150" s="675"/>
      <c r="M150" s="455"/>
      <c r="N150" s="455"/>
      <c r="O150" s="455"/>
      <c r="P150" s="455"/>
      <c r="Q150" s="455"/>
      <c r="R150" s="455"/>
      <c r="S150" s="455"/>
      <c r="T150" s="455"/>
      <c r="U150" s="455"/>
      <c r="V150" s="455"/>
      <c r="W150" s="455"/>
      <c r="X150" s="455"/>
      <c r="Y150" s="455"/>
    </row>
    <row r="151" spans="1:28" ht="15.75" customHeight="1">
      <c r="A151" s="463">
        <v>2</v>
      </c>
      <c r="B151" s="464">
        <v>2</v>
      </c>
      <c r="C151" s="464" t="s">
        <v>593</v>
      </c>
      <c r="D151" s="457"/>
      <c r="E151" s="457"/>
      <c r="F151" s="457"/>
      <c r="G151" s="457"/>
      <c r="H151" s="473" t="s">
        <v>630</v>
      </c>
      <c r="I151" s="477">
        <f>I152</f>
        <v>0</v>
      </c>
      <c r="J151" s="458"/>
      <c r="K151" s="676"/>
      <c r="L151" s="676"/>
      <c r="M151" s="445"/>
      <c r="N151" s="445"/>
      <c r="O151" s="445"/>
      <c r="P151" s="445"/>
      <c r="Q151" s="445"/>
      <c r="R151" s="445"/>
      <c r="S151" s="445"/>
      <c r="T151" s="445"/>
      <c r="U151" s="445"/>
      <c r="V151" s="445"/>
      <c r="W151" s="445"/>
      <c r="X151" s="445"/>
      <c r="Y151" s="445"/>
      <c r="AA151" s="247" t="e">
        <f>J151/J154</f>
        <v>#DIV/0!</v>
      </c>
      <c r="AB151" s="2"/>
    </row>
    <row r="152" spans="1:28" ht="18">
      <c r="A152" s="463">
        <v>2</v>
      </c>
      <c r="B152" s="464">
        <v>2</v>
      </c>
      <c r="C152" s="464" t="s">
        <v>593</v>
      </c>
      <c r="D152" s="457">
        <v>5</v>
      </c>
      <c r="E152" s="457"/>
      <c r="F152" s="457"/>
      <c r="G152" s="457">
        <v>2</v>
      </c>
      <c r="H152" s="456" t="s">
        <v>8</v>
      </c>
      <c r="I152" s="500"/>
      <c r="J152" s="458"/>
      <c r="K152" s="676"/>
      <c r="L152" s="676"/>
      <c r="M152" s="445"/>
      <c r="N152" s="445"/>
      <c r="O152" s="445"/>
      <c r="P152" s="445"/>
      <c r="Q152" s="445"/>
      <c r="R152" s="445"/>
      <c r="S152" s="445"/>
      <c r="T152" s="445"/>
      <c r="U152" s="445"/>
      <c r="V152" s="445"/>
      <c r="W152" s="445"/>
      <c r="X152" s="445"/>
      <c r="Y152" s="445"/>
    </row>
    <row r="153" spans="1:28" ht="29.25" customHeight="1">
      <c r="A153" s="463">
        <v>2</v>
      </c>
      <c r="B153" s="464">
        <v>2</v>
      </c>
      <c r="C153" s="464" t="s">
        <v>594</v>
      </c>
      <c r="D153" s="457"/>
      <c r="E153" s="457"/>
      <c r="F153" s="457"/>
      <c r="G153" s="457"/>
      <c r="H153" s="473" t="s">
        <v>631</v>
      </c>
      <c r="I153" s="477">
        <f>I154</f>
        <v>0</v>
      </c>
      <c r="J153" s="458"/>
      <c r="K153" s="676"/>
      <c r="L153" s="676"/>
      <c r="M153" s="445"/>
      <c r="N153" s="445"/>
      <c r="O153" s="445"/>
      <c r="P153" s="445"/>
      <c r="Q153" s="445"/>
      <c r="R153" s="445"/>
      <c r="S153" s="445"/>
      <c r="T153" s="445"/>
      <c r="U153" s="445"/>
      <c r="V153" s="445"/>
      <c r="W153" s="445"/>
      <c r="X153" s="445"/>
      <c r="Y153" s="445"/>
      <c r="AA153" s="248" t="e">
        <f>J150/J149</f>
        <v>#DIV/0!</v>
      </c>
    </row>
    <row r="154" spans="1:28" ht="18">
      <c r="A154" s="463">
        <v>2</v>
      </c>
      <c r="B154" s="464">
        <v>2</v>
      </c>
      <c r="C154" s="464" t="s">
        <v>594</v>
      </c>
      <c r="D154" s="457">
        <v>5</v>
      </c>
      <c r="E154" s="457"/>
      <c r="F154" s="457"/>
      <c r="G154" s="457">
        <v>2</v>
      </c>
      <c r="H154" s="456" t="s">
        <v>8</v>
      </c>
      <c r="I154" s="500"/>
      <c r="J154" s="458"/>
      <c r="K154" s="676"/>
      <c r="L154" s="676"/>
      <c r="M154" s="445"/>
      <c r="N154" s="445"/>
      <c r="O154" s="445"/>
      <c r="P154" s="445"/>
      <c r="Q154" s="445"/>
      <c r="R154" s="445"/>
      <c r="S154" s="445"/>
      <c r="T154" s="445"/>
      <c r="U154" s="445"/>
      <c r="V154" s="445"/>
      <c r="W154" s="445"/>
      <c r="X154" s="445"/>
      <c r="Y154" s="445"/>
    </row>
    <row r="155" spans="1:28" ht="15.75" customHeight="1">
      <c r="A155" s="463">
        <v>2</v>
      </c>
      <c r="B155" s="464">
        <v>2</v>
      </c>
      <c r="C155" s="464" t="s">
        <v>595</v>
      </c>
      <c r="D155" s="457"/>
      <c r="E155" s="457"/>
      <c r="F155" s="457"/>
      <c r="G155" s="457"/>
      <c r="H155" s="473" t="s">
        <v>632</v>
      </c>
      <c r="I155" s="477">
        <f>I156</f>
        <v>0</v>
      </c>
      <c r="J155" s="458"/>
      <c r="K155" s="676"/>
      <c r="L155" s="676"/>
      <c r="M155" s="445"/>
      <c r="N155" s="445"/>
      <c r="O155" s="445"/>
      <c r="P155" s="445"/>
      <c r="Q155" s="445"/>
      <c r="R155" s="445"/>
      <c r="S155" s="445"/>
      <c r="T155" s="445"/>
      <c r="U155" s="445"/>
      <c r="V155" s="445"/>
      <c r="W155" s="445"/>
      <c r="X155" s="445"/>
      <c r="Y155" s="445"/>
    </row>
    <row r="156" spans="1:28" ht="18">
      <c r="A156" s="463">
        <v>2</v>
      </c>
      <c r="B156" s="464">
        <v>2</v>
      </c>
      <c r="C156" s="464" t="s">
        <v>595</v>
      </c>
      <c r="D156" s="457">
        <v>5</v>
      </c>
      <c r="E156" s="457"/>
      <c r="F156" s="457"/>
      <c r="G156" s="457">
        <v>2</v>
      </c>
      <c r="H156" s="456" t="s">
        <v>8</v>
      </c>
      <c r="I156" s="500"/>
      <c r="J156" s="458"/>
      <c r="K156" s="676"/>
      <c r="L156" s="676"/>
      <c r="M156" s="445"/>
      <c r="N156" s="445"/>
      <c r="O156" s="445"/>
      <c r="P156" s="445"/>
      <c r="Q156" s="445"/>
      <c r="R156" s="445"/>
      <c r="S156" s="445"/>
      <c r="T156" s="445"/>
      <c r="U156" s="445"/>
      <c r="V156" s="445"/>
      <c r="W156" s="445"/>
      <c r="X156" s="445"/>
      <c r="Y156" s="445"/>
    </row>
    <row r="157" spans="1:28" ht="18">
      <c r="A157" s="463">
        <v>2</v>
      </c>
      <c r="B157" s="464">
        <v>2</v>
      </c>
      <c r="C157" s="464" t="s">
        <v>596</v>
      </c>
      <c r="D157" s="457"/>
      <c r="E157" s="457"/>
      <c r="F157" s="457"/>
      <c r="G157" s="457"/>
      <c r="H157" s="476" t="s">
        <v>522</v>
      </c>
      <c r="I157" s="477">
        <f>I158</f>
        <v>0</v>
      </c>
      <c r="J157" s="458"/>
      <c r="K157" s="676"/>
      <c r="L157" s="676"/>
      <c r="M157" s="445"/>
      <c r="N157" s="445"/>
      <c r="O157" s="445"/>
      <c r="P157" s="445"/>
      <c r="Q157" s="445"/>
      <c r="R157" s="445"/>
      <c r="S157" s="445"/>
      <c r="T157" s="445"/>
      <c r="U157" s="445"/>
      <c r="V157" s="445"/>
      <c r="W157" s="445"/>
      <c r="X157" s="445"/>
      <c r="Y157" s="445"/>
    </row>
    <row r="158" spans="1:28" ht="15.75" customHeight="1">
      <c r="A158" s="463">
        <v>2</v>
      </c>
      <c r="B158" s="464">
        <v>2</v>
      </c>
      <c r="C158" s="464" t="s">
        <v>596</v>
      </c>
      <c r="D158" s="457">
        <v>5</v>
      </c>
      <c r="E158" s="457"/>
      <c r="F158" s="457"/>
      <c r="G158" s="457">
        <v>2</v>
      </c>
      <c r="H158" s="456" t="s">
        <v>8</v>
      </c>
      <c r="I158" s="500"/>
      <c r="J158" s="458"/>
      <c r="K158" s="676"/>
      <c r="L158" s="676"/>
      <c r="M158" s="445"/>
      <c r="N158" s="445"/>
      <c r="O158" s="445"/>
      <c r="P158" s="445"/>
      <c r="Q158" s="445"/>
      <c r="R158" s="445"/>
      <c r="S158" s="445"/>
      <c r="T158" s="445"/>
      <c r="U158" s="445"/>
      <c r="V158" s="445"/>
      <c r="W158" s="445"/>
      <c r="X158" s="445"/>
      <c r="Y158" s="445"/>
    </row>
    <row r="159" spans="1:28" ht="18">
      <c r="A159" s="463">
        <v>2</v>
      </c>
      <c r="B159" s="464">
        <v>2</v>
      </c>
      <c r="C159" s="464" t="s">
        <v>597</v>
      </c>
      <c r="D159" s="457"/>
      <c r="E159" s="457"/>
      <c r="F159" s="457"/>
      <c r="G159" s="457"/>
      <c r="H159" s="476" t="s">
        <v>521</v>
      </c>
      <c r="I159" s="477">
        <f>I160</f>
        <v>0</v>
      </c>
      <c r="J159" s="458"/>
      <c r="K159" s="676"/>
      <c r="L159" s="676"/>
      <c r="M159" s="445"/>
      <c r="N159" s="445"/>
      <c r="O159" s="445"/>
      <c r="P159" s="445"/>
      <c r="Q159" s="445"/>
      <c r="R159" s="445"/>
      <c r="S159" s="445"/>
      <c r="T159" s="445"/>
      <c r="U159" s="445"/>
      <c r="V159" s="445"/>
      <c r="W159" s="445"/>
      <c r="X159" s="445"/>
      <c r="Y159" s="445"/>
      <c r="AA159" s="247" t="e">
        <f>J159/J162</f>
        <v>#DIV/0!</v>
      </c>
    </row>
    <row r="160" spans="1:28" ht="18">
      <c r="A160" s="463">
        <v>2</v>
      </c>
      <c r="B160" s="464">
        <v>2</v>
      </c>
      <c r="C160" s="464" t="s">
        <v>597</v>
      </c>
      <c r="D160" s="457">
        <v>5</v>
      </c>
      <c r="E160" s="457"/>
      <c r="F160" s="457"/>
      <c r="G160" s="457">
        <v>2</v>
      </c>
      <c r="H160" s="456" t="s">
        <v>8</v>
      </c>
      <c r="I160" s="500"/>
      <c r="J160" s="458"/>
      <c r="K160" s="676"/>
      <c r="L160" s="676"/>
      <c r="M160" s="445"/>
      <c r="N160" s="445"/>
      <c r="O160" s="445"/>
      <c r="P160" s="445"/>
      <c r="Q160" s="445"/>
      <c r="R160" s="445"/>
      <c r="S160" s="445"/>
      <c r="T160" s="445"/>
      <c r="U160" s="445"/>
      <c r="V160" s="445"/>
      <c r="W160" s="445"/>
      <c r="X160" s="445"/>
      <c r="Y160" s="445"/>
    </row>
    <row r="161" spans="1:32" ht="31.5" customHeight="1">
      <c r="A161" s="463">
        <v>2</v>
      </c>
      <c r="B161" s="464">
        <v>2</v>
      </c>
      <c r="C161" s="464" t="s">
        <v>598</v>
      </c>
      <c r="D161" s="457"/>
      <c r="E161" s="457"/>
      <c r="F161" s="457"/>
      <c r="G161" s="457"/>
      <c r="H161" s="476" t="s">
        <v>520</v>
      </c>
      <c r="I161" s="477">
        <f>I162</f>
        <v>0</v>
      </c>
      <c r="J161" s="458"/>
      <c r="K161" s="676"/>
      <c r="L161" s="676"/>
      <c r="M161" s="445"/>
      <c r="N161" s="445"/>
      <c r="O161" s="445"/>
      <c r="P161" s="445"/>
      <c r="Q161" s="445"/>
      <c r="R161" s="445"/>
      <c r="S161" s="445"/>
      <c r="T161" s="445"/>
      <c r="U161" s="445"/>
      <c r="V161" s="445"/>
      <c r="W161" s="445"/>
      <c r="X161" s="445"/>
      <c r="Y161" s="445"/>
      <c r="AA161" s="248" t="e">
        <f>J158/J157</f>
        <v>#DIV/0!</v>
      </c>
    </row>
    <row r="162" spans="1:32" ht="18">
      <c r="A162" s="463">
        <v>2</v>
      </c>
      <c r="B162" s="464">
        <v>2</v>
      </c>
      <c r="C162" s="464" t="s">
        <v>598</v>
      </c>
      <c r="D162" s="457">
        <v>5</v>
      </c>
      <c r="E162" s="457"/>
      <c r="F162" s="457"/>
      <c r="G162" s="457">
        <v>2</v>
      </c>
      <c r="H162" s="456" t="s">
        <v>8</v>
      </c>
      <c r="I162" s="500"/>
      <c r="J162" s="458"/>
      <c r="K162" s="676"/>
      <c r="L162" s="676"/>
      <c r="M162" s="445"/>
      <c r="N162" s="445"/>
      <c r="O162" s="445"/>
      <c r="P162" s="445"/>
      <c r="Q162" s="445"/>
      <c r="R162" s="445"/>
      <c r="S162" s="445"/>
      <c r="T162" s="445"/>
      <c r="U162" s="445"/>
      <c r="V162" s="445"/>
      <c r="W162" s="445"/>
      <c r="X162" s="445"/>
      <c r="Y162" s="445"/>
    </row>
    <row r="163" spans="1:32" ht="15.75" customHeight="1">
      <c r="A163" s="463">
        <v>2</v>
      </c>
      <c r="B163" s="464">
        <v>2</v>
      </c>
      <c r="C163" s="464" t="s">
        <v>600</v>
      </c>
      <c r="D163" s="457"/>
      <c r="E163" s="457"/>
      <c r="F163" s="457"/>
      <c r="G163" s="457"/>
      <c r="H163" s="476" t="s">
        <v>519</v>
      </c>
      <c r="I163" s="477">
        <f>I164</f>
        <v>0</v>
      </c>
      <c r="J163" s="458"/>
      <c r="K163" s="676"/>
      <c r="L163" s="676"/>
      <c r="M163" s="445"/>
      <c r="N163" s="445"/>
      <c r="O163" s="445"/>
      <c r="P163" s="445"/>
      <c r="Q163" s="445"/>
      <c r="R163" s="445"/>
      <c r="S163" s="445"/>
      <c r="T163" s="445"/>
      <c r="U163" s="445"/>
      <c r="V163" s="445"/>
      <c r="W163" s="445"/>
      <c r="X163" s="445"/>
      <c r="Y163" s="445"/>
    </row>
    <row r="164" spans="1:32" ht="18">
      <c r="A164" s="463">
        <v>2</v>
      </c>
      <c r="B164" s="464">
        <v>2</v>
      </c>
      <c r="C164" s="464" t="s">
        <v>600</v>
      </c>
      <c r="D164" s="457">
        <v>5</v>
      </c>
      <c r="E164" s="457"/>
      <c r="F164" s="457"/>
      <c r="G164" s="457">
        <v>2</v>
      </c>
      <c r="H164" s="456" t="s">
        <v>8</v>
      </c>
      <c r="I164" s="500"/>
      <c r="J164" s="458"/>
      <c r="K164" s="676"/>
      <c r="L164" s="676"/>
      <c r="M164" s="445"/>
      <c r="N164" s="445"/>
      <c r="O164" s="445"/>
      <c r="P164" s="445"/>
      <c r="Q164" s="445"/>
      <c r="R164" s="445"/>
      <c r="S164" s="445"/>
      <c r="T164" s="445"/>
      <c r="U164" s="445"/>
      <c r="V164" s="445"/>
      <c r="W164" s="445"/>
      <c r="X164" s="445"/>
      <c r="Y164" s="445"/>
    </row>
    <row r="165" spans="1:32" ht="18">
      <c r="A165" s="463">
        <v>2</v>
      </c>
      <c r="B165" s="464">
        <v>2</v>
      </c>
      <c r="C165" s="464" t="s">
        <v>614</v>
      </c>
      <c r="D165" s="457"/>
      <c r="E165" s="457"/>
      <c r="F165" s="457"/>
      <c r="G165" s="457"/>
      <c r="H165" s="476" t="s">
        <v>518</v>
      </c>
      <c r="I165" s="477">
        <f>I166</f>
        <v>0</v>
      </c>
      <c r="J165" s="458"/>
      <c r="K165" s="676"/>
      <c r="L165" s="676"/>
      <c r="M165" s="445"/>
      <c r="N165" s="445"/>
      <c r="O165" s="445"/>
      <c r="P165" s="445"/>
      <c r="Q165" s="445"/>
      <c r="R165" s="445"/>
      <c r="S165" s="445"/>
      <c r="T165" s="445"/>
      <c r="U165" s="445"/>
      <c r="V165" s="445"/>
      <c r="W165" s="445"/>
      <c r="X165" s="445"/>
      <c r="Y165" s="445"/>
    </row>
    <row r="166" spans="1:32" ht="15.75" customHeight="1">
      <c r="A166" s="463">
        <v>2</v>
      </c>
      <c r="B166" s="464">
        <v>2</v>
      </c>
      <c r="C166" s="464" t="s">
        <v>614</v>
      </c>
      <c r="D166" s="457">
        <v>5</v>
      </c>
      <c r="E166" s="457"/>
      <c r="F166" s="457"/>
      <c r="G166" s="457">
        <v>2</v>
      </c>
      <c r="H166" s="456" t="s">
        <v>8</v>
      </c>
      <c r="I166" s="500"/>
      <c r="J166" s="458"/>
      <c r="K166" s="676"/>
      <c r="L166" s="676"/>
      <c r="M166" s="445"/>
      <c r="N166" s="445"/>
      <c r="O166" s="445"/>
      <c r="P166" s="445"/>
      <c r="Q166" s="445"/>
      <c r="R166" s="445"/>
      <c r="S166" s="445"/>
      <c r="T166" s="445"/>
      <c r="U166" s="445"/>
      <c r="V166" s="445"/>
      <c r="W166" s="445"/>
      <c r="X166" s="445"/>
      <c r="Y166" s="445"/>
    </row>
    <row r="167" spans="1:32" ht="31.5">
      <c r="A167" s="463">
        <v>2</v>
      </c>
      <c r="B167" s="464">
        <v>2</v>
      </c>
      <c r="C167" s="464" t="s">
        <v>616</v>
      </c>
      <c r="D167" s="457"/>
      <c r="E167" s="457"/>
      <c r="F167" s="457"/>
      <c r="G167" s="457"/>
      <c r="H167" s="473" t="s">
        <v>633</v>
      </c>
      <c r="I167" s="477">
        <f>I168</f>
        <v>0</v>
      </c>
      <c r="J167" s="458"/>
      <c r="K167" s="676"/>
      <c r="L167" s="676"/>
      <c r="M167" s="445"/>
      <c r="N167" s="445"/>
      <c r="O167" s="445"/>
      <c r="P167" s="445"/>
      <c r="Q167" s="445"/>
      <c r="R167" s="445"/>
      <c r="S167" s="445"/>
      <c r="T167" s="445"/>
      <c r="U167" s="445"/>
      <c r="V167" s="445"/>
      <c r="W167" s="445"/>
      <c r="X167" s="445"/>
      <c r="Y167" s="445"/>
    </row>
    <row r="168" spans="1:32" ht="18">
      <c r="A168" s="463">
        <v>2</v>
      </c>
      <c r="B168" s="464">
        <v>2</v>
      </c>
      <c r="C168" s="464" t="s">
        <v>616</v>
      </c>
      <c r="D168" s="457">
        <v>5</v>
      </c>
      <c r="E168" s="457"/>
      <c r="F168" s="457"/>
      <c r="G168" s="457">
        <v>3</v>
      </c>
      <c r="H168" s="456" t="s">
        <v>9</v>
      </c>
      <c r="I168" s="500"/>
      <c r="J168" s="458"/>
      <c r="K168" s="676"/>
      <c r="L168" s="676"/>
      <c r="M168" s="445"/>
      <c r="N168" s="445"/>
      <c r="O168" s="445"/>
      <c r="P168" s="445"/>
      <c r="Q168" s="445"/>
      <c r="R168" s="445"/>
      <c r="S168" s="445"/>
      <c r="T168" s="445"/>
      <c r="U168" s="445"/>
      <c r="V168" s="445"/>
      <c r="W168" s="445"/>
      <c r="X168" s="445"/>
      <c r="Y168" s="445"/>
    </row>
    <row r="169" spans="1:32" ht="15.75" customHeight="1">
      <c r="A169" s="463">
        <v>2</v>
      </c>
      <c r="B169" s="464">
        <v>2</v>
      </c>
      <c r="C169" s="464" t="s">
        <v>437</v>
      </c>
      <c r="D169" s="457"/>
      <c r="E169" s="457"/>
      <c r="F169" s="457"/>
      <c r="G169" s="457"/>
      <c r="H169" s="476" t="s">
        <v>517</v>
      </c>
      <c r="I169" s="477">
        <f>I170+I171</f>
        <v>0</v>
      </c>
      <c r="J169" s="458"/>
      <c r="K169" s="676"/>
      <c r="L169" s="676"/>
      <c r="M169" s="445"/>
      <c r="N169" s="445"/>
      <c r="O169" s="445"/>
      <c r="P169" s="445"/>
      <c r="Q169" s="445"/>
      <c r="R169" s="445"/>
      <c r="S169" s="445"/>
      <c r="T169" s="445"/>
      <c r="U169" s="445"/>
      <c r="V169" s="445"/>
      <c r="W169" s="445"/>
      <c r="X169" s="445"/>
      <c r="Y169" s="445"/>
    </row>
    <row r="170" spans="1:32" ht="18">
      <c r="A170" s="463">
        <v>2</v>
      </c>
      <c r="B170" s="464">
        <v>2</v>
      </c>
      <c r="C170" s="464" t="s">
        <v>437</v>
      </c>
      <c r="D170" s="457">
        <v>5</v>
      </c>
      <c r="E170" s="457"/>
      <c r="F170" s="457"/>
      <c r="G170" s="457">
        <v>2</v>
      </c>
      <c r="H170" s="456" t="s">
        <v>8</v>
      </c>
      <c r="I170" s="500"/>
      <c r="J170" s="458"/>
      <c r="K170" s="676"/>
      <c r="L170" s="676"/>
      <c r="M170" s="445"/>
      <c r="N170" s="445"/>
      <c r="O170" s="445"/>
      <c r="P170" s="445"/>
      <c r="Q170" s="445"/>
      <c r="R170" s="445"/>
      <c r="S170" s="445"/>
      <c r="T170" s="445"/>
      <c r="U170" s="445"/>
      <c r="V170" s="445"/>
      <c r="W170" s="445"/>
      <c r="X170" s="445"/>
      <c r="Y170" s="445"/>
      <c r="AC170" s="2">
        <f>J164+J57</f>
        <v>0</v>
      </c>
      <c r="AD170" s="2"/>
      <c r="AE170" s="158">
        <f>AE17</f>
        <v>0</v>
      </c>
      <c r="AF170" s="2">
        <f>AC170-AE170</f>
        <v>0</v>
      </c>
    </row>
    <row r="171" spans="1:32" ht="18">
      <c r="A171" s="463">
        <v>2</v>
      </c>
      <c r="B171" s="464">
        <v>2</v>
      </c>
      <c r="C171" s="464" t="s">
        <v>437</v>
      </c>
      <c r="D171" s="457">
        <v>5</v>
      </c>
      <c r="E171" s="457"/>
      <c r="F171" s="457"/>
      <c r="G171" s="457">
        <v>3</v>
      </c>
      <c r="H171" s="456" t="s">
        <v>9</v>
      </c>
      <c r="I171" s="500">
        <v>0</v>
      </c>
      <c r="J171" s="458"/>
      <c r="K171" s="676"/>
      <c r="L171" s="676"/>
      <c r="M171" s="445"/>
      <c r="N171" s="445"/>
      <c r="O171" s="445"/>
      <c r="P171" s="445"/>
      <c r="Q171" s="445"/>
      <c r="R171" s="445"/>
      <c r="S171" s="445"/>
      <c r="T171" s="445"/>
      <c r="U171" s="445"/>
      <c r="V171" s="445"/>
      <c r="W171" s="445"/>
      <c r="X171" s="445"/>
      <c r="Y171" s="445"/>
    </row>
    <row r="172" spans="1:32" ht="18">
      <c r="A172" s="488">
        <v>2</v>
      </c>
      <c r="B172" s="481">
        <v>3</v>
      </c>
      <c r="C172" s="459"/>
      <c r="D172" s="452"/>
      <c r="E172" s="452"/>
      <c r="F172" s="452"/>
      <c r="G172" s="452"/>
      <c r="H172" s="489" t="s">
        <v>634</v>
      </c>
      <c r="I172" s="529" t="e">
        <f>I173+I175+I177+I179+I181+I183+I185+I187+I189+I191+I193+I195+I197+I199+I201+I203+I196+I207+I209+I211</f>
        <v>#REF!</v>
      </c>
      <c r="J172" s="454"/>
      <c r="K172" s="675"/>
      <c r="L172" s="675"/>
      <c r="M172" s="455"/>
      <c r="N172" s="455"/>
      <c r="O172" s="455"/>
      <c r="P172" s="455"/>
      <c r="Q172" s="455"/>
      <c r="R172" s="455"/>
      <c r="S172" s="455"/>
      <c r="T172" s="455"/>
      <c r="U172" s="455"/>
      <c r="V172" s="455"/>
      <c r="W172" s="455"/>
      <c r="X172" s="455"/>
      <c r="Y172" s="455"/>
    </row>
    <row r="173" spans="1:32" ht="15.75" customHeight="1">
      <c r="A173" s="463">
        <v>2</v>
      </c>
      <c r="B173" s="464">
        <v>3</v>
      </c>
      <c r="C173" s="464" t="s">
        <v>593</v>
      </c>
      <c r="D173" s="457"/>
      <c r="E173" s="457"/>
      <c r="F173" s="457"/>
      <c r="G173" s="457"/>
      <c r="H173" s="476" t="s">
        <v>516</v>
      </c>
      <c r="I173" s="500">
        <f>I174</f>
        <v>0</v>
      </c>
      <c r="J173" s="458"/>
      <c r="K173" s="676"/>
      <c r="L173" s="676"/>
      <c r="M173" s="445"/>
      <c r="N173" s="445"/>
      <c r="O173" s="445"/>
      <c r="P173" s="445"/>
      <c r="Q173" s="445"/>
      <c r="R173" s="445"/>
      <c r="S173" s="445"/>
      <c r="T173" s="445"/>
      <c r="U173" s="445"/>
      <c r="V173" s="445"/>
      <c r="W173" s="445"/>
      <c r="X173" s="445"/>
      <c r="Y173" s="445"/>
      <c r="AC173" s="189"/>
      <c r="AD173" s="249"/>
    </row>
    <row r="174" spans="1:32" ht="18">
      <c r="A174" s="463">
        <v>2</v>
      </c>
      <c r="B174" s="464">
        <v>3</v>
      </c>
      <c r="C174" s="464" t="s">
        <v>593</v>
      </c>
      <c r="D174" s="457">
        <v>5</v>
      </c>
      <c r="E174" s="457"/>
      <c r="F174" s="457"/>
      <c r="G174" s="457">
        <v>2</v>
      </c>
      <c r="H174" s="456" t="s">
        <v>8</v>
      </c>
      <c r="I174" s="500"/>
      <c r="J174" s="458"/>
      <c r="K174" s="676"/>
      <c r="L174" s="676"/>
      <c r="M174" s="445"/>
      <c r="N174" s="445"/>
      <c r="O174" s="445"/>
      <c r="P174" s="445"/>
      <c r="Q174" s="445"/>
      <c r="R174" s="445"/>
      <c r="S174" s="445"/>
      <c r="T174" s="445"/>
      <c r="U174" s="445"/>
      <c r="V174" s="445"/>
      <c r="W174" s="445"/>
      <c r="X174" s="445"/>
      <c r="Y174" s="445"/>
      <c r="AC174" s="190"/>
      <c r="AD174" s="250"/>
    </row>
    <row r="175" spans="1:32" ht="18">
      <c r="A175" s="463">
        <v>2</v>
      </c>
      <c r="B175" s="464">
        <v>3</v>
      </c>
      <c r="C175" s="464" t="s">
        <v>594</v>
      </c>
      <c r="D175" s="457"/>
      <c r="E175" s="457"/>
      <c r="F175" s="457"/>
      <c r="G175" s="457"/>
      <c r="H175" s="476" t="s">
        <v>515</v>
      </c>
      <c r="I175" s="500">
        <f>I176</f>
        <v>0</v>
      </c>
      <c r="J175" s="458"/>
      <c r="K175" s="676"/>
      <c r="L175" s="676"/>
      <c r="M175" s="445"/>
      <c r="N175" s="445"/>
      <c r="O175" s="445"/>
      <c r="P175" s="445"/>
      <c r="Q175" s="445"/>
      <c r="R175" s="445"/>
      <c r="S175" s="445"/>
      <c r="T175" s="445"/>
      <c r="U175" s="445"/>
      <c r="V175" s="445"/>
      <c r="W175" s="445"/>
      <c r="X175" s="445"/>
      <c r="Y175" s="445"/>
      <c r="AC175" s="191"/>
      <c r="AD175" s="218"/>
    </row>
    <row r="176" spans="1:32" ht="18">
      <c r="A176" s="463">
        <v>2</v>
      </c>
      <c r="B176" s="464">
        <v>3</v>
      </c>
      <c r="C176" s="464" t="s">
        <v>594</v>
      </c>
      <c r="D176" s="457">
        <v>5</v>
      </c>
      <c r="E176" s="457"/>
      <c r="F176" s="457"/>
      <c r="G176" s="457">
        <v>2</v>
      </c>
      <c r="H176" s="456" t="s">
        <v>8</v>
      </c>
      <c r="I176" s="500"/>
      <c r="J176" s="458"/>
      <c r="K176" s="676"/>
      <c r="L176" s="676"/>
      <c r="M176" s="445"/>
      <c r="N176" s="445"/>
      <c r="O176" s="445"/>
      <c r="P176" s="445"/>
      <c r="Q176" s="445"/>
      <c r="R176" s="445"/>
      <c r="S176" s="445"/>
      <c r="T176" s="445"/>
      <c r="U176" s="445"/>
      <c r="V176" s="445"/>
      <c r="W176" s="445"/>
      <c r="X176" s="445"/>
      <c r="Y176" s="445"/>
      <c r="AC176" s="190"/>
      <c r="AD176" s="250"/>
    </row>
    <row r="177" spans="1:30" ht="15.75" customHeight="1">
      <c r="A177" s="463">
        <v>2</v>
      </c>
      <c r="B177" s="464">
        <v>3</v>
      </c>
      <c r="C177" s="464" t="s">
        <v>595</v>
      </c>
      <c r="D177" s="457"/>
      <c r="E177" s="457"/>
      <c r="F177" s="457"/>
      <c r="G177" s="457"/>
      <c r="H177" s="476" t="s">
        <v>514</v>
      </c>
      <c r="I177" s="500">
        <f>I178</f>
        <v>0</v>
      </c>
      <c r="J177" s="458"/>
      <c r="K177" s="676"/>
      <c r="L177" s="676"/>
      <c r="M177" s="445"/>
      <c r="N177" s="445"/>
      <c r="O177" s="445"/>
      <c r="P177" s="445"/>
      <c r="Q177" s="445"/>
      <c r="R177" s="445"/>
      <c r="S177" s="445"/>
      <c r="T177" s="445"/>
      <c r="U177" s="445"/>
      <c r="V177" s="445"/>
      <c r="W177" s="445"/>
      <c r="X177" s="445"/>
      <c r="Y177" s="445"/>
      <c r="AC177" s="190"/>
      <c r="AD177" s="250"/>
    </row>
    <row r="178" spans="1:30" ht="18">
      <c r="A178" s="463">
        <v>2</v>
      </c>
      <c r="B178" s="464">
        <v>3</v>
      </c>
      <c r="C178" s="464" t="s">
        <v>595</v>
      </c>
      <c r="D178" s="457">
        <v>5</v>
      </c>
      <c r="E178" s="457"/>
      <c r="F178" s="457"/>
      <c r="G178" s="457">
        <v>2</v>
      </c>
      <c r="H178" s="456" t="s">
        <v>8</v>
      </c>
      <c r="I178" s="500"/>
      <c r="J178" s="458"/>
      <c r="K178" s="676"/>
      <c r="L178" s="676"/>
      <c r="M178" s="445"/>
      <c r="N178" s="445"/>
      <c r="O178" s="445"/>
      <c r="P178" s="445"/>
      <c r="Q178" s="445"/>
      <c r="R178" s="445"/>
      <c r="S178" s="445"/>
      <c r="T178" s="445"/>
      <c r="U178" s="445"/>
      <c r="V178" s="445"/>
      <c r="W178" s="445"/>
      <c r="X178" s="445"/>
      <c r="Y178" s="445"/>
      <c r="AC178" s="190"/>
      <c r="AD178" s="250"/>
    </row>
    <row r="179" spans="1:30" ht="18">
      <c r="A179" s="463">
        <v>2</v>
      </c>
      <c r="B179" s="464">
        <v>3</v>
      </c>
      <c r="C179" s="464" t="s">
        <v>596</v>
      </c>
      <c r="D179" s="457"/>
      <c r="E179" s="457"/>
      <c r="F179" s="457"/>
      <c r="G179" s="457"/>
      <c r="H179" s="476" t="s">
        <v>513</v>
      </c>
      <c r="I179" s="500"/>
      <c r="J179" s="458"/>
      <c r="K179" s="676"/>
      <c r="L179" s="676"/>
      <c r="M179" s="445"/>
      <c r="N179" s="445"/>
      <c r="O179" s="445"/>
      <c r="P179" s="445"/>
      <c r="Q179" s="445"/>
      <c r="R179" s="445"/>
      <c r="S179" s="445"/>
      <c r="T179" s="445"/>
      <c r="U179" s="445"/>
      <c r="V179" s="445"/>
      <c r="W179" s="445"/>
      <c r="X179" s="445"/>
      <c r="Y179" s="445"/>
      <c r="AC179" s="190"/>
      <c r="AD179" s="250"/>
    </row>
    <row r="180" spans="1:30" ht="18">
      <c r="A180" s="463">
        <v>2</v>
      </c>
      <c r="B180" s="464">
        <v>3</v>
      </c>
      <c r="C180" s="464" t="s">
        <v>596</v>
      </c>
      <c r="D180" s="457">
        <v>5</v>
      </c>
      <c r="E180" s="457"/>
      <c r="F180" s="457"/>
      <c r="G180" s="457">
        <v>2</v>
      </c>
      <c r="H180" s="456" t="s">
        <v>8</v>
      </c>
      <c r="I180" s="500"/>
      <c r="J180" s="458"/>
      <c r="K180" s="676"/>
      <c r="L180" s="676"/>
      <c r="M180" s="445"/>
      <c r="N180" s="445"/>
      <c r="O180" s="445"/>
      <c r="P180" s="445"/>
      <c r="Q180" s="445"/>
      <c r="R180" s="445"/>
      <c r="S180" s="445"/>
      <c r="T180" s="445"/>
      <c r="U180" s="445"/>
      <c r="V180" s="445"/>
      <c r="W180" s="445"/>
      <c r="X180" s="445"/>
      <c r="Y180" s="445"/>
      <c r="AC180" s="191"/>
      <c r="AD180" s="218"/>
    </row>
    <row r="181" spans="1:30" ht="31.5">
      <c r="A181" s="463">
        <v>2</v>
      </c>
      <c r="B181" s="464">
        <v>3</v>
      </c>
      <c r="C181" s="464" t="s">
        <v>597</v>
      </c>
      <c r="D181" s="457"/>
      <c r="E181" s="457"/>
      <c r="F181" s="457"/>
      <c r="G181" s="457"/>
      <c r="H181" s="473" t="s">
        <v>635</v>
      </c>
      <c r="I181" s="500">
        <f>I182</f>
        <v>0</v>
      </c>
      <c r="J181" s="458"/>
      <c r="K181" s="676"/>
      <c r="L181" s="676"/>
      <c r="M181" s="445"/>
      <c r="N181" s="445"/>
      <c r="O181" s="445"/>
      <c r="P181" s="445"/>
      <c r="Q181" s="445"/>
      <c r="R181" s="445"/>
      <c r="S181" s="445"/>
      <c r="T181" s="445"/>
      <c r="U181" s="445"/>
      <c r="V181" s="445"/>
      <c r="W181" s="445"/>
      <c r="X181" s="445"/>
      <c r="Y181" s="445"/>
      <c r="AC181" s="191"/>
      <c r="AD181" s="218"/>
    </row>
    <row r="182" spans="1:30" ht="15.75" customHeight="1">
      <c r="A182" s="463">
        <v>2</v>
      </c>
      <c r="B182" s="464">
        <v>3</v>
      </c>
      <c r="C182" s="464" t="s">
        <v>597</v>
      </c>
      <c r="D182" s="457">
        <v>5</v>
      </c>
      <c r="E182" s="457"/>
      <c r="F182" s="457"/>
      <c r="G182" s="457">
        <v>2</v>
      </c>
      <c r="H182" s="456" t="s">
        <v>8</v>
      </c>
      <c r="I182" s="500"/>
      <c r="J182" s="458"/>
      <c r="K182" s="676"/>
      <c r="L182" s="676"/>
      <c r="M182" s="445"/>
      <c r="N182" s="445"/>
      <c r="O182" s="445"/>
      <c r="P182" s="445"/>
      <c r="Q182" s="445"/>
      <c r="R182" s="445"/>
      <c r="S182" s="445"/>
      <c r="T182" s="445"/>
      <c r="U182" s="445"/>
      <c r="V182" s="445"/>
      <c r="W182" s="445"/>
      <c r="X182" s="445"/>
      <c r="Y182" s="445"/>
      <c r="AC182" s="190"/>
      <c r="AD182" s="250"/>
    </row>
    <row r="183" spans="1:30" ht="18">
      <c r="A183" s="463">
        <v>2</v>
      </c>
      <c r="B183" s="464">
        <v>3</v>
      </c>
      <c r="C183" s="464" t="s">
        <v>598</v>
      </c>
      <c r="D183" s="457"/>
      <c r="E183" s="457"/>
      <c r="F183" s="457"/>
      <c r="G183" s="457"/>
      <c r="H183" s="476" t="s">
        <v>512</v>
      </c>
      <c r="I183" s="500">
        <f>I184</f>
        <v>0</v>
      </c>
      <c r="J183" s="458"/>
      <c r="K183" s="676"/>
      <c r="L183" s="676"/>
      <c r="M183" s="445"/>
      <c r="N183" s="445"/>
      <c r="O183" s="445"/>
      <c r="P183" s="445"/>
      <c r="Q183" s="445"/>
      <c r="R183" s="445"/>
      <c r="S183" s="445"/>
      <c r="T183" s="445"/>
      <c r="U183" s="445"/>
      <c r="V183" s="445"/>
      <c r="W183" s="445"/>
      <c r="X183" s="445"/>
      <c r="Y183" s="445"/>
      <c r="AC183" s="190"/>
      <c r="AD183" s="250"/>
    </row>
    <row r="184" spans="1:30" ht="18">
      <c r="A184" s="463">
        <v>2</v>
      </c>
      <c r="B184" s="464">
        <v>3</v>
      </c>
      <c r="C184" s="464" t="s">
        <v>598</v>
      </c>
      <c r="D184" s="457">
        <v>5</v>
      </c>
      <c r="E184" s="457"/>
      <c r="F184" s="457"/>
      <c r="G184" s="457">
        <v>2</v>
      </c>
      <c r="H184" s="456" t="s">
        <v>8</v>
      </c>
      <c r="I184" s="500"/>
      <c r="J184" s="458"/>
      <c r="K184" s="676"/>
      <c r="L184" s="676"/>
      <c r="M184" s="445"/>
      <c r="N184" s="445"/>
      <c r="O184" s="445"/>
      <c r="P184" s="445"/>
      <c r="Q184" s="445"/>
      <c r="R184" s="445"/>
      <c r="S184" s="445"/>
      <c r="T184" s="445"/>
      <c r="U184" s="445"/>
      <c r="V184" s="445"/>
      <c r="W184" s="445"/>
      <c r="X184" s="445"/>
      <c r="Y184" s="445"/>
      <c r="AA184" s="147"/>
    </row>
    <row r="185" spans="1:30" ht="31.5">
      <c r="A185" s="463">
        <v>2</v>
      </c>
      <c r="B185" s="464">
        <v>3</v>
      </c>
      <c r="C185" s="464" t="s">
        <v>600</v>
      </c>
      <c r="D185" s="457"/>
      <c r="E185" s="457"/>
      <c r="F185" s="457"/>
      <c r="G185" s="457"/>
      <c r="H185" s="473" t="s">
        <v>511</v>
      </c>
      <c r="I185" s="500">
        <f>I186</f>
        <v>0</v>
      </c>
      <c r="J185" s="458"/>
      <c r="K185" s="676"/>
      <c r="L185" s="676"/>
      <c r="M185" s="445"/>
      <c r="N185" s="445"/>
      <c r="O185" s="445"/>
      <c r="P185" s="445"/>
      <c r="Q185" s="445"/>
      <c r="R185" s="445"/>
      <c r="S185" s="445"/>
      <c r="T185" s="445"/>
      <c r="U185" s="445"/>
      <c r="V185" s="445"/>
      <c r="W185" s="445"/>
      <c r="X185" s="445"/>
      <c r="Y185" s="445"/>
    </row>
    <row r="186" spans="1:30" ht="15.75" customHeight="1">
      <c r="A186" s="463">
        <v>2</v>
      </c>
      <c r="B186" s="464">
        <v>3</v>
      </c>
      <c r="C186" s="464" t="s">
        <v>600</v>
      </c>
      <c r="D186" s="457">
        <v>5</v>
      </c>
      <c r="E186" s="457"/>
      <c r="F186" s="457"/>
      <c r="G186" s="457">
        <v>2</v>
      </c>
      <c r="H186" s="456" t="s">
        <v>8</v>
      </c>
      <c r="I186" s="500"/>
      <c r="J186" s="458"/>
      <c r="K186" s="676"/>
      <c r="L186" s="676"/>
      <c r="M186" s="445"/>
      <c r="N186" s="445"/>
      <c r="O186" s="445"/>
      <c r="P186" s="445"/>
      <c r="Q186" s="445"/>
      <c r="R186" s="445"/>
      <c r="S186" s="445"/>
      <c r="T186" s="445"/>
      <c r="U186" s="445"/>
      <c r="V186" s="445"/>
      <c r="W186" s="445"/>
      <c r="X186" s="445"/>
      <c r="Y186" s="445"/>
    </row>
    <row r="187" spans="1:30" ht="18">
      <c r="A187" s="463">
        <v>2</v>
      </c>
      <c r="B187" s="464">
        <v>3</v>
      </c>
      <c r="C187" s="464" t="s">
        <v>614</v>
      </c>
      <c r="D187" s="457"/>
      <c r="E187" s="457"/>
      <c r="F187" s="457"/>
      <c r="G187" s="457"/>
      <c r="H187" s="490" t="s">
        <v>510</v>
      </c>
      <c r="I187" s="500">
        <f>I188</f>
        <v>0</v>
      </c>
      <c r="J187" s="458"/>
      <c r="K187" s="676"/>
      <c r="L187" s="676"/>
      <c r="M187" s="445"/>
      <c r="N187" s="445"/>
      <c r="O187" s="445"/>
      <c r="P187" s="445"/>
      <c r="Q187" s="445"/>
      <c r="R187" s="445"/>
      <c r="S187" s="445"/>
      <c r="T187" s="445"/>
      <c r="U187" s="445"/>
      <c r="V187" s="445"/>
      <c r="W187" s="445"/>
      <c r="X187" s="445"/>
      <c r="Y187" s="445"/>
    </row>
    <row r="188" spans="1:30" ht="18">
      <c r="A188" s="463">
        <v>2</v>
      </c>
      <c r="B188" s="464">
        <v>3</v>
      </c>
      <c r="C188" s="464" t="s">
        <v>614</v>
      </c>
      <c r="D188" s="457">
        <v>5</v>
      </c>
      <c r="E188" s="457"/>
      <c r="F188" s="457"/>
      <c r="G188" s="457">
        <v>2</v>
      </c>
      <c r="H188" s="456" t="s">
        <v>8</v>
      </c>
      <c r="I188" s="500"/>
      <c r="J188" s="458"/>
      <c r="K188" s="676"/>
      <c r="L188" s="676"/>
      <c r="M188" s="445"/>
      <c r="N188" s="445"/>
      <c r="O188" s="445"/>
      <c r="P188" s="445"/>
      <c r="Q188" s="445"/>
      <c r="R188" s="445"/>
      <c r="S188" s="445"/>
      <c r="T188" s="445"/>
      <c r="U188" s="445"/>
      <c r="V188" s="445"/>
      <c r="W188" s="445"/>
      <c r="X188" s="445"/>
      <c r="Y188" s="445"/>
    </row>
    <row r="189" spans="1:30" ht="15.75" customHeight="1">
      <c r="A189" s="463">
        <v>2</v>
      </c>
      <c r="B189" s="464">
        <v>3</v>
      </c>
      <c r="C189" s="464" t="s">
        <v>616</v>
      </c>
      <c r="D189" s="457"/>
      <c r="E189" s="457"/>
      <c r="F189" s="457"/>
      <c r="G189" s="457"/>
      <c r="H189" s="476" t="s">
        <v>636</v>
      </c>
      <c r="I189" s="500" t="e">
        <f>I190</f>
        <v>#REF!</v>
      </c>
      <c r="J189" s="458"/>
      <c r="K189" s="676"/>
      <c r="L189" s="676"/>
      <c r="M189" s="445"/>
      <c r="N189" s="445"/>
      <c r="O189" s="445"/>
      <c r="P189" s="445"/>
      <c r="Q189" s="445"/>
      <c r="R189" s="445"/>
      <c r="S189" s="445"/>
      <c r="T189" s="445"/>
      <c r="U189" s="445"/>
      <c r="V189" s="445"/>
      <c r="W189" s="445"/>
      <c r="X189" s="445"/>
      <c r="Y189" s="445"/>
    </row>
    <row r="190" spans="1:30" ht="18">
      <c r="A190" s="463">
        <v>2</v>
      </c>
      <c r="B190" s="464">
        <v>3</v>
      </c>
      <c r="C190" s="464" t="s">
        <v>616</v>
      </c>
      <c r="D190" s="457">
        <v>5</v>
      </c>
      <c r="E190" s="457"/>
      <c r="F190" s="457"/>
      <c r="G190" s="457">
        <v>3</v>
      </c>
      <c r="H190" s="456" t="s">
        <v>9</v>
      </c>
      <c r="I190" s="500" t="e">
        <f>#REF!</f>
        <v>#REF!</v>
      </c>
      <c r="J190" s="458"/>
      <c r="K190" s="676"/>
      <c r="L190" s="676"/>
      <c r="M190" s="445"/>
      <c r="N190" s="445"/>
      <c r="O190" s="445"/>
      <c r="P190" s="445"/>
      <c r="Q190" s="445"/>
      <c r="R190" s="445"/>
      <c r="S190" s="445"/>
      <c r="T190" s="445"/>
      <c r="U190" s="445"/>
      <c r="V190" s="445"/>
      <c r="W190" s="445"/>
      <c r="X190" s="445"/>
      <c r="Y190" s="445"/>
    </row>
    <row r="191" spans="1:30" ht="15.75" customHeight="1">
      <c r="A191" s="463">
        <v>2</v>
      </c>
      <c r="B191" s="464">
        <v>3</v>
      </c>
      <c r="C191" s="464" t="s">
        <v>250</v>
      </c>
      <c r="D191" s="457"/>
      <c r="E191" s="457"/>
      <c r="F191" s="457"/>
      <c r="G191" s="457"/>
      <c r="H191" s="473" t="s">
        <v>637</v>
      </c>
      <c r="I191" s="500">
        <f>I192</f>
        <v>0</v>
      </c>
      <c r="J191" s="458"/>
      <c r="K191" s="676"/>
      <c r="L191" s="676"/>
      <c r="M191" s="445"/>
      <c r="N191" s="445"/>
      <c r="O191" s="445"/>
      <c r="P191" s="445"/>
      <c r="Q191" s="445"/>
      <c r="R191" s="445"/>
      <c r="S191" s="445"/>
      <c r="T191" s="445"/>
      <c r="U191" s="445"/>
      <c r="V191" s="445"/>
      <c r="W191" s="445"/>
      <c r="X191" s="445"/>
      <c r="Y191" s="445"/>
    </row>
    <row r="192" spans="1:30" ht="18">
      <c r="A192" s="463">
        <v>2</v>
      </c>
      <c r="B192" s="464">
        <v>3</v>
      </c>
      <c r="C192" s="464" t="s">
        <v>250</v>
      </c>
      <c r="D192" s="457">
        <v>5</v>
      </c>
      <c r="E192" s="457"/>
      <c r="F192" s="457"/>
      <c r="G192" s="457">
        <v>3</v>
      </c>
      <c r="H192" s="456" t="s">
        <v>9</v>
      </c>
      <c r="I192" s="500"/>
      <c r="J192" s="458"/>
      <c r="K192" s="676"/>
      <c r="L192" s="676"/>
      <c r="M192" s="445"/>
      <c r="N192" s="445"/>
      <c r="O192" s="445"/>
      <c r="P192" s="445"/>
      <c r="Q192" s="445"/>
      <c r="R192" s="445"/>
      <c r="S192" s="445"/>
      <c r="T192" s="445"/>
      <c r="U192" s="445"/>
      <c r="V192" s="445"/>
      <c r="W192" s="445"/>
      <c r="X192" s="445"/>
      <c r="Y192" s="445"/>
    </row>
    <row r="193" spans="1:25" ht="18">
      <c r="A193" s="463">
        <v>2</v>
      </c>
      <c r="B193" s="464">
        <v>3</v>
      </c>
      <c r="C193" s="464" t="s">
        <v>618</v>
      </c>
      <c r="D193" s="457"/>
      <c r="E193" s="457"/>
      <c r="F193" s="457"/>
      <c r="G193" s="457"/>
      <c r="H193" s="476" t="s">
        <v>638</v>
      </c>
      <c r="I193" s="500">
        <f>I194</f>
        <v>0</v>
      </c>
      <c r="J193" s="458"/>
      <c r="K193" s="676"/>
      <c r="L193" s="676"/>
      <c r="M193" s="445"/>
      <c r="N193" s="445"/>
      <c r="O193" s="445"/>
      <c r="P193" s="445"/>
      <c r="Q193" s="445"/>
      <c r="R193" s="445"/>
      <c r="S193" s="445"/>
      <c r="T193" s="445"/>
      <c r="U193" s="445"/>
      <c r="V193" s="445"/>
      <c r="W193" s="445"/>
      <c r="X193" s="445"/>
      <c r="Y193" s="445"/>
    </row>
    <row r="194" spans="1:25" ht="18">
      <c r="A194" s="463">
        <v>2</v>
      </c>
      <c r="B194" s="464">
        <v>3</v>
      </c>
      <c r="C194" s="464" t="s">
        <v>618</v>
      </c>
      <c r="D194" s="457">
        <v>5</v>
      </c>
      <c r="E194" s="457"/>
      <c r="F194" s="457"/>
      <c r="G194" s="457">
        <v>3</v>
      </c>
      <c r="H194" s="456" t="s">
        <v>9</v>
      </c>
      <c r="I194" s="500"/>
      <c r="J194" s="458"/>
      <c r="K194" s="676"/>
      <c r="L194" s="676"/>
      <c r="M194" s="445"/>
      <c r="N194" s="445"/>
      <c r="O194" s="445"/>
      <c r="P194" s="445"/>
      <c r="Q194" s="445"/>
      <c r="R194" s="445"/>
      <c r="S194" s="445"/>
      <c r="T194" s="445"/>
      <c r="U194" s="445"/>
      <c r="V194" s="445"/>
      <c r="W194" s="445"/>
      <c r="X194" s="445"/>
      <c r="Y194" s="445"/>
    </row>
    <row r="195" spans="1:25" ht="18">
      <c r="A195" s="463">
        <v>2</v>
      </c>
      <c r="B195" s="464">
        <v>3</v>
      </c>
      <c r="C195" s="464" t="s">
        <v>639</v>
      </c>
      <c r="D195" s="457"/>
      <c r="E195" s="457"/>
      <c r="F195" s="457"/>
      <c r="G195" s="457"/>
      <c r="H195" s="476" t="s">
        <v>640</v>
      </c>
      <c r="I195" s="500">
        <f>I196</f>
        <v>0</v>
      </c>
      <c r="J195" s="458"/>
      <c r="K195" s="676"/>
      <c r="L195" s="676"/>
      <c r="M195" s="445"/>
      <c r="N195" s="445"/>
      <c r="O195" s="445"/>
      <c r="P195" s="445"/>
      <c r="Q195" s="445"/>
      <c r="R195" s="445"/>
      <c r="S195" s="445"/>
      <c r="T195" s="445"/>
      <c r="U195" s="445"/>
      <c r="V195" s="445"/>
      <c r="W195" s="445"/>
      <c r="X195" s="445"/>
      <c r="Y195" s="445"/>
    </row>
    <row r="196" spans="1:25" ht="18">
      <c r="A196" s="463">
        <v>2</v>
      </c>
      <c r="B196" s="464">
        <v>3</v>
      </c>
      <c r="C196" s="464" t="s">
        <v>639</v>
      </c>
      <c r="D196" s="457">
        <v>5</v>
      </c>
      <c r="E196" s="457"/>
      <c r="F196" s="457"/>
      <c r="G196" s="457">
        <v>3</v>
      </c>
      <c r="H196" s="456" t="s">
        <v>9</v>
      </c>
      <c r="I196" s="500"/>
      <c r="J196" s="458"/>
      <c r="K196" s="676"/>
      <c r="L196" s="676"/>
      <c r="M196" s="445"/>
      <c r="N196" s="445"/>
      <c r="O196" s="445"/>
      <c r="P196" s="445"/>
      <c r="Q196" s="445"/>
      <c r="R196" s="445"/>
      <c r="S196" s="445"/>
      <c r="T196" s="445"/>
      <c r="U196" s="445"/>
      <c r="V196" s="445"/>
      <c r="W196" s="445"/>
      <c r="X196" s="445"/>
      <c r="Y196" s="445"/>
    </row>
    <row r="197" spans="1:25" ht="31.5">
      <c r="A197" s="463">
        <v>2</v>
      </c>
      <c r="B197" s="464">
        <v>3</v>
      </c>
      <c r="C197" s="464" t="s">
        <v>641</v>
      </c>
      <c r="D197" s="457"/>
      <c r="E197" s="457"/>
      <c r="F197" s="457"/>
      <c r="G197" s="457"/>
      <c r="H197" s="473" t="s">
        <v>642</v>
      </c>
      <c r="I197" s="500" t="e">
        <f>I198</f>
        <v>#REF!</v>
      </c>
      <c r="J197" s="458"/>
      <c r="K197" s="676"/>
      <c r="L197" s="676"/>
      <c r="M197" s="445"/>
      <c r="N197" s="445"/>
      <c r="O197" s="445"/>
      <c r="P197" s="445"/>
      <c r="Q197" s="445"/>
      <c r="R197" s="445"/>
      <c r="S197" s="445"/>
      <c r="T197" s="445"/>
      <c r="U197" s="445"/>
      <c r="V197" s="445"/>
      <c r="W197" s="445"/>
      <c r="X197" s="445"/>
      <c r="Y197" s="445"/>
    </row>
    <row r="198" spans="1:25" ht="18">
      <c r="A198" s="463">
        <v>2</v>
      </c>
      <c r="B198" s="464">
        <v>3</v>
      </c>
      <c r="C198" s="464" t="s">
        <v>641</v>
      </c>
      <c r="D198" s="457">
        <v>5</v>
      </c>
      <c r="E198" s="457"/>
      <c r="F198" s="457"/>
      <c r="G198" s="457">
        <v>3</v>
      </c>
      <c r="H198" s="456" t="s">
        <v>9</v>
      </c>
      <c r="I198" s="500" t="e">
        <f>#REF!</f>
        <v>#REF!</v>
      </c>
      <c r="J198" s="458"/>
      <c r="K198" s="676"/>
      <c r="L198" s="676"/>
      <c r="M198" s="445"/>
      <c r="N198" s="445"/>
      <c r="O198" s="445"/>
      <c r="P198" s="445"/>
      <c r="Q198" s="445"/>
      <c r="R198" s="445"/>
      <c r="S198" s="445"/>
      <c r="T198" s="445"/>
      <c r="U198" s="445"/>
      <c r="V198" s="445"/>
      <c r="W198" s="445"/>
      <c r="X198" s="445"/>
      <c r="Y198" s="445"/>
    </row>
    <row r="199" spans="1:25" ht="18">
      <c r="A199" s="463">
        <v>2</v>
      </c>
      <c r="B199" s="464">
        <v>3</v>
      </c>
      <c r="C199" s="464" t="s">
        <v>643</v>
      </c>
      <c r="D199" s="457"/>
      <c r="E199" s="457"/>
      <c r="F199" s="457"/>
      <c r="G199" s="457"/>
      <c r="H199" s="465" t="s">
        <v>644</v>
      </c>
      <c r="I199" s="500">
        <f>I200</f>
        <v>0</v>
      </c>
      <c r="J199" s="458"/>
      <c r="K199" s="676"/>
      <c r="L199" s="676"/>
      <c r="M199" s="445"/>
      <c r="N199" s="445"/>
      <c r="O199" s="445"/>
      <c r="P199" s="445"/>
      <c r="Q199" s="445"/>
      <c r="R199" s="445"/>
      <c r="S199" s="445"/>
      <c r="T199" s="445"/>
      <c r="U199" s="445"/>
      <c r="V199" s="445"/>
      <c r="W199" s="445"/>
      <c r="X199" s="445"/>
      <c r="Y199" s="445"/>
    </row>
    <row r="200" spans="1:25" ht="15.75" customHeight="1">
      <c r="A200" s="463">
        <v>2</v>
      </c>
      <c r="B200" s="464">
        <v>3</v>
      </c>
      <c r="C200" s="464" t="s">
        <v>643</v>
      </c>
      <c r="D200" s="457">
        <v>5</v>
      </c>
      <c r="E200" s="457"/>
      <c r="F200" s="457"/>
      <c r="G200" s="457">
        <v>3</v>
      </c>
      <c r="H200" s="456" t="s">
        <v>9</v>
      </c>
      <c r="I200" s="500"/>
      <c r="J200" s="458"/>
      <c r="K200" s="676"/>
      <c r="L200" s="676"/>
      <c r="M200" s="445"/>
      <c r="N200" s="445"/>
      <c r="O200" s="445"/>
      <c r="P200" s="445"/>
      <c r="Q200" s="445"/>
      <c r="R200" s="445"/>
      <c r="S200" s="445"/>
      <c r="T200" s="445"/>
      <c r="U200" s="445"/>
      <c r="V200" s="445"/>
      <c r="W200" s="445"/>
      <c r="X200" s="445"/>
      <c r="Y200" s="445"/>
    </row>
    <row r="201" spans="1:25" ht="31.5">
      <c r="A201" s="463">
        <v>2</v>
      </c>
      <c r="B201" s="464">
        <v>3</v>
      </c>
      <c r="C201" s="464" t="s">
        <v>645</v>
      </c>
      <c r="D201" s="457"/>
      <c r="E201" s="457"/>
      <c r="F201" s="457"/>
      <c r="G201" s="457"/>
      <c r="H201" s="473" t="s">
        <v>509</v>
      </c>
      <c r="I201" s="500">
        <f>I202</f>
        <v>0</v>
      </c>
      <c r="J201" s="458"/>
      <c r="K201" s="676"/>
      <c r="L201" s="676"/>
      <c r="M201" s="445"/>
      <c r="N201" s="445"/>
      <c r="O201" s="445"/>
      <c r="P201" s="445"/>
      <c r="Q201" s="445"/>
      <c r="R201" s="445"/>
      <c r="S201" s="445"/>
      <c r="T201" s="445"/>
      <c r="U201" s="445"/>
      <c r="V201" s="445"/>
      <c r="W201" s="445"/>
      <c r="X201" s="445"/>
      <c r="Y201" s="445"/>
    </row>
    <row r="202" spans="1:25" ht="18">
      <c r="A202" s="463">
        <v>2</v>
      </c>
      <c r="B202" s="464">
        <v>3</v>
      </c>
      <c r="C202" s="464" t="s">
        <v>645</v>
      </c>
      <c r="D202" s="457">
        <v>5</v>
      </c>
      <c r="E202" s="457"/>
      <c r="F202" s="457"/>
      <c r="G202" s="457">
        <v>3</v>
      </c>
      <c r="H202" s="456" t="s">
        <v>9</v>
      </c>
      <c r="I202" s="500"/>
      <c r="J202" s="458"/>
      <c r="K202" s="676"/>
      <c r="L202" s="676"/>
      <c r="M202" s="445"/>
      <c r="N202" s="445"/>
      <c r="O202" s="445"/>
      <c r="P202" s="445"/>
      <c r="Q202" s="445"/>
      <c r="R202" s="445"/>
      <c r="S202" s="445"/>
      <c r="T202" s="445"/>
      <c r="U202" s="445"/>
      <c r="V202" s="445"/>
      <c r="W202" s="445"/>
      <c r="X202" s="445"/>
      <c r="Y202" s="445"/>
    </row>
    <row r="203" spans="1:25" ht="18">
      <c r="A203" s="463">
        <v>2</v>
      </c>
      <c r="B203" s="464">
        <v>3</v>
      </c>
      <c r="C203" s="464" t="s">
        <v>646</v>
      </c>
      <c r="D203" s="457"/>
      <c r="E203" s="457"/>
      <c r="F203" s="457"/>
      <c r="G203" s="457"/>
      <c r="H203" s="476" t="s">
        <v>647</v>
      </c>
      <c r="I203" s="500">
        <f>I204</f>
        <v>0</v>
      </c>
      <c r="J203" s="458"/>
      <c r="K203" s="676"/>
      <c r="L203" s="676"/>
      <c r="M203" s="445"/>
      <c r="N203" s="445"/>
      <c r="O203" s="445"/>
      <c r="P203" s="445"/>
      <c r="Q203" s="445"/>
      <c r="R203" s="445"/>
      <c r="S203" s="445"/>
      <c r="T203" s="445"/>
      <c r="U203" s="445"/>
      <c r="V203" s="445"/>
      <c r="W203" s="445"/>
      <c r="X203" s="445"/>
      <c r="Y203" s="445"/>
    </row>
    <row r="204" spans="1:25" ht="18">
      <c r="A204" s="463">
        <v>2</v>
      </c>
      <c r="B204" s="464">
        <v>3</v>
      </c>
      <c r="C204" s="464" t="s">
        <v>646</v>
      </c>
      <c r="D204" s="457">
        <v>5</v>
      </c>
      <c r="E204" s="457"/>
      <c r="F204" s="457"/>
      <c r="G204" s="457">
        <v>2</v>
      </c>
      <c r="H204" s="476" t="s">
        <v>8</v>
      </c>
      <c r="I204" s="500"/>
      <c r="J204" s="458"/>
      <c r="K204" s="676"/>
      <c r="L204" s="676"/>
      <c r="M204" s="445"/>
      <c r="N204" s="445"/>
      <c r="O204" s="445"/>
      <c r="P204" s="445"/>
      <c r="Q204" s="445"/>
      <c r="R204" s="445"/>
      <c r="S204" s="445"/>
      <c r="T204" s="445"/>
      <c r="U204" s="445"/>
      <c r="V204" s="445"/>
      <c r="W204" s="445"/>
      <c r="X204" s="445"/>
      <c r="Y204" s="445"/>
    </row>
    <row r="205" spans="1:25" ht="15.75" customHeight="1">
      <c r="A205" s="463">
        <v>2</v>
      </c>
      <c r="B205" s="464">
        <v>3</v>
      </c>
      <c r="C205" s="464" t="s">
        <v>648</v>
      </c>
      <c r="D205" s="457"/>
      <c r="E205" s="457"/>
      <c r="F205" s="457"/>
      <c r="G205" s="457"/>
      <c r="H205" s="476" t="s">
        <v>508</v>
      </c>
      <c r="I205" s="500">
        <f>I206</f>
        <v>0</v>
      </c>
      <c r="J205" s="458"/>
      <c r="K205" s="676"/>
      <c r="L205" s="676"/>
      <c r="M205" s="445"/>
      <c r="N205" s="445"/>
      <c r="O205" s="445"/>
      <c r="P205" s="445"/>
      <c r="Q205" s="445"/>
      <c r="R205" s="445"/>
      <c r="S205" s="445"/>
      <c r="T205" s="445"/>
      <c r="U205" s="445"/>
      <c r="V205" s="445"/>
      <c r="W205" s="445"/>
      <c r="X205" s="445"/>
      <c r="Y205" s="445"/>
    </row>
    <row r="206" spans="1:25" ht="18">
      <c r="A206" s="463">
        <v>2</v>
      </c>
      <c r="B206" s="464">
        <v>3</v>
      </c>
      <c r="C206" s="464" t="s">
        <v>648</v>
      </c>
      <c r="D206" s="457">
        <v>5</v>
      </c>
      <c r="E206" s="457"/>
      <c r="F206" s="457"/>
      <c r="G206" s="457">
        <v>2</v>
      </c>
      <c r="H206" s="476" t="s">
        <v>8</v>
      </c>
      <c r="I206" s="500"/>
      <c r="J206" s="458"/>
      <c r="K206" s="676"/>
      <c r="L206" s="676"/>
      <c r="M206" s="445"/>
      <c r="N206" s="445"/>
      <c r="O206" s="445"/>
      <c r="P206" s="445"/>
      <c r="Q206" s="445"/>
      <c r="R206" s="445"/>
      <c r="S206" s="445"/>
      <c r="T206" s="445"/>
      <c r="U206" s="445"/>
      <c r="V206" s="445"/>
      <c r="W206" s="445"/>
      <c r="X206" s="445"/>
      <c r="Y206" s="445"/>
    </row>
    <row r="207" spans="1:25" ht="18">
      <c r="A207" s="463">
        <v>2</v>
      </c>
      <c r="B207" s="464">
        <v>3</v>
      </c>
      <c r="C207" s="464" t="s">
        <v>649</v>
      </c>
      <c r="D207" s="457"/>
      <c r="E207" s="457"/>
      <c r="F207" s="457"/>
      <c r="G207" s="457"/>
      <c r="H207" s="490" t="s">
        <v>650</v>
      </c>
      <c r="I207" s="500">
        <f>I208</f>
        <v>0</v>
      </c>
      <c r="J207" s="458"/>
      <c r="K207" s="676"/>
      <c r="L207" s="676"/>
      <c r="M207" s="445"/>
      <c r="N207" s="445"/>
      <c r="O207" s="445"/>
      <c r="P207" s="445"/>
      <c r="Q207" s="445"/>
      <c r="R207" s="445"/>
      <c r="S207" s="445"/>
      <c r="T207" s="445"/>
      <c r="U207" s="445"/>
      <c r="V207" s="445"/>
      <c r="W207" s="445"/>
      <c r="X207" s="445"/>
      <c r="Y207" s="445"/>
    </row>
    <row r="208" spans="1:25" ht="18">
      <c r="A208" s="463">
        <v>2</v>
      </c>
      <c r="B208" s="464">
        <v>3</v>
      </c>
      <c r="C208" s="464" t="s">
        <v>649</v>
      </c>
      <c r="D208" s="457">
        <v>5</v>
      </c>
      <c r="E208" s="457"/>
      <c r="F208" s="457"/>
      <c r="G208" s="457">
        <v>3</v>
      </c>
      <c r="H208" s="456" t="s">
        <v>9</v>
      </c>
      <c r="I208" s="500"/>
      <c r="J208" s="458"/>
      <c r="K208" s="676"/>
      <c r="L208" s="676"/>
      <c r="M208" s="445"/>
      <c r="N208" s="445"/>
      <c r="O208" s="445"/>
      <c r="P208" s="445"/>
      <c r="Q208" s="445"/>
      <c r="R208" s="445"/>
      <c r="S208" s="445"/>
      <c r="T208" s="445"/>
      <c r="U208" s="445"/>
      <c r="V208" s="445"/>
      <c r="W208" s="445"/>
      <c r="X208" s="445"/>
      <c r="Y208" s="445"/>
    </row>
    <row r="209" spans="1:25" ht="31.5">
      <c r="A209" s="463">
        <v>2</v>
      </c>
      <c r="B209" s="464">
        <v>3</v>
      </c>
      <c r="C209" s="464" t="s">
        <v>828</v>
      </c>
      <c r="D209" s="457"/>
      <c r="E209" s="457"/>
      <c r="F209" s="457"/>
      <c r="G209" s="457"/>
      <c r="H209" s="491" t="s">
        <v>829</v>
      </c>
      <c r="I209" s="500" t="e">
        <f>I210</f>
        <v>#REF!</v>
      </c>
      <c r="J209" s="458"/>
      <c r="K209" s="676"/>
      <c r="L209" s="676"/>
      <c r="M209" s="445"/>
      <c r="N209" s="445"/>
      <c r="O209" s="445"/>
      <c r="P209" s="445"/>
      <c r="Q209" s="445"/>
      <c r="R209" s="445"/>
      <c r="S209" s="445"/>
      <c r="T209" s="445"/>
      <c r="U209" s="445"/>
      <c r="V209" s="445"/>
      <c r="W209" s="445"/>
      <c r="X209" s="445"/>
      <c r="Y209" s="445"/>
    </row>
    <row r="210" spans="1:25" ht="18">
      <c r="A210" s="463">
        <v>2</v>
      </c>
      <c r="B210" s="464">
        <v>3</v>
      </c>
      <c r="C210" s="464" t="s">
        <v>828</v>
      </c>
      <c r="D210" s="457">
        <v>5</v>
      </c>
      <c r="E210" s="457"/>
      <c r="F210" s="457"/>
      <c r="G210" s="457">
        <v>3</v>
      </c>
      <c r="H210" s="456" t="s">
        <v>9</v>
      </c>
      <c r="I210" s="500" t="e">
        <f>#REF!</f>
        <v>#REF!</v>
      </c>
      <c r="J210" s="458"/>
      <c r="K210" s="676"/>
      <c r="L210" s="676"/>
      <c r="M210" s="445"/>
      <c r="N210" s="445"/>
      <c r="O210" s="445"/>
      <c r="P210" s="445"/>
      <c r="Q210" s="445"/>
      <c r="R210" s="445"/>
      <c r="S210" s="445"/>
      <c r="T210" s="445"/>
      <c r="U210" s="445"/>
      <c r="V210" s="445"/>
      <c r="W210" s="445"/>
      <c r="X210" s="445"/>
      <c r="Y210" s="445"/>
    </row>
    <row r="211" spans="1:25" ht="18">
      <c r="A211" s="463">
        <v>2</v>
      </c>
      <c r="B211" s="464">
        <v>3</v>
      </c>
      <c r="C211" s="464" t="s">
        <v>437</v>
      </c>
      <c r="D211" s="457"/>
      <c r="E211" s="457"/>
      <c r="F211" s="457"/>
      <c r="G211" s="457"/>
      <c r="H211" s="476" t="s">
        <v>651</v>
      </c>
      <c r="I211" s="500">
        <f>I212</f>
        <v>0</v>
      </c>
      <c r="J211" s="458"/>
      <c r="K211" s="676"/>
      <c r="L211" s="676"/>
      <c r="M211" s="445"/>
      <c r="N211" s="445"/>
      <c r="O211" s="445"/>
      <c r="P211" s="445"/>
      <c r="Q211" s="445"/>
      <c r="R211" s="445"/>
      <c r="S211" s="445"/>
      <c r="T211" s="445"/>
      <c r="U211" s="445"/>
      <c r="V211" s="445"/>
      <c r="W211" s="445"/>
      <c r="X211" s="445"/>
      <c r="Y211" s="445"/>
    </row>
    <row r="212" spans="1:25" ht="15.75" customHeight="1">
      <c r="A212" s="463">
        <v>2</v>
      </c>
      <c r="B212" s="464">
        <v>3</v>
      </c>
      <c r="C212" s="464" t="s">
        <v>437</v>
      </c>
      <c r="D212" s="457">
        <v>5</v>
      </c>
      <c r="E212" s="457"/>
      <c r="F212" s="457"/>
      <c r="G212" s="457">
        <v>2</v>
      </c>
      <c r="H212" s="476" t="s">
        <v>8</v>
      </c>
      <c r="I212" s="500"/>
      <c r="J212" s="458"/>
      <c r="K212" s="676"/>
      <c r="L212" s="676"/>
      <c r="M212" s="445"/>
      <c r="N212" s="445"/>
      <c r="O212" s="445"/>
      <c r="P212" s="445"/>
      <c r="Q212" s="445"/>
      <c r="R212" s="445"/>
      <c r="S212" s="445"/>
      <c r="T212" s="445"/>
      <c r="U212" s="445"/>
      <c r="V212" s="445"/>
      <c r="W212" s="445"/>
      <c r="X212" s="445"/>
      <c r="Y212" s="445"/>
    </row>
    <row r="213" spans="1:25" ht="18">
      <c r="A213" s="488">
        <v>2</v>
      </c>
      <c r="B213" s="481">
        <v>4</v>
      </c>
      <c r="C213" s="481"/>
      <c r="D213" s="452"/>
      <c r="E213" s="452"/>
      <c r="F213" s="452"/>
      <c r="G213" s="452"/>
      <c r="H213" s="489" t="s">
        <v>652</v>
      </c>
      <c r="I213" s="529" t="e">
        <f>I214+I216+I218+I220+I222+I224+I226+I228+I230+I234+I236+I238+I240+I242+I244+I246+I248</f>
        <v>#REF!</v>
      </c>
      <c r="J213" s="454"/>
      <c r="K213" s="675"/>
      <c r="L213" s="675"/>
      <c r="M213" s="455"/>
      <c r="N213" s="455"/>
      <c r="O213" s="455"/>
      <c r="P213" s="455"/>
      <c r="Q213" s="455"/>
      <c r="R213" s="455"/>
      <c r="S213" s="455"/>
      <c r="T213" s="455"/>
      <c r="U213" s="455"/>
      <c r="V213" s="455"/>
      <c r="W213" s="455"/>
      <c r="X213" s="455"/>
      <c r="Y213" s="455"/>
    </row>
    <row r="214" spans="1:25" ht="31.5">
      <c r="A214" s="472">
        <v>2</v>
      </c>
      <c r="B214" s="464">
        <v>4</v>
      </c>
      <c r="C214" s="464" t="s">
        <v>593</v>
      </c>
      <c r="D214" s="457"/>
      <c r="E214" s="457"/>
      <c r="F214" s="457"/>
      <c r="G214" s="457"/>
      <c r="H214" s="473" t="s">
        <v>507</v>
      </c>
      <c r="I214" s="500">
        <f>I215</f>
        <v>0</v>
      </c>
      <c r="J214" s="458"/>
      <c r="K214" s="676"/>
      <c r="L214" s="676"/>
      <c r="M214" s="445"/>
      <c r="N214" s="445"/>
      <c r="O214" s="445"/>
      <c r="P214" s="445"/>
      <c r="Q214" s="445"/>
      <c r="R214" s="445"/>
      <c r="S214" s="445"/>
      <c r="T214" s="445"/>
      <c r="U214" s="445"/>
      <c r="V214" s="445"/>
      <c r="W214" s="445"/>
      <c r="X214" s="445"/>
      <c r="Y214" s="445"/>
    </row>
    <row r="215" spans="1:25" ht="18">
      <c r="A215" s="472">
        <v>2</v>
      </c>
      <c r="B215" s="464">
        <v>4</v>
      </c>
      <c r="C215" s="464" t="s">
        <v>593</v>
      </c>
      <c r="D215" s="457">
        <v>5</v>
      </c>
      <c r="E215" s="457"/>
      <c r="F215" s="457"/>
      <c r="G215" s="457">
        <v>2</v>
      </c>
      <c r="H215" s="476" t="s">
        <v>8</v>
      </c>
      <c r="I215" s="500"/>
      <c r="J215" s="458"/>
      <c r="K215" s="676"/>
      <c r="L215" s="676"/>
      <c r="M215" s="445"/>
      <c r="N215" s="445"/>
      <c r="O215" s="445"/>
      <c r="P215" s="445"/>
      <c r="Q215" s="445"/>
      <c r="R215" s="445"/>
      <c r="S215" s="445"/>
      <c r="T215" s="445"/>
      <c r="U215" s="445"/>
      <c r="V215" s="445"/>
      <c r="W215" s="445"/>
      <c r="X215" s="445"/>
      <c r="Y215" s="445"/>
    </row>
    <row r="216" spans="1:25" ht="15.75" customHeight="1">
      <c r="A216" s="463">
        <v>2</v>
      </c>
      <c r="B216" s="464">
        <v>4</v>
      </c>
      <c r="C216" s="464" t="s">
        <v>594</v>
      </c>
      <c r="D216" s="457"/>
      <c r="E216" s="457"/>
      <c r="F216" s="457"/>
      <c r="G216" s="457"/>
      <c r="H216" s="490" t="s">
        <v>506</v>
      </c>
      <c r="I216" s="500">
        <f>I217</f>
        <v>0</v>
      </c>
      <c r="J216" s="458"/>
      <c r="K216" s="676"/>
      <c r="L216" s="676"/>
      <c r="M216" s="445"/>
      <c r="N216" s="445"/>
      <c r="O216" s="445"/>
      <c r="P216" s="445"/>
      <c r="Q216" s="445"/>
      <c r="R216" s="445"/>
      <c r="S216" s="445"/>
      <c r="T216" s="445"/>
      <c r="U216" s="445"/>
      <c r="V216" s="445"/>
      <c r="W216" s="445"/>
      <c r="X216" s="445"/>
      <c r="Y216" s="445"/>
    </row>
    <row r="217" spans="1:25" ht="18">
      <c r="A217" s="463">
        <v>2</v>
      </c>
      <c r="B217" s="464">
        <v>4</v>
      </c>
      <c r="C217" s="464" t="s">
        <v>594</v>
      </c>
      <c r="D217" s="457">
        <v>5</v>
      </c>
      <c r="E217" s="457"/>
      <c r="F217" s="457"/>
      <c r="G217" s="457">
        <v>2</v>
      </c>
      <c r="H217" s="476" t="s">
        <v>8</v>
      </c>
      <c r="I217" s="500"/>
      <c r="J217" s="458"/>
      <c r="K217" s="676"/>
      <c r="L217" s="676"/>
      <c r="M217" s="445"/>
      <c r="N217" s="445"/>
      <c r="O217" s="445"/>
      <c r="P217" s="445"/>
      <c r="Q217" s="445"/>
      <c r="R217" s="445"/>
      <c r="S217" s="445"/>
      <c r="T217" s="445"/>
      <c r="U217" s="445"/>
      <c r="V217" s="445"/>
      <c r="W217" s="445"/>
      <c r="X217" s="445"/>
      <c r="Y217" s="445"/>
    </row>
    <row r="218" spans="1:25" ht="31.5">
      <c r="A218" s="463">
        <v>2</v>
      </c>
      <c r="B218" s="464">
        <v>4</v>
      </c>
      <c r="C218" s="464" t="s">
        <v>595</v>
      </c>
      <c r="D218" s="457"/>
      <c r="E218" s="457"/>
      <c r="F218" s="457"/>
      <c r="G218" s="457"/>
      <c r="H218" s="491" t="s">
        <v>505</v>
      </c>
      <c r="I218" s="500">
        <f>I219</f>
        <v>0</v>
      </c>
      <c r="J218" s="458"/>
      <c r="K218" s="676"/>
      <c r="L218" s="676"/>
      <c r="M218" s="445"/>
      <c r="N218" s="445"/>
      <c r="O218" s="445"/>
      <c r="P218" s="445"/>
      <c r="Q218" s="445"/>
      <c r="R218" s="445"/>
      <c r="S218" s="445"/>
      <c r="T218" s="445"/>
      <c r="U218" s="445"/>
      <c r="V218" s="445"/>
      <c r="W218" s="445"/>
      <c r="X218" s="445"/>
      <c r="Y218" s="445"/>
    </row>
    <row r="219" spans="1:25" ht="18">
      <c r="A219" s="463">
        <v>2</v>
      </c>
      <c r="B219" s="464">
        <v>4</v>
      </c>
      <c r="C219" s="464" t="s">
        <v>595</v>
      </c>
      <c r="D219" s="457">
        <v>5</v>
      </c>
      <c r="E219" s="457"/>
      <c r="F219" s="457"/>
      <c r="G219" s="457">
        <v>2</v>
      </c>
      <c r="H219" s="476" t="s">
        <v>8</v>
      </c>
      <c r="I219" s="500"/>
      <c r="J219" s="458"/>
      <c r="K219" s="676"/>
      <c r="L219" s="676"/>
      <c r="M219" s="445"/>
      <c r="N219" s="445"/>
      <c r="O219" s="445"/>
      <c r="P219" s="445"/>
      <c r="Q219" s="445"/>
      <c r="R219" s="445"/>
      <c r="S219" s="445"/>
      <c r="T219" s="445"/>
      <c r="U219" s="445"/>
      <c r="V219" s="445"/>
      <c r="W219" s="445"/>
      <c r="X219" s="445"/>
      <c r="Y219" s="445"/>
    </row>
    <row r="220" spans="1:25" ht="18">
      <c r="A220" s="463">
        <v>2</v>
      </c>
      <c r="B220" s="464">
        <v>4</v>
      </c>
      <c r="C220" s="464" t="s">
        <v>596</v>
      </c>
      <c r="D220" s="457"/>
      <c r="E220" s="457"/>
      <c r="F220" s="457"/>
      <c r="G220" s="457"/>
      <c r="H220" s="490" t="s">
        <v>504</v>
      </c>
      <c r="I220" s="500">
        <f>I221</f>
        <v>0</v>
      </c>
      <c r="J220" s="458"/>
      <c r="K220" s="676"/>
      <c r="L220" s="676"/>
      <c r="M220" s="445"/>
      <c r="N220" s="445"/>
      <c r="O220" s="445"/>
      <c r="P220" s="445"/>
      <c r="Q220" s="445"/>
      <c r="R220" s="445"/>
      <c r="S220" s="445"/>
      <c r="T220" s="445"/>
      <c r="U220" s="445"/>
      <c r="V220" s="445"/>
      <c r="W220" s="445"/>
      <c r="X220" s="445"/>
      <c r="Y220" s="445"/>
    </row>
    <row r="221" spans="1:25" ht="18">
      <c r="A221" s="463">
        <v>2</v>
      </c>
      <c r="B221" s="464">
        <v>4</v>
      </c>
      <c r="C221" s="464" t="s">
        <v>596</v>
      </c>
      <c r="D221" s="457">
        <v>5</v>
      </c>
      <c r="E221" s="457"/>
      <c r="F221" s="457"/>
      <c r="G221" s="457">
        <v>2</v>
      </c>
      <c r="H221" s="476" t="s">
        <v>8</v>
      </c>
      <c r="I221" s="500"/>
      <c r="J221" s="458"/>
      <c r="K221" s="676"/>
      <c r="L221" s="676"/>
      <c r="M221" s="445"/>
      <c r="N221" s="445"/>
      <c r="O221" s="445"/>
      <c r="P221" s="445"/>
      <c r="Q221" s="445"/>
      <c r="R221" s="445"/>
      <c r="S221" s="445"/>
      <c r="T221" s="445"/>
      <c r="U221" s="445"/>
      <c r="V221" s="445"/>
      <c r="W221" s="445"/>
      <c r="X221" s="445"/>
      <c r="Y221" s="445"/>
    </row>
    <row r="222" spans="1:25" ht="31.5">
      <c r="A222" s="463">
        <v>2</v>
      </c>
      <c r="B222" s="464">
        <v>4</v>
      </c>
      <c r="C222" s="464" t="s">
        <v>597</v>
      </c>
      <c r="D222" s="457"/>
      <c r="E222" s="457"/>
      <c r="F222" s="457"/>
      <c r="G222" s="457"/>
      <c r="H222" s="491" t="s">
        <v>503</v>
      </c>
      <c r="I222" s="500">
        <f>I223</f>
        <v>0</v>
      </c>
      <c r="J222" s="458"/>
      <c r="K222" s="676"/>
      <c r="L222" s="676"/>
      <c r="M222" s="445"/>
      <c r="N222" s="445"/>
      <c r="O222" s="445"/>
      <c r="P222" s="445"/>
      <c r="Q222" s="445"/>
      <c r="R222" s="445"/>
      <c r="S222" s="445"/>
      <c r="T222" s="445"/>
      <c r="U222" s="445"/>
      <c r="V222" s="445"/>
      <c r="W222" s="445"/>
      <c r="X222" s="445"/>
      <c r="Y222" s="445"/>
    </row>
    <row r="223" spans="1:25" ht="15.75" customHeight="1">
      <c r="A223" s="463">
        <v>2</v>
      </c>
      <c r="B223" s="464">
        <v>4</v>
      </c>
      <c r="C223" s="464" t="s">
        <v>597</v>
      </c>
      <c r="D223" s="457">
        <v>5</v>
      </c>
      <c r="E223" s="457"/>
      <c r="F223" s="457"/>
      <c r="G223" s="457">
        <v>2</v>
      </c>
      <c r="H223" s="476" t="s">
        <v>8</v>
      </c>
      <c r="I223" s="500"/>
      <c r="J223" s="458"/>
      <c r="K223" s="676"/>
      <c r="L223" s="676"/>
      <c r="M223" s="445"/>
      <c r="N223" s="445"/>
      <c r="O223" s="445"/>
      <c r="P223" s="445"/>
      <c r="Q223" s="445"/>
      <c r="R223" s="445"/>
      <c r="S223" s="445"/>
      <c r="T223" s="445"/>
      <c r="U223" s="445"/>
      <c r="V223" s="445"/>
      <c r="W223" s="445"/>
      <c r="X223" s="445"/>
      <c r="Y223" s="445"/>
    </row>
    <row r="224" spans="1:25" ht="18">
      <c r="A224" s="463">
        <v>2</v>
      </c>
      <c r="B224" s="464">
        <v>4</v>
      </c>
      <c r="C224" s="464" t="s">
        <v>598</v>
      </c>
      <c r="D224" s="457"/>
      <c r="E224" s="457"/>
      <c r="F224" s="457"/>
      <c r="G224" s="457"/>
      <c r="H224" s="490" t="s">
        <v>502</v>
      </c>
      <c r="I224" s="500">
        <f>I225</f>
        <v>0</v>
      </c>
      <c r="J224" s="458"/>
      <c r="K224" s="676"/>
      <c r="L224" s="676"/>
      <c r="M224" s="445"/>
      <c r="N224" s="445"/>
      <c r="O224" s="445"/>
      <c r="P224" s="445"/>
      <c r="Q224" s="445"/>
      <c r="R224" s="445"/>
      <c r="S224" s="445"/>
      <c r="T224" s="445"/>
      <c r="U224" s="445"/>
      <c r="V224" s="445"/>
      <c r="W224" s="445"/>
      <c r="X224" s="445"/>
      <c r="Y224" s="445"/>
    </row>
    <row r="225" spans="1:25" ht="15.75" customHeight="1">
      <c r="A225" s="463">
        <v>2</v>
      </c>
      <c r="B225" s="464">
        <v>4</v>
      </c>
      <c r="C225" s="464" t="s">
        <v>598</v>
      </c>
      <c r="D225" s="457">
        <v>5</v>
      </c>
      <c r="E225" s="457"/>
      <c r="F225" s="457"/>
      <c r="G225" s="457">
        <v>2</v>
      </c>
      <c r="H225" s="476" t="s">
        <v>8</v>
      </c>
      <c r="I225" s="500"/>
      <c r="J225" s="458"/>
      <c r="K225" s="676"/>
      <c r="L225" s="676"/>
      <c r="M225" s="445"/>
      <c r="N225" s="445"/>
      <c r="O225" s="445"/>
      <c r="P225" s="445"/>
      <c r="Q225" s="445"/>
      <c r="R225" s="445"/>
      <c r="S225" s="445"/>
      <c r="T225" s="445"/>
      <c r="U225" s="445"/>
      <c r="V225" s="445"/>
      <c r="W225" s="445"/>
      <c r="X225" s="445"/>
      <c r="Y225" s="445"/>
    </row>
    <row r="226" spans="1:25" ht="15.75" customHeight="1">
      <c r="A226" s="463">
        <v>2</v>
      </c>
      <c r="B226" s="464">
        <v>4</v>
      </c>
      <c r="C226" s="464" t="s">
        <v>600</v>
      </c>
      <c r="D226" s="457"/>
      <c r="E226" s="457"/>
      <c r="F226" s="457"/>
      <c r="G226" s="457"/>
      <c r="H226" s="491" t="s">
        <v>501</v>
      </c>
      <c r="I226" s="500">
        <f>I227</f>
        <v>0</v>
      </c>
      <c r="J226" s="458"/>
      <c r="K226" s="676"/>
      <c r="L226" s="676"/>
      <c r="M226" s="445"/>
      <c r="N226" s="445"/>
      <c r="O226" s="445"/>
      <c r="P226" s="445"/>
      <c r="Q226" s="445"/>
      <c r="R226" s="445"/>
      <c r="S226" s="445"/>
      <c r="T226" s="445"/>
      <c r="U226" s="445"/>
      <c r="V226" s="445"/>
      <c r="W226" s="445"/>
      <c r="X226" s="445"/>
      <c r="Y226" s="445"/>
    </row>
    <row r="227" spans="1:25" ht="15.75" customHeight="1">
      <c r="A227" s="463">
        <v>2</v>
      </c>
      <c r="B227" s="464">
        <v>4</v>
      </c>
      <c r="C227" s="464" t="s">
        <v>600</v>
      </c>
      <c r="D227" s="457">
        <v>5</v>
      </c>
      <c r="E227" s="457"/>
      <c r="F227" s="457"/>
      <c r="G227" s="457">
        <v>2</v>
      </c>
      <c r="H227" s="476" t="s">
        <v>8</v>
      </c>
      <c r="I227" s="500"/>
      <c r="J227" s="458"/>
      <c r="K227" s="676"/>
      <c r="L227" s="676"/>
      <c r="M227" s="445"/>
      <c r="N227" s="445"/>
      <c r="O227" s="445"/>
      <c r="P227" s="445"/>
      <c r="Q227" s="445"/>
      <c r="R227" s="445"/>
      <c r="S227" s="445"/>
      <c r="T227" s="445"/>
      <c r="U227" s="445"/>
      <c r="V227" s="445"/>
      <c r="W227" s="445"/>
      <c r="X227" s="445"/>
      <c r="Y227" s="445"/>
    </row>
    <row r="228" spans="1:25" ht="15.75" customHeight="1">
      <c r="A228" s="463">
        <v>2</v>
      </c>
      <c r="B228" s="464">
        <v>4</v>
      </c>
      <c r="C228" s="464" t="s">
        <v>614</v>
      </c>
      <c r="D228" s="457"/>
      <c r="E228" s="457"/>
      <c r="F228" s="457"/>
      <c r="G228" s="457"/>
      <c r="H228" s="490" t="s">
        <v>500</v>
      </c>
      <c r="I228" s="500">
        <f>I229</f>
        <v>0</v>
      </c>
      <c r="J228" s="458"/>
      <c r="K228" s="676"/>
      <c r="L228" s="676"/>
      <c r="M228" s="445"/>
      <c r="N228" s="445"/>
      <c r="O228" s="445"/>
      <c r="P228" s="445"/>
      <c r="Q228" s="445"/>
      <c r="R228" s="445"/>
      <c r="S228" s="445"/>
      <c r="T228" s="445"/>
      <c r="U228" s="445"/>
      <c r="V228" s="445"/>
      <c r="W228" s="445"/>
      <c r="X228" s="445"/>
      <c r="Y228" s="445"/>
    </row>
    <row r="229" spans="1:25" ht="15.75" customHeight="1">
      <c r="A229" s="463">
        <v>2</v>
      </c>
      <c r="B229" s="464">
        <v>4</v>
      </c>
      <c r="C229" s="464" t="s">
        <v>614</v>
      </c>
      <c r="D229" s="457">
        <v>5</v>
      </c>
      <c r="E229" s="457"/>
      <c r="F229" s="457"/>
      <c r="G229" s="457">
        <v>2</v>
      </c>
      <c r="H229" s="476" t="s">
        <v>8</v>
      </c>
      <c r="I229" s="500"/>
      <c r="J229" s="458"/>
      <c r="K229" s="676"/>
      <c r="L229" s="676"/>
      <c r="M229" s="445"/>
      <c r="N229" s="445"/>
      <c r="O229" s="445"/>
      <c r="P229" s="445"/>
      <c r="Q229" s="445"/>
      <c r="R229" s="445"/>
      <c r="S229" s="445"/>
      <c r="T229" s="445"/>
      <c r="U229" s="445"/>
      <c r="V229" s="445"/>
      <c r="W229" s="445"/>
      <c r="X229" s="445"/>
      <c r="Y229" s="445"/>
    </row>
    <row r="230" spans="1:25" ht="15.75" customHeight="1">
      <c r="A230" s="463">
        <v>2</v>
      </c>
      <c r="B230" s="464">
        <v>4</v>
      </c>
      <c r="C230" s="464" t="s">
        <v>616</v>
      </c>
      <c r="D230" s="457"/>
      <c r="E230" s="457"/>
      <c r="F230" s="457"/>
      <c r="G230" s="457"/>
      <c r="H230" s="490" t="s">
        <v>499</v>
      </c>
      <c r="I230" s="500">
        <f>I231</f>
        <v>0</v>
      </c>
      <c r="J230" s="458"/>
      <c r="K230" s="676"/>
      <c r="L230" s="676"/>
      <c r="M230" s="445"/>
      <c r="N230" s="445"/>
      <c r="O230" s="445"/>
      <c r="P230" s="445"/>
      <c r="Q230" s="445"/>
      <c r="R230" s="445"/>
      <c r="S230" s="445"/>
      <c r="T230" s="445"/>
      <c r="U230" s="445"/>
      <c r="V230" s="445"/>
      <c r="W230" s="445"/>
      <c r="X230" s="445"/>
      <c r="Y230" s="445"/>
    </row>
    <row r="231" spans="1:25" ht="18">
      <c r="A231" s="463">
        <v>2</v>
      </c>
      <c r="B231" s="464">
        <v>4</v>
      </c>
      <c r="C231" s="464" t="s">
        <v>616</v>
      </c>
      <c r="D231" s="457">
        <v>5</v>
      </c>
      <c r="E231" s="457"/>
      <c r="F231" s="457"/>
      <c r="G231" s="457">
        <v>2</v>
      </c>
      <c r="H231" s="476" t="s">
        <v>8</v>
      </c>
      <c r="I231" s="500">
        <v>0</v>
      </c>
      <c r="J231" s="458"/>
      <c r="K231" s="676"/>
      <c r="L231" s="676"/>
      <c r="M231" s="445"/>
      <c r="N231" s="445"/>
      <c r="O231" s="445"/>
      <c r="P231" s="445"/>
      <c r="Q231" s="445"/>
      <c r="R231" s="445"/>
      <c r="S231" s="445"/>
      <c r="T231" s="445"/>
      <c r="U231" s="445"/>
      <c r="V231" s="445"/>
      <c r="W231" s="445"/>
      <c r="X231" s="445"/>
      <c r="Y231" s="445"/>
    </row>
    <row r="232" spans="1:25" ht="30" customHeight="1">
      <c r="A232" s="463">
        <v>2</v>
      </c>
      <c r="B232" s="464">
        <v>4</v>
      </c>
      <c r="C232" s="464" t="s">
        <v>250</v>
      </c>
      <c r="D232" s="457"/>
      <c r="E232" s="457"/>
      <c r="F232" s="457"/>
      <c r="G232" s="457"/>
      <c r="H232" s="490" t="s">
        <v>653</v>
      </c>
      <c r="I232" s="500">
        <f>I233</f>
        <v>0</v>
      </c>
      <c r="J232" s="458"/>
      <c r="K232" s="676"/>
      <c r="L232" s="676"/>
      <c r="M232" s="445"/>
      <c r="N232" s="445"/>
      <c r="O232" s="445"/>
      <c r="P232" s="445"/>
      <c r="Q232" s="445"/>
      <c r="R232" s="445"/>
      <c r="S232" s="445"/>
      <c r="T232" s="445"/>
      <c r="U232" s="445"/>
      <c r="V232" s="445"/>
      <c r="W232" s="445"/>
      <c r="X232" s="445"/>
      <c r="Y232" s="445"/>
    </row>
    <row r="233" spans="1:25" ht="18">
      <c r="A233" s="463">
        <v>2</v>
      </c>
      <c r="B233" s="464">
        <v>4</v>
      </c>
      <c r="C233" s="464" t="s">
        <v>250</v>
      </c>
      <c r="D233" s="457">
        <v>5</v>
      </c>
      <c r="E233" s="457"/>
      <c r="F233" s="457"/>
      <c r="G233" s="457">
        <v>3</v>
      </c>
      <c r="H233" s="456" t="s">
        <v>9</v>
      </c>
      <c r="I233" s="500"/>
      <c r="J233" s="458"/>
      <c r="K233" s="676"/>
      <c r="L233" s="676"/>
      <c r="M233" s="445"/>
      <c r="N233" s="445"/>
      <c r="O233" s="445"/>
      <c r="P233" s="445"/>
      <c r="Q233" s="445"/>
      <c r="R233" s="445"/>
      <c r="S233" s="445"/>
      <c r="T233" s="445"/>
      <c r="U233" s="445"/>
      <c r="V233" s="445"/>
      <c r="W233" s="445"/>
      <c r="X233" s="445"/>
      <c r="Y233" s="445"/>
    </row>
    <row r="234" spans="1:25" ht="31.5">
      <c r="A234" s="463">
        <v>2</v>
      </c>
      <c r="B234" s="464">
        <v>4</v>
      </c>
      <c r="C234" s="464" t="s">
        <v>618</v>
      </c>
      <c r="D234" s="457"/>
      <c r="E234" s="457"/>
      <c r="F234" s="457"/>
      <c r="G234" s="457"/>
      <c r="H234" s="491" t="s">
        <v>654</v>
      </c>
      <c r="I234" s="500">
        <f>I235</f>
        <v>0</v>
      </c>
      <c r="J234" s="458"/>
      <c r="K234" s="676"/>
      <c r="L234" s="676"/>
      <c r="M234" s="445"/>
      <c r="N234" s="445"/>
      <c r="O234" s="445"/>
      <c r="P234" s="445"/>
      <c r="Q234" s="445"/>
      <c r="R234" s="445"/>
      <c r="S234" s="445"/>
      <c r="T234" s="445"/>
      <c r="U234" s="445"/>
      <c r="V234" s="445"/>
      <c r="W234" s="445"/>
      <c r="X234" s="445"/>
      <c r="Y234" s="445"/>
    </row>
    <row r="235" spans="1:25" ht="18">
      <c r="A235" s="463">
        <v>2</v>
      </c>
      <c r="B235" s="464">
        <v>4</v>
      </c>
      <c r="C235" s="464" t="s">
        <v>618</v>
      </c>
      <c r="D235" s="457">
        <v>5</v>
      </c>
      <c r="E235" s="457"/>
      <c r="F235" s="457"/>
      <c r="G235" s="457">
        <v>3</v>
      </c>
      <c r="H235" s="456" t="s">
        <v>9</v>
      </c>
      <c r="I235" s="500"/>
      <c r="J235" s="458"/>
      <c r="K235" s="676"/>
      <c r="L235" s="676"/>
      <c r="M235" s="445"/>
      <c r="N235" s="445"/>
      <c r="O235" s="445"/>
      <c r="P235" s="445"/>
      <c r="Q235" s="445"/>
      <c r="R235" s="445"/>
      <c r="S235" s="445"/>
      <c r="T235" s="445"/>
      <c r="U235" s="445"/>
      <c r="V235" s="445"/>
      <c r="W235" s="445"/>
      <c r="X235" s="445"/>
      <c r="Y235" s="445"/>
    </row>
    <row r="236" spans="1:25" ht="31.5">
      <c r="A236" s="463">
        <v>2</v>
      </c>
      <c r="B236" s="464">
        <v>4</v>
      </c>
      <c r="C236" s="464" t="s">
        <v>639</v>
      </c>
      <c r="D236" s="457"/>
      <c r="E236" s="457"/>
      <c r="F236" s="457"/>
      <c r="G236" s="457"/>
      <c r="H236" s="491" t="s">
        <v>498</v>
      </c>
      <c r="I236" s="500" t="e">
        <f>I237</f>
        <v>#REF!</v>
      </c>
      <c r="J236" s="458"/>
      <c r="K236" s="676"/>
      <c r="L236" s="676"/>
      <c r="M236" s="445"/>
      <c r="N236" s="445"/>
      <c r="O236" s="445"/>
      <c r="P236" s="445"/>
      <c r="Q236" s="445"/>
      <c r="R236" s="445"/>
      <c r="S236" s="445"/>
      <c r="T236" s="445"/>
      <c r="U236" s="445"/>
      <c r="V236" s="445"/>
      <c r="W236" s="445"/>
      <c r="X236" s="445"/>
      <c r="Y236" s="445"/>
    </row>
    <row r="237" spans="1:25" ht="18">
      <c r="A237" s="463">
        <v>2</v>
      </c>
      <c r="B237" s="464">
        <v>4</v>
      </c>
      <c r="C237" s="464" t="s">
        <v>639</v>
      </c>
      <c r="D237" s="457">
        <v>5</v>
      </c>
      <c r="E237" s="457"/>
      <c r="F237" s="457"/>
      <c r="G237" s="457">
        <v>3</v>
      </c>
      <c r="H237" s="456" t="s">
        <v>9</v>
      </c>
      <c r="I237" s="500" t="e">
        <f>#REF!</f>
        <v>#REF!</v>
      </c>
      <c r="J237" s="458"/>
      <c r="K237" s="676"/>
      <c r="L237" s="676"/>
      <c r="M237" s="445"/>
      <c r="N237" s="445"/>
      <c r="O237" s="445"/>
      <c r="P237" s="445"/>
      <c r="Q237" s="445"/>
      <c r="R237" s="445"/>
      <c r="S237" s="445"/>
      <c r="T237" s="445"/>
      <c r="U237" s="445"/>
      <c r="V237" s="445"/>
      <c r="W237" s="445"/>
      <c r="X237" s="445"/>
      <c r="Y237" s="445"/>
    </row>
    <row r="238" spans="1:25" ht="31.5">
      <c r="A238" s="463">
        <v>2</v>
      </c>
      <c r="B238" s="464">
        <v>4</v>
      </c>
      <c r="C238" s="464" t="s">
        <v>641</v>
      </c>
      <c r="D238" s="457"/>
      <c r="E238" s="457"/>
      <c r="F238" s="457"/>
      <c r="G238" s="457"/>
      <c r="H238" s="491" t="s">
        <v>655</v>
      </c>
      <c r="I238" s="500">
        <f>I239</f>
        <v>0</v>
      </c>
      <c r="J238" s="458"/>
      <c r="K238" s="676"/>
      <c r="L238" s="676"/>
      <c r="M238" s="445"/>
      <c r="N238" s="445"/>
      <c r="O238" s="445"/>
      <c r="P238" s="445"/>
      <c r="Q238" s="445"/>
      <c r="R238" s="445"/>
      <c r="S238" s="445"/>
      <c r="T238" s="445"/>
      <c r="U238" s="445"/>
      <c r="V238" s="445"/>
      <c r="W238" s="445"/>
      <c r="X238" s="445"/>
      <c r="Y238" s="445"/>
    </row>
    <row r="239" spans="1:25" ht="18">
      <c r="A239" s="463">
        <v>2</v>
      </c>
      <c r="B239" s="464">
        <v>4</v>
      </c>
      <c r="C239" s="464" t="s">
        <v>641</v>
      </c>
      <c r="D239" s="457">
        <v>5</v>
      </c>
      <c r="E239" s="457"/>
      <c r="F239" s="457"/>
      <c r="G239" s="457">
        <v>3</v>
      </c>
      <c r="H239" s="456" t="s">
        <v>9</v>
      </c>
      <c r="I239" s="500"/>
      <c r="J239" s="458"/>
      <c r="K239" s="676"/>
      <c r="L239" s="676"/>
      <c r="M239" s="445"/>
      <c r="N239" s="445"/>
      <c r="O239" s="445"/>
      <c r="P239" s="445"/>
      <c r="Q239" s="445"/>
      <c r="R239" s="445"/>
      <c r="S239" s="445"/>
      <c r="T239" s="445"/>
      <c r="U239" s="445"/>
      <c r="V239" s="445"/>
      <c r="W239" s="445"/>
      <c r="X239" s="445"/>
      <c r="Y239" s="445"/>
    </row>
    <row r="240" spans="1:25" ht="18">
      <c r="A240" s="463">
        <v>2</v>
      </c>
      <c r="B240" s="464">
        <v>4</v>
      </c>
      <c r="C240" s="464" t="s">
        <v>643</v>
      </c>
      <c r="D240" s="457"/>
      <c r="E240" s="457"/>
      <c r="F240" s="457"/>
      <c r="G240" s="457"/>
      <c r="H240" s="487" t="s">
        <v>497</v>
      </c>
      <c r="I240" s="500">
        <f>I241</f>
        <v>0</v>
      </c>
      <c r="J240" s="458"/>
      <c r="K240" s="676"/>
      <c r="L240" s="676"/>
      <c r="M240" s="445"/>
      <c r="N240" s="445"/>
      <c r="O240" s="445"/>
      <c r="P240" s="445"/>
      <c r="Q240" s="445"/>
      <c r="R240" s="445"/>
      <c r="S240" s="445"/>
      <c r="T240" s="445"/>
      <c r="U240" s="445"/>
      <c r="V240" s="445"/>
      <c r="W240" s="445"/>
      <c r="X240" s="445"/>
      <c r="Y240" s="445"/>
    </row>
    <row r="241" spans="1:25" ht="31.5" customHeight="1">
      <c r="A241" s="463">
        <v>2</v>
      </c>
      <c r="B241" s="464">
        <v>4</v>
      </c>
      <c r="C241" s="464" t="s">
        <v>643</v>
      </c>
      <c r="D241" s="457">
        <v>5</v>
      </c>
      <c r="E241" s="457"/>
      <c r="F241" s="457"/>
      <c r="G241" s="457">
        <v>3</v>
      </c>
      <c r="H241" s="456" t="s">
        <v>9</v>
      </c>
      <c r="I241" s="500"/>
      <c r="J241" s="458"/>
      <c r="K241" s="676"/>
      <c r="L241" s="676"/>
      <c r="M241" s="445"/>
      <c r="N241" s="445"/>
      <c r="O241" s="445"/>
      <c r="P241" s="445"/>
      <c r="Q241" s="445"/>
      <c r="R241" s="445"/>
      <c r="S241" s="445"/>
      <c r="T241" s="445"/>
      <c r="U241" s="445"/>
      <c r="V241" s="445"/>
      <c r="W241" s="445"/>
      <c r="X241" s="445"/>
      <c r="Y241" s="445"/>
    </row>
    <row r="242" spans="1:25" ht="31.5">
      <c r="A242" s="463">
        <v>2</v>
      </c>
      <c r="B242" s="464">
        <v>4</v>
      </c>
      <c r="C242" s="464" t="s">
        <v>645</v>
      </c>
      <c r="D242" s="457"/>
      <c r="E242" s="457"/>
      <c r="F242" s="457"/>
      <c r="G242" s="457"/>
      <c r="H242" s="492" t="s">
        <v>496</v>
      </c>
      <c r="I242" s="500">
        <f>I243</f>
        <v>0</v>
      </c>
      <c r="J242" s="458"/>
      <c r="K242" s="676"/>
      <c r="L242" s="676"/>
      <c r="M242" s="445"/>
      <c r="N242" s="445"/>
      <c r="O242" s="445"/>
      <c r="P242" s="445"/>
      <c r="Q242" s="445"/>
      <c r="R242" s="445"/>
      <c r="S242" s="445"/>
      <c r="T242" s="445"/>
      <c r="U242" s="445"/>
      <c r="V242" s="445"/>
      <c r="W242" s="445"/>
      <c r="X242" s="445"/>
      <c r="Y242" s="445"/>
    </row>
    <row r="243" spans="1:25" ht="18">
      <c r="A243" s="463">
        <v>2</v>
      </c>
      <c r="B243" s="464">
        <v>4</v>
      </c>
      <c r="C243" s="464" t="s">
        <v>645</v>
      </c>
      <c r="D243" s="457">
        <v>5</v>
      </c>
      <c r="E243" s="457"/>
      <c r="F243" s="457"/>
      <c r="G243" s="457">
        <v>3</v>
      </c>
      <c r="H243" s="456" t="s">
        <v>9</v>
      </c>
      <c r="I243" s="500"/>
      <c r="J243" s="458"/>
      <c r="K243" s="676"/>
      <c r="L243" s="676"/>
      <c r="M243" s="445"/>
      <c r="N243" s="445"/>
      <c r="O243" s="445"/>
      <c r="P243" s="445"/>
      <c r="Q243" s="445"/>
      <c r="R243" s="445"/>
      <c r="S243" s="445"/>
      <c r="T243" s="445"/>
      <c r="U243" s="445"/>
      <c r="V243" s="445"/>
      <c r="W243" s="445"/>
      <c r="X243" s="445"/>
      <c r="Y243" s="445"/>
    </row>
    <row r="244" spans="1:25" ht="31.5">
      <c r="A244" s="463">
        <v>2</v>
      </c>
      <c r="B244" s="464">
        <v>4</v>
      </c>
      <c r="C244" s="464" t="s">
        <v>646</v>
      </c>
      <c r="D244" s="457"/>
      <c r="E244" s="457"/>
      <c r="F244" s="457"/>
      <c r="G244" s="457"/>
      <c r="H244" s="491" t="s">
        <v>656</v>
      </c>
      <c r="I244" s="500" t="e">
        <f>I245</f>
        <v>#REF!</v>
      </c>
      <c r="J244" s="458"/>
      <c r="K244" s="676"/>
      <c r="L244" s="676"/>
      <c r="M244" s="445"/>
      <c r="N244" s="445"/>
      <c r="O244" s="445"/>
      <c r="P244" s="445"/>
      <c r="Q244" s="445"/>
      <c r="R244" s="445"/>
      <c r="S244" s="445"/>
      <c r="T244" s="445"/>
      <c r="U244" s="445"/>
      <c r="V244" s="445"/>
      <c r="W244" s="445"/>
      <c r="X244" s="445"/>
      <c r="Y244" s="445"/>
    </row>
    <row r="245" spans="1:25" ht="18">
      <c r="A245" s="463">
        <v>2</v>
      </c>
      <c r="B245" s="464">
        <v>4</v>
      </c>
      <c r="C245" s="464" t="s">
        <v>646</v>
      </c>
      <c r="D245" s="457">
        <v>5</v>
      </c>
      <c r="E245" s="457"/>
      <c r="F245" s="457"/>
      <c r="G245" s="457">
        <v>3</v>
      </c>
      <c r="H245" s="456" t="s">
        <v>9</v>
      </c>
      <c r="I245" s="500" t="e">
        <f>#REF!</f>
        <v>#REF!</v>
      </c>
      <c r="J245" s="458"/>
      <c r="K245" s="676"/>
      <c r="L245" s="676"/>
      <c r="M245" s="445"/>
      <c r="N245" s="445"/>
      <c r="O245" s="445"/>
      <c r="P245" s="445"/>
      <c r="Q245" s="445"/>
      <c r="R245" s="445"/>
      <c r="S245" s="445"/>
      <c r="T245" s="445"/>
      <c r="U245" s="445"/>
      <c r="V245" s="445"/>
      <c r="W245" s="445"/>
      <c r="X245" s="445"/>
      <c r="Y245" s="445"/>
    </row>
    <row r="246" spans="1:25" ht="18">
      <c r="A246" s="463">
        <v>2</v>
      </c>
      <c r="B246" s="464">
        <v>4</v>
      </c>
      <c r="C246" s="464" t="s">
        <v>648</v>
      </c>
      <c r="D246" s="457"/>
      <c r="E246" s="457"/>
      <c r="F246" s="457"/>
      <c r="G246" s="457"/>
      <c r="H246" s="490" t="s">
        <v>495</v>
      </c>
      <c r="I246" s="500">
        <f>I247</f>
        <v>0</v>
      </c>
      <c r="J246" s="458"/>
      <c r="K246" s="676"/>
      <c r="L246" s="676"/>
      <c r="M246" s="445"/>
      <c r="N246" s="445"/>
      <c r="O246" s="445"/>
      <c r="P246" s="445"/>
      <c r="Q246" s="445"/>
      <c r="R246" s="445"/>
      <c r="S246" s="445"/>
      <c r="T246" s="445"/>
      <c r="U246" s="445"/>
      <c r="V246" s="445"/>
      <c r="W246" s="445"/>
      <c r="X246" s="445"/>
      <c r="Y246" s="445"/>
    </row>
    <row r="247" spans="1:25" ht="18">
      <c r="A247" s="463">
        <v>2</v>
      </c>
      <c r="B247" s="464">
        <v>4</v>
      </c>
      <c r="C247" s="464">
        <v>17</v>
      </c>
      <c r="D247" s="457">
        <v>5</v>
      </c>
      <c r="E247" s="457"/>
      <c r="F247" s="457"/>
      <c r="G247" s="457">
        <v>3</v>
      </c>
      <c r="H247" s="456" t="s">
        <v>9</v>
      </c>
      <c r="I247" s="500"/>
      <c r="J247" s="458"/>
      <c r="K247" s="676"/>
      <c r="L247" s="676"/>
      <c r="M247" s="445"/>
      <c r="N247" s="445"/>
      <c r="O247" s="445"/>
      <c r="P247" s="445"/>
      <c r="Q247" s="445"/>
      <c r="R247" s="445"/>
      <c r="S247" s="445"/>
      <c r="T247" s="445"/>
      <c r="U247" s="445"/>
      <c r="V247" s="445"/>
      <c r="W247" s="445"/>
      <c r="X247" s="445"/>
      <c r="Y247" s="445"/>
    </row>
    <row r="248" spans="1:25" ht="30.75" customHeight="1">
      <c r="A248" s="463">
        <v>2</v>
      </c>
      <c r="B248" s="464">
        <v>4</v>
      </c>
      <c r="C248" s="464" t="s">
        <v>437</v>
      </c>
      <c r="D248" s="457"/>
      <c r="E248" s="457"/>
      <c r="F248" s="457"/>
      <c r="G248" s="457"/>
      <c r="H248" s="476" t="s">
        <v>494</v>
      </c>
      <c r="I248" s="500">
        <f>I249</f>
        <v>0</v>
      </c>
      <c r="J248" s="458"/>
      <c r="K248" s="676"/>
      <c r="L248" s="676"/>
      <c r="M248" s="445"/>
      <c r="N248" s="445"/>
      <c r="O248" s="445"/>
      <c r="P248" s="445"/>
      <c r="Q248" s="445"/>
      <c r="R248" s="445"/>
      <c r="S248" s="445"/>
      <c r="T248" s="445"/>
      <c r="U248" s="445"/>
      <c r="V248" s="445"/>
      <c r="W248" s="445"/>
      <c r="X248" s="445"/>
      <c r="Y248" s="445"/>
    </row>
    <row r="249" spans="1:25" ht="18">
      <c r="A249" s="472">
        <v>2</v>
      </c>
      <c r="B249" s="464">
        <v>4</v>
      </c>
      <c r="C249" s="464" t="s">
        <v>437</v>
      </c>
      <c r="D249" s="457">
        <v>5</v>
      </c>
      <c r="E249" s="457"/>
      <c r="F249" s="457"/>
      <c r="G249" s="457">
        <v>2</v>
      </c>
      <c r="H249" s="476" t="s">
        <v>8</v>
      </c>
      <c r="I249" s="500"/>
      <c r="J249" s="458"/>
      <c r="K249" s="676"/>
      <c r="L249" s="676"/>
      <c r="M249" s="445"/>
      <c r="N249" s="445"/>
      <c r="O249" s="445"/>
      <c r="P249" s="445"/>
      <c r="Q249" s="445"/>
      <c r="R249" s="445"/>
      <c r="S249" s="445"/>
      <c r="T249" s="445"/>
      <c r="U249" s="445"/>
      <c r="V249" s="445"/>
      <c r="W249" s="445"/>
      <c r="X249" s="445"/>
      <c r="Y249" s="445"/>
    </row>
    <row r="250" spans="1:25" ht="31.5" customHeight="1">
      <c r="A250" s="457">
        <v>2</v>
      </c>
      <c r="B250" s="462">
        <v>5</v>
      </c>
      <c r="C250" s="464"/>
      <c r="D250" s="464"/>
      <c r="E250" s="464"/>
      <c r="F250" s="464"/>
      <c r="G250" s="464"/>
      <c r="H250" s="489" t="s">
        <v>657</v>
      </c>
      <c r="I250" s="528">
        <f>I251+I253+I255+I257</f>
        <v>0</v>
      </c>
      <c r="J250" s="493"/>
      <c r="K250" s="679"/>
      <c r="L250" s="679"/>
      <c r="M250" s="494"/>
      <c r="N250" s="494"/>
      <c r="O250" s="494"/>
      <c r="P250" s="494"/>
      <c r="Q250" s="494"/>
      <c r="R250" s="494"/>
      <c r="S250" s="494"/>
      <c r="T250" s="494"/>
      <c r="U250" s="494"/>
      <c r="V250" s="494"/>
      <c r="W250" s="494"/>
      <c r="X250" s="494"/>
      <c r="Y250" s="494"/>
    </row>
    <row r="251" spans="1:25" ht="18">
      <c r="A251" s="457">
        <v>2</v>
      </c>
      <c r="B251" s="462">
        <v>5</v>
      </c>
      <c r="C251" s="464" t="s">
        <v>593</v>
      </c>
      <c r="D251" s="464"/>
      <c r="E251" s="464"/>
      <c r="F251" s="464"/>
      <c r="G251" s="464"/>
      <c r="H251" s="476" t="s">
        <v>493</v>
      </c>
      <c r="I251" s="500">
        <f>I252</f>
        <v>0</v>
      </c>
      <c r="J251" s="493"/>
      <c r="K251" s="679"/>
      <c r="L251" s="679"/>
      <c r="M251" s="494"/>
      <c r="N251" s="494"/>
      <c r="O251" s="494"/>
      <c r="P251" s="494"/>
      <c r="Q251" s="494"/>
      <c r="R251" s="494"/>
      <c r="S251" s="494"/>
      <c r="T251" s="494"/>
      <c r="U251" s="494"/>
      <c r="V251" s="494"/>
      <c r="W251" s="494"/>
      <c r="X251" s="494"/>
      <c r="Y251" s="494"/>
    </row>
    <row r="252" spans="1:25" ht="18">
      <c r="A252" s="457">
        <v>2</v>
      </c>
      <c r="B252" s="462">
        <v>5</v>
      </c>
      <c r="C252" s="464" t="s">
        <v>593</v>
      </c>
      <c r="D252" s="457">
        <v>5</v>
      </c>
      <c r="E252" s="457"/>
      <c r="F252" s="457"/>
      <c r="G252" s="457">
        <v>2</v>
      </c>
      <c r="H252" s="456" t="s">
        <v>8</v>
      </c>
      <c r="I252" s="500"/>
      <c r="J252" s="458"/>
      <c r="K252" s="676"/>
      <c r="L252" s="676"/>
      <c r="M252" s="445"/>
      <c r="N252" s="445"/>
      <c r="O252" s="445"/>
      <c r="P252" s="445"/>
      <c r="Q252" s="445"/>
      <c r="R252" s="445"/>
      <c r="S252" s="445"/>
      <c r="T252" s="445"/>
      <c r="U252" s="445"/>
      <c r="V252" s="445"/>
      <c r="W252" s="445"/>
      <c r="X252" s="445"/>
      <c r="Y252" s="445"/>
    </row>
    <row r="253" spans="1:25" ht="15.75" customHeight="1">
      <c r="A253" s="457">
        <v>2</v>
      </c>
      <c r="B253" s="462">
        <v>5</v>
      </c>
      <c r="C253" s="464" t="s">
        <v>594</v>
      </c>
      <c r="D253" s="464"/>
      <c r="E253" s="464"/>
      <c r="F253" s="464"/>
      <c r="G253" s="464"/>
      <c r="H253" s="476" t="s">
        <v>492</v>
      </c>
      <c r="I253" s="500">
        <f>I254</f>
        <v>0</v>
      </c>
      <c r="J253" s="493"/>
      <c r="K253" s="679"/>
      <c r="L253" s="679"/>
      <c r="M253" s="494"/>
      <c r="N253" s="494"/>
      <c r="O253" s="494"/>
      <c r="P253" s="494"/>
      <c r="Q253" s="494"/>
      <c r="R253" s="494"/>
      <c r="S253" s="494"/>
      <c r="T253" s="494"/>
      <c r="U253" s="494"/>
      <c r="V253" s="494"/>
      <c r="W253" s="494"/>
      <c r="X253" s="494"/>
      <c r="Y253" s="494"/>
    </row>
    <row r="254" spans="1:25" ht="18">
      <c r="A254" s="457">
        <v>2</v>
      </c>
      <c r="B254" s="462">
        <v>5</v>
      </c>
      <c r="C254" s="464" t="s">
        <v>594</v>
      </c>
      <c r="D254" s="457">
        <v>5</v>
      </c>
      <c r="E254" s="457"/>
      <c r="F254" s="457"/>
      <c r="G254" s="457">
        <v>2</v>
      </c>
      <c r="H254" s="456" t="s">
        <v>8</v>
      </c>
      <c r="I254" s="500"/>
      <c r="J254" s="458"/>
      <c r="K254" s="676"/>
      <c r="L254" s="676"/>
      <c r="M254" s="445"/>
      <c r="N254" s="445"/>
      <c r="O254" s="445"/>
      <c r="P254" s="445"/>
      <c r="Q254" s="445"/>
      <c r="R254" s="445"/>
      <c r="S254" s="445"/>
      <c r="T254" s="445"/>
      <c r="U254" s="445"/>
      <c r="V254" s="445"/>
      <c r="W254" s="445"/>
      <c r="X254" s="445"/>
      <c r="Y254" s="445"/>
    </row>
    <row r="255" spans="1:25" ht="31.5">
      <c r="A255" s="457">
        <v>2</v>
      </c>
      <c r="B255" s="462">
        <v>5</v>
      </c>
      <c r="C255" s="464" t="s">
        <v>595</v>
      </c>
      <c r="D255" s="464"/>
      <c r="E255" s="464"/>
      <c r="F255" s="464"/>
      <c r="G255" s="464"/>
      <c r="H255" s="473" t="s">
        <v>491</v>
      </c>
      <c r="I255" s="500">
        <f>I256</f>
        <v>0</v>
      </c>
      <c r="J255" s="493"/>
      <c r="K255" s="679"/>
      <c r="L255" s="679"/>
      <c r="M255" s="494"/>
      <c r="N255" s="494"/>
      <c r="O255" s="494"/>
      <c r="P255" s="494"/>
      <c r="Q255" s="494"/>
      <c r="R255" s="494"/>
      <c r="S255" s="494"/>
      <c r="T255" s="494"/>
      <c r="U255" s="494"/>
      <c r="V255" s="494"/>
      <c r="W255" s="494"/>
      <c r="X255" s="494"/>
      <c r="Y255" s="494"/>
    </row>
    <row r="256" spans="1:25" s="144" customFormat="1" ht="18">
      <c r="A256" s="457">
        <v>2</v>
      </c>
      <c r="B256" s="462">
        <v>5</v>
      </c>
      <c r="C256" s="464" t="s">
        <v>595</v>
      </c>
      <c r="D256" s="457">
        <v>5</v>
      </c>
      <c r="E256" s="457"/>
      <c r="F256" s="457"/>
      <c r="G256" s="457">
        <v>2</v>
      </c>
      <c r="H256" s="456" t="s">
        <v>8</v>
      </c>
      <c r="I256" s="500"/>
      <c r="J256" s="458"/>
      <c r="K256" s="676"/>
      <c r="L256" s="676"/>
      <c r="M256" s="445"/>
      <c r="N256" s="445"/>
      <c r="O256" s="445"/>
      <c r="P256" s="445"/>
      <c r="Q256" s="445"/>
      <c r="R256" s="445"/>
      <c r="S256" s="445"/>
      <c r="T256" s="445"/>
      <c r="U256" s="445"/>
      <c r="V256" s="445"/>
      <c r="W256" s="445"/>
      <c r="X256" s="445"/>
      <c r="Y256" s="445"/>
    </row>
    <row r="257" spans="1:36" ht="18">
      <c r="A257" s="457">
        <v>2</v>
      </c>
      <c r="B257" s="462">
        <v>5</v>
      </c>
      <c r="C257" s="464" t="s">
        <v>437</v>
      </c>
      <c r="D257" s="464"/>
      <c r="E257" s="464"/>
      <c r="F257" s="464"/>
      <c r="G257" s="464"/>
      <c r="H257" s="476" t="s">
        <v>490</v>
      </c>
      <c r="I257" s="500">
        <f>I258</f>
        <v>0</v>
      </c>
      <c r="J257" s="493"/>
      <c r="K257" s="679"/>
      <c r="L257" s="679"/>
      <c r="M257" s="494"/>
      <c r="N257" s="494"/>
      <c r="O257" s="494"/>
      <c r="P257" s="494"/>
      <c r="Q257" s="494"/>
      <c r="R257" s="494"/>
      <c r="S257" s="494"/>
      <c r="T257" s="494"/>
      <c r="U257" s="494"/>
      <c r="V257" s="494"/>
      <c r="W257" s="494"/>
      <c r="X257" s="494"/>
      <c r="Y257" s="494"/>
    </row>
    <row r="258" spans="1:36" ht="18">
      <c r="A258" s="457">
        <v>2</v>
      </c>
      <c r="B258" s="462">
        <v>5</v>
      </c>
      <c r="C258" s="464" t="s">
        <v>437</v>
      </c>
      <c r="D258" s="457">
        <v>5</v>
      </c>
      <c r="E258" s="457"/>
      <c r="F258" s="457"/>
      <c r="G258" s="457">
        <v>2</v>
      </c>
      <c r="H258" s="456" t="s">
        <v>8</v>
      </c>
      <c r="I258" s="500"/>
      <c r="J258" s="458"/>
      <c r="K258" s="676"/>
      <c r="L258" s="676"/>
      <c r="M258" s="445"/>
      <c r="N258" s="445"/>
      <c r="O258" s="445"/>
      <c r="P258" s="445"/>
      <c r="Q258" s="445"/>
      <c r="R258" s="445"/>
      <c r="S258" s="445"/>
      <c r="T258" s="445"/>
      <c r="U258" s="445"/>
      <c r="V258" s="445"/>
      <c r="W258" s="445"/>
      <c r="X258" s="445"/>
      <c r="Y258" s="445"/>
    </row>
    <row r="259" spans="1:36" s="144" customFormat="1" ht="18">
      <c r="A259" s="457">
        <v>2</v>
      </c>
      <c r="B259" s="462">
        <v>6</v>
      </c>
      <c r="C259" s="464"/>
      <c r="D259" s="464"/>
      <c r="E259" s="464"/>
      <c r="F259" s="464"/>
      <c r="G259" s="464"/>
      <c r="H259" s="489" t="s">
        <v>658</v>
      </c>
      <c r="I259" s="528">
        <f>I260+I262+I267+I264</f>
        <v>0</v>
      </c>
      <c r="J259" s="493"/>
      <c r="K259" s="679"/>
      <c r="L259" s="679"/>
      <c r="M259" s="494"/>
      <c r="N259" s="494"/>
      <c r="O259" s="494"/>
      <c r="P259" s="494"/>
      <c r="Q259" s="494"/>
      <c r="R259" s="494"/>
      <c r="S259" s="494"/>
      <c r="T259" s="494"/>
      <c r="U259" s="494"/>
      <c r="V259" s="494"/>
      <c r="W259" s="494"/>
      <c r="X259" s="494"/>
      <c r="Y259" s="494"/>
      <c r="AC259" s="1"/>
      <c r="AD259" s="1"/>
      <c r="AE259" s="1"/>
      <c r="AF259" s="1"/>
      <c r="AG259" s="1"/>
      <c r="AH259" s="1"/>
      <c r="AI259" s="1"/>
      <c r="AJ259" s="1"/>
    </row>
    <row r="260" spans="1:36" ht="18">
      <c r="A260" s="457">
        <v>2</v>
      </c>
      <c r="B260" s="462">
        <v>6</v>
      </c>
      <c r="C260" s="464" t="s">
        <v>593</v>
      </c>
      <c r="D260" s="464"/>
      <c r="E260" s="464"/>
      <c r="F260" s="464"/>
      <c r="G260" s="464"/>
      <c r="H260" s="476" t="s">
        <v>489</v>
      </c>
      <c r="I260" s="528">
        <f>I261</f>
        <v>0</v>
      </c>
      <c r="J260" s="493"/>
      <c r="K260" s="679"/>
      <c r="L260" s="679"/>
      <c r="M260" s="494"/>
      <c r="N260" s="494"/>
      <c r="O260" s="494"/>
      <c r="P260" s="494"/>
      <c r="Q260" s="494"/>
      <c r="R260" s="494"/>
      <c r="S260" s="494"/>
      <c r="T260" s="494"/>
      <c r="U260" s="494"/>
      <c r="V260" s="494"/>
      <c r="W260" s="494"/>
      <c r="X260" s="494"/>
      <c r="Y260" s="494"/>
      <c r="AG260" s="144"/>
      <c r="AH260" s="144"/>
      <c r="AI260" s="144"/>
      <c r="AJ260" s="144"/>
    </row>
    <row r="261" spans="1:36" ht="18">
      <c r="A261" s="463">
        <v>2</v>
      </c>
      <c r="B261" s="464">
        <v>6</v>
      </c>
      <c r="C261" s="464" t="s">
        <v>593</v>
      </c>
      <c r="D261" s="457">
        <v>5</v>
      </c>
      <c r="E261" s="457"/>
      <c r="F261" s="457"/>
      <c r="G261" s="457">
        <v>3</v>
      </c>
      <c r="H261" s="456" t="s">
        <v>9</v>
      </c>
      <c r="I261" s="500"/>
      <c r="J261" s="458"/>
      <c r="K261" s="676"/>
      <c r="L261" s="676"/>
      <c r="M261" s="445"/>
      <c r="N261" s="445"/>
      <c r="O261" s="445"/>
      <c r="P261" s="445"/>
      <c r="Q261" s="445"/>
      <c r="R261" s="445"/>
      <c r="S261" s="445"/>
      <c r="T261" s="445"/>
      <c r="U261" s="445"/>
      <c r="V261" s="445"/>
      <c r="W261" s="445"/>
      <c r="X261" s="445"/>
      <c r="Y261" s="445"/>
      <c r="AC261" s="144"/>
      <c r="AD261" s="144"/>
      <c r="AE261" s="144"/>
      <c r="AF261" s="144"/>
    </row>
    <row r="262" spans="1:36" ht="31.5">
      <c r="A262" s="457">
        <v>2</v>
      </c>
      <c r="B262" s="462">
        <v>6</v>
      </c>
      <c r="C262" s="464" t="s">
        <v>594</v>
      </c>
      <c r="D262" s="464"/>
      <c r="E262" s="464"/>
      <c r="F262" s="464"/>
      <c r="G262" s="464"/>
      <c r="H262" s="473" t="s">
        <v>488</v>
      </c>
      <c r="I262" s="528">
        <f>I263</f>
        <v>0</v>
      </c>
      <c r="J262" s="493"/>
      <c r="K262" s="679"/>
      <c r="L262" s="679"/>
      <c r="M262" s="494"/>
      <c r="N262" s="494"/>
      <c r="O262" s="494"/>
      <c r="P262" s="494"/>
      <c r="Q262" s="494"/>
      <c r="R262" s="494"/>
      <c r="S262" s="494"/>
      <c r="T262" s="494"/>
      <c r="U262" s="494"/>
      <c r="V262" s="494"/>
      <c r="W262" s="494"/>
      <c r="X262" s="494"/>
      <c r="Y262" s="494"/>
    </row>
    <row r="263" spans="1:36" ht="18">
      <c r="A263" s="457">
        <v>2</v>
      </c>
      <c r="B263" s="462">
        <v>6</v>
      </c>
      <c r="C263" s="464" t="s">
        <v>594</v>
      </c>
      <c r="D263" s="457">
        <v>5</v>
      </c>
      <c r="E263" s="457"/>
      <c r="F263" s="457"/>
      <c r="G263" s="457">
        <v>2</v>
      </c>
      <c r="H263" s="456" t="s">
        <v>8</v>
      </c>
      <c r="I263" s="500"/>
      <c r="J263" s="458"/>
      <c r="K263" s="676"/>
      <c r="L263" s="676"/>
      <c r="M263" s="445"/>
      <c r="N263" s="445"/>
      <c r="O263" s="445"/>
      <c r="P263" s="445"/>
      <c r="Q263" s="445"/>
      <c r="R263" s="445"/>
      <c r="S263" s="445"/>
      <c r="T263" s="445"/>
      <c r="U263" s="445"/>
      <c r="V263" s="445"/>
      <c r="W263" s="445"/>
      <c r="X263" s="445"/>
      <c r="Y263" s="445"/>
    </row>
    <row r="264" spans="1:36" ht="31.5">
      <c r="A264" s="457">
        <v>2</v>
      </c>
      <c r="B264" s="462">
        <v>6</v>
      </c>
      <c r="C264" s="464" t="s">
        <v>595</v>
      </c>
      <c r="D264" s="464"/>
      <c r="E264" s="464"/>
      <c r="F264" s="464"/>
      <c r="G264" s="464"/>
      <c r="H264" s="473" t="s">
        <v>659</v>
      </c>
      <c r="I264" s="528">
        <f>I265+I266</f>
        <v>0</v>
      </c>
      <c r="J264" s="493"/>
      <c r="K264" s="679"/>
      <c r="L264" s="679"/>
      <c r="M264" s="494"/>
      <c r="N264" s="494"/>
      <c r="O264" s="494"/>
      <c r="P264" s="494"/>
      <c r="Q264" s="494"/>
      <c r="R264" s="494"/>
      <c r="S264" s="494"/>
      <c r="T264" s="494"/>
      <c r="U264" s="494"/>
      <c r="V264" s="494"/>
      <c r="W264" s="494"/>
      <c r="X264" s="494"/>
      <c r="Y264" s="494"/>
    </row>
    <row r="265" spans="1:36" ht="18">
      <c r="A265" s="457">
        <v>2</v>
      </c>
      <c r="B265" s="462">
        <v>6</v>
      </c>
      <c r="C265" s="464" t="s">
        <v>595</v>
      </c>
      <c r="D265" s="457">
        <v>5</v>
      </c>
      <c r="E265" s="457"/>
      <c r="F265" s="457"/>
      <c r="G265" s="457">
        <v>2</v>
      </c>
      <c r="H265" s="456" t="s">
        <v>8</v>
      </c>
      <c r="I265" s="500"/>
      <c r="J265" s="458"/>
      <c r="K265" s="676"/>
      <c r="L265" s="676"/>
      <c r="M265" s="445"/>
      <c r="N265" s="445"/>
      <c r="O265" s="445"/>
      <c r="P265" s="445"/>
      <c r="Q265" s="445"/>
      <c r="R265" s="445"/>
      <c r="S265" s="445"/>
      <c r="T265" s="445"/>
      <c r="U265" s="445"/>
      <c r="V265" s="445"/>
      <c r="W265" s="445"/>
      <c r="X265" s="445"/>
      <c r="Y265" s="445"/>
    </row>
    <row r="266" spans="1:36" ht="18">
      <c r="A266" s="463">
        <v>2</v>
      </c>
      <c r="B266" s="464">
        <v>6</v>
      </c>
      <c r="C266" s="464" t="s">
        <v>595</v>
      </c>
      <c r="D266" s="457">
        <v>5</v>
      </c>
      <c r="E266" s="457"/>
      <c r="F266" s="457"/>
      <c r="G266" s="457">
        <v>3</v>
      </c>
      <c r="H266" s="456" t="s">
        <v>9</v>
      </c>
      <c r="I266" s="500"/>
      <c r="J266" s="458"/>
      <c r="K266" s="676"/>
      <c r="L266" s="676"/>
      <c r="M266" s="445"/>
      <c r="N266" s="445"/>
      <c r="O266" s="445"/>
      <c r="P266" s="445"/>
      <c r="Q266" s="445"/>
      <c r="R266" s="445"/>
      <c r="S266" s="445"/>
      <c r="T266" s="445"/>
      <c r="U266" s="445"/>
      <c r="V266" s="445"/>
      <c r="W266" s="445"/>
      <c r="X266" s="445"/>
      <c r="Y266" s="445"/>
    </row>
    <row r="267" spans="1:36" ht="18">
      <c r="A267" s="457">
        <v>2</v>
      </c>
      <c r="B267" s="462">
        <v>6</v>
      </c>
      <c r="C267" s="464" t="s">
        <v>437</v>
      </c>
      <c r="D267" s="464"/>
      <c r="E267" s="464"/>
      <c r="F267" s="464"/>
      <c r="G267" s="464"/>
      <c r="H267" s="476" t="s">
        <v>487</v>
      </c>
      <c r="I267" s="528">
        <f>I268+I269</f>
        <v>0</v>
      </c>
      <c r="J267" s="493"/>
      <c r="K267" s="679"/>
      <c r="L267" s="679"/>
      <c r="M267" s="494"/>
      <c r="N267" s="494"/>
      <c r="O267" s="494"/>
      <c r="P267" s="494"/>
      <c r="Q267" s="494"/>
      <c r="R267" s="494"/>
      <c r="S267" s="494"/>
      <c r="T267" s="494"/>
      <c r="U267" s="494"/>
      <c r="V267" s="494"/>
      <c r="W267" s="494"/>
      <c r="X267" s="494"/>
      <c r="Y267" s="494"/>
      <c r="AC267" s="1" t="s">
        <v>21</v>
      </c>
    </row>
    <row r="268" spans="1:36" ht="15.75" customHeight="1">
      <c r="A268" s="457">
        <v>2</v>
      </c>
      <c r="B268" s="462">
        <v>6</v>
      </c>
      <c r="C268" s="464" t="s">
        <v>437</v>
      </c>
      <c r="D268" s="457">
        <v>5</v>
      </c>
      <c r="E268" s="457"/>
      <c r="F268" s="457"/>
      <c r="G268" s="457">
        <v>2</v>
      </c>
      <c r="H268" s="456" t="s">
        <v>8</v>
      </c>
      <c r="I268" s="500"/>
      <c r="J268" s="458"/>
      <c r="K268" s="676"/>
      <c r="L268" s="676"/>
      <c r="M268" s="445"/>
      <c r="N268" s="445"/>
      <c r="O268" s="445"/>
      <c r="P268" s="445"/>
      <c r="Q268" s="445"/>
      <c r="R268" s="445"/>
      <c r="S268" s="445"/>
      <c r="T268" s="445"/>
      <c r="U268" s="445"/>
      <c r="V268" s="445"/>
      <c r="W268" s="445"/>
      <c r="X268" s="445"/>
      <c r="Y268" s="445"/>
      <c r="AC268" s="1" t="s">
        <v>21</v>
      </c>
    </row>
    <row r="269" spans="1:36" ht="18">
      <c r="A269" s="463">
        <v>2</v>
      </c>
      <c r="B269" s="464">
        <v>6</v>
      </c>
      <c r="C269" s="464" t="s">
        <v>437</v>
      </c>
      <c r="D269" s="457">
        <v>5</v>
      </c>
      <c r="E269" s="457"/>
      <c r="F269" s="457"/>
      <c r="G269" s="457">
        <v>3</v>
      </c>
      <c r="H269" s="456" t="s">
        <v>9</v>
      </c>
      <c r="I269" s="500"/>
      <c r="J269" s="458"/>
      <c r="K269" s="676"/>
      <c r="L269" s="676"/>
      <c r="M269" s="445"/>
      <c r="N269" s="445"/>
      <c r="O269" s="445"/>
      <c r="P269" s="445"/>
      <c r="Q269" s="445"/>
      <c r="R269" s="445"/>
      <c r="S269" s="445"/>
      <c r="T269" s="445"/>
      <c r="U269" s="445"/>
      <c r="V269" s="445"/>
      <c r="W269" s="445"/>
      <c r="X269" s="445"/>
      <c r="Y269" s="445"/>
    </row>
    <row r="270" spans="1:36" ht="18">
      <c r="A270" s="463">
        <v>2</v>
      </c>
      <c r="B270" s="464">
        <v>7</v>
      </c>
      <c r="C270" s="464"/>
      <c r="D270" s="457"/>
      <c r="E270" s="457"/>
      <c r="F270" s="457"/>
      <c r="G270" s="457"/>
      <c r="H270" s="489" t="s">
        <v>660</v>
      </c>
      <c r="I270" s="528">
        <f>I271+I273+I275</f>
        <v>0</v>
      </c>
      <c r="J270" s="458"/>
      <c r="K270" s="676"/>
      <c r="L270" s="676"/>
      <c r="M270" s="445"/>
      <c r="N270" s="445"/>
      <c r="O270" s="445"/>
      <c r="P270" s="445"/>
      <c r="Q270" s="445"/>
      <c r="R270" s="445"/>
      <c r="S270" s="445"/>
      <c r="T270" s="445"/>
      <c r="U270" s="445"/>
      <c r="V270" s="445"/>
      <c r="W270" s="445"/>
      <c r="X270" s="445"/>
      <c r="Y270" s="445"/>
    </row>
    <row r="271" spans="1:36" ht="15.75" customHeight="1">
      <c r="A271" s="463">
        <v>2</v>
      </c>
      <c r="B271" s="464">
        <v>7</v>
      </c>
      <c r="C271" s="464" t="s">
        <v>593</v>
      </c>
      <c r="D271" s="457"/>
      <c r="E271" s="457"/>
      <c r="F271" s="457"/>
      <c r="G271" s="457"/>
      <c r="H271" s="476" t="s">
        <v>486</v>
      </c>
      <c r="I271" s="528">
        <f>I272</f>
        <v>0</v>
      </c>
      <c r="J271" s="458"/>
      <c r="K271" s="676"/>
      <c r="L271" s="676"/>
      <c r="M271" s="445"/>
      <c r="N271" s="445"/>
      <c r="O271" s="445"/>
      <c r="P271" s="445"/>
      <c r="Q271" s="445"/>
      <c r="R271" s="445"/>
      <c r="S271" s="445"/>
      <c r="T271" s="445"/>
      <c r="U271" s="445"/>
      <c r="V271" s="445"/>
      <c r="W271" s="445"/>
      <c r="X271" s="445"/>
      <c r="Y271" s="445"/>
    </row>
    <row r="272" spans="1:36" s="144" customFormat="1" ht="15.75" customHeight="1">
      <c r="A272" s="463">
        <v>2</v>
      </c>
      <c r="B272" s="464">
        <v>7</v>
      </c>
      <c r="C272" s="464" t="s">
        <v>593</v>
      </c>
      <c r="D272" s="457">
        <v>5</v>
      </c>
      <c r="E272" s="457"/>
      <c r="F272" s="457"/>
      <c r="G272" s="457">
        <v>2</v>
      </c>
      <c r="H272" s="456" t="s">
        <v>8</v>
      </c>
      <c r="I272" s="500"/>
      <c r="J272" s="458"/>
      <c r="K272" s="676"/>
      <c r="L272" s="676"/>
      <c r="M272" s="445"/>
      <c r="N272" s="445"/>
      <c r="O272" s="445"/>
      <c r="P272" s="445"/>
      <c r="Q272" s="445"/>
      <c r="R272" s="445"/>
      <c r="S272" s="445"/>
      <c r="T272" s="445"/>
      <c r="U272" s="445"/>
      <c r="V272" s="445"/>
      <c r="W272" s="445"/>
      <c r="X272" s="445"/>
      <c r="Y272" s="445"/>
      <c r="AC272" s="1"/>
      <c r="AD272" s="1"/>
      <c r="AE272" s="1"/>
      <c r="AF272" s="1"/>
      <c r="AG272" s="1"/>
      <c r="AH272" s="1"/>
      <c r="AI272" s="1"/>
      <c r="AJ272" s="1"/>
    </row>
    <row r="273" spans="1:36" ht="31.5">
      <c r="A273" s="463">
        <v>2</v>
      </c>
      <c r="B273" s="464">
        <v>7</v>
      </c>
      <c r="C273" s="464" t="s">
        <v>594</v>
      </c>
      <c r="D273" s="457"/>
      <c r="E273" s="457"/>
      <c r="F273" s="457"/>
      <c r="G273" s="457"/>
      <c r="H273" s="473" t="s">
        <v>485</v>
      </c>
      <c r="I273" s="477">
        <f>I274</f>
        <v>0</v>
      </c>
      <c r="J273" s="458"/>
      <c r="K273" s="676"/>
      <c r="L273" s="676"/>
      <c r="M273" s="445"/>
      <c r="N273" s="445"/>
      <c r="O273" s="445"/>
      <c r="P273" s="445"/>
      <c r="Q273" s="445"/>
      <c r="R273" s="445"/>
      <c r="S273" s="445"/>
      <c r="T273" s="445"/>
      <c r="U273" s="445"/>
      <c r="V273" s="445"/>
      <c r="W273" s="445"/>
      <c r="X273" s="445"/>
      <c r="Y273" s="445"/>
      <c r="AG273" s="144"/>
      <c r="AH273" s="144"/>
      <c r="AI273" s="144"/>
      <c r="AJ273" s="144"/>
    </row>
    <row r="274" spans="1:36" ht="18">
      <c r="A274" s="463">
        <v>2</v>
      </c>
      <c r="B274" s="464">
        <v>7</v>
      </c>
      <c r="C274" s="464" t="s">
        <v>594</v>
      </c>
      <c r="D274" s="457">
        <v>5</v>
      </c>
      <c r="E274" s="457"/>
      <c r="F274" s="457"/>
      <c r="G274" s="457">
        <v>3</v>
      </c>
      <c r="H274" s="456" t="s">
        <v>9</v>
      </c>
      <c r="I274" s="500"/>
      <c r="J274" s="458"/>
      <c r="K274" s="676"/>
      <c r="L274" s="676"/>
      <c r="M274" s="445"/>
      <c r="N274" s="445"/>
      <c r="O274" s="445"/>
      <c r="P274" s="445"/>
      <c r="Q274" s="445"/>
      <c r="R274" s="445"/>
      <c r="S274" s="445"/>
      <c r="T274" s="445"/>
      <c r="U274" s="445"/>
      <c r="V274" s="445"/>
      <c r="W274" s="445"/>
      <c r="X274" s="445"/>
      <c r="Y274" s="445"/>
      <c r="AC274" s="144"/>
      <c r="AD274" s="144"/>
      <c r="AE274" s="144"/>
      <c r="AF274" s="144"/>
    </row>
    <row r="275" spans="1:36" ht="18">
      <c r="A275" s="463">
        <v>2</v>
      </c>
      <c r="B275" s="464">
        <v>7</v>
      </c>
      <c r="C275" s="464" t="s">
        <v>437</v>
      </c>
      <c r="D275" s="457"/>
      <c r="E275" s="457"/>
      <c r="F275" s="457"/>
      <c r="G275" s="457"/>
      <c r="H275" s="476" t="s">
        <v>484</v>
      </c>
      <c r="I275" s="528">
        <f>I276</f>
        <v>0</v>
      </c>
      <c r="J275" s="458"/>
      <c r="K275" s="676"/>
      <c r="L275" s="676"/>
      <c r="M275" s="445"/>
      <c r="N275" s="445"/>
      <c r="O275" s="445"/>
      <c r="P275" s="445"/>
      <c r="Q275" s="445"/>
      <c r="R275" s="445"/>
      <c r="S275" s="445"/>
      <c r="T275" s="445"/>
      <c r="U275" s="445"/>
      <c r="V275" s="445"/>
      <c r="W275" s="445"/>
      <c r="X275" s="445"/>
      <c r="Y275" s="445"/>
    </row>
    <row r="276" spans="1:36" ht="30" customHeight="1">
      <c r="A276" s="457">
        <v>2</v>
      </c>
      <c r="B276" s="462">
        <v>7</v>
      </c>
      <c r="C276" s="464" t="s">
        <v>437</v>
      </c>
      <c r="D276" s="457">
        <v>5</v>
      </c>
      <c r="E276" s="457"/>
      <c r="F276" s="457"/>
      <c r="G276" s="457">
        <v>2</v>
      </c>
      <c r="H276" s="456" t="s">
        <v>8</v>
      </c>
      <c r="I276" s="500"/>
      <c r="J276" s="458"/>
      <c r="K276" s="676"/>
      <c r="L276" s="676"/>
      <c r="M276" s="445"/>
      <c r="N276" s="445"/>
      <c r="O276" s="445"/>
      <c r="P276" s="445"/>
      <c r="Q276" s="445"/>
      <c r="R276" s="445"/>
      <c r="S276" s="445"/>
      <c r="T276" s="445"/>
      <c r="U276" s="445"/>
      <c r="V276" s="445"/>
      <c r="W276" s="445"/>
      <c r="X276" s="445"/>
      <c r="Y276" s="445"/>
    </row>
    <row r="277" spans="1:36" ht="18">
      <c r="A277" s="452">
        <v>2</v>
      </c>
      <c r="B277" s="459">
        <v>8</v>
      </c>
      <c r="C277" s="464"/>
      <c r="D277" s="457"/>
      <c r="E277" s="457"/>
      <c r="F277" s="457"/>
      <c r="G277" s="457"/>
      <c r="H277" s="489" t="s">
        <v>661</v>
      </c>
      <c r="I277" s="528">
        <f>I278+I280+I282+I284</f>
        <v>0</v>
      </c>
      <c r="J277" s="458"/>
      <c r="K277" s="676"/>
      <c r="L277" s="676"/>
      <c r="M277" s="445"/>
      <c r="N277" s="445"/>
      <c r="O277" s="445"/>
      <c r="P277" s="445"/>
      <c r="Q277" s="445"/>
      <c r="R277" s="445"/>
      <c r="S277" s="445"/>
      <c r="T277" s="445"/>
      <c r="U277" s="445"/>
      <c r="V277" s="445"/>
      <c r="W277" s="445"/>
      <c r="X277" s="445"/>
      <c r="Y277" s="445"/>
    </row>
    <row r="278" spans="1:36" ht="18">
      <c r="A278" s="457">
        <v>2</v>
      </c>
      <c r="B278" s="462">
        <v>8</v>
      </c>
      <c r="C278" s="464" t="s">
        <v>593</v>
      </c>
      <c r="D278" s="457"/>
      <c r="E278" s="457"/>
      <c r="F278" s="457"/>
      <c r="G278" s="457"/>
      <c r="H278" s="476" t="s">
        <v>483</v>
      </c>
      <c r="I278" s="528">
        <f>I279</f>
        <v>0</v>
      </c>
      <c r="J278" s="458"/>
      <c r="K278" s="676"/>
      <c r="L278" s="676"/>
      <c r="M278" s="445"/>
      <c r="N278" s="445"/>
      <c r="O278" s="445"/>
      <c r="P278" s="445"/>
      <c r="Q278" s="445"/>
      <c r="R278" s="445"/>
      <c r="S278" s="445"/>
      <c r="T278" s="445"/>
      <c r="U278" s="445"/>
      <c r="V278" s="445"/>
      <c r="W278" s="445"/>
      <c r="X278" s="445"/>
      <c r="Y278" s="445"/>
    </row>
    <row r="279" spans="1:36" ht="18">
      <c r="A279" s="457">
        <v>2</v>
      </c>
      <c r="B279" s="462">
        <v>8</v>
      </c>
      <c r="C279" s="464" t="s">
        <v>593</v>
      </c>
      <c r="D279" s="457">
        <v>5</v>
      </c>
      <c r="E279" s="457"/>
      <c r="F279" s="457"/>
      <c r="G279" s="457">
        <v>2</v>
      </c>
      <c r="H279" s="456" t="s">
        <v>8</v>
      </c>
      <c r="I279" s="500"/>
      <c r="J279" s="458"/>
      <c r="K279" s="676"/>
      <c r="L279" s="676"/>
      <c r="M279" s="445"/>
      <c r="N279" s="445"/>
      <c r="O279" s="445"/>
      <c r="P279" s="445"/>
      <c r="Q279" s="445"/>
      <c r="R279" s="445"/>
      <c r="S279" s="445"/>
      <c r="T279" s="445"/>
      <c r="U279" s="445"/>
      <c r="V279" s="445"/>
      <c r="W279" s="445"/>
      <c r="X279" s="445"/>
      <c r="Y279" s="445"/>
    </row>
    <row r="280" spans="1:36" ht="25.5" customHeight="1">
      <c r="A280" s="457">
        <v>2</v>
      </c>
      <c r="B280" s="462">
        <v>8</v>
      </c>
      <c r="C280" s="464" t="s">
        <v>594</v>
      </c>
      <c r="D280" s="457"/>
      <c r="E280" s="457"/>
      <c r="F280" s="457"/>
      <c r="G280" s="457"/>
      <c r="H280" s="466" t="s">
        <v>482</v>
      </c>
      <c r="I280" s="477">
        <f>I281</f>
        <v>0</v>
      </c>
      <c r="J280" s="458"/>
      <c r="K280" s="676"/>
      <c r="L280" s="676"/>
      <c r="M280" s="445"/>
      <c r="N280" s="445"/>
      <c r="O280" s="445"/>
      <c r="P280" s="445"/>
      <c r="Q280" s="445"/>
      <c r="R280" s="445"/>
      <c r="S280" s="445"/>
      <c r="T280" s="445"/>
      <c r="U280" s="445"/>
      <c r="V280" s="445"/>
      <c r="W280" s="445"/>
      <c r="X280" s="445"/>
      <c r="Y280" s="445"/>
    </row>
    <row r="281" spans="1:36" ht="21" customHeight="1">
      <c r="A281" s="457">
        <v>2</v>
      </c>
      <c r="B281" s="462">
        <v>8</v>
      </c>
      <c r="C281" s="464" t="s">
        <v>594</v>
      </c>
      <c r="D281" s="457">
        <v>5</v>
      </c>
      <c r="E281" s="457"/>
      <c r="F281" s="457"/>
      <c r="G281" s="457">
        <v>3</v>
      </c>
      <c r="H281" s="456" t="s">
        <v>9</v>
      </c>
      <c r="I281" s="500">
        <v>0</v>
      </c>
      <c r="J281" s="458"/>
      <c r="K281" s="676"/>
      <c r="L281" s="676"/>
      <c r="M281" s="445"/>
      <c r="N281" s="445"/>
      <c r="O281" s="445"/>
      <c r="P281" s="445"/>
      <c r="Q281" s="445"/>
      <c r="R281" s="445"/>
      <c r="S281" s="445"/>
      <c r="T281" s="445"/>
      <c r="U281" s="445"/>
      <c r="V281" s="445"/>
      <c r="W281" s="445"/>
      <c r="X281" s="445"/>
      <c r="Y281" s="445"/>
    </row>
    <row r="282" spans="1:36" ht="18">
      <c r="A282" s="457">
        <v>2</v>
      </c>
      <c r="B282" s="462">
        <v>8</v>
      </c>
      <c r="C282" s="464" t="s">
        <v>595</v>
      </c>
      <c r="D282" s="457"/>
      <c r="E282" s="457"/>
      <c r="F282" s="457"/>
      <c r="G282" s="457"/>
      <c r="H282" s="476" t="s">
        <v>481</v>
      </c>
      <c r="I282" s="528">
        <f>I283</f>
        <v>0</v>
      </c>
      <c r="J282" s="458"/>
      <c r="K282" s="676"/>
      <c r="L282" s="676"/>
      <c r="M282" s="445"/>
      <c r="N282" s="445"/>
      <c r="O282" s="445"/>
      <c r="P282" s="445"/>
      <c r="Q282" s="445"/>
      <c r="R282" s="445"/>
      <c r="S282" s="445"/>
      <c r="T282" s="445"/>
      <c r="U282" s="445"/>
      <c r="V282" s="445"/>
      <c r="W282" s="445"/>
      <c r="X282" s="445"/>
      <c r="Y282" s="445"/>
    </row>
    <row r="283" spans="1:36" ht="18">
      <c r="A283" s="457">
        <v>2</v>
      </c>
      <c r="B283" s="462">
        <v>8</v>
      </c>
      <c r="C283" s="464" t="s">
        <v>595</v>
      </c>
      <c r="D283" s="457">
        <v>5</v>
      </c>
      <c r="E283" s="457"/>
      <c r="F283" s="457"/>
      <c r="G283" s="457">
        <v>2</v>
      </c>
      <c r="H283" s="456" t="s">
        <v>8</v>
      </c>
      <c r="I283" s="500"/>
      <c r="J283" s="458"/>
      <c r="K283" s="676"/>
      <c r="L283" s="676"/>
      <c r="M283" s="445"/>
      <c r="N283" s="445"/>
      <c r="O283" s="445"/>
      <c r="P283" s="445"/>
      <c r="Q283" s="445"/>
      <c r="R283" s="445"/>
      <c r="S283" s="445"/>
      <c r="T283" s="445"/>
      <c r="U283" s="445"/>
      <c r="V283" s="445"/>
      <c r="W283" s="445"/>
      <c r="X283" s="445"/>
      <c r="Y283" s="445"/>
    </row>
    <row r="284" spans="1:36" ht="18">
      <c r="A284" s="457">
        <v>2</v>
      </c>
      <c r="B284" s="462">
        <v>8</v>
      </c>
      <c r="C284" s="464" t="s">
        <v>437</v>
      </c>
      <c r="D284" s="457"/>
      <c r="E284" s="457"/>
      <c r="F284" s="457"/>
      <c r="G284" s="457"/>
      <c r="H284" s="495" t="s">
        <v>480</v>
      </c>
      <c r="I284" s="522">
        <f>I285</f>
        <v>0</v>
      </c>
      <c r="J284" s="458"/>
      <c r="K284" s="676"/>
      <c r="L284" s="676"/>
      <c r="M284" s="445"/>
      <c r="N284" s="445"/>
      <c r="O284" s="445"/>
      <c r="P284" s="445"/>
      <c r="Q284" s="445"/>
      <c r="R284" s="445"/>
      <c r="S284" s="445"/>
      <c r="T284" s="445"/>
      <c r="U284" s="445"/>
      <c r="V284" s="445"/>
      <c r="W284" s="445"/>
      <c r="X284" s="445"/>
      <c r="Y284" s="445"/>
    </row>
    <row r="285" spans="1:36" ht="18">
      <c r="A285" s="457">
        <v>2</v>
      </c>
      <c r="B285" s="462">
        <v>8</v>
      </c>
      <c r="C285" s="464" t="s">
        <v>437</v>
      </c>
      <c r="D285" s="457">
        <v>5</v>
      </c>
      <c r="E285" s="457"/>
      <c r="F285" s="457"/>
      <c r="G285" s="457">
        <v>2</v>
      </c>
      <c r="H285" s="456" t="s">
        <v>8</v>
      </c>
      <c r="I285" s="500"/>
      <c r="J285" s="458"/>
      <c r="K285" s="676"/>
      <c r="L285" s="676"/>
      <c r="M285" s="445"/>
      <c r="N285" s="445"/>
      <c r="O285" s="445"/>
      <c r="P285" s="445"/>
      <c r="Q285" s="445"/>
      <c r="R285" s="445"/>
      <c r="S285" s="445"/>
      <c r="T285" s="445"/>
      <c r="U285" s="445"/>
      <c r="V285" s="445"/>
      <c r="W285" s="445"/>
      <c r="X285" s="445"/>
      <c r="Y285" s="445"/>
    </row>
    <row r="286" spans="1:36" ht="18">
      <c r="A286" s="452">
        <v>3</v>
      </c>
      <c r="B286" s="459"/>
      <c r="C286" s="459"/>
      <c r="D286" s="452"/>
      <c r="E286" s="452"/>
      <c r="F286" s="452"/>
      <c r="G286" s="452"/>
      <c r="H286" s="453" t="s">
        <v>662</v>
      </c>
      <c r="I286" s="529" t="e">
        <f>I287+I305+I319+I334</f>
        <v>#REF!</v>
      </c>
      <c r="J286" s="454"/>
      <c r="K286" s="675"/>
      <c r="L286" s="675"/>
      <c r="M286" s="455"/>
      <c r="N286" s="455"/>
      <c r="O286" s="455"/>
      <c r="P286" s="455"/>
      <c r="Q286" s="455"/>
      <c r="R286" s="455"/>
      <c r="S286" s="455"/>
      <c r="T286" s="455"/>
      <c r="U286" s="455"/>
      <c r="V286" s="455"/>
      <c r="W286" s="455"/>
      <c r="X286" s="455"/>
      <c r="Y286" s="455"/>
    </row>
    <row r="287" spans="1:36" ht="18">
      <c r="A287" s="452">
        <v>3</v>
      </c>
      <c r="B287" s="459">
        <v>1</v>
      </c>
      <c r="C287" s="459"/>
      <c r="D287" s="452"/>
      <c r="E287" s="452"/>
      <c r="F287" s="452"/>
      <c r="G287" s="452"/>
      <c r="H287" s="453" t="s">
        <v>663</v>
      </c>
      <c r="I287" s="529" t="e">
        <f>I288+I291+I293+I295+I297+I299+I301+I303</f>
        <v>#REF!</v>
      </c>
      <c r="J287" s="454"/>
      <c r="K287" s="675"/>
      <c r="L287" s="675"/>
      <c r="M287" s="455"/>
      <c r="N287" s="455"/>
      <c r="O287" s="455"/>
      <c r="P287" s="455"/>
      <c r="Q287" s="455"/>
      <c r="R287" s="455"/>
      <c r="S287" s="455"/>
      <c r="T287" s="455"/>
      <c r="U287" s="455"/>
      <c r="V287" s="455"/>
      <c r="W287" s="455"/>
      <c r="X287" s="455"/>
      <c r="Y287" s="455"/>
    </row>
    <row r="288" spans="1:36" ht="31.5">
      <c r="A288" s="463">
        <v>3</v>
      </c>
      <c r="B288" s="464">
        <v>1</v>
      </c>
      <c r="C288" s="464" t="s">
        <v>593</v>
      </c>
      <c r="D288" s="457"/>
      <c r="E288" s="457"/>
      <c r="F288" s="457"/>
      <c r="G288" s="457"/>
      <c r="H288" s="496" t="s">
        <v>664</v>
      </c>
      <c r="I288" s="500">
        <f>I289+I290</f>
        <v>0</v>
      </c>
      <c r="J288" s="458"/>
      <c r="K288" s="676"/>
      <c r="L288" s="676"/>
      <c r="M288" s="445"/>
      <c r="N288" s="445"/>
      <c r="O288" s="445"/>
      <c r="P288" s="445"/>
      <c r="Q288" s="445"/>
      <c r="R288" s="445"/>
      <c r="S288" s="445"/>
      <c r="T288" s="445"/>
      <c r="U288" s="445"/>
      <c r="V288" s="445"/>
      <c r="W288" s="445"/>
      <c r="X288" s="445"/>
      <c r="Y288" s="445"/>
    </row>
    <row r="289" spans="1:31" ht="18">
      <c r="A289" s="463">
        <v>3</v>
      </c>
      <c r="B289" s="464">
        <v>1</v>
      </c>
      <c r="C289" s="464" t="s">
        <v>593</v>
      </c>
      <c r="D289" s="457">
        <v>5</v>
      </c>
      <c r="E289" s="457"/>
      <c r="F289" s="457"/>
      <c r="G289" s="457">
        <v>2</v>
      </c>
      <c r="H289" s="456" t="s">
        <v>8</v>
      </c>
      <c r="I289" s="500"/>
      <c r="J289" s="458"/>
      <c r="K289" s="676"/>
      <c r="L289" s="676"/>
      <c r="M289" s="445"/>
      <c r="N289" s="445"/>
      <c r="O289" s="445"/>
      <c r="P289" s="445"/>
      <c r="Q289" s="445"/>
      <c r="R289" s="445"/>
      <c r="S289" s="445"/>
      <c r="T289" s="445"/>
      <c r="U289" s="445"/>
      <c r="V289" s="445"/>
      <c r="W289" s="445"/>
      <c r="X289" s="445"/>
      <c r="Y289" s="445"/>
    </row>
    <row r="290" spans="1:31" ht="18">
      <c r="A290" s="463">
        <v>3</v>
      </c>
      <c r="B290" s="464">
        <v>1</v>
      </c>
      <c r="C290" s="464" t="s">
        <v>593</v>
      </c>
      <c r="D290" s="457">
        <v>5</v>
      </c>
      <c r="E290" s="457"/>
      <c r="F290" s="457"/>
      <c r="G290" s="457">
        <v>3</v>
      </c>
      <c r="H290" s="456" t="s">
        <v>9</v>
      </c>
      <c r="I290" s="500"/>
      <c r="J290" s="458"/>
      <c r="K290" s="676"/>
      <c r="L290" s="676"/>
      <c r="M290" s="445"/>
      <c r="N290" s="445"/>
      <c r="O290" s="445"/>
      <c r="P290" s="445"/>
      <c r="Q290" s="445"/>
      <c r="R290" s="445"/>
      <c r="S290" s="445"/>
      <c r="T290" s="445"/>
      <c r="U290" s="445"/>
      <c r="V290" s="445"/>
      <c r="W290" s="445"/>
      <c r="X290" s="445"/>
      <c r="Y290" s="445"/>
      <c r="AE290" s="1" t="s">
        <v>21</v>
      </c>
    </row>
    <row r="291" spans="1:31" ht="31.5">
      <c r="A291" s="463">
        <v>3</v>
      </c>
      <c r="B291" s="464">
        <v>1</v>
      </c>
      <c r="C291" s="464" t="s">
        <v>594</v>
      </c>
      <c r="D291" s="457"/>
      <c r="E291" s="457"/>
      <c r="F291" s="457"/>
      <c r="G291" s="457"/>
      <c r="H291" s="473" t="s">
        <v>479</v>
      </c>
      <c r="I291" s="477" t="e">
        <f>I292</f>
        <v>#REF!</v>
      </c>
      <c r="J291" s="458"/>
      <c r="K291" s="676"/>
      <c r="L291" s="676"/>
      <c r="M291" s="445"/>
      <c r="N291" s="445"/>
      <c r="O291" s="445"/>
      <c r="P291" s="445"/>
      <c r="Q291" s="445"/>
      <c r="R291" s="445"/>
      <c r="S291" s="445"/>
      <c r="T291" s="445"/>
      <c r="U291" s="445"/>
      <c r="V291" s="445"/>
      <c r="W291" s="445"/>
      <c r="X291" s="445"/>
      <c r="Y291" s="445"/>
    </row>
    <row r="292" spans="1:31" ht="18">
      <c r="A292" s="463">
        <v>3</v>
      </c>
      <c r="B292" s="464">
        <v>1</v>
      </c>
      <c r="C292" s="464" t="s">
        <v>594</v>
      </c>
      <c r="D292" s="457">
        <v>5</v>
      </c>
      <c r="E292" s="457"/>
      <c r="F292" s="457"/>
      <c r="G292" s="457">
        <v>2</v>
      </c>
      <c r="H292" s="456" t="s">
        <v>8</v>
      </c>
      <c r="I292" s="500" t="e">
        <f>#REF!</f>
        <v>#REF!</v>
      </c>
      <c r="J292" s="458"/>
      <c r="K292" s="676"/>
      <c r="L292" s="676"/>
      <c r="M292" s="445"/>
      <c r="N292" s="445"/>
      <c r="O292" s="445"/>
      <c r="P292" s="445"/>
      <c r="Q292" s="445"/>
      <c r="R292" s="445"/>
      <c r="S292" s="445"/>
      <c r="T292" s="445"/>
      <c r="U292" s="445"/>
      <c r="V292" s="445"/>
      <c r="W292" s="445"/>
      <c r="X292" s="445"/>
      <c r="Y292" s="445"/>
    </row>
    <row r="293" spans="1:31" ht="31.5">
      <c r="A293" s="463">
        <v>3</v>
      </c>
      <c r="B293" s="464">
        <v>1</v>
      </c>
      <c r="C293" s="464" t="s">
        <v>595</v>
      </c>
      <c r="D293" s="457"/>
      <c r="E293" s="457"/>
      <c r="F293" s="457"/>
      <c r="G293" s="457"/>
      <c r="H293" s="473" t="s">
        <v>478</v>
      </c>
      <c r="I293" s="477">
        <f>I294</f>
        <v>0</v>
      </c>
      <c r="J293" s="458"/>
      <c r="K293" s="676"/>
      <c r="L293" s="676"/>
      <c r="M293" s="445"/>
      <c r="N293" s="445"/>
      <c r="O293" s="445"/>
      <c r="P293" s="445"/>
      <c r="Q293" s="445"/>
      <c r="R293" s="445"/>
      <c r="S293" s="445"/>
      <c r="T293" s="445"/>
      <c r="U293" s="445"/>
      <c r="V293" s="445"/>
      <c r="W293" s="445"/>
      <c r="X293" s="445"/>
      <c r="Y293" s="445"/>
    </row>
    <row r="294" spans="1:31" ht="18">
      <c r="A294" s="463">
        <v>3</v>
      </c>
      <c r="B294" s="464">
        <v>1</v>
      </c>
      <c r="C294" s="464" t="s">
        <v>595</v>
      </c>
      <c r="D294" s="457">
        <v>5</v>
      </c>
      <c r="E294" s="457"/>
      <c r="F294" s="457"/>
      <c r="G294" s="457">
        <v>2</v>
      </c>
      <c r="H294" s="456" t="s">
        <v>8</v>
      </c>
      <c r="I294" s="500"/>
      <c r="J294" s="458"/>
      <c r="K294" s="676"/>
      <c r="L294" s="676"/>
      <c r="M294" s="445"/>
      <c r="N294" s="445"/>
      <c r="O294" s="445"/>
      <c r="P294" s="445"/>
      <c r="Q294" s="445"/>
      <c r="R294" s="445"/>
      <c r="S294" s="445"/>
      <c r="T294" s="445"/>
      <c r="U294" s="445"/>
      <c r="V294" s="445"/>
      <c r="W294" s="445"/>
      <c r="X294" s="445"/>
      <c r="Y294" s="445"/>
    </row>
    <row r="295" spans="1:31" ht="18">
      <c r="A295" s="463">
        <v>3</v>
      </c>
      <c r="B295" s="464">
        <v>1</v>
      </c>
      <c r="C295" s="464" t="s">
        <v>596</v>
      </c>
      <c r="D295" s="457"/>
      <c r="E295" s="457"/>
      <c r="F295" s="457"/>
      <c r="G295" s="457"/>
      <c r="H295" s="476" t="s">
        <v>477</v>
      </c>
      <c r="I295" s="528">
        <f>I296</f>
        <v>0</v>
      </c>
      <c r="J295" s="458"/>
      <c r="K295" s="676"/>
      <c r="L295" s="676"/>
      <c r="M295" s="445"/>
      <c r="N295" s="445"/>
      <c r="O295" s="445"/>
      <c r="P295" s="445"/>
      <c r="Q295" s="445"/>
      <c r="R295" s="445"/>
      <c r="S295" s="445"/>
      <c r="T295" s="445"/>
      <c r="U295" s="445"/>
      <c r="V295" s="445"/>
      <c r="W295" s="445"/>
      <c r="X295" s="445"/>
      <c r="Y295" s="445"/>
    </row>
    <row r="296" spans="1:31" ht="18">
      <c r="A296" s="463">
        <v>3</v>
      </c>
      <c r="B296" s="464">
        <v>1</v>
      </c>
      <c r="C296" s="464" t="s">
        <v>596</v>
      </c>
      <c r="D296" s="457">
        <v>5</v>
      </c>
      <c r="E296" s="457"/>
      <c r="F296" s="457"/>
      <c r="G296" s="457">
        <v>2</v>
      </c>
      <c r="H296" s="456" t="s">
        <v>8</v>
      </c>
      <c r="I296" s="500"/>
      <c r="J296" s="458"/>
      <c r="K296" s="676"/>
      <c r="L296" s="676"/>
      <c r="M296" s="445"/>
      <c r="N296" s="445"/>
      <c r="O296" s="445"/>
      <c r="P296" s="445"/>
      <c r="Q296" s="445"/>
      <c r="R296" s="445"/>
      <c r="S296" s="445"/>
      <c r="T296" s="445"/>
      <c r="U296" s="445"/>
      <c r="V296" s="445"/>
      <c r="W296" s="445"/>
      <c r="X296" s="445"/>
      <c r="Y296" s="445"/>
    </row>
    <row r="297" spans="1:31" ht="18">
      <c r="A297" s="463">
        <v>3</v>
      </c>
      <c r="B297" s="464">
        <v>1</v>
      </c>
      <c r="C297" s="464" t="s">
        <v>597</v>
      </c>
      <c r="D297" s="457"/>
      <c r="E297" s="457"/>
      <c r="F297" s="457"/>
      <c r="G297" s="457"/>
      <c r="H297" s="476" t="s">
        <v>476</v>
      </c>
      <c r="I297" s="528">
        <f>I298</f>
        <v>0</v>
      </c>
      <c r="J297" s="458"/>
      <c r="K297" s="676"/>
      <c r="L297" s="676"/>
      <c r="M297" s="445"/>
      <c r="N297" s="445"/>
      <c r="O297" s="445"/>
      <c r="P297" s="445"/>
      <c r="Q297" s="445"/>
      <c r="R297" s="445"/>
      <c r="S297" s="445"/>
      <c r="T297" s="445"/>
      <c r="U297" s="445"/>
      <c r="V297" s="445"/>
      <c r="W297" s="445"/>
      <c r="X297" s="445"/>
      <c r="Y297" s="445"/>
    </row>
    <row r="298" spans="1:31" ht="18">
      <c r="A298" s="463">
        <v>3</v>
      </c>
      <c r="B298" s="464">
        <v>1</v>
      </c>
      <c r="C298" s="464" t="s">
        <v>597</v>
      </c>
      <c r="D298" s="457">
        <v>5</v>
      </c>
      <c r="E298" s="457"/>
      <c r="F298" s="457"/>
      <c r="G298" s="457">
        <v>2</v>
      </c>
      <c r="H298" s="456" t="s">
        <v>8</v>
      </c>
      <c r="I298" s="500"/>
      <c r="J298" s="458"/>
      <c r="K298" s="676"/>
      <c r="L298" s="676"/>
      <c r="M298" s="445"/>
      <c r="N298" s="445"/>
      <c r="O298" s="445"/>
      <c r="P298" s="445"/>
      <c r="Q298" s="445"/>
      <c r="R298" s="445"/>
      <c r="S298" s="445"/>
      <c r="T298" s="445"/>
      <c r="U298" s="445"/>
      <c r="V298" s="445"/>
      <c r="W298" s="445"/>
      <c r="X298" s="445"/>
      <c r="Y298" s="445"/>
    </row>
    <row r="299" spans="1:31" ht="18">
      <c r="A299" s="463"/>
      <c r="B299" s="464"/>
      <c r="C299" s="464" t="s">
        <v>598</v>
      </c>
      <c r="D299" s="457"/>
      <c r="E299" s="457"/>
      <c r="F299" s="457"/>
      <c r="G299" s="457"/>
      <c r="H299" s="476" t="s">
        <v>475</v>
      </c>
      <c r="I299" s="528">
        <f>I300</f>
        <v>0</v>
      </c>
      <c r="J299" s="458"/>
      <c r="K299" s="676"/>
      <c r="L299" s="676"/>
      <c r="M299" s="445"/>
      <c r="N299" s="445"/>
      <c r="O299" s="445"/>
      <c r="P299" s="445"/>
      <c r="Q299" s="445"/>
      <c r="R299" s="445"/>
      <c r="S299" s="445"/>
      <c r="T299" s="445"/>
      <c r="U299" s="445"/>
      <c r="V299" s="445"/>
      <c r="W299" s="445"/>
      <c r="X299" s="445"/>
      <c r="Y299" s="445"/>
    </row>
    <row r="300" spans="1:31" ht="18">
      <c r="A300" s="463">
        <v>3</v>
      </c>
      <c r="B300" s="464">
        <v>1</v>
      </c>
      <c r="C300" s="464" t="s">
        <v>598</v>
      </c>
      <c r="D300" s="457">
        <v>5</v>
      </c>
      <c r="E300" s="457"/>
      <c r="F300" s="457"/>
      <c r="G300" s="457">
        <v>2</v>
      </c>
      <c r="H300" s="456" t="s">
        <v>8</v>
      </c>
      <c r="I300" s="500"/>
      <c r="J300" s="458"/>
      <c r="K300" s="676"/>
      <c r="L300" s="676"/>
      <c r="M300" s="445"/>
      <c r="N300" s="445"/>
      <c r="O300" s="445"/>
      <c r="P300" s="445"/>
      <c r="Q300" s="445"/>
      <c r="R300" s="445"/>
      <c r="S300" s="445"/>
      <c r="T300" s="445"/>
      <c r="U300" s="445"/>
      <c r="V300" s="445"/>
      <c r="W300" s="445"/>
      <c r="X300" s="445"/>
      <c r="Y300" s="445"/>
    </row>
    <row r="301" spans="1:31" ht="31.5">
      <c r="A301" s="463">
        <v>3</v>
      </c>
      <c r="B301" s="464">
        <v>1</v>
      </c>
      <c r="C301" s="464" t="s">
        <v>600</v>
      </c>
      <c r="D301" s="457"/>
      <c r="E301" s="457"/>
      <c r="F301" s="457"/>
      <c r="G301" s="457"/>
      <c r="H301" s="473" t="s">
        <v>474</v>
      </c>
      <c r="I301" s="477">
        <f>I302</f>
        <v>0</v>
      </c>
      <c r="J301" s="458"/>
      <c r="K301" s="676"/>
      <c r="L301" s="676"/>
      <c r="M301" s="445"/>
      <c r="N301" s="445"/>
      <c r="O301" s="445"/>
      <c r="P301" s="445"/>
      <c r="Q301" s="445"/>
      <c r="R301" s="445"/>
      <c r="S301" s="445"/>
      <c r="T301" s="445"/>
      <c r="U301" s="445"/>
      <c r="V301" s="445"/>
      <c r="W301" s="445"/>
      <c r="X301" s="445"/>
      <c r="Y301" s="445"/>
    </row>
    <row r="302" spans="1:31" ht="18">
      <c r="A302" s="463">
        <v>3</v>
      </c>
      <c r="B302" s="464">
        <v>1</v>
      </c>
      <c r="C302" s="464" t="s">
        <v>600</v>
      </c>
      <c r="D302" s="457">
        <v>5</v>
      </c>
      <c r="E302" s="457"/>
      <c r="F302" s="457"/>
      <c r="G302" s="457">
        <v>2</v>
      </c>
      <c r="H302" s="456" t="s">
        <v>8</v>
      </c>
      <c r="I302" s="500"/>
      <c r="J302" s="458"/>
      <c r="K302" s="676"/>
      <c r="L302" s="676"/>
      <c r="M302" s="445"/>
      <c r="N302" s="445"/>
      <c r="O302" s="445"/>
      <c r="P302" s="445"/>
      <c r="Q302" s="445"/>
      <c r="R302" s="445"/>
      <c r="S302" s="445"/>
      <c r="T302" s="445"/>
      <c r="U302" s="445"/>
      <c r="V302" s="445"/>
      <c r="W302" s="445"/>
      <c r="X302" s="445"/>
      <c r="Y302" s="445"/>
    </row>
    <row r="303" spans="1:31" ht="31.5">
      <c r="A303" s="463">
        <v>3</v>
      </c>
      <c r="B303" s="464">
        <v>1</v>
      </c>
      <c r="C303" s="464" t="s">
        <v>437</v>
      </c>
      <c r="D303" s="457"/>
      <c r="E303" s="457"/>
      <c r="F303" s="457"/>
      <c r="G303" s="457"/>
      <c r="H303" s="473" t="s">
        <v>473</v>
      </c>
      <c r="I303" s="477">
        <f>I304</f>
        <v>0</v>
      </c>
      <c r="J303" s="458"/>
      <c r="K303" s="676"/>
      <c r="L303" s="676"/>
      <c r="M303" s="445"/>
      <c r="N303" s="445"/>
      <c r="O303" s="445"/>
      <c r="P303" s="445"/>
      <c r="Q303" s="445"/>
      <c r="R303" s="445"/>
      <c r="S303" s="445"/>
      <c r="T303" s="445"/>
      <c r="U303" s="445"/>
      <c r="V303" s="445"/>
      <c r="W303" s="445"/>
      <c r="X303" s="445"/>
      <c r="Y303" s="445"/>
    </row>
    <row r="304" spans="1:31" ht="18">
      <c r="A304" s="463">
        <v>3</v>
      </c>
      <c r="B304" s="464">
        <v>1</v>
      </c>
      <c r="C304" s="464" t="s">
        <v>437</v>
      </c>
      <c r="D304" s="457">
        <v>5</v>
      </c>
      <c r="E304" s="457"/>
      <c r="F304" s="457"/>
      <c r="G304" s="457">
        <v>2</v>
      </c>
      <c r="H304" s="456" t="s">
        <v>8</v>
      </c>
      <c r="I304" s="500"/>
      <c r="J304" s="458"/>
      <c r="K304" s="676"/>
      <c r="L304" s="676"/>
      <c r="M304" s="445"/>
      <c r="N304" s="445"/>
      <c r="O304" s="445"/>
      <c r="P304" s="445"/>
      <c r="Q304" s="445"/>
      <c r="R304" s="445"/>
      <c r="S304" s="445"/>
      <c r="T304" s="445"/>
      <c r="U304" s="445"/>
      <c r="V304" s="445"/>
      <c r="W304" s="445"/>
      <c r="X304" s="445"/>
      <c r="Y304" s="445"/>
    </row>
    <row r="305" spans="1:25" ht="18">
      <c r="A305" s="457">
        <v>3</v>
      </c>
      <c r="B305" s="462">
        <v>2</v>
      </c>
      <c r="C305" s="464"/>
      <c r="D305" s="457"/>
      <c r="E305" s="457"/>
      <c r="F305" s="457"/>
      <c r="G305" s="457"/>
      <c r="H305" s="497" t="s">
        <v>665</v>
      </c>
      <c r="I305" s="500" t="e">
        <f>I306+I308+I310+I312+I314+I317</f>
        <v>#REF!</v>
      </c>
      <c r="J305" s="458"/>
      <c r="K305" s="676"/>
      <c r="L305" s="676"/>
      <c r="M305" s="445"/>
      <c r="N305" s="445"/>
      <c r="O305" s="445"/>
      <c r="P305" s="445"/>
      <c r="Q305" s="445"/>
      <c r="R305" s="445"/>
      <c r="S305" s="445"/>
      <c r="T305" s="445"/>
      <c r="U305" s="445"/>
      <c r="V305" s="445"/>
      <c r="W305" s="445"/>
      <c r="X305" s="445"/>
      <c r="Y305" s="445"/>
    </row>
    <row r="306" spans="1:25" ht="18">
      <c r="A306" s="457">
        <v>3</v>
      </c>
      <c r="B306" s="462">
        <v>2</v>
      </c>
      <c r="C306" s="464" t="s">
        <v>593</v>
      </c>
      <c r="D306" s="457"/>
      <c r="E306" s="457"/>
      <c r="F306" s="457"/>
      <c r="G306" s="457"/>
      <c r="H306" s="476" t="s">
        <v>472</v>
      </c>
      <c r="I306" s="528" t="e">
        <f>I307</f>
        <v>#REF!</v>
      </c>
      <c r="J306" s="458"/>
      <c r="K306" s="676"/>
      <c r="L306" s="676"/>
      <c r="M306" s="445"/>
      <c r="N306" s="445"/>
      <c r="O306" s="445"/>
      <c r="P306" s="445"/>
      <c r="Q306" s="445"/>
      <c r="R306" s="445"/>
      <c r="S306" s="445"/>
      <c r="T306" s="445"/>
      <c r="U306" s="445"/>
      <c r="V306" s="445"/>
      <c r="W306" s="445"/>
      <c r="X306" s="445"/>
      <c r="Y306" s="445"/>
    </row>
    <row r="307" spans="1:25" ht="18">
      <c r="A307" s="463">
        <v>3</v>
      </c>
      <c r="B307" s="464">
        <v>2</v>
      </c>
      <c r="C307" s="464" t="s">
        <v>593</v>
      </c>
      <c r="D307" s="457">
        <v>5</v>
      </c>
      <c r="E307" s="457"/>
      <c r="F307" s="457"/>
      <c r="G307" s="457">
        <v>2</v>
      </c>
      <c r="H307" s="456" t="s">
        <v>8</v>
      </c>
      <c r="I307" s="500" t="e">
        <f>#REF!</f>
        <v>#REF!</v>
      </c>
      <c r="J307" s="458"/>
      <c r="K307" s="676"/>
      <c r="L307" s="676"/>
      <c r="M307" s="445"/>
      <c r="N307" s="445"/>
      <c r="O307" s="445"/>
      <c r="P307" s="445"/>
      <c r="Q307" s="445"/>
      <c r="R307" s="445"/>
      <c r="S307" s="445"/>
      <c r="T307" s="445"/>
      <c r="U307" s="445"/>
      <c r="V307" s="445"/>
      <c r="W307" s="445"/>
      <c r="X307" s="445"/>
      <c r="Y307" s="445"/>
    </row>
    <row r="308" spans="1:25" ht="31.5">
      <c r="A308" s="457">
        <v>3</v>
      </c>
      <c r="B308" s="462">
        <v>2</v>
      </c>
      <c r="C308" s="464" t="s">
        <v>594</v>
      </c>
      <c r="D308" s="457"/>
      <c r="E308" s="457"/>
      <c r="F308" s="457"/>
      <c r="G308" s="457"/>
      <c r="H308" s="473" t="s">
        <v>471</v>
      </c>
      <c r="I308" s="477">
        <f>I309</f>
        <v>0</v>
      </c>
      <c r="J308" s="458"/>
      <c r="K308" s="676"/>
      <c r="L308" s="676"/>
      <c r="M308" s="445"/>
      <c r="N308" s="445"/>
      <c r="O308" s="445"/>
      <c r="P308" s="445"/>
      <c r="Q308" s="445"/>
      <c r="R308" s="445"/>
      <c r="S308" s="445"/>
      <c r="T308" s="445"/>
      <c r="U308" s="445"/>
      <c r="V308" s="445"/>
      <c r="W308" s="445"/>
      <c r="X308" s="445"/>
      <c r="Y308" s="445"/>
    </row>
    <row r="309" spans="1:25" ht="18">
      <c r="A309" s="463">
        <v>3</v>
      </c>
      <c r="B309" s="462">
        <v>2</v>
      </c>
      <c r="C309" s="464" t="s">
        <v>594</v>
      </c>
      <c r="D309" s="457">
        <v>5</v>
      </c>
      <c r="E309" s="457"/>
      <c r="F309" s="457"/>
      <c r="G309" s="457">
        <v>2</v>
      </c>
      <c r="H309" s="456" t="s">
        <v>8</v>
      </c>
      <c r="I309" s="500"/>
      <c r="J309" s="458"/>
      <c r="K309" s="676"/>
      <c r="L309" s="676"/>
      <c r="M309" s="445"/>
      <c r="N309" s="445"/>
      <c r="O309" s="445"/>
      <c r="P309" s="445"/>
      <c r="Q309" s="445"/>
      <c r="R309" s="445"/>
      <c r="S309" s="445"/>
      <c r="T309" s="445"/>
      <c r="U309" s="445"/>
      <c r="V309" s="445"/>
      <c r="W309" s="445"/>
      <c r="X309" s="445"/>
      <c r="Y309" s="445"/>
    </row>
    <row r="310" spans="1:25" ht="31.5">
      <c r="A310" s="457">
        <v>3</v>
      </c>
      <c r="B310" s="462">
        <v>2</v>
      </c>
      <c r="C310" s="464" t="s">
        <v>595</v>
      </c>
      <c r="D310" s="457"/>
      <c r="E310" s="457"/>
      <c r="F310" s="457"/>
      <c r="G310" s="457"/>
      <c r="H310" s="473" t="s">
        <v>470</v>
      </c>
      <c r="I310" s="477" t="e">
        <f>I311</f>
        <v>#REF!</v>
      </c>
      <c r="J310" s="458"/>
      <c r="K310" s="676"/>
      <c r="L310" s="676"/>
      <c r="M310" s="445"/>
      <c r="N310" s="445"/>
      <c r="O310" s="445"/>
      <c r="P310" s="445"/>
      <c r="Q310" s="445"/>
      <c r="R310" s="445"/>
      <c r="S310" s="445"/>
      <c r="T310" s="445"/>
      <c r="U310" s="445"/>
      <c r="V310" s="445"/>
      <c r="W310" s="445"/>
      <c r="X310" s="445"/>
      <c r="Y310" s="445"/>
    </row>
    <row r="311" spans="1:25" ht="18">
      <c r="A311" s="463">
        <v>3</v>
      </c>
      <c r="B311" s="464">
        <v>2</v>
      </c>
      <c r="C311" s="464" t="s">
        <v>595</v>
      </c>
      <c r="D311" s="457">
        <v>5</v>
      </c>
      <c r="E311" s="457"/>
      <c r="F311" s="457"/>
      <c r="G311" s="457">
        <v>2</v>
      </c>
      <c r="H311" s="456" t="s">
        <v>8</v>
      </c>
      <c r="I311" s="500" t="e">
        <f>#REF!</f>
        <v>#REF!</v>
      </c>
      <c r="J311" s="458"/>
      <c r="K311" s="676"/>
      <c r="L311" s="676"/>
      <c r="M311" s="445"/>
      <c r="N311" s="445"/>
      <c r="O311" s="445"/>
      <c r="P311" s="445"/>
      <c r="Q311" s="445"/>
      <c r="R311" s="445"/>
      <c r="S311" s="445"/>
      <c r="T311" s="445"/>
      <c r="U311" s="445"/>
      <c r="V311" s="445"/>
      <c r="W311" s="445"/>
      <c r="X311" s="445"/>
      <c r="Y311" s="445"/>
    </row>
    <row r="312" spans="1:25" ht="31.5">
      <c r="A312" s="457">
        <v>3</v>
      </c>
      <c r="B312" s="462">
        <v>2</v>
      </c>
      <c r="C312" s="464" t="s">
        <v>596</v>
      </c>
      <c r="D312" s="457"/>
      <c r="E312" s="457"/>
      <c r="F312" s="457"/>
      <c r="G312" s="457"/>
      <c r="H312" s="473" t="s">
        <v>469</v>
      </c>
      <c r="I312" s="477">
        <f>I313</f>
        <v>0</v>
      </c>
      <c r="J312" s="458"/>
      <c r="K312" s="676"/>
      <c r="L312" s="676"/>
      <c r="M312" s="445"/>
      <c r="N312" s="445"/>
      <c r="O312" s="445"/>
      <c r="P312" s="445"/>
      <c r="Q312" s="445"/>
      <c r="R312" s="445"/>
      <c r="S312" s="445"/>
      <c r="T312" s="445"/>
      <c r="U312" s="445"/>
      <c r="V312" s="445"/>
      <c r="W312" s="445"/>
      <c r="X312" s="445"/>
      <c r="Y312" s="445"/>
    </row>
    <row r="313" spans="1:25" ht="18">
      <c r="A313" s="463">
        <v>3</v>
      </c>
      <c r="B313" s="462">
        <v>2</v>
      </c>
      <c r="C313" s="464" t="s">
        <v>596</v>
      </c>
      <c r="D313" s="457">
        <v>5</v>
      </c>
      <c r="E313" s="457"/>
      <c r="F313" s="457"/>
      <c r="G313" s="457">
        <v>2</v>
      </c>
      <c r="H313" s="456" t="s">
        <v>8</v>
      </c>
      <c r="I313" s="500"/>
      <c r="J313" s="458"/>
      <c r="K313" s="676"/>
      <c r="L313" s="676"/>
      <c r="M313" s="445"/>
      <c r="N313" s="445"/>
      <c r="O313" s="445"/>
      <c r="P313" s="445"/>
      <c r="Q313" s="445"/>
      <c r="R313" s="445"/>
      <c r="S313" s="445"/>
      <c r="T313" s="445"/>
      <c r="U313" s="445"/>
      <c r="V313" s="445"/>
      <c r="W313" s="445"/>
      <c r="X313" s="445"/>
      <c r="Y313" s="445"/>
    </row>
    <row r="314" spans="1:25" ht="31.5">
      <c r="A314" s="457">
        <v>3</v>
      </c>
      <c r="B314" s="462">
        <v>2</v>
      </c>
      <c r="C314" s="464" t="s">
        <v>597</v>
      </c>
      <c r="D314" s="457"/>
      <c r="E314" s="457"/>
      <c r="F314" s="457"/>
      <c r="G314" s="457"/>
      <c r="H314" s="473" t="s">
        <v>666</v>
      </c>
      <c r="I314" s="477">
        <f>I315+I316</f>
        <v>0</v>
      </c>
      <c r="J314" s="458"/>
      <c r="K314" s="676"/>
      <c r="L314" s="676"/>
      <c r="M314" s="445"/>
      <c r="N314" s="445"/>
      <c r="O314" s="445"/>
      <c r="P314" s="445"/>
      <c r="Q314" s="445"/>
      <c r="R314" s="445"/>
      <c r="S314" s="445"/>
      <c r="T314" s="445"/>
      <c r="U314" s="445"/>
      <c r="V314" s="445"/>
      <c r="W314" s="445"/>
      <c r="X314" s="445"/>
      <c r="Y314" s="445"/>
    </row>
    <row r="315" spans="1:25" ht="18">
      <c r="A315" s="463">
        <v>3</v>
      </c>
      <c r="B315" s="462">
        <v>2</v>
      </c>
      <c r="C315" s="464" t="s">
        <v>597</v>
      </c>
      <c r="D315" s="457">
        <v>5</v>
      </c>
      <c r="E315" s="457"/>
      <c r="F315" s="457"/>
      <c r="G315" s="457">
        <v>2</v>
      </c>
      <c r="H315" s="456" t="s">
        <v>8</v>
      </c>
      <c r="I315" s="500"/>
      <c r="J315" s="458"/>
      <c r="K315" s="676"/>
      <c r="L315" s="676"/>
      <c r="M315" s="445"/>
      <c r="N315" s="445"/>
      <c r="O315" s="445"/>
      <c r="P315" s="445"/>
      <c r="Q315" s="445"/>
      <c r="R315" s="445"/>
      <c r="S315" s="445"/>
      <c r="T315" s="445"/>
      <c r="U315" s="445"/>
      <c r="V315" s="445"/>
      <c r="W315" s="445"/>
      <c r="X315" s="445"/>
      <c r="Y315" s="445"/>
    </row>
    <row r="316" spans="1:25" ht="18">
      <c r="A316" s="463">
        <v>3</v>
      </c>
      <c r="B316" s="464">
        <v>2</v>
      </c>
      <c r="C316" s="464" t="s">
        <v>597</v>
      </c>
      <c r="D316" s="457">
        <v>5</v>
      </c>
      <c r="E316" s="457"/>
      <c r="F316" s="457"/>
      <c r="G316" s="457">
        <v>3</v>
      </c>
      <c r="H316" s="456" t="s">
        <v>9</v>
      </c>
      <c r="I316" s="500"/>
      <c r="J316" s="458"/>
      <c r="K316" s="676"/>
      <c r="L316" s="676"/>
      <c r="M316" s="445"/>
      <c r="N316" s="445"/>
      <c r="O316" s="445"/>
      <c r="P316" s="445"/>
      <c r="Q316" s="445"/>
      <c r="R316" s="445"/>
      <c r="S316" s="445"/>
      <c r="T316" s="445"/>
      <c r="U316" s="445"/>
      <c r="V316" s="445"/>
      <c r="W316" s="445"/>
      <c r="X316" s="445"/>
      <c r="Y316" s="445"/>
    </row>
    <row r="317" spans="1:25" ht="18">
      <c r="A317" s="457">
        <v>3</v>
      </c>
      <c r="B317" s="462">
        <v>2</v>
      </c>
      <c r="C317" s="464" t="s">
        <v>437</v>
      </c>
      <c r="D317" s="457"/>
      <c r="E317" s="457"/>
      <c r="F317" s="457"/>
      <c r="G317" s="457"/>
      <c r="H317" s="476" t="s">
        <v>667</v>
      </c>
      <c r="I317" s="528">
        <f>I318</f>
        <v>0</v>
      </c>
      <c r="J317" s="458"/>
      <c r="K317" s="676"/>
      <c r="L317" s="676"/>
      <c r="M317" s="445"/>
      <c r="N317" s="445"/>
      <c r="O317" s="445"/>
      <c r="P317" s="445"/>
      <c r="Q317" s="445"/>
      <c r="R317" s="445"/>
      <c r="S317" s="445"/>
      <c r="T317" s="445"/>
      <c r="U317" s="445"/>
      <c r="V317" s="445"/>
      <c r="W317" s="445"/>
      <c r="X317" s="445"/>
      <c r="Y317" s="445"/>
    </row>
    <row r="318" spans="1:25" ht="18">
      <c r="A318" s="463">
        <v>3</v>
      </c>
      <c r="B318" s="464">
        <v>2</v>
      </c>
      <c r="C318" s="464" t="s">
        <v>437</v>
      </c>
      <c r="D318" s="457">
        <v>5</v>
      </c>
      <c r="E318" s="457"/>
      <c r="F318" s="457"/>
      <c r="G318" s="457">
        <v>2</v>
      </c>
      <c r="H318" s="456" t="s">
        <v>8</v>
      </c>
      <c r="I318" s="500"/>
      <c r="J318" s="458"/>
      <c r="K318" s="676"/>
      <c r="L318" s="676"/>
      <c r="M318" s="445"/>
      <c r="N318" s="445"/>
      <c r="O318" s="445"/>
      <c r="P318" s="445"/>
      <c r="Q318" s="445"/>
      <c r="R318" s="445"/>
      <c r="S318" s="445"/>
      <c r="T318" s="445"/>
      <c r="U318" s="445"/>
      <c r="V318" s="445"/>
      <c r="W318" s="445"/>
      <c r="X318" s="445"/>
      <c r="Y318" s="445"/>
    </row>
    <row r="319" spans="1:25" ht="18">
      <c r="A319" s="463">
        <v>3</v>
      </c>
      <c r="B319" s="462">
        <v>3</v>
      </c>
      <c r="C319" s="464"/>
      <c r="D319" s="457"/>
      <c r="E319" s="457"/>
      <c r="F319" s="457"/>
      <c r="G319" s="457"/>
      <c r="H319" s="453" t="s">
        <v>668</v>
      </c>
      <c r="I319" s="500" t="e">
        <f>I320+I322+I324+I326+I328+I330+I332</f>
        <v>#REF!</v>
      </c>
      <c r="J319" s="458"/>
      <c r="K319" s="676"/>
      <c r="L319" s="676"/>
      <c r="M319" s="445"/>
      <c r="N319" s="445"/>
      <c r="O319" s="445"/>
      <c r="P319" s="445"/>
      <c r="Q319" s="445"/>
      <c r="R319" s="445"/>
      <c r="S319" s="445"/>
      <c r="T319" s="445"/>
      <c r="U319" s="445"/>
      <c r="V319" s="445"/>
      <c r="W319" s="445"/>
      <c r="X319" s="445"/>
      <c r="Y319" s="445"/>
    </row>
    <row r="320" spans="1:25" ht="31.5">
      <c r="A320" s="463">
        <v>3</v>
      </c>
      <c r="B320" s="462">
        <v>3</v>
      </c>
      <c r="C320" s="464" t="s">
        <v>593</v>
      </c>
      <c r="D320" s="457"/>
      <c r="E320" s="457"/>
      <c r="F320" s="457"/>
      <c r="G320" s="457"/>
      <c r="H320" s="473" t="s">
        <v>468</v>
      </c>
      <c r="I320" s="477">
        <f>I321</f>
        <v>0</v>
      </c>
      <c r="J320" s="458"/>
      <c r="K320" s="676"/>
      <c r="L320" s="676"/>
      <c r="M320" s="445"/>
      <c r="N320" s="445"/>
      <c r="O320" s="445"/>
      <c r="P320" s="445"/>
      <c r="Q320" s="445"/>
      <c r="R320" s="445"/>
      <c r="S320" s="445"/>
      <c r="T320" s="445"/>
      <c r="U320" s="445"/>
      <c r="V320" s="445"/>
      <c r="W320" s="445"/>
      <c r="X320" s="445"/>
      <c r="Y320" s="445"/>
    </row>
    <row r="321" spans="1:25" ht="18">
      <c r="A321" s="463">
        <v>3</v>
      </c>
      <c r="B321" s="462">
        <v>3</v>
      </c>
      <c r="C321" s="464" t="s">
        <v>593</v>
      </c>
      <c r="D321" s="457">
        <v>5</v>
      </c>
      <c r="E321" s="457"/>
      <c r="F321" s="457"/>
      <c r="G321" s="457">
        <v>2</v>
      </c>
      <c r="H321" s="456" t="s">
        <v>8</v>
      </c>
      <c r="I321" s="500"/>
      <c r="J321" s="458"/>
      <c r="K321" s="676"/>
      <c r="L321" s="676"/>
      <c r="M321" s="445"/>
      <c r="N321" s="445"/>
      <c r="O321" s="445"/>
      <c r="P321" s="445"/>
      <c r="Q321" s="445"/>
      <c r="R321" s="445"/>
      <c r="S321" s="445"/>
      <c r="T321" s="445"/>
      <c r="U321" s="445"/>
      <c r="V321" s="445"/>
      <c r="W321" s="445"/>
      <c r="X321" s="445"/>
      <c r="Y321" s="445"/>
    </row>
    <row r="322" spans="1:25" ht="31.5">
      <c r="A322" s="463">
        <v>3</v>
      </c>
      <c r="B322" s="462">
        <v>3</v>
      </c>
      <c r="C322" s="464" t="s">
        <v>594</v>
      </c>
      <c r="D322" s="457"/>
      <c r="E322" s="457"/>
      <c r="F322" s="457"/>
      <c r="G322" s="457"/>
      <c r="H322" s="473" t="s">
        <v>467</v>
      </c>
      <c r="I322" s="477">
        <f>I323</f>
        <v>0</v>
      </c>
      <c r="J322" s="458"/>
      <c r="K322" s="676"/>
      <c r="L322" s="676"/>
      <c r="M322" s="445"/>
      <c r="N322" s="445"/>
      <c r="O322" s="445"/>
      <c r="P322" s="445"/>
      <c r="Q322" s="445"/>
      <c r="R322" s="445"/>
      <c r="S322" s="445"/>
      <c r="T322" s="445"/>
      <c r="U322" s="445"/>
      <c r="V322" s="445"/>
      <c r="W322" s="445"/>
      <c r="X322" s="445"/>
      <c r="Y322" s="445"/>
    </row>
    <row r="323" spans="1:25" ht="18">
      <c r="A323" s="463">
        <v>3</v>
      </c>
      <c r="B323" s="462">
        <v>3</v>
      </c>
      <c r="C323" s="464" t="s">
        <v>594</v>
      </c>
      <c r="D323" s="457">
        <v>5</v>
      </c>
      <c r="E323" s="457"/>
      <c r="F323" s="457"/>
      <c r="G323" s="457">
        <v>2</v>
      </c>
      <c r="H323" s="456" t="s">
        <v>8</v>
      </c>
      <c r="I323" s="500"/>
      <c r="J323" s="458"/>
      <c r="K323" s="676"/>
      <c r="L323" s="676"/>
      <c r="M323" s="445"/>
      <c r="N323" s="445"/>
      <c r="O323" s="445"/>
      <c r="P323" s="445"/>
      <c r="Q323" s="445"/>
      <c r="R323" s="445"/>
      <c r="S323" s="445"/>
      <c r="T323" s="445"/>
      <c r="U323" s="445"/>
      <c r="V323" s="445"/>
      <c r="W323" s="445"/>
      <c r="X323" s="445"/>
      <c r="Y323" s="445"/>
    </row>
    <row r="324" spans="1:25" ht="18">
      <c r="A324" s="463">
        <v>3</v>
      </c>
      <c r="B324" s="462">
        <v>3</v>
      </c>
      <c r="C324" s="464" t="s">
        <v>595</v>
      </c>
      <c r="D324" s="457"/>
      <c r="E324" s="457"/>
      <c r="F324" s="457"/>
      <c r="G324" s="457"/>
      <c r="H324" s="476" t="s">
        <v>466</v>
      </c>
      <c r="I324" s="528">
        <f>I325</f>
        <v>0</v>
      </c>
      <c r="J324" s="458"/>
      <c r="K324" s="676"/>
      <c r="L324" s="676"/>
      <c r="M324" s="445"/>
      <c r="N324" s="445"/>
      <c r="O324" s="445"/>
      <c r="P324" s="445"/>
      <c r="Q324" s="445"/>
      <c r="R324" s="445"/>
      <c r="S324" s="445"/>
      <c r="T324" s="445"/>
      <c r="U324" s="445"/>
      <c r="V324" s="445"/>
      <c r="W324" s="445"/>
      <c r="X324" s="445"/>
      <c r="Y324" s="445"/>
    </row>
    <row r="325" spans="1:25" ht="18">
      <c r="A325" s="463">
        <v>3</v>
      </c>
      <c r="B325" s="462">
        <v>3</v>
      </c>
      <c r="C325" s="464" t="s">
        <v>595</v>
      </c>
      <c r="D325" s="457">
        <v>5</v>
      </c>
      <c r="E325" s="457"/>
      <c r="F325" s="457"/>
      <c r="G325" s="457">
        <v>2</v>
      </c>
      <c r="H325" s="456" t="s">
        <v>8</v>
      </c>
      <c r="I325" s="500"/>
      <c r="J325" s="458"/>
      <c r="K325" s="676"/>
      <c r="L325" s="676"/>
      <c r="M325" s="445"/>
      <c r="N325" s="445"/>
      <c r="O325" s="445"/>
      <c r="P325" s="445"/>
      <c r="Q325" s="445"/>
      <c r="R325" s="445"/>
      <c r="S325" s="445"/>
      <c r="T325" s="445"/>
      <c r="U325" s="445"/>
      <c r="V325" s="445"/>
      <c r="W325" s="445"/>
      <c r="X325" s="445"/>
      <c r="Y325" s="445"/>
    </row>
    <row r="326" spans="1:25" ht="18">
      <c r="A326" s="463">
        <v>3</v>
      </c>
      <c r="B326" s="462">
        <v>3</v>
      </c>
      <c r="C326" s="464" t="s">
        <v>596</v>
      </c>
      <c r="D326" s="457"/>
      <c r="E326" s="457"/>
      <c r="F326" s="457"/>
      <c r="G326" s="457"/>
      <c r="H326" s="476" t="s">
        <v>669</v>
      </c>
      <c r="I326" s="528">
        <f>I327</f>
        <v>0</v>
      </c>
      <c r="J326" s="458"/>
      <c r="K326" s="676"/>
      <c r="L326" s="676"/>
      <c r="M326" s="445"/>
      <c r="N326" s="445"/>
      <c r="O326" s="445"/>
      <c r="P326" s="445"/>
      <c r="Q326" s="445"/>
      <c r="R326" s="445"/>
      <c r="S326" s="445"/>
      <c r="T326" s="445"/>
      <c r="U326" s="445"/>
      <c r="V326" s="445"/>
      <c r="W326" s="445"/>
      <c r="X326" s="445"/>
      <c r="Y326" s="445"/>
    </row>
    <row r="327" spans="1:25" ht="18">
      <c r="A327" s="463">
        <v>3</v>
      </c>
      <c r="B327" s="462">
        <v>3</v>
      </c>
      <c r="C327" s="464" t="s">
        <v>596</v>
      </c>
      <c r="D327" s="457">
        <v>5</v>
      </c>
      <c r="E327" s="457"/>
      <c r="F327" s="457"/>
      <c r="G327" s="457">
        <v>2</v>
      </c>
      <c r="H327" s="456" t="s">
        <v>8</v>
      </c>
      <c r="I327" s="500"/>
      <c r="J327" s="458"/>
      <c r="K327" s="676"/>
      <c r="L327" s="676"/>
      <c r="M327" s="445"/>
      <c r="N327" s="445"/>
      <c r="O327" s="445"/>
      <c r="P327" s="445"/>
      <c r="Q327" s="445"/>
      <c r="R327" s="445"/>
      <c r="S327" s="445"/>
      <c r="T327" s="445"/>
      <c r="U327" s="445"/>
      <c r="V327" s="445"/>
      <c r="W327" s="445"/>
      <c r="X327" s="445"/>
      <c r="Y327" s="445"/>
    </row>
    <row r="328" spans="1:25" ht="31.5">
      <c r="A328" s="463">
        <v>3</v>
      </c>
      <c r="B328" s="462">
        <v>3</v>
      </c>
      <c r="C328" s="464" t="s">
        <v>597</v>
      </c>
      <c r="D328" s="457"/>
      <c r="E328" s="457"/>
      <c r="F328" s="457"/>
      <c r="G328" s="457"/>
      <c r="H328" s="473" t="s">
        <v>465</v>
      </c>
      <c r="I328" s="477">
        <f>I329</f>
        <v>0</v>
      </c>
      <c r="J328" s="458"/>
      <c r="K328" s="676"/>
      <c r="L328" s="676"/>
      <c r="M328" s="445"/>
      <c r="N328" s="445"/>
      <c r="O328" s="445"/>
      <c r="P328" s="445"/>
      <c r="Q328" s="445"/>
      <c r="R328" s="445"/>
      <c r="S328" s="445"/>
      <c r="T328" s="445"/>
      <c r="U328" s="445"/>
      <c r="V328" s="445"/>
      <c r="W328" s="445"/>
      <c r="X328" s="445"/>
      <c r="Y328" s="445"/>
    </row>
    <row r="329" spans="1:25" ht="18">
      <c r="A329" s="463">
        <v>3</v>
      </c>
      <c r="B329" s="462">
        <v>3</v>
      </c>
      <c r="C329" s="464" t="s">
        <v>597</v>
      </c>
      <c r="D329" s="457">
        <v>5</v>
      </c>
      <c r="E329" s="457"/>
      <c r="F329" s="457"/>
      <c r="G329" s="457">
        <v>3</v>
      </c>
      <c r="H329" s="456" t="s">
        <v>9</v>
      </c>
      <c r="I329" s="500"/>
      <c r="J329" s="458"/>
      <c r="K329" s="676"/>
      <c r="L329" s="676"/>
      <c r="M329" s="445"/>
      <c r="N329" s="445"/>
      <c r="O329" s="445"/>
      <c r="P329" s="445"/>
      <c r="Q329" s="445"/>
      <c r="R329" s="445"/>
      <c r="S329" s="445"/>
      <c r="T329" s="445"/>
      <c r="U329" s="445"/>
      <c r="V329" s="445"/>
      <c r="W329" s="445"/>
      <c r="X329" s="445"/>
      <c r="Y329" s="445"/>
    </row>
    <row r="330" spans="1:25" ht="18">
      <c r="A330" s="463">
        <v>3</v>
      </c>
      <c r="B330" s="462">
        <v>3</v>
      </c>
      <c r="C330" s="464" t="s">
        <v>598</v>
      </c>
      <c r="D330" s="457"/>
      <c r="E330" s="457"/>
      <c r="F330" s="457"/>
      <c r="G330" s="457"/>
      <c r="H330" s="476" t="s">
        <v>464</v>
      </c>
      <c r="I330" s="528" t="e">
        <f>I331</f>
        <v>#REF!</v>
      </c>
      <c r="J330" s="458"/>
      <c r="K330" s="676"/>
      <c r="L330" s="676"/>
      <c r="M330" s="445"/>
      <c r="N330" s="445"/>
      <c r="O330" s="445"/>
      <c r="P330" s="445"/>
      <c r="Q330" s="445"/>
      <c r="R330" s="445"/>
      <c r="S330" s="445"/>
      <c r="T330" s="445"/>
      <c r="U330" s="445"/>
      <c r="V330" s="445"/>
      <c r="W330" s="445"/>
      <c r="X330" s="445"/>
      <c r="Y330" s="445"/>
    </row>
    <row r="331" spans="1:25" ht="18">
      <c r="A331" s="463">
        <v>3</v>
      </c>
      <c r="B331" s="462">
        <v>3</v>
      </c>
      <c r="C331" s="464" t="s">
        <v>598</v>
      </c>
      <c r="D331" s="457">
        <v>5</v>
      </c>
      <c r="E331" s="457"/>
      <c r="F331" s="457"/>
      <c r="G331" s="457">
        <v>2</v>
      </c>
      <c r="H331" s="456" t="s">
        <v>8</v>
      </c>
      <c r="I331" s="500" t="e">
        <f>#REF!</f>
        <v>#REF!</v>
      </c>
      <c r="J331" s="458"/>
      <c r="K331" s="676"/>
      <c r="L331" s="676"/>
      <c r="M331" s="445"/>
      <c r="N331" s="445"/>
      <c r="O331" s="445"/>
      <c r="P331" s="445"/>
      <c r="Q331" s="445"/>
      <c r="R331" s="445"/>
      <c r="S331" s="445"/>
      <c r="T331" s="445"/>
      <c r="U331" s="445"/>
      <c r="V331" s="445"/>
      <c r="W331" s="445"/>
      <c r="X331" s="445"/>
      <c r="Y331" s="445"/>
    </row>
    <row r="332" spans="1:25" ht="18">
      <c r="A332" s="463">
        <v>3</v>
      </c>
      <c r="B332" s="462">
        <v>3</v>
      </c>
      <c r="C332" s="464" t="s">
        <v>437</v>
      </c>
      <c r="D332" s="457"/>
      <c r="E332" s="457"/>
      <c r="F332" s="457"/>
      <c r="G332" s="457"/>
      <c r="H332" s="465" t="s">
        <v>670</v>
      </c>
      <c r="I332" s="528">
        <f>I333</f>
        <v>0</v>
      </c>
      <c r="J332" s="458"/>
      <c r="K332" s="676"/>
      <c r="L332" s="676"/>
      <c r="M332" s="445"/>
      <c r="N332" s="445"/>
      <c r="O332" s="445"/>
      <c r="P332" s="445"/>
      <c r="Q332" s="445"/>
      <c r="R332" s="445"/>
      <c r="S332" s="445"/>
      <c r="T332" s="445"/>
      <c r="U332" s="445"/>
      <c r="V332" s="445"/>
      <c r="W332" s="445"/>
      <c r="X332" s="445"/>
      <c r="Y332" s="445"/>
    </row>
    <row r="333" spans="1:25" ht="18">
      <c r="A333" s="463">
        <v>3</v>
      </c>
      <c r="B333" s="462">
        <v>3</v>
      </c>
      <c r="C333" s="464" t="s">
        <v>437</v>
      </c>
      <c r="D333" s="457">
        <v>5</v>
      </c>
      <c r="E333" s="457"/>
      <c r="F333" s="457"/>
      <c r="G333" s="457">
        <v>2</v>
      </c>
      <c r="H333" s="456" t="s">
        <v>8</v>
      </c>
      <c r="I333" s="500"/>
      <c r="J333" s="458"/>
      <c r="K333" s="676"/>
      <c r="L333" s="676"/>
      <c r="M333" s="445"/>
      <c r="N333" s="445"/>
      <c r="O333" s="445"/>
      <c r="P333" s="445"/>
      <c r="Q333" s="445"/>
      <c r="R333" s="445"/>
      <c r="S333" s="445"/>
      <c r="T333" s="445"/>
      <c r="U333" s="445"/>
      <c r="V333" s="445"/>
      <c r="W333" s="445"/>
      <c r="X333" s="445"/>
      <c r="Y333" s="445"/>
    </row>
    <row r="334" spans="1:25" ht="18">
      <c r="A334" s="463">
        <v>3</v>
      </c>
      <c r="B334" s="462">
        <v>4</v>
      </c>
      <c r="C334" s="464"/>
      <c r="D334" s="457"/>
      <c r="E334" s="457"/>
      <c r="F334" s="457"/>
      <c r="G334" s="457"/>
      <c r="H334" s="498" t="s">
        <v>671</v>
      </c>
      <c r="I334" s="525" t="e">
        <f>I335+I337+I339+I341+I343</f>
        <v>#REF!</v>
      </c>
      <c r="J334" s="458"/>
      <c r="K334" s="676"/>
      <c r="L334" s="676"/>
      <c r="M334" s="445"/>
      <c r="N334" s="445"/>
      <c r="O334" s="445"/>
      <c r="P334" s="445"/>
      <c r="Q334" s="445"/>
      <c r="R334" s="445"/>
      <c r="S334" s="445"/>
      <c r="T334" s="445"/>
      <c r="U334" s="445"/>
      <c r="V334" s="445"/>
      <c r="W334" s="445"/>
      <c r="X334" s="445"/>
      <c r="Y334" s="445"/>
    </row>
    <row r="335" spans="1:25" ht="18">
      <c r="A335" s="463">
        <v>3</v>
      </c>
      <c r="B335" s="462">
        <v>4</v>
      </c>
      <c r="C335" s="464" t="s">
        <v>593</v>
      </c>
      <c r="D335" s="457"/>
      <c r="E335" s="457"/>
      <c r="F335" s="457"/>
      <c r="G335" s="457"/>
      <c r="H335" s="465" t="s">
        <v>463</v>
      </c>
      <c r="I335" s="525" t="e">
        <f>I336</f>
        <v>#REF!</v>
      </c>
      <c r="J335" s="458"/>
      <c r="K335" s="676"/>
      <c r="L335" s="676"/>
      <c r="M335" s="445"/>
      <c r="N335" s="445"/>
      <c r="O335" s="445"/>
      <c r="P335" s="445"/>
      <c r="Q335" s="445"/>
      <c r="R335" s="445"/>
      <c r="S335" s="445"/>
      <c r="T335" s="445"/>
      <c r="U335" s="445"/>
      <c r="V335" s="445"/>
      <c r="W335" s="445"/>
      <c r="X335" s="445"/>
      <c r="Y335" s="445"/>
    </row>
    <row r="336" spans="1:25" ht="18">
      <c r="A336" s="463">
        <v>3</v>
      </c>
      <c r="B336" s="462">
        <v>4</v>
      </c>
      <c r="C336" s="464" t="s">
        <v>593</v>
      </c>
      <c r="D336" s="457">
        <v>5</v>
      </c>
      <c r="E336" s="457"/>
      <c r="F336" s="457"/>
      <c r="G336" s="457">
        <v>2</v>
      </c>
      <c r="H336" s="456" t="s">
        <v>8</v>
      </c>
      <c r="I336" s="500" t="e">
        <f>#REF!</f>
        <v>#REF!</v>
      </c>
      <c r="J336" s="458"/>
      <c r="K336" s="676"/>
      <c r="L336" s="676"/>
      <c r="M336" s="445"/>
      <c r="N336" s="445"/>
      <c r="O336" s="445"/>
      <c r="P336" s="445"/>
      <c r="Q336" s="445"/>
      <c r="R336" s="445"/>
      <c r="S336" s="445"/>
      <c r="T336" s="445"/>
      <c r="U336" s="445"/>
      <c r="V336" s="445"/>
      <c r="W336" s="445"/>
      <c r="X336" s="445"/>
      <c r="Y336" s="445"/>
    </row>
    <row r="337" spans="1:25" ht="18">
      <c r="A337" s="463">
        <v>3</v>
      </c>
      <c r="B337" s="462">
        <v>4</v>
      </c>
      <c r="C337" s="464" t="s">
        <v>594</v>
      </c>
      <c r="D337" s="457"/>
      <c r="E337" s="457"/>
      <c r="F337" s="457"/>
      <c r="G337" s="457"/>
      <c r="H337" s="465" t="s">
        <v>462</v>
      </c>
      <c r="I337" s="525" t="e">
        <f>I338</f>
        <v>#REF!</v>
      </c>
      <c r="J337" s="458"/>
      <c r="K337" s="676"/>
      <c r="L337" s="676"/>
      <c r="M337" s="445"/>
      <c r="N337" s="445"/>
      <c r="O337" s="445"/>
      <c r="P337" s="445"/>
      <c r="Q337" s="445"/>
      <c r="R337" s="445"/>
      <c r="S337" s="445"/>
      <c r="T337" s="445"/>
      <c r="U337" s="445"/>
      <c r="V337" s="445"/>
      <c r="W337" s="445"/>
      <c r="X337" s="445"/>
      <c r="Y337" s="445"/>
    </row>
    <row r="338" spans="1:25" ht="18">
      <c r="A338" s="463">
        <v>3</v>
      </c>
      <c r="B338" s="462">
        <v>4</v>
      </c>
      <c r="C338" s="464" t="s">
        <v>594</v>
      </c>
      <c r="D338" s="457">
        <v>5</v>
      </c>
      <c r="E338" s="457"/>
      <c r="F338" s="457"/>
      <c r="G338" s="457">
        <v>2</v>
      </c>
      <c r="H338" s="456" t="s">
        <v>8</v>
      </c>
      <c r="I338" s="500" t="e">
        <f>#REF!</f>
        <v>#REF!</v>
      </c>
      <c r="J338" s="458"/>
      <c r="K338" s="676"/>
      <c r="L338" s="676"/>
      <c r="M338" s="445"/>
      <c r="N338" s="445"/>
      <c r="O338" s="445"/>
      <c r="P338" s="445"/>
      <c r="Q338" s="445"/>
      <c r="R338" s="445"/>
      <c r="S338" s="445"/>
      <c r="T338" s="445"/>
      <c r="U338" s="445"/>
      <c r="V338" s="445"/>
      <c r="W338" s="445"/>
      <c r="X338" s="445"/>
      <c r="Y338" s="445"/>
    </row>
    <row r="339" spans="1:25" ht="18">
      <c r="A339" s="463">
        <v>3</v>
      </c>
      <c r="B339" s="462">
        <v>4</v>
      </c>
      <c r="C339" s="464" t="s">
        <v>595</v>
      </c>
      <c r="D339" s="457"/>
      <c r="E339" s="457"/>
      <c r="F339" s="457"/>
      <c r="G339" s="457"/>
      <c r="H339" s="465" t="s">
        <v>461</v>
      </c>
      <c r="I339" s="525" t="e">
        <f>I340</f>
        <v>#REF!</v>
      </c>
      <c r="J339" s="458"/>
      <c r="K339" s="676"/>
      <c r="L339" s="676"/>
      <c r="M339" s="445"/>
      <c r="N339" s="445"/>
      <c r="O339" s="445"/>
      <c r="P339" s="445"/>
      <c r="Q339" s="445"/>
      <c r="R339" s="445"/>
      <c r="S339" s="445"/>
      <c r="T339" s="445"/>
      <c r="U339" s="445"/>
      <c r="V339" s="445"/>
      <c r="W339" s="445"/>
      <c r="X339" s="445"/>
      <c r="Y339" s="445"/>
    </row>
    <row r="340" spans="1:25" ht="18">
      <c r="A340" s="463">
        <v>3</v>
      </c>
      <c r="B340" s="462">
        <v>4</v>
      </c>
      <c r="C340" s="464" t="s">
        <v>595</v>
      </c>
      <c r="D340" s="457">
        <v>5</v>
      </c>
      <c r="E340" s="457"/>
      <c r="F340" s="457"/>
      <c r="G340" s="457">
        <v>2</v>
      </c>
      <c r="H340" s="456" t="s">
        <v>8</v>
      </c>
      <c r="I340" s="500" t="e">
        <f>#REF!</f>
        <v>#REF!</v>
      </c>
      <c r="J340" s="458"/>
      <c r="K340" s="676"/>
      <c r="L340" s="676"/>
      <c r="M340" s="445"/>
      <c r="N340" s="445"/>
      <c r="O340" s="445"/>
      <c r="P340" s="445"/>
      <c r="Q340" s="445"/>
      <c r="R340" s="445"/>
      <c r="S340" s="445"/>
      <c r="T340" s="445"/>
      <c r="U340" s="445"/>
      <c r="V340" s="445"/>
      <c r="W340" s="445"/>
      <c r="X340" s="445"/>
      <c r="Y340" s="445"/>
    </row>
    <row r="341" spans="1:25" ht="18">
      <c r="A341" s="463">
        <v>3</v>
      </c>
      <c r="B341" s="462">
        <v>4</v>
      </c>
      <c r="C341" s="464" t="s">
        <v>596</v>
      </c>
      <c r="D341" s="457"/>
      <c r="E341" s="457"/>
      <c r="F341" s="457"/>
      <c r="G341" s="457"/>
      <c r="H341" s="465" t="s">
        <v>460</v>
      </c>
      <c r="I341" s="525" t="e">
        <f>I342</f>
        <v>#REF!</v>
      </c>
      <c r="J341" s="458"/>
      <c r="K341" s="676"/>
      <c r="L341" s="676"/>
      <c r="M341" s="445"/>
      <c r="N341" s="445"/>
      <c r="O341" s="445"/>
      <c r="P341" s="445"/>
      <c r="Q341" s="445"/>
      <c r="R341" s="445"/>
      <c r="S341" s="445"/>
      <c r="T341" s="445"/>
      <c r="U341" s="445"/>
      <c r="V341" s="445"/>
      <c r="W341" s="445"/>
      <c r="X341" s="445"/>
      <c r="Y341" s="445"/>
    </row>
    <row r="342" spans="1:25" ht="18">
      <c r="A342" s="463">
        <v>3</v>
      </c>
      <c r="B342" s="462">
        <v>4</v>
      </c>
      <c r="C342" s="464" t="s">
        <v>596</v>
      </c>
      <c r="D342" s="457">
        <v>5</v>
      </c>
      <c r="E342" s="457"/>
      <c r="F342" s="457"/>
      <c r="G342" s="457">
        <v>2</v>
      </c>
      <c r="H342" s="456" t="s">
        <v>8</v>
      </c>
      <c r="I342" s="500" t="e">
        <f>#REF!</f>
        <v>#REF!</v>
      </c>
      <c r="J342" s="458"/>
      <c r="K342" s="676"/>
      <c r="L342" s="676"/>
      <c r="M342" s="445"/>
      <c r="N342" s="445"/>
      <c r="O342" s="445"/>
      <c r="P342" s="445"/>
      <c r="Q342" s="445"/>
      <c r="R342" s="445"/>
      <c r="S342" s="445"/>
      <c r="T342" s="445"/>
      <c r="U342" s="445"/>
      <c r="V342" s="445"/>
      <c r="W342" s="445"/>
      <c r="X342" s="445"/>
      <c r="Y342" s="445"/>
    </row>
    <row r="343" spans="1:25" ht="18">
      <c r="A343" s="463">
        <v>3</v>
      </c>
      <c r="B343" s="462">
        <v>4</v>
      </c>
      <c r="C343" s="464" t="s">
        <v>437</v>
      </c>
      <c r="D343" s="457"/>
      <c r="E343" s="457"/>
      <c r="F343" s="457"/>
      <c r="G343" s="457"/>
      <c r="H343" s="465" t="s">
        <v>459</v>
      </c>
      <c r="I343" s="525" t="e">
        <f>I344</f>
        <v>#REF!</v>
      </c>
      <c r="J343" s="458"/>
      <c r="K343" s="676"/>
      <c r="L343" s="676"/>
      <c r="M343" s="445"/>
      <c r="N343" s="445"/>
      <c r="O343" s="445"/>
      <c r="P343" s="445"/>
      <c r="Q343" s="445"/>
      <c r="R343" s="445"/>
      <c r="S343" s="445"/>
      <c r="T343" s="445"/>
      <c r="U343" s="445"/>
      <c r="V343" s="445"/>
      <c r="W343" s="445"/>
      <c r="X343" s="445"/>
      <c r="Y343" s="445"/>
    </row>
    <row r="344" spans="1:25" ht="18">
      <c r="A344" s="463">
        <v>3</v>
      </c>
      <c r="B344" s="462">
        <v>4</v>
      </c>
      <c r="C344" s="464" t="s">
        <v>437</v>
      </c>
      <c r="D344" s="457">
        <v>5</v>
      </c>
      <c r="E344" s="457"/>
      <c r="F344" s="457"/>
      <c r="G344" s="457">
        <v>2</v>
      </c>
      <c r="H344" s="456" t="s">
        <v>8</v>
      </c>
      <c r="I344" s="500" t="e">
        <f>#REF!</f>
        <v>#REF!</v>
      </c>
      <c r="J344" s="458"/>
      <c r="K344" s="676"/>
      <c r="L344" s="676"/>
      <c r="M344" s="445"/>
      <c r="N344" s="445"/>
      <c r="O344" s="445"/>
      <c r="P344" s="445"/>
      <c r="Q344" s="445"/>
      <c r="R344" s="445"/>
      <c r="S344" s="445"/>
      <c r="T344" s="445"/>
      <c r="U344" s="445"/>
      <c r="V344" s="445"/>
      <c r="W344" s="445"/>
      <c r="X344" s="445"/>
      <c r="Y344" s="445"/>
    </row>
    <row r="345" spans="1:25" ht="18">
      <c r="A345" s="452">
        <v>4</v>
      </c>
      <c r="B345" s="459"/>
      <c r="C345" s="459"/>
      <c r="D345" s="452"/>
      <c r="E345" s="452"/>
      <c r="F345" s="452"/>
      <c r="G345" s="452"/>
      <c r="H345" s="453" t="s">
        <v>672</v>
      </c>
      <c r="I345" s="524" t="e">
        <f>I346+I362+I377+I386+I395+I404+I411</f>
        <v>#REF!</v>
      </c>
      <c r="J345" s="454"/>
      <c r="K345" s="675"/>
      <c r="L345" s="675"/>
      <c r="M345" s="455"/>
      <c r="N345" s="455"/>
      <c r="O345" s="455"/>
      <c r="P345" s="455"/>
      <c r="Q345" s="455"/>
      <c r="R345" s="455"/>
      <c r="S345" s="455"/>
      <c r="T345" s="455"/>
      <c r="U345" s="455"/>
      <c r="V345" s="455"/>
      <c r="W345" s="455"/>
      <c r="X345" s="455"/>
      <c r="Y345" s="455"/>
    </row>
    <row r="346" spans="1:25" ht="18">
      <c r="A346" s="452">
        <v>4</v>
      </c>
      <c r="B346" s="459">
        <v>1</v>
      </c>
      <c r="C346" s="459"/>
      <c r="D346" s="452"/>
      <c r="E346" s="452"/>
      <c r="F346" s="452"/>
      <c r="G346" s="452"/>
      <c r="H346" s="453" t="s">
        <v>673</v>
      </c>
      <c r="I346" s="524">
        <f>I347+I350+I352+I354+I356+I358+I360</f>
        <v>0</v>
      </c>
      <c r="J346" s="454"/>
      <c r="K346" s="675"/>
      <c r="L346" s="675"/>
      <c r="M346" s="455"/>
      <c r="N346" s="455"/>
      <c r="O346" s="455"/>
      <c r="P346" s="455"/>
      <c r="Q346" s="455"/>
      <c r="R346" s="455"/>
      <c r="S346" s="455"/>
      <c r="T346" s="455"/>
      <c r="U346" s="455"/>
      <c r="V346" s="455"/>
      <c r="W346" s="455"/>
      <c r="X346" s="455"/>
      <c r="Y346" s="455"/>
    </row>
    <row r="347" spans="1:25" ht="18">
      <c r="A347" s="463">
        <v>4</v>
      </c>
      <c r="B347" s="464">
        <v>1</v>
      </c>
      <c r="C347" s="464" t="s">
        <v>593</v>
      </c>
      <c r="D347" s="457"/>
      <c r="E347" s="457"/>
      <c r="F347" s="457"/>
      <c r="G347" s="457"/>
      <c r="H347" s="499" t="s">
        <v>458</v>
      </c>
      <c r="I347" s="525">
        <f>I348</f>
        <v>0</v>
      </c>
      <c r="J347" s="458"/>
      <c r="K347" s="676"/>
      <c r="L347" s="676"/>
      <c r="M347" s="445"/>
      <c r="N347" s="445"/>
      <c r="O347" s="445"/>
      <c r="P347" s="445"/>
      <c r="Q347" s="445"/>
      <c r="R347" s="445"/>
      <c r="S347" s="445"/>
      <c r="T347" s="445"/>
      <c r="U347" s="445"/>
      <c r="V347" s="445"/>
      <c r="W347" s="445"/>
      <c r="X347" s="445"/>
      <c r="Y347" s="445"/>
    </row>
    <row r="348" spans="1:25" ht="18">
      <c r="A348" s="463">
        <v>4</v>
      </c>
      <c r="B348" s="464">
        <v>1</v>
      </c>
      <c r="C348" s="464" t="s">
        <v>593</v>
      </c>
      <c r="D348" s="457">
        <v>5</v>
      </c>
      <c r="E348" s="457"/>
      <c r="F348" s="457"/>
      <c r="G348" s="457">
        <v>2</v>
      </c>
      <c r="H348" s="456" t="s">
        <v>8</v>
      </c>
      <c r="I348" s="500"/>
      <c r="J348" s="458"/>
      <c r="K348" s="676"/>
      <c r="L348" s="676"/>
      <c r="M348" s="445"/>
      <c r="N348" s="445"/>
      <c r="O348" s="445"/>
      <c r="P348" s="445"/>
      <c r="Q348" s="445"/>
      <c r="R348" s="445"/>
      <c r="S348" s="445"/>
      <c r="T348" s="445"/>
      <c r="U348" s="445"/>
      <c r="V348" s="445"/>
      <c r="W348" s="445"/>
      <c r="X348" s="445"/>
      <c r="Y348" s="445"/>
    </row>
    <row r="349" spans="1:25" ht="18">
      <c r="A349" s="463">
        <v>4</v>
      </c>
      <c r="B349" s="464">
        <v>1</v>
      </c>
      <c r="C349" s="464" t="s">
        <v>593</v>
      </c>
      <c r="D349" s="457">
        <v>5</v>
      </c>
      <c r="E349" s="457"/>
      <c r="F349" s="457"/>
      <c r="G349" s="457">
        <v>3</v>
      </c>
      <c r="H349" s="456" t="s">
        <v>9</v>
      </c>
      <c r="I349" s="500"/>
      <c r="J349" s="458"/>
      <c r="K349" s="676"/>
      <c r="L349" s="676"/>
      <c r="M349" s="445"/>
      <c r="N349" s="445"/>
      <c r="O349" s="445"/>
      <c r="P349" s="445"/>
      <c r="Q349" s="445"/>
      <c r="R349" s="445"/>
      <c r="S349" s="445"/>
      <c r="T349" s="445"/>
      <c r="U349" s="445"/>
      <c r="V349" s="445"/>
      <c r="W349" s="445"/>
      <c r="X349" s="445"/>
      <c r="Y349" s="445"/>
    </row>
    <row r="350" spans="1:25" ht="18">
      <c r="A350" s="463">
        <v>4</v>
      </c>
      <c r="B350" s="464">
        <v>1</v>
      </c>
      <c r="C350" s="464" t="s">
        <v>594</v>
      </c>
      <c r="D350" s="457"/>
      <c r="E350" s="457"/>
      <c r="F350" s="457"/>
      <c r="G350" s="457"/>
      <c r="H350" s="499" t="s">
        <v>457</v>
      </c>
      <c r="I350" s="525">
        <f>I351</f>
        <v>0</v>
      </c>
      <c r="J350" s="458"/>
      <c r="K350" s="676"/>
      <c r="L350" s="676"/>
      <c r="M350" s="445"/>
      <c r="N350" s="445"/>
      <c r="O350" s="445"/>
      <c r="P350" s="445"/>
      <c r="Q350" s="445"/>
      <c r="R350" s="445"/>
      <c r="S350" s="445"/>
      <c r="T350" s="445"/>
      <c r="U350" s="445"/>
      <c r="V350" s="445"/>
      <c r="W350" s="445"/>
      <c r="X350" s="445"/>
      <c r="Y350" s="445"/>
    </row>
    <row r="351" spans="1:25" ht="18">
      <c r="A351" s="463">
        <v>4</v>
      </c>
      <c r="B351" s="464">
        <v>1</v>
      </c>
      <c r="C351" s="464" t="s">
        <v>594</v>
      </c>
      <c r="D351" s="457">
        <v>5</v>
      </c>
      <c r="E351" s="457"/>
      <c r="F351" s="457"/>
      <c r="G351" s="457">
        <v>2</v>
      </c>
      <c r="H351" s="456" t="s">
        <v>8</v>
      </c>
      <c r="I351" s="500"/>
      <c r="J351" s="458"/>
      <c r="K351" s="676"/>
      <c r="L351" s="676"/>
      <c r="M351" s="445"/>
      <c r="N351" s="445"/>
      <c r="O351" s="445"/>
      <c r="P351" s="445"/>
      <c r="Q351" s="445"/>
      <c r="R351" s="445"/>
      <c r="S351" s="445"/>
      <c r="T351" s="445"/>
      <c r="U351" s="445"/>
      <c r="V351" s="445"/>
      <c r="W351" s="445"/>
      <c r="X351" s="445"/>
      <c r="Y351" s="445"/>
    </row>
    <row r="352" spans="1:25" ht="31.5">
      <c r="A352" s="463">
        <v>4</v>
      </c>
      <c r="B352" s="464">
        <v>1</v>
      </c>
      <c r="C352" s="464" t="s">
        <v>595</v>
      </c>
      <c r="D352" s="457"/>
      <c r="E352" s="457"/>
      <c r="F352" s="457"/>
      <c r="G352" s="457"/>
      <c r="H352" s="499" t="s">
        <v>674</v>
      </c>
      <c r="I352" s="525">
        <f>I353</f>
        <v>0</v>
      </c>
      <c r="J352" s="458"/>
      <c r="K352" s="676"/>
      <c r="L352" s="676"/>
      <c r="M352" s="445"/>
      <c r="N352" s="445"/>
      <c r="O352" s="445"/>
      <c r="P352" s="445"/>
      <c r="Q352" s="445"/>
      <c r="R352" s="445"/>
      <c r="S352" s="445"/>
      <c r="T352" s="445"/>
      <c r="U352" s="445"/>
      <c r="V352" s="445"/>
      <c r="W352" s="445"/>
      <c r="X352" s="445"/>
      <c r="Y352" s="445"/>
    </row>
    <row r="353" spans="1:25" ht="18">
      <c r="A353" s="463">
        <v>4</v>
      </c>
      <c r="B353" s="464">
        <v>1</v>
      </c>
      <c r="C353" s="464" t="s">
        <v>595</v>
      </c>
      <c r="D353" s="457">
        <v>5</v>
      </c>
      <c r="E353" s="457"/>
      <c r="F353" s="457"/>
      <c r="G353" s="457">
        <v>3</v>
      </c>
      <c r="H353" s="456" t="s">
        <v>9</v>
      </c>
      <c r="I353" s="500"/>
      <c r="J353" s="458"/>
      <c r="K353" s="676"/>
      <c r="L353" s="676"/>
      <c r="M353" s="445"/>
      <c r="N353" s="445"/>
      <c r="O353" s="445"/>
      <c r="P353" s="445"/>
      <c r="Q353" s="445"/>
      <c r="R353" s="445"/>
      <c r="S353" s="445"/>
      <c r="T353" s="445"/>
      <c r="U353" s="445"/>
      <c r="V353" s="445"/>
      <c r="W353" s="445"/>
      <c r="X353" s="445"/>
      <c r="Y353" s="445"/>
    </row>
    <row r="354" spans="1:25" ht="31.5">
      <c r="A354" s="463">
        <v>4</v>
      </c>
      <c r="B354" s="464">
        <v>1</v>
      </c>
      <c r="C354" s="464" t="s">
        <v>596</v>
      </c>
      <c r="D354" s="457"/>
      <c r="E354" s="457"/>
      <c r="F354" s="457"/>
      <c r="G354" s="457"/>
      <c r="H354" s="499" t="s">
        <v>675</v>
      </c>
      <c r="I354" s="525">
        <f>I355</f>
        <v>0</v>
      </c>
      <c r="J354" s="458"/>
      <c r="K354" s="676"/>
      <c r="L354" s="676"/>
      <c r="M354" s="445"/>
      <c r="N354" s="445"/>
      <c r="O354" s="445"/>
      <c r="P354" s="445"/>
      <c r="Q354" s="445"/>
      <c r="R354" s="445"/>
      <c r="S354" s="445"/>
      <c r="T354" s="445"/>
      <c r="U354" s="445"/>
      <c r="V354" s="445"/>
      <c r="W354" s="445"/>
      <c r="X354" s="445"/>
      <c r="Y354" s="445"/>
    </row>
    <row r="355" spans="1:25" ht="18">
      <c r="A355" s="463">
        <v>4</v>
      </c>
      <c r="B355" s="464">
        <v>1</v>
      </c>
      <c r="C355" s="464" t="s">
        <v>596</v>
      </c>
      <c r="D355" s="457">
        <v>5</v>
      </c>
      <c r="E355" s="457"/>
      <c r="F355" s="457"/>
      <c r="G355" s="457">
        <v>3</v>
      </c>
      <c r="H355" s="456" t="s">
        <v>9</v>
      </c>
      <c r="I355" s="500"/>
      <c r="J355" s="458"/>
      <c r="K355" s="676"/>
      <c r="L355" s="676"/>
      <c r="M355" s="445"/>
      <c r="N355" s="445"/>
      <c r="O355" s="445"/>
      <c r="P355" s="445"/>
      <c r="Q355" s="445"/>
      <c r="R355" s="445"/>
      <c r="S355" s="445"/>
      <c r="T355" s="445"/>
      <c r="U355" s="445"/>
      <c r="V355" s="445"/>
      <c r="W355" s="445"/>
      <c r="X355" s="445"/>
      <c r="Y355" s="445"/>
    </row>
    <row r="356" spans="1:25" ht="18">
      <c r="A356" s="463">
        <v>4</v>
      </c>
      <c r="B356" s="464">
        <v>1</v>
      </c>
      <c r="C356" s="464" t="s">
        <v>597</v>
      </c>
      <c r="D356" s="457"/>
      <c r="E356" s="457"/>
      <c r="F356" s="457"/>
      <c r="G356" s="457"/>
      <c r="H356" s="499" t="s">
        <v>456</v>
      </c>
      <c r="I356" s="525">
        <f>I357</f>
        <v>0</v>
      </c>
      <c r="J356" s="458"/>
      <c r="K356" s="676"/>
      <c r="L356" s="676"/>
      <c r="M356" s="445"/>
      <c r="N356" s="445"/>
      <c r="O356" s="445"/>
      <c r="P356" s="445"/>
      <c r="Q356" s="445"/>
      <c r="R356" s="445"/>
      <c r="S356" s="445"/>
      <c r="T356" s="445"/>
      <c r="U356" s="445"/>
      <c r="V356" s="445"/>
      <c r="W356" s="445"/>
      <c r="X356" s="445"/>
      <c r="Y356" s="445"/>
    </row>
    <row r="357" spans="1:25" ht="18">
      <c r="A357" s="463">
        <v>4</v>
      </c>
      <c r="B357" s="464">
        <v>1</v>
      </c>
      <c r="C357" s="464" t="s">
        <v>597</v>
      </c>
      <c r="D357" s="457">
        <v>5</v>
      </c>
      <c r="E357" s="457"/>
      <c r="F357" s="457"/>
      <c r="G357" s="457">
        <v>2</v>
      </c>
      <c r="H357" s="456" t="s">
        <v>8</v>
      </c>
      <c r="I357" s="500"/>
      <c r="J357" s="458"/>
      <c r="K357" s="676"/>
      <c r="L357" s="676"/>
      <c r="M357" s="445"/>
      <c r="N357" s="445"/>
      <c r="O357" s="445"/>
      <c r="P357" s="445"/>
      <c r="Q357" s="445"/>
      <c r="R357" s="445"/>
      <c r="S357" s="445"/>
      <c r="T357" s="445"/>
      <c r="U357" s="445"/>
      <c r="V357" s="445"/>
      <c r="W357" s="445"/>
      <c r="X357" s="445"/>
      <c r="Y357" s="445"/>
    </row>
    <row r="358" spans="1:25" ht="31.5">
      <c r="A358" s="463">
        <v>4</v>
      </c>
      <c r="B358" s="464">
        <v>1</v>
      </c>
      <c r="C358" s="464" t="s">
        <v>598</v>
      </c>
      <c r="D358" s="457"/>
      <c r="E358" s="457"/>
      <c r="F358" s="457"/>
      <c r="G358" s="457"/>
      <c r="H358" s="499" t="s">
        <v>455</v>
      </c>
      <c r="I358" s="525">
        <f>I359</f>
        <v>0</v>
      </c>
      <c r="J358" s="458"/>
      <c r="K358" s="676"/>
      <c r="L358" s="676"/>
      <c r="M358" s="445"/>
      <c r="N358" s="445"/>
      <c r="O358" s="445"/>
      <c r="P358" s="445"/>
      <c r="Q358" s="445"/>
      <c r="R358" s="445"/>
      <c r="S358" s="445"/>
      <c r="T358" s="445"/>
      <c r="U358" s="445"/>
      <c r="V358" s="445"/>
      <c r="W358" s="445"/>
      <c r="X358" s="445"/>
      <c r="Y358" s="445"/>
    </row>
    <row r="359" spans="1:25" ht="18">
      <c r="A359" s="463">
        <v>4</v>
      </c>
      <c r="B359" s="464">
        <v>1</v>
      </c>
      <c r="C359" s="464" t="s">
        <v>598</v>
      </c>
      <c r="D359" s="457">
        <v>5</v>
      </c>
      <c r="E359" s="457"/>
      <c r="F359" s="457"/>
      <c r="G359" s="457">
        <v>2</v>
      </c>
      <c r="H359" s="456" t="s">
        <v>8</v>
      </c>
      <c r="I359" s="500"/>
      <c r="J359" s="458"/>
      <c r="K359" s="676"/>
      <c r="L359" s="676"/>
      <c r="M359" s="445"/>
      <c r="N359" s="445"/>
      <c r="O359" s="445"/>
      <c r="P359" s="445"/>
      <c r="Q359" s="445"/>
      <c r="R359" s="445"/>
      <c r="S359" s="445"/>
      <c r="T359" s="445"/>
      <c r="U359" s="445"/>
      <c r="V359" s="445"/>
      <c r="W359" s="445"/>
      <c r="X359" s="445"/>
      <c r="Y359" s="445"/>
    </row>
    <row r="360" spans="1:25" ht="18">
      <c r="A360" s="463">
        <v>4</v>
      </c>
      <c r="B360" s="464">
        <v>1</v>
      </c>
      <c r="C360" s="464" t="s">
        <v>437</v>
      </c>
      <c r="D360" s="457"/>
      <c r="E360" s="457"/>
      <c r="F360" s="457"/>
      <c r="G360" s="457"/>
      <c r="H360" s="499" t="s">
        <v>676</v>
      </c>
      <c r="I360" s="525">
        <f>I361</f>
        <v>0</v>
      </c>
      <c r="J360" s="458"/>
      <c r="K360" s="676"/>
      <c r="L360" s="676"/>
      <c r="M360" s="445"/>
      <c r="N360" s="445"/>
      <c r="O360" s="445"/>
      <c r="P360" s="445"/>
      <c r="Q360" s="445"/>
      <c r="R360" s="445"/>
      <c r="S360" s="445"/>
      <c r="T360" s="445"/>
      <c r="U360" s="445"/>
      <c r="V360" s="445"/>
      <c r="W360" s="445"/>
      <c r="X360" s="445"/>
      <c r="Y360" s="445"/>
    </row>
    <row r="361" spans="1:25" ht="18">
      <c r="A361" s="463">
        <v>4</v>
      </c>
      <c r="B361" s="464">
        <v>1</v>
      </c>
      <c r="C361" s="464" t="s">
        <v>437</v>
      </c>
      <c r="D361" s="457">
        <v>5</v>
      </c>
      <c r="E361" s="457"/>
      <c r="F361" s="457"/>
      <c r="G361" s="457">
        <v>2</v>
      </c>
      <c r="H361" s="456" t="s">
        <v>8</v>
      </c>
      <c r="I361" s="500"/>
      <c r="J361" s="458"/>
      <c r="K361" s="676"/>
      <c r="L361" s="676"/>
      <c r="M361" s="445"/>
      <c r="N361" s="445"/>
      <c r="O361" s="445"/>
      <c r="P361" s="445"/>
      <c r="Q361" s="445"/>
      <c r="R361" s="445"/>
      <c r="S361" s="445"/>
      <c r="T361" s="445"/>
      <c r="U361" s="445"/>
      <c r="V361" s="445"/>
      <c r="W361" s="445"/>
      <c r="X361" s="445"/>
      <c r="Y361" s="445"/>
    </row>
    <row r="362" spans="1:25" ht="18">
      <c r="A362" s="452">
        <v>4</v>
      </c>
      <c r="B362" s="459">
        <v>2</v>
      </c>
      <c r="C362" s="459"/>
      <c r="D362" s="452"/>
      <c r="E362" s="452"/>
      <c r="F362" s="452"/>
      <c r="G362" s="452"/>
      <c r="H362" s="453" t="s">
        <v>677</v>
      </c>
      <c r="I362" s="524">
        <f>I363+I366+I369+I371+I373+I375</f>
        <v>0</v>
      </c>
      <c r="J362" s="454"/>
      <c r="K362" s="675"/>
      <c r="L362" s="675"/>
      <c r="M362" s="455"/>
      <c r="N362" s="455"/>
      <c r="O362" s="455"/>
      <c r="P362" s="455"/>
      <c r="Q362" s="455"/>
      <c r="R362" s="455"/>
      <c r="S362" s="455"/>
      <c r="T362" s="455"/>
      <c r="U362" s="455"/>
      <c r="V362" s="455"/>
      <c r="W362" s="455"/>
      <c r="X362" s="455"/>
      <c r="Y362" s="455"/>
    </row>
    <row r="363" spans="1:25" ht="31.5">
      <c r="A363" s="463">
        <v>4</v>
      </c>
      <c r="B363" s="464">
        <v>2</v>
      </c>
      <c r="C363" s="464" t="s">
        <v>593</v>
      </c>
      <c r="D363" s="457"/>
      <c r="E363" s="457"/>
      <c r="F363" s="457"/>
      <c r="G363" s="457"/>
      <c r="H363" s="499" t="s">
        <v>678</v>
      </c>
      <c r="I363" s="525">
        <f>I364+I365</f>
        <v>0</v>
      </c>
      <c r="J363" s="458"/>
      <c r="K363" s="676"/>
      <c r="L363" s="676"/>
      <c r="M363" s="445"/>
      <c r="N363" s="445"/>
      <c r="O363" s="445"/>
      <c r="P363" s="445"/>
      <c r="Q363" s="445"/>
      <c r="R363" s="445"/>
      <c r="S363" s="445"/>
      <c r="T363" s="445"/>
      <c r="U363" s="445"/>
      <c r="V363" s="445"/>
      <c r="W363" s="445"/>
      <c r="X363" s="445"/>
      <c r="Y363" s="445"/>
    </row>
    <row r="364" spans="1:25" ht="18">
      <c r="A364" s="463">
        <v>4</v>
      </c>
      <c r="B364" s="464">
        <v>2</v>
      </c>
      <c r="C364" s="464" t="s">
        <v>593</v>
      </c>
      <c r="D364" s="457">
        <v>5</v>
      </c>
      <c r="E364" s="457"/>
      <c r="F364" s="457"/>
      <c r="G364" s="457">
        <v>2</v>
      </c>
      <c r="H364" s="456" t="s">
        <v>8</v>
      </c>
      <c r="I364" s="500"/>
      <c r="J364" s="458"/>
      <c r="K364" s="676"/>
      <c r="L364" s="676"/>
      <c r="M364" s="445"/>
      <c r="N364" s="445"/>
      <c r="O364" s="445"/>
      <c r="P364" s="445"/>
      <c r="Q364" s="445"/>
      <c r="R364" s="445"/>
      <c r="S364" s="445"/>
      <c r="T364" s="445"/>
      <c r="U364" s="445"/>
      <c r="V364" s="445"/>
      <c r="W364" s="445"/>
      <c r="X364" s="445"/>
      <c r="Y364" s="445"/>
    </row>
    <row r="365" spans="1:25" ht="18">
      <c r="A365" s="463">
        <v>4</v>
      </c>
      <c r="B365" s="464">
        <v>2</v>
      </c>
      <c r="C365" s="464" t="s">
        <v>593</v>
      </c>
      <c r="D365" s="457">
        <v>5</v>
      </c>
      <c r="E365" s="457"/>
      <c r="F365" s="457"/>
      <c r="G365" s="457">
        <v>3</v>
      </c>
      <c r="H365" s="456" t="s">
        <v>9</v>
      </c>
      <c r="I365" s="500"/>
      <c r="J365" s="458"/>
      <c r="K365" s="676"/>
      <c r="L365" s="676"/>
      <c r="M365" s="445"/>
      <c r="N365" s="445"/>
      <c r="O365" s="445"/>
      <c r="P365" s="445"/>
      <c r="Q365" s="445"/>
      <c r="R365" s="445"/>
      <c r="S365" s="445"/>
      <c r="T365" s="445"/>
      <c r="U365" s="445"/>
      <c r="V365" s="445"/>
      <c r="W365" s="445"/>
      <c r="X365" s="445"/>
      <c r="Y365" s="445"/>
    </row>
    <row r="366" spans="1:25" ht="31.5">
      <c r="A366" s="463">
        <v>4</v>
      </c>
      <c r="B366" s="464">
        <v>2</v>
      </c>
      <c r="C366" s="464" t="s">
        <v>594</v>
      </c>
      <c r="D366" s="457"/>
      <c r="E366" s="457"/>
      <c r="F366" s="457"/>
      <c r="G366" s="457"/>
      <c r="H366" s="499" t="s">
        <v>679</v>
      </c>
      <c r="I366" s="525">
        <f>I367+I368</f>
        <v>0</v>
      </c>
      <c r="J366" s="458"/>
      <c r="K366" s="676"/>
      <c r="L366" s="676"/>
      <c r="M366" s="445"/>
      <c r="N366" s="445"/>
      <c r="O366" s="445"/>
      <c r="P366" s="445"/>
      <c r="Q366" s="445"/>
      <c r="R366" s="445"/>
      <c r="S366" s="445"/>
      <c r="T366" s="445"/>
      <c r="U366" s="445"/>
      <c r="V366" s="445"/>
      <c r="W366" s="445"/>
      <c r="X366" s="445"/>
      <c r="Y366" s="445"/>
    </row>
    <row r="367" spans="1:25" ht="18">
      <c r="A367" s="463">
        <v>4</v>
      </c>
      <c r="B367" s="464">
        <v>2</v>
      </c>
      <c r="C367" s="464" t="s">
        <v>594</v>
      </c>
      <c r="D367" s="457">
        <v>5</v>
      </c>
      <c r="E367" s="457"/>
      <c r="F367" s="457"/>
      <c r="G367" s="457">
        <v>2</v>
      </c>
      <c r="H367" s="456" t="s">
        <v>8</v>
      </c>
      <c r="I367" s="500"/>
      <c r="J367" s="458"/>
      <c r="K367" s="676"/>
      <c r="L367" s="676"/>
      <c r="M367" s="445"/>
      <c r="N367" s="445"/>
      <c r="O367" s="445"/>
      <c r="P367" s="445"/>
      <c r="Q367" s="445"/>
      <c r="R367" s="445"/>
      <c r="S367" s="445"/>
      <c r="T367" s="445"/>
      <c r="U367" s="445"/>
      <c r="V367" s="445"/>
      <c r="W367" s="445"/>
      <c r="X367" s="445"/>
      <c r="Y367" s="445"/>
    </row>
    <row r="368" spans="1:25" ht="18">
      <c r="A368" s="463">
        <v>4</v>
      </c>
      <c r="B368" s="464">
        <v>2</v>
      </c>
      <c r="C368" s="464" t="s">
        <v>594</v>
      </c>
      <c r="D368" s="457">
        <v>5</v>
      </c>
      <c r="E368" s="457"/>
      <c r="F368" s="457"/>
      <c r="G368" s="457">
        <v>3</v>
      </c>
      <c r="H368" s="456" t="s">
        <v>9</v>
      </c>
      <c r="I368" s="500"/>
      <c r="J368" s="458"/>
      <c r="K368" s="676"/>
      <c r="L368" s="676"/>
      <c r="M368" s="445"/>
      <c r="N368" s="445"/>
      <c r="O368" s="445"/>
      <c r="P368" s="445"/>
      <c r="Q368" s="445"/>
      <c r="R368" s="445"/>
      <c r="S368" s="445"/>
      <c r="T368" s="445"/>
      <c r="U368" s="445"/>
      <c r="V368" s="445"/>
      <c r="W368" s="445"/>
      <c r="X368" s="445"/>
      <c r="Y368" s="445"/>
    </row>
    <row r="369" spans="1:25" ht="18">
      <c r="A369" s="463">
        <v>4</v>
      </c>
      <c r="B369" s="464">
        <v>2</v>
      </c>
      <c r="C369" s="464" t="s">
        <v>595</v>
      </c>
      <c r="D369" s="457"/>
      <c r="E369" s="457"/>
      <c r="F369" s="457"/>
      <c r="G369" s="457"/>
      <c r="H369" s="499" t="s">
        <v>454</v>
      </c>
      <c r="I369" s="525">
        <f>I370</f>
        <v>0</v>
      </c>
      <c r="J369" s="458"/>
      <c r="K369" s="676"/>
      <c r="L369" s="676"/>
      <c r="M369" s="445"/>
      <c r="N369" s="445"/>
      <c r="O369" s="445"/>
      <c r="P369" s="445"/>
      <c r="Q369" s="445"/>
      <c r="R369" s="445"/>
      <c r="S369" s="445"/>
      <c r="T369" s="445"/>
      <c r="U369" s="445"/>
      <c r="V369" s="445"/>
      <c r="W369" s="445"/>
      <c r="X369" s="445"/>
      <c r="Y369" s="445"/>
    </row>
    <row r="370" spans="1:25" ht="18">
      <c r="A370" s="463">
        <v>4</v>
      </c>
      <c r="B370" s="464">
        <v>2</v>
      </c>
      <c r="C370" s="464" t="s">
        <v>595</v>
      </c>
      <c r="D370" s="457">
        <v>5</v>
      </c>
      <c r="E370" s="457"/>
      <c r="F370" s="457"/>
      <c r="G370" s="457">
        <v>2</v>
      </c>
      <c r="H370" s="456" t="s">
        <v>8</v>
      </c>
      <c r="I370" s="500"/>
      <c r="J370" s="458"/>
      <c r="K370" s="676"/>
      <c r="L370" s="676"/>
      <c r="M370" s="445"/>
      <c r="N370" s="445"/>
      <c r="O370" s="445"/>
      <c r="P370" s="445"/>
      <c r="Q370" s="445"/>
      <c r="R370" s="445"/>
      <c r="S370" s="445"/>
      <c r="T370" s="445"/>
      <c r="U370" s="445"/>
      <c r="V370" s="445"/>
      <c r="W370" s="445"/>
      <c r="X370" s="445"/>
      <c r="Y370" s="445"/>
    </row>
    <row r="371" spans="1:25" ht="18">
      <c r="A371" s="463">
        <v>4</v>
      </c>
      <c r="B371" s="464">
        <v>2</v>
      </c>
      <c r="C371" s="464" t="s">
        <v>596</v>
      </c>
      <c r="D371" s="457"/>
      <c r="E371" s="457"/>
      <c r="F371" s="457"/>
      <c r="G371" s="457"/>
      <c r="H371" s="499" t="s">
        <v>680</v>
      </c>
      <c r="I371" s="525">
        <f>I372</f>
        <v>0</v>
      </c>
      <c r="J371" s="458"/>
      <c r="K371" s="676"/>
      <c r="L371" s="676"/>
      <c r="M371" s="445"/>
      <c r="N371" s="445"/>
      <c r="O371" s="445"/>
      <c r="P371" s="445"/>
      <c r="Q371" s="445"/>
      <c r="R371" s="445"/>
      <c r="S371" s="445"/>
      <c r="T371" s="445"/>
      <c r="U371" s="445"/>
      <c r="V371" s="445"/>
      <c r="W371" s="445"/>
      <c r="X371" s="445"/>
      <c r="Y371" s="445"/>
    </row>
    <row r="372" spans="1:25" ht="18">
      <c r="A372" s="463">
        <v>4</v>
      </c>
      <c r="B372" s="464">
        <v>2</v>
      </c>
      <c r="C372" s="464" t="s">
        <v>596</v>
      </c>
      <c r="D372" s="457">
        <v>5</v>
      </c>
      <c r="E372" s="457"/>
      <c r="F372" s="457"/>
      <c r="G372" s="457">
        <v>2</v>
      </c>
      <c r="H372" s="456" t="s">
        <v>8</v>
      </c>
      <c r="I372" s="500"/>
      <c r="J372" s="458"/>
      <c r="K372" s="676"/>
      <c r="L372" s="676"/>
      <c r="M372" s="445"/>
      <c r="N372" s="445"/>
      <c r="O372" s="445"/>
      <c r="P372" s="445"/>
      <c r="Q372" s="445"/>
      <c r="R372" s="445"/>
      <c r="S372" s="445"/>
      <c r="T372" s="445"/>
      <c r="U372" s="445"/>
      <c r="V372" s="445"/>
      <c r="W372" s="445"/>
      <c r="X372" s="445"/>
      <c r="Y372" s="445"/>
    </row>
    <row r="373" spans="1:25" ht="31.5">
      <c r="A373" s="463">
        <v>4</v>
      </c>
      <c r="B373" s="464">
        <v>2</v>
      </c>
      <c r="C373" s="464" t="s">
        <v>597</v>
      </c>
      <c r="D373" s="457"/>
      <c r="E373" s="457"/>
      <c r="F373" s="457"/>
      <c r="G373" s="457"/>
      <c r="H373" s="499" t="s">
        <v>681</v>
      </c>
      <c r="I373" s="525">
        <f>I374</f>
        <v>0</v>
      </c>
      <c r="J373" s="458"/>
      <c r="K373" s="676"/>
      <c r="L373" s="676"/>
      <c r="M373" s="445"/>
      <c r="N373" s="445"/>
      <c r="O373" s="445"/>
      <c r="P373" s="445"/>
      <c r="Q373" s="445"/>
      <c r="R373" s="445"/>
      <c r="S373" s="445"/>
      <c r="T373" s="445"/>
      <c r="U373" s="445"/>
      <c r="V373" s="445"/>
      <c r="W373" s="445"/>
      <c r="X373" s="445"/>
      <c r="Y373" s="445"/>
    </row>
    <row r="374" spans="1:25" ht="18">
      <c r="A374" s="463">
        <v>4</v>
      </c>
      <c r="B374" s="464">
        <v>2</v>
      </c>
      <c r="C374" s="464" t="s">
        <v>597</v>
      </c>
      <c r="D374" s="457">
        <v>5</v>
      </c>
      <c r="E374" s="457"/>
      <c r="F374" s="457"/>
      <c r="G374" s="457">
        <v>2</v>
      </c>
      <c r="H374" s="456" t="s">
        <v>8</v>
      </c>
      <c r="I374" s="500"/>
      <c r="J374" s="458"/>
      <c r="K374" s="676"/>
      <c r="L374" s="676"/>
      <c r="M374" s="445"/>
      <c r="N374" s="445"/>
      <c r="O374" s="445"/>
      <c r="P374" s="445"/>
      <c r="Q374" s="445"/>
      <c r="R374" s="445"/>
      <c r="S374" s="445"/>
      <c r="T374" s="445"/>
      <c r="U374" s="445"/>
      <c r="V374" s="445"/>
      <c r="W374" s="445"/>
      <c r="X374" s="445"/>
      <c r="Y374" s="445"/>
    </row>
    <row r="375" spans="1:25" ht="18">
      <c r="A375" s="463">
        <v>4</v>
      </c>
      <c r="B375" s="464">
        <v>2</v>
      </c>
      <c r="C375" s="464" t="s">
        <v>437</v>
      </c>
      <c r="D375" s="457"/>
      <c r="E375" s="457"/>
      <c r="F375" s="457"/>
      <c r="G375" s="457"/>
      <c r="H375" s="499" t="s">
        <v>682</v>
      </c>
      <c r="I375" s="525">
        <f>I376</f>
        <v>0</v>
      </c>
      <c r="J375" s="458"/>
      <c r="K375" s="676"/>
      <c r="L375" s="676"/>
      <c r="M375" s="445"/>
      <c r="N375" s="445"/>
      <c r="O375" s="445"/>
      <c r="P375" s="445"/>
      <c r="Q375" s="445"/>
      <c r="R375" s="445"/>
      <c r="S375" s="445"/>
      <c r="T375" s="445"/>
      <c r="U375" s="445"/>
      <c r="V375" s="445"/>
      <c r="W375" s="445"/>
      <c r="X375" s="445"/>
      <c r="Y375" s="445"/>
    </row>
    <row r="376" spans="1:25" ht="18">
      <c r="A376" s="463">
        <v>4</v>
      </c>
      <c r="B376" s="464">
        <v>2</v>
      </c>
      <c r="C376" s="464" t="s">
        <v>437</v>
      </c>
      <c r="D376" s="457">
        <v>5</v>
      </c>
      <c r="E376" s="457"/>
      <c r="F376" s="457"/>
      <c r="G376" s="457">
        <v>2</v>
      </c>
      <c r="H376" s="456" t="s">
        <v>8</v>
      </c>
      <c r="I376" s="500"/>
      <c r="J376" s="458"/>
      <c r="K376" s="676"/>
      <c r="L376" s="676"/>
      <c r="M376" s="445"/>
      <c r="N376" s="445"/>
      <c r="O376" s="445"/>
      <c r="P376" s="445"/>
      <c r="Q376" s="445"/>
      <c r="R376" s="445"/>
      <c r="S376" s="445"/>
      <c r="T376" s="445"/>
      <c r="U376" s="445"/>
      <c r="V376" s="445"/>
      <c r="W376" s="445"/>
      <c r="X376" s="445"/>
      <c r="Y376" s="445"/>
    </row>
    <row r="377" spans="1:25" ht="18">
      <c r="A377" s="452">
        <v>4</v>
      </c>
      <c r="B377" s="459">
        <v>3</v>
      </c>
      <c r="C377" s="459"/>
      <c r="D377" s="452"/>
      <c r="E377" s="452"/>
      <c r="F377" s="452"/>
      <c r="G377" s="452"/>
      <c r="H377" s="453" t="s">
        <v>683</v>
      </c>
      <c r="I377" s="524" t="e">
        <f>I378+I380+I382+I384</f>
        <v>#REF!</v>
      </c>
      <c r="J377" s="454"/>
      <c r="K377" s="675"/>
      <c r="L377" s="675"/>
      <c r="M377" s="455"/>
      <c r="N377" s="455"/>
      <c r="O377" s="455"/>
      <c r="P377" s="455"/>
      <c r="Q377" s="455"/>
      <c r="R377" s="455"/>
      <c r="S377" s="455"/>
      <c r="T377" s="455"/>
      <c r="U377" s="455"/>
      <c r="V377" s="455"/>
      <c r="W377" s="455"/>
      <c r="X377" s="455"/>
      <c r="Y377" s="455"/>
    </row>
    <row r="378" spans="1:25" ht="18">
      <c r="A378" s="463">
        <v>4</v>
      </c>
      <c r="B378" s="464">
        <v>3</v>
      </c>
      <c r="C378" s="464" t="s">
        <v>593</v>
      </c>
      <c r="D378" s="457"/>
      <c r="E378" s="457"/>
      <c r="F378" s="457"/>
      <c r="G378" s="457"/>
      <c r="H378" s="499" t="s">
        <v>684</v>
      </c>
      <c r="I378" s="525" t="e">
        <f>I379</f>
        <v>#REF!</v>
      </c>
      <c r="J378" s="458"/>
      <c r="K378" s="676"/>
      <c r="L378" s="676"/>
      <c r="M378" s="445"/>
      <c r="N378" s="445"/>
      <c r="O378" s="445"/>
      <c r="P378" s="445"/>
      <c r="Q378" s="445"/>
      <c r="R378" s="445"/>
      <c r="S378" s="445"/>
      <c r="T378" s="445"/>
      <c r="U378" s="445"/>
      <c r="V378" s="445"/>
      <c r="W378" s="445"/>
      <c r="X378" s="445"/>
      <c r="Y378" s="445"/>
    </row>
    <row r="379" spans="1:25" ht="18">
      <c r="A379" s="463">
        <v>4</v>
      </c>
      <c r="B379" s="464">
        <v>3</v>
      </c>
      <c r="C379" s="464" t="s">
        <v>593</v>
      </c>
      <c r="D379" s="457">
        <v>5</v>
      </c>
      <c r="E379" s="457"/>
      <c r="F379" s="457"/>
      <c r="G379" s="457">
        <v>2</v>
      </c>
      <c r="H379" s="456" t="s">
        <v>8</v>
      </c>
      <c r="I379" s="500" t="e">
        <f>#REF!</f>
        <v>#REF!</v>
      </c>
      <c r="J379" s="458"/>
      <c r="K379" s="676"/>
      <c r="L379" s="676"/>
      <c r="M379" s="445"/>
      <c r="N379" s="445"/>
      <c r="O379" s="445"/>
      <c r="P379" s="445"/>
      <c r="Q379" s="445"/>
      <c r="R379" s="445"/>
      <c r="S379" s="445"/>
      <c r="T379" s="445"/>
      <c r="U379" s="445"/>
      <c r="V379" s="445"/>
      <c r="W379" s="445"/>
      <c r="X379" s="445"/>
      <c r="Y379" s="445"/>
    </row>
    <row r="380" spans="1:25" ht="18">
      <c r="A380" s="463">
        <v>4</v>
      </c>
      <c r="B380" s="464">
        <v>3</v>
      </c>
      <c r="C380" s="464" t="s">
        <v>593</v>
      </c>
      <c r="D380" s="457"/>
      <c r="E380" s="457"/>
      <c r="F380" s="457"/>
      <c r="G380" s="457"/>
      <c r="H380" s="499" t="s">
        <v>685</v>
      </c>
      <c r="I380" s="525" t="e">
        <f>I381</f>
        <v>#REF!</v>
      </c>
      <c r="J380" s="458"/>
      <c r="K380" s="676"/>
      <c r="L380" s="676"/>
      <c r="M380" s="445"/>
      <c r="N380" s="445"/>
      <c r="O380" s="445"/>
      <c r="P380" s="445"/>
      <c r="Q380" s="445"/>
      <c r="R380" s="445"/>
      <c r="S380" s="445"/>
      <c r="T380" s="445"/>
      <c r="U380" s="445"/>
      <c r="V380" s="445"/>
      <c r="W380" s="445"/>
      <c r="X380" s="445"/>
      <c r="Y380" s="445"/>
    </row>
    <row r="381" spans="1:25" ht="18">
      <c r="A381" s="463">
        <v>4</v>
      </c>
      <c r="B381" s="464">
        <v>3</v>
      </c>
      <c r="C381" s="464" t="s">
        <v>594</v>
      </c>
      <c r="D381" s="457">
        <v>5</v>
      </c>
      <c r="E381" s="457"/>
      <c r="F381" s="457"/>
      <c r="G381" s="457">
        <v>2</v>
      </c>
      <c r="H381" s="456" t="s">
        <v>8</v>
      </c>
      <c r="I381" s="500" t="e">
        <f>#REF!</f>
        <v>#REF!</v>
      </c>
      <c r="J381" s="458"/>
      <c r="K381" s="676"/>
      <c r="L381" s="676"/>
      <c r="M381" s="445"/>
      <c r="N381" s="445"/>
      <c r="O381" s="445"/>
      <c r="P381" s="445"/>
      <c r="Q381" s="445"/>
      <c r="R381" s="445"/>
      <c r="S381" s="445"/>
      <c r="T381" s="445"/>
      <c r="U381" s="445"/>
      <c r="V381" s="445"/>
      <c r="W381" s="445"/>
      <c r="X381" s="445"/>
      <c r="Y381" s="445"/>
    </row>
    <row r="382" spans="1:25" ht="18">
      <c r="A382" s="463">
        <v>4</v>
      </c>
      <c r="B382" s="464">
        <v>3</v>
      </c>
      <c r="C382" s="464" t="s">
        <v>595</v>
      </c>
      <c r="D382" s="457"/>
      <c r="E382" s="457"/>
      <c r="F382" s="457"/>
      <c r="G382" s="457"/>
      <c r="H382" s="499" t="s">
        <v>686</v>
      </c>
      <c r="I382" s="525" t="e">
        <f>I383</f>
        <v>#REF!</v>
      </c>
      <c r="J382" s="458"/>
      <c r="K382" s="676"/>
      <c r="L382" s="676"/>
      <c r="M382" s="445"/>
      <c r="N382" s="445"/>
      <c r="O382" s="445"/>
      <c r="P382" s="445"/>
      <c r="Q382" s="445"/>
      <c r="R382" s="445"/>
      <c r="S382" s="445"/>
      <c r="T382" s="445"/>
      <c r="U382" s="445"/>
      <c r="V382" s="445"/>
      <c r="W382" s="445"/>
      <c r="X382" s="445"/>
      <c r="Y382" s="445"/>
    </row>
    <row r="383" spans="1:25" ht="18">
      <c r="A383" s="463">
        <v>4</v>
      </c>
      <c r="B383" s="464">
        <v>3</v>
      </c>
      <c r="C383" s="464" t="s">
        <v>595</v>
      </c>
      <c r="D383" s="457">
        <v>5</v>
      </c>
      <c r="E383" s="457"/>
      <c r="F383" s="457"/>
      <c r="G383" s="457">
        <v>2</v>
      </c>
      <c r="H383" s="456" t="s">
        <v>8</v>
      </c>
      <c r="I383" s="500" t="e">
        <f>#REF!</f>
        <v>#REF!</v>
      </c>
      <c r="J383" s="458"/>
      <c r="K383" s="676"/>
      <c r="L383" s="676"/>
      <c r="M383" s="445"/>
      <c r="N383" s="445"/>
      <c r="O383" s="445"/>
      <c r="P383" s="445"/>
      <c r="Q383" s="445"/>
      <c r="R383" s="445"/>
      <c r="S383" s="445"/>
      <c r="T383" s="445"/>
      <c r="U383" s="445"/>
      <c r="V383" s="445"/>
      <c r="W383" s="445"/>
      <c r="X383" s="445"/>
      <c r="Y383" s="445"/>
    </row>
    <row r="384" spans="1:25" ht="18">
      <c r="A384" s="463">
        <v>4</v>
      </c>
      <c r="B384" s="464">
        <v>3</v>
      </c>
      <c r="C384" s="464" t="s">
        <v>437</v>
      </c>
      <c r="D384" s="457"/>
      <c r="E384" s="457"/>
      <c r="F384" s="457"/>
      <c r="G384" s="457"/>
      <c r="H384" s="499" t="s">
        <v>687</v>
      </c>
      <c r="I384" s="525">
        <f>I385</f>
        <v>0</v>
      </c>
      <c r="J384" s="458"/>
      <c r="K384" s="676"/>
      <c r="L384" s="676"/>
      <c r="M384" s="445"/>
      <c r="N384" s="445"/>
      <c r="O384" s="445"/>
      <c r="P384" s="445"/>
      <c r="Q384" s="445"/>
      <c r="R384" s="445"/>
      <c r="S384" s="445"/>
      <c r="T384" s="445"/>
      <c r="U384" s="445"/>
      <c r="V384" s="445"/>
      <c r="W384" s="445"/>
      <c r="X384" s="445"/>
      <c r="Y384" s="445"/>
    </row>
    <row r="385" spans="1:25" ht="18">
      <c r="A385" s="463">
        <v>4</v>
      </c>
      <c r="B385" s="464">
        <v>3</v>
      </c>
      <c r="C385" s="464" t="s">
        <v>437</v>
      </c>
      <c r="D385" s="457">
        <v>5</v>
      </c>
      <c r="E385" s="457"/>
      <c r="F385" s="457"/>
      <c r="G385" s="457">
        <v>2</v>
      </c>
      <c r="H385" s="456" t="s">
        <v>8</v>
      </c>
      <c r="I385" s="500"/>
      <c r="J385" s="458"/>
      <c r="K385" s="676"/>
      <c r="L385" s="676"/>
      <c r="M385" s="445"/>
      <c r="N385" s="445"/>
      <c r="O385" s="445"/>
      <c r="P385" s="445"/>
      <c r="Q385" s="445"/>
      <c r="R385" s="445"/>
      <c r="S385" s="445"/>
      <c r="T385" s="445"/>
      <c r="U385" s="445"/>
      <c r="V385" s="445"/>
      <c r="W385" s="445"/>
      <c r="X385" s="445"/>
      <c r="Y385" s="445"/>
    </row>
    <row r="386" spans="1:25" ht="18">
      <c r="A386" s="452">
        <v>4</v>
      </c>
      <c r="B386" s="459">
        <v>4</v>
      </c>
      <c r="C386" s="462"/>
      <c r="D386" s="457"/>
      <c r="E386" s="457"/>
      <c r="F386" s="457"/>
      <c r="G386" s="457"/>
      <c r="H386" s="501" t="s">
        <v>688</v>
      </c>
      <c r="I386" s="525" t="e">
        <f>I387+I389+I391+I393</f>
        <v>#REF!</v>
      </c>
      <c r="J386" s="458"/>
      <c r="K386" s="676"/>
      <c r="L386" s="676"/>
      <c r="M386" s="445"/>
      <c r="N386" s="445"/>
      <c r="O386" s="445"/>
      <c r="P386" s="445"/>
      <c r="Q386" s="445"/>
      <c r="R386" s="445"/>
      <c r="S386" s="445"/>
      <c r="T386" s="445"/>
      <c r="U386" s="445"/>
      <c r="V386" s="445"/>
      <c r="W386" s="445"/>
      <c r="X386" s="445"/>
      <c r="Y386" s="445"/>
    </row>
    <row r="387" spans="1:25" ht="18">
      <c r="A387" s="457">
        <v>4</v>
      </c>
      <c r="B387" s="462">
        <v>4</v>
      </c>
      <c r="C387" s="462" t="s">
        <v>593</v>
      </c>
      <c r="D387" s="457"/>
      <c r="E387" s="457"/>
      <c r="F387" s="457"/>
      <c r="G387" s="457"/>
      <c r="H387" s="499" t="s">
        <v>450</v>
      </c>
      <c r="I387" s="525" t="e">
        <f>I388</f>
        <v>#REF!</v>
      </c>
      <c r="J387" s="458"/>
      <c r="K387" s="676"/>
      <c r="L387" s="676"/>
      <c r="M387" s="445"/>
      <c r="N387" s="445"/>
      <c r="O387" s="445"/>
      <c r="P387" s="445"/>
      <c r="Q387" s="445"/>
      <c r="R387" s="445"/>
      <c r="S387" s="445"/>
      <c r="T387" s="445"/>
      <c r="U387" s="445"/>
      <c r="V387" s="445"/>
      <c r="W387" s="445"/>
      <c r="X387" s="445"/>
      <c r="Y387" s="445"/>
    </row>
    <row r="388" spans="1:25" ht="18">
      <c r="A388" s="463">
        <v>4</v>
      </c>
      <c r="B388" s="462">
        <v>4</v>
      </c>
      <c r="C388" s="462" t="s">
        <v>593</v>
      </c>
      <c r="D388" s="457">
        <v>5</v>
      </c>
      <c r="E388" s="457"/>
      <c r="F388" s="457"/>
      <c r="G388" s="457">
        <v>2</v>
      </c>
      <c r="H388" s="456" t="s">
        <v>8</v>
      </c>
      <c r="I388" s="500" t="e">
        <f>#REF!</f>
        <v>#REF!</v>
      </c>
      <c r="J388" s="458"/>
      <c r="K388" s="676"/>
      <c r="L388" s="676"/>
      <c r="M388" s="445"/>
      <c r="N388" s="445"/>
      <c r="O388" s="445"/>
      <c r="P388" s="445"/>
      <c r="Q388" s="445"/>
      <c r="R388" s="445"/>
      <c r="S388" s="445"/>
      <c r="T388" s="445"/>
      <c r="U388" s="445"/>
      <c r="V388" s="445"/>
      <c r="W388" s="445"/>
      <c r="X388" s="445"/>
      <c r="Y388" s="445"/>
    </row>
    <row r="389" spans="1:25" ht="18">
      <c r="A389" s="463">
        <v>4</v>
      </c>
      <c r="B389" s="462">
        <v>4</v>
      </c>
      <c r="C389" s="462" t="s">
        <v>594</v>
      </c>
      <c r="D389" s="457"/>
      <c r="E389" s="457"/>
      <c r="F389" s="457"/>
      <c r="G389" s="457"/>
      <c r="H389" s="499" t="s">
        <v>449</v>
      </c>
      <c r="I389" s="525">
        <f>I390</f>
        <v>0</v>
      </c>
      <c r="J389" s="458"/>
      <c r="K389" s="676"/>
      <c r="L389" s="676"/>
      <c r="M389" s="445"/>
      <c r="N389" s="445"/>
      <c r="O389" s="445"/>
      <c r="P389" s="445"/>
      <c r="Q389" s="445"/>
      <c r="R389" s="445"/>
      <c r="S389" s="445"/>
      <c r="T389" s="445"/>
      <c r="U389" s="445"/>
      <c r="V389" s="445"/>
      <c r="W389" s="445"/>
      <c r="X389" s="445"/>
      <c r="Y389" s="445"/>
    </row>
    <row r="390" spans="1:25" ht="18">
      <c r="A390" s="463">
        <v>4</v>
      </c>
      <c r="B390" s="462">
        <v>4</v>
      </c>
      <c r="C390" s="462" t="s">
        <v>594</v>
      </c>
      <c r="D390" s="457">
        <v>5</v>
      </c>
      <c r="E390" s="457"/>
      <c r="F390" s="457"/>
      <c r="G390" s="457">
        <v>2</v>
      </c>
      <c r="H390" s="456" t="s">
        <v>8</v>
      </c>
      <c r="I390" s="500"/>
      <c r="J390" s="458"/>
      <c r="K390" s="676"/>
      <c r="L390" s="676"/>
      <c r="M390" s="445"/>
      <c r="N390" s="445"/>
      <c r="O390" s="445"/>
      <c r="P390" s="445"/>
      <c r="Q390" s="445"/>
      <c r="R390" s="445"/>
      <c r="S390" s="445"/>
      <c r="T390" s="445"/>
      <c r="U390" s="445"/>
      <c r="V390" s="445"/>
      <c r="W390" s="445"/>
      <c r="X390" s="445"/>
      <c r="Y390" s="445"/>
    </row>
    <row r="391" spans="1:25" ht="18">
      <c r="A391" s="463">
        <v>4</v>
      </c>
      <c r="B391" s="462">
        <v>4</v>
      </c>
      <c r="C391" s="462" t="s">
        <v>595</v>
      </c>
      <c r="D391" s="457"/>
      <c r="E391" s="457"/>
      <c r="F391" s="457"/>
      <c r="G391" s="457"/>
      <c r="H391" s="499" t="s">
        <v>448</v>
      </c>
      <c r="I391" s="525">
        <f>I392</f>
        <v>0</v>
      </c>
      <c r="J391" s="458"/>
      <c r="K391" s="676"/>
      <c r="L391" s="676"/>
      <c r="M391" s="445"/>
      <c r="N391" s="445"/>
      <c r="O391" s="445"/>
      <c r="P391" s="445"/>
      <c r="Q391" s="445"/>
      <c r="R391" s="445"/>
      <c r="S391" s="445"/>
      <c r="T391" s="445"/>
      <c r="U391" s="445"/>
      <c r="V391" s="445"/>
      <c r="W391" s="445"/>
      <c r="X391" s="445"/>
      <c r="Y391" s="445"/>
    </row>
    <row r="392" spans="1:25" ht="18">
      <c r="A392" s="463">
        <v>4</v>
      </c>
      <c r="B392" s="462">
        <v>4</v>
      </c>
      <c r="C392" s="462" t="s">
        <v>595</v>
      </c>
      <c r="D392" s="457">
        <v>5</v>
      </c>
      <c r="E392" s="457"/>
      <c r="F392" s="457"/>
      <c r="G392" s="457">
        <v>2</v>
      </c>
      <c r="H392" s="456" t="s">
        <v>8</v>
      </c>
      <c r="I392" s="500"/>
      <c r="J392" s="458"/>
      <c r="K392" s="676"/>
      <c r="L392" s="676"/>
      <c r="M392" s="445"/>
      <c r="N392" s="445"/>
      <c r="O392" s="445"/>
      <c r="P392" s="445"/>
      <c r="Q392" s="445"/>
      <c r="R392" s="445"/>
      <c r="S392" s="445"/>
      <c r="T392" s="445"/>
      <c r="U392" s="445"/>
      <c r="V392" s="445"/>
      <c r="W392" s="445"/>
      <c r="X392" s="445"/>
      <c r="Y392" s="445"/>
    </row>
    <row r="393" spans="1:25" ht="31.5">
      <c r="A393" s="463">
        <v>4</v>
      </c>
      <c r="B393" s="462">
        <v>4</v>
      </c>
      <c r="C393" s="462" t="s">
        <v>437</v>
      </c>
      <c r="D393" s="457"/>
      <c r="E393" s="457"/>
      <c r="F393" s="457"/>
      <c r="G393" s="457"/>
      <c r="H393" s="499" t="s">
        <v>447</v>
      </c>
      <c r="I393" s="525">
        <f>I394</f>
        <v>0</v>
      </c>
      <c r="J393" s="458"/>
      <c r="K393" s="676"/>
      <c r="L393" s="676"/>
      <c r="M393" s="445"/>
      <c r="N393" s="445"/>
      <c r="O393" s="445"/>
      <c r="P393" s="445"/>
      <c r="Q393" s="445"/>
      <c r="R393" s="445"/>
      <c r="S393" s="445"/>
      <c r="T393" s="445"/>
      <c r="U393" s="445"/>
      <c r="V393" s="445"/>
      <c r="W393" s="445"/>
      <c r="X393" s="445"/>
      <c r="Y393" s="445"/>
    </row>
    <row r="394" spans="1:25" ht="31.5">
      <c r="A394" s="463">
        <v>4</v>
      </c>
      <c r="B394" s="462">
        <v>4</v>
      </c>
      <c r="C394" s="462" t="s">
        <v>437</v>
      </c>
      <c r="D394" s="457">
        <v>5</v>
      </c>
      <c r="E394" s="457"/>
      <c r="F394" s="457"/>
      <c r="G394" s="457">
        <v>2</v>
      </c>
      <c r="H394" s="456" t="s">
        <v>8</v>
      </c>
      <c r="I394" s="500"/>
      <c r="J394" s="458"/>
      <c r="K394" s="676"/>
      <c r="L394" s="676"/>
      <c r="M394" s="445"/>
      <c r="N394" s="445"/>
      <c r="O394" s="445"/>
      <c r="P394" s="445"/>
      <c r="Q394" s="445"/>
      <c r="R394" s="445"/>
      <c r="S394" s="445"/>
      <c r="T394" s="445"/>
      <c r="U394" s="445"/>
      <c r="V394" s="445"/>
      <c r="W394" s="445"/>
      <c r="X394" s="445"/>
      <c r="Y394" s="445"/>
    </row>
    <row r="395" spans="1:25" ht="18">
      <c r="A395" s="452">
        <v>4</v>
      </c>
      <c r="B395" s="459">
        <v>5</v>
      </c>
      <c r="C395" s="462"/>
      <c r="D395" s="457"/>
      <c r="E395" s="457"/>
      <c r="F395" s="457"/>
      <c r="G395" s="457"/>
      <c r="H395" s="489" t="s">
        <v>689</v>
      </c>
      <c r="I395" s="528">
        <f>I396+I398+I400+I402</f>
        <v>0</v>
      </c>
      <c r="J395" s="458"/>
      <c r="K395" s="676"/>
      <c r="L395" s="676"/>
      <c r="M395" s="445"/>
      <c r="N395" s="445"/>
      <c r="O395" s="445"/>
      <c r="P395" s="445"/>
      <c r="Q395" s="445"/>
      <c r="R395" s="445"/>
      <c r="S395" s="445"/>
      <c r="T395" s="445"/>
      <c r="U395" s="445"/>
      <c r="V395" s="445"/>
      <c r="W395" s="445"/>
      <c r="X395" s="445"/>
      <c r="Y395" s="445"/>
    </row>
    <row r="396" spans="1:25" ht="18">
      <c r="A396" s="457">
        <v>4</v>
      </c>
      <c r="B396" s="462">
        <v>5</v>
      </c>
      <c r="C396" s="462" t="s">
        <v>593</v>
      </c>
      <c r="D396" s="457"/>
      <c r="E396" s="457"/>
      <c r="F396" s="457"/>
      <c r="G396" s="457"/>
      <c r="H396" s="476" t="s">
        <v>446</v>
      </c>
      <c r="I396" s="528">
        <f>I397</f>
        <v>0</v>
      </c>
      <c r="J396" s="458"/>
      <c r="K396" s="676"/>
      <c r="L396" s="676"/>
      <c r="M396" s="445"/>
      <c r="N396" s="445"/>
      <c r="O396" s="445"/>
      <c r="P396" s="445"/>
      <c r="Q396" s="445"/>
      <c r="R396" s="445"/>
      <c r="S396" s="445"/>
      <c r="T396" s="445"/>
      <c r="U396" s="445"/>
      <c r="V396" s="445"/>
      <c r="W396" s="445"/>
      <c r="X396" s="445"/>
      <c r="Y396" s="445"/>
    </row>
    <row r="397" spans="1:25" ht="18">
      <c r="A397" s="463">
        <v>4</v>
      </c>
      <c r="B397" s="462">
        <v>5</v>
      </c>
      <c r="C397" s="462" t="s">
        <v>593</v>
      </c>
      <c r="D397" s="457">
        <v>5</v>
      </c>
      <c r="E397" s="457"/>
      <c r="F397" s="457"/>
      <c r="G397" s="457">
        <v>2</v>
      </c>
      <c r="H397" s="456" t="s">
        <v>8</v>
      </c>
      <c r="I397" s="500"/>
      <c r="J397" s="458"/>
      <c r="K397" s="676"/>
      <c r="L397" s="676"/>
      <c r="M397" s="445"/>
      <c r="N397" s="445"/>
      <c r="O397" s="445"/>
      <c r="P397" s="445"/>
      <c r="Q397" s="445"/>
      <c r="R397" s="445"/>
      <c r="S397" s="445"/>
      <c r="T397" s="445"/>
      <c r="U397" s="445"/>
      <c r="V397" s="445"/>
      <c r="W397" s="445"/>
      <c r="X397" s="445"/>
      <c r="Y397" s="445"/>
    </row>
    <row r="398" spans="1:25" ht="18">
      <c r="A398" s="457">
        <v>4</v>
      </c>
      <c r="B398" s="462">
        <v>5</v>
      </c>
      <c r="C398" s="462" t="s">
        <v>594</v>
      </c>
      <c r="D398" s="457"/>
      <c r="E398" s="457"/>
      <c r="F398" s="457"/>
      <c r="G398" s="457"/>
      <c r="H398" s="476" t="s">
        <v>445</v>
      </c>
      <c r="I398" s="528">
        <f>I399</f>
        <v>0</v>
      </c>
      <c r="J398" s="458"/>
      <c r="K398" s="676"/>
      <c r="L398" s="676"/>
      <c r="M398" s="445"/>
      <c r="N398" s="445"/>
      <c r="O398" s="445"/>
      <c r="P398" s="445"/>
      <c r="Q398" s="445"/>
      <c r="R398" s="445"/>
      <c r="S398" s="445"/>
      <c r="T398" s="445"/>
      <c r="U398" s="445"/>
      <c r="V398" s="445"/>
      <c r="W398" s="445"/>
      <c r="X398" s="445"/>
      <c r="Y398" s="445"/>
    </row>
    <row r="399" spans="1:25" ht="18">
      <c r="A399" s="463">
        <v>4</v>
      </c>
      <c r="B399" s="462">
        <v>5</v>
      </c>
      <c r="C399" s="462" t="s">
        <v>594</v>
      </c>
      <c r="D399" s="457">
        <v>5</v>
      </c>
      <c r="E399" s="457"/>
      <c r="F399" s="457"/>
      <c r="G399" s="457">
        <v>2</v>
      </c>
      <c r="H399" s="456" t="s">
        <v>8</v>
      </c>
      <c r="I399" s="500"/>
      <c r="J399" s="458"/>
      <c r="K399" s="676"/>
      <c r="L399" s="676"/>
      <c r="M399" s="445"/>
      <c r="N399" s="445"/>
      <c r="O399" s="445"/>
      <c r="P399" s="445"/>
      <c r="Q399" s="445"/>
      <c r="R399" s="445"/>
      <c r="S399" s="445"/>
      <c r="T399" s="445"/>
      <c r="U399" s="445"/>
      <c r="V399" s="445"/>
      <c r="W399" s="445"/>
      <c r="X399" s="445"/>
      <c r="Y399" s="445"/>
    </row>
    <row r="400" spans="1:25" ht="31.5">
      <c r="A400" s="457">
        <v>4</v>
      </c>
      <c r="B400" s="462">
        <v>5</v>
      </c>
      <c r="C400" s="462" t="s">
        <v>595</v>
      </c>
      <c r="D400" s="457"/>
      <c r="E400" s="457"/>
      <c r="F400" s="457"/>
      <c r="G400" s="457"/>
      <c r="H400" s="473" t="s">
        <v>444</v>
      </c>
      <c r="I400" s="477">
        <f>I401</f>
        <v>0</v>
      </c>
      <c r="J400" s="458"/>
      <c r="K400" s="676"/>
      <c r="L400" s="676"/>
      <c r="M400" s="445"/>
      <c r="N400" s="445"/>
      <c r="O400" s="445"/>
      <c r="P400" s="445"/>
      <c r="Q400" s="445"/>
      <c r="R400" s="445"/>
      <c r="S400" s="445"/>
      <c r="T400" s="445"/>
      <c r="U400" s="445"/>
      <c r="V400" s="445"/>
      <c r="W400" s="445"/>
      <c r="X400" s="445"/>
      <c r="Y400" s="445"/>
    </row>
    <row r="401" spans="1:25" ht="18">
      <c r="A401" s="463">
        <v>4</v>
      </c>
      <c r="B401" s="462">
        <v>5</v>
      </c>
      <c r="C401" s="462" t="s">
        <v>595</v>
      </c>
      <c r="D401" s="457">
        <v>5</v>
      </c>
      <c r="E401" s="457"/>
      <c r="F401" s="457"/>
      <c r="G401" s="457">
        <v>2</v>
      </c>
      <c r="H401" s="456" t="s">
        <v>8</v>
      </c>
      <c r="I401" s="500"/>
      <c r="J401" s="458"/>
      <c r="K401" s="676"/>
      <c r="L401" s="676"/>
      <c r="M401" s="445"/>
      <c r="N401" s="445"/>
      <c r="O401" s="445"/>
      <c r="P401" s="445"/>
      <c r="Q401" s="445"/>
      <c r="R401" s="445"/>
      <c r="S401" s="445"/>
      <c r="T401" s="445"/>
      <c r="U401" s="445"/>
      <c r="V401" s="445"/>
      <c r="W401" s="445"/>
      <c r="X401" s="445"/>
      <c r="Y401" s="445"/>
    </row>
    <row r="402" spans="1:25" ht="31.5">
      <c r="A402" s="463">
        <v>4</v>
      </c>
      <c r="B402" s="462">
        <v>5</v>
      </c>
      <c r="C402" s="462" t="s">
        <v>437</v>
      </c>
      <c r="D402" s="457"/>
      <c r="E402" s="457"/>
      <c r="F402" s="457"/>
      <c r="G402" s="457"/>
      <c r="H402" s="476" t="s">
        <v>443</v>
      </c>
      <c r="I402" s="528">
        <f>I403</f>
        <v>0</v>
      </c>
      <c r="J402" s="458"/>
      <c r="K402" s="676"/>
      <c r="L402" s="676"/>
      <c r="M402" s="445"/>
      <c r="N402" s="445"/>
      <c r="O402" s="445"/>
      <c r="P402" s="445"/>
      <c r="Q402" s="445"/>
      <c r="R402" s="445"/>
      <c r="S402" s="445"/>
      <c r="T402" s="445"/>
      <c r="U402" s="445"/>
      <c r="V402" s="445"/>
      <c r="W402" s="445"/>
      <c r="X402" s="445"/>
      <c r="Y402" s="445"/>
    </row>
    <row r="403" spans="1:25" ht="31.5">
      <c r="A403" s="463">
        <v>4</v>
      </c>
      <c r="B403" s="462">
        <v>5</v>
      </c>
      <c r="C403" s="462" t="s">
        <v>437</v>
      </c>
      <c r="D403" s="457">
        <v>5</v>
      </c>
      <c r="E403" s="457"/>
      <c r="F403" s="457"/>
      <c r="G403" s="457">
        <v>2</v>
      </c>
      <c r="H403" s="456" t="s">
        <v>8</v>
      </c>
      <c r="I403" s="500"/>
      <c r="J403" s="458"/>
      <c r="K403" s="676"/>
      <c r="L403" s="676"/>
      <c r="M403" s="445"/>
      <c r="N403" s="445"/>
      <c r="O403" s="445"/>
      <c r="P403" s="445"/>
      <c r="Q403" s="445"/>
      <c r="R403" s="445"/>
      <c r="S403" s="445"/>
      <c r="T403" s="445"/>
      <c r="U403" s="445"/>
      <c r="V403" s="445"/>
      <c r="W403" s="445"/>
      <c r="X403" s="445"/>
      <c r="Y403" s="445"/>
    </row>
    <row r="404" spans="1:25" ht="18">
      <c r="A404" s="452">
        <v>4</v>
      </c>
      <c r="B404" s="459">
        <v>6</v>
      </c>
      <c r="C404" s="462"/>
      <c r="D404" s="457"/>
      <c r="E404" s="457"/>
      <c r="F404" s="457"/>
      <c r="G404" s="457"/>
      <c r="H404" s="489" t="s">
        <v>690</v>
      </c>
      <c r="I404" s="528">
        <f>I405+I398+I409</f>
        <v>0</v>
      </c>
      <c r="J404" s="458"/>
      <c r="K404" s="676"/>
      <c r="L404" s="676"/>
      <c r="M404" s="445"/>
      <c r="N404" s="445"/>
      <c r="O404" s="445"/>
      <c r="P404" s="445"/>
      <c r="Q404" s="445"/>
      <c r="R404" s="445"/>
      <c r="S404" s="445"/>
      <c r="T404" s="445"/>
      <c r="U404" s="445"/>
      <c r="V404" s="445"/>
      <c r="W404" s="445"/>
      <c r="X404" s="445"/>
      <c r="Y404" s="445"/>
    </row>
    <row r="405" spans="1:25" ht="18">
      <c r="A405" s="457">
        <v>4</v>
      </c>
      <c r="B405" s="462">
        <v>6</v>
      </c>
      <c r="C405" s="462" t="s">
        <v>593</v>
      </c>
      <c r="D405" s="457"/>
      <c r="E405" s="457"/>
      <c r="F405" s="457"/>
      <c r="G405" s="457"/>
      <c r="H405" s="476" t="s">
        <v>442</v>
      </c>
      <c r="I405" s="528">
        <f>I406</f>
        <v>0</v>
      </c>
      <c r="J405" s="458"/>
      <c r="K405" s="676"/>
      <c r="L405" s="676"/>
      <c r="M405" s="445"/>
      <c r="N405" s="445"/>
      <c r="O405" s="445"/>
      <c r="P405" s="445"/>
      <c r="Q405" s="445"/>
      <c r="R405" s="445"/>
      <c r="S405" s="445"/>
      <c r="T405" s="445"/>
      <c r="U405" s="445"/>
      <c r="V405" s="445"/>
      <c r="W405" s="445"/>
      <c r="X405" s="445"/>
      <c r="Y405" s="445"/>
    </row>
    <row r="406" spans="1:25" ht="18">
      <c r="A406" s="463">
        <v>4</v>
      </c>
      <c r="B406" s="462">
        <v>6</v>
      </c>
      <c r="C406" s="462" t="s">
        <v>593</v>
      </c>
      <c r="D406" s="457">
        <v>5</v>
      </c>
      <c r="E406" s="457"/>
      <c r="F406" s="457"/>
      <c r="G406" s="457">
        <v>2</v>
      </c>
      <c r="H406" s="456" t="s">
        <v>8</v>
      </c>
      <c r="I406" s="500"/>
      <c r="J406" s="458"/>
      <c r="K406" s="676"/>
      <c r="L406" s="676"/>
      <c r="M406" s="445"/>
      <c r="N406" s="445"/>
      <c r="O406" s="445"/>
      <c r="P406" s="445"/>
      <c r="Q406" s="445"/>
      <c r="R406" s="445"/>
      <c r="S406" s="445"/>
      <c r="T406" s="445"/>
      <c r="U406" s="445"/>
      <c r="V406" s="445"/>
      <c r="W406" s="445"/>
      <c r="X406" s="445"/>
      <c r="Y406" s="445"/>
    </row>
    <row r="407" spans="1:25" ht="18">
      <c r="A407" s="457">
        <v>4</v>
      </c>
      <c r="B407" s="462">
        <v>6</v>
      </c>
      <c r="C407" s="462" t="s">
        <v>594</v>
      </c>
      <c r="D407" s="457"/>
      <c r="E407" s="457"/>
      <c r="F407" s="457"/>
      <c r="G407" s="457"/>
      <c r="H407" s="476" t="s">
        <v>441</v>
      </c>
      <c r="I407" s="528">
        <f>I408</f>
        <v>0</v>
      </c>
      <c r="J407" s="458"/>
      <c r="K407" s="676"/>
      <c r="L407" s="676"/>
      <c r="M407" s="445"/>
      <c r="N407" s="445"/>
      <c r="O407" s="445"/>
      <c r="P407" s="445"/>
      <c r="Q407" s="445"/>
      <c r="R407" s="445"/>
      <c r="S407" s="445"/>
      <c r="T407" s="445"/>
      <c r="U407" s="445"/>
      <c r="V407" s="445"/>
      <c r="W407" s="445"/>
      <c r="X407" s="445"/>
      <c r="Y407" s="445"/>
    </row>
    <row r="408" spans="1:25" ht="18">
      <c r="A408" s="463">
        <v>4</v>
      </c>
      <c r="B408" s="462">
        <v>6</v>
      </c>
      <c r="C408" s="462" t="s">
        <v>594</v>
      </c>
      <c r="D408" s="457">
        <v>5</v>
      </c>
      <c r="E408" s="457"/>
      <c r="F408" s="457"/>
      <c r="G408" s="457">
        <v>2</v>
      </c>
      <c r="H408" s="456" t="s">
        <v>8</v>
      </c>
      <c r="I408" s="500"/>
      <c r="J408" s="458"/>
      <c r="K408" s="676"/>
      <c r="L408" s="676"/>
      <c r="M408" s="445"/>
      <c r="N408" s="445"/>
      <c r="O408" s="445"/>
      <c r="P408" s="445"/>
      <c r="Q408" s="445"/>
      <c r="R408" s="445"/>
      <c r="S408" s="445"/>
      <c r="T408" s="445"/>
      <c r="U408" s="445"/>
      <c r="V408" s="445"/>
      <c r="W408" s="445"/>
      <c r="X408" s="445"/>
      <c r="Y408" s="445"/>
    </row>
    <row r="409" spans="1:25" ht="31.5">
      <c r="A409" s="457">
        <v>4</v>
      </c>
      <c r="B409" s="462">
        <v>6</v>
      </c>
      <c r="C409" s="462" t="s">
        <v>437</v>
      </c>
      <c r="D409" s="457"/>
      <c r="E409" s="457"/>
      <c r="F409" s="457"/>
      <c r="G409" s="457"/>
      <c r="H409" s="476" t="s">
        <v>440</v>
      </c>
      <c r="I409" s="528">
        <f>I410</f>
        <v>0</v>
      </c>
      <c r="J409" s="458"/>
      <c r="K409" s="676"/>
      <c r="L409" s="676"/>
      <c r="M409" s="445"/>
      <c r="N409" s="445"/>
      <c r="O409" s="445"/>
      <c r="P409" s="445"/>
      <c r="Q409" s="445"/>
      <c r="R409" s="445"/>
      <c r="S409" s="445"/>
      <c r="T409" s="445"/>
      <c r="U409" s="445"/>
      <c r="V409" s="445"/>
      <c r="W409" s="445"/>
      <c r="X409" s="445"/>
      <c r="Y409" s="445"/>
    </row>
    <row r="410" spans="1:25" ht="31.5">
      <c r="A410" s="463">
        <v>4</v>
      </c>
      <c r="B410" s="462">
        <v>6</v>
      </c>
      <c r="C410" s="462" t="s">
        <v>437</v>
      </c>
      <c r="D410" s="457">
        <v>5</v>
      </c>
      <c r="E410" s="457"/>
      <c r="F410" s="457"/>
      <c r="G410" s="457">
        <v>2</v>
      </c>
      <c r="H410" s="456" t="s">
        <v>8</v>
      </c>
      <c r="I410" s="500"/>
      <c r="J410" s="458"/>
      <c r="K410" s="676"/>
      <c r="L410" s="676"/>
      <c r="M410" s="445"/>
      <c r="N410" s="445"/>
      <c r="O410" s="445"/>
      <c r="P410" s="445"/>
      <c r="Q410" s="445"/>
      <c r="R410" s="445"/>
      <c r="S410" s="445"/>
      <c r="T410" s="445"/>
      <c r="U410" s="445"/>
      <c r="V410" s="445"/>
      <c r="W410" s="445"/>
      <c r="X410" s="445"/>
      <c r="Y410" s="445"/>
    </row>
    <row r="411" spans="1:25" ht="18">
      <c r="A411" s="457">
        <v>4</v>
      </c>
      <c r="B411" s="462">
        <v>7</v>
      </c>
      <c r="C411" s="462"/>
      <c r="D411" s="457"/>
      <c r="E411" s="457"/>
      <c r="F411" s="457"/>
      <c r="G411" s="457"/>
      <c r="H411" s="489" t="s">
        <v>691</v>
      </c>
      <c r="I411" s="528">
        <f>I412+I414+I416+I419+I421</f>
        <v>0</v>
      </c>
      <c r="J411" s="458"/>
      <c r="K411" s="676"/>
      <c r="L411" s="676"/>
      <c r="M411" s="445"/>
      <c r="N411" s="445"/>
      <c r="O411" s="445"/>
      <c r="P411" s="445"/>
      <c r="Q411" s="445"/>
      <c r="R411" s="445"/>
      <c r="S411" s="445"/>
      <c r="T411" s="445"/>
      <c r="U411" s="445"/>
      <c r="V411" s="445"/>
      <c r="W411" s="445"/>
      <c r="X411" s="445"/>
      <c r="Y411" s="445"/>
    </row>
    <row r="412" spans="1:25" ht="18">
      <c r="A412" s="457">
        <v>4</v>
      </c>
      <c r="B412" s="462">
        <v>7</v>
      </c>
      <c r="C412" s="462" t="s">
        <v>593</v>
      </c>
      <c r="D412" s="457"/>
      <c r="E412" s="457"/>
      <c r="F412" s="457"/>
      <c r="G412" s="457"/>
      <c r="H412" s="502" t="s">
        <v>439</v>
      </c>
      <c r="I412" s="531">
        <f>I413</f>
        <v>0</v>
      </c>
      <c r="J412" s="458"/>
      <c r="K412" s="676"/>
      <c r="L412" s="676"/>
      <c r="M412" s="445"/>
      <c r="N412" s="445"/>
      <c r="O412" s="445"/>
      <c r="P412" s="445"/>
      <c r="Q412" s="445"/>
      <c r="R412" s="445"/>
      <c r="S412" s="445"/>
      <c r="T412" s="445"/>
      <c r="U412" s="445"/>
      <c r="V412" s="445"/>
      <c r="W412" s="445"/>
      <c r="X412" s="445"/>
      <c r="Y412" s="445"/>
    </row>
    <row r="413" spans="1:25" ht="18">
      <c r="A413" s="463">
        <v>4</v>
      </c>
      <c r="B413" s="464">
        <v>7</v>
      </c>
      <c r="C413" s="462" t="s">
        <v>593</v>
      </c>
      <c r="D413" s="457">
        <v>5</v>
      </c>
      <c r="E413" s="457"/>
      <c r="F413" s="457"/>
      <c r="G413" s="457">
        <v>2</v>
      </c>
      <c r="H413" s="456" t="s">
        <v>8</v>
      </c>
      <c r="I413" s="500"/>
      <c r="J413" s="458"/>
      <c r="K413" s="676"/>
      <c r="L413" s="676"/>
      <c r="M413" s="445"/>
      <c r="N413" s="445"/>
      <c r="O413" s="445"/>
      <c r="P413" s="445"/>
      <c r="Q413" s="445"/>
      <c r="R413" s="445"/>
      <c r="S413" s="445"/>
      <c r="T413" s="445"/>
      <c r="U413" s="445"/>
      <c r="V413" s="445"/>
      <c r="W413" s="445"/>
      <c r="X413" s="445"/>
      <c r="Y413" s="445"/>
    </row>
    <row r="414" spans="1:25" ht="18">
      <c r="A414" s="463">
        <v>4</v>
      </c>
      <c r="B414" s="464">
        <v>7</v>
      </c>
      <c r="C414" s="464" t="s">
        <v>594</v>
      </c>
      <c r="D414" s="457"/>
      <c r="E414" s="457"/>
      <c r="F414" s="457"/>
      <c r="G414" s="457"/>
      <c r="H414" s="502" t="s">
        <v>692</v>
      </c>
      <c r="I414" s="531">
        <f>I415</f>
        <v>0</v>
      </c>
      <c r="J414" s="458"/>
      <c r="K414" s="676"/>
      <c r="L414" s="676"/>
      <c r="M414" s="445"/>
      <c r="N414" s="445"/>
      <c r="O414" s="445"/>
      <c r="P414" s="445"/>
      <c r="Q414" s="445"/>
      <c r="R414" s="445"/>
      <c r="S414" s="445"/>
      <c r="T414" s="445"/>
      <c r="U414" s="445"/>
      <c r="V414" s="445"/>
      <c r="W414" s="445"/>
      <c r="X414" s="445"/>
      <c r="Y414" s="445"/>
    </row>
    <row r="415" spans="1:25" ht="18">
      <c r="A415" s="463">
        <v>4</v>
      </c>
      <c r="B415" s="464">
        <v>7</v>
      </c>
      <c r="C415" s="464" t="s">
        <v>594</v>
      </c>
      <c r="D415" s="457">
        <v>5</v>
      </c>
      <c r="E415" s="457"/>
      <c r="F415" s="457"/>
      <c r="G415" s="457">
        <v>3</v>
      </c>
      <c r="H415" s="456" t="s">
        <v>9</v>
      </c>
      <c r="I415" s="500"/>
      <c r="J415" s="458"/>
      <c r="K415" s="676"/>
      <c r="L415" s="676"/>
      <c r="M415" s="445"/>
      <c r="N415" s="445"/>
      <c r="O415" s="445"/>
      <c r="P415" s="445"/>
      <c r="Q415" s="445"/>
      <c r="R415" s="445"/>
      <c r="S415" s="445"/>
      <c r="T415" s="445"/>
      <c r="U415" s="445"/>
      <c r="V415" s="445"/>
      <c r="W415" s="445"/>
      <c r="X415" s="445"/>
      <c r="Y415" s="445"/>
    </row>
    <row r="416" spans="1:25" ht="18">
      <c r="A416" s="463">
        <v>4</v>
      </c>
      <c r="B416" s="464">
        <v>7</v>
      </c>
      <c r="C416" s="462" t="s">
        <v>595</v>
      </c>
      <c r="D416" s="457"/>
      <c r="E416" s="457"/>
      <c r="F416" s="457"/>
      <c r="G416" s="457"/>
      <c r="H416" s="502" t="s">
        <v>438</v>
      </c>
      <c r="I416" s="531">
        <f>I417+I418</f>
        <v>0</v>
      </c>
      <c r="J416" s="458"/>
      <c r="K416" s="676"/>
      <c r="L416" s="676"/>
      <c r="M416" s="445"/>
      <c r="N416" s="445"/>
      <c r="O416" s="445"/>
      <c r="P416" s="445"/>
      <c r="Q416" s="445"/>
      <c r="R416" s="445"/>
      <c r="S416" s="445"/>
      <c r="T416" s="445"/>
      <c r="U416" s="445"/>
      <c r="V416" s="445"/>
      <c r="W416" s="445"/>
      <c r="X416" s="445"/>
      <c r="Y416" s="445"/>
    </row>
    <row r="417" spans="1:25" ht="18">
      <c r="A417" s="463">
        <v>4</v>
      </c>
      <c r="B417" s="464">
        <v>7</v>
      </c>
      <c r="C417" s="462" t="s">
        <v>595</v>
      </c>
      <c r="D417" s="457">
        <v>5</v>
      </c>
      <c r="E417" s="457"/>
      <c r="F417" s="457"/>
      <c r="G417" s="457">
        <v>2</v>
      </c>
      <c r="H417" s="456" t="s">
        <v>8</v>
      </c>
      <c r="I417" s="500"/>
      <c r="J417" s="458"/>
      <c r="K417" s="676"/>
      <c r="L417" s="676"/>
      <c r="M417" s="445"/>
      <c r="N417" s="445"/>
      <c r="O417" s="445"/>
      <c r="P417" s="445"/>
      <c r="Q417" s="445"/>
      <c r="R417" s="445"/>
      <c r="S417" s="445"/>
      <c r="T417" s="445"/>
      <c r="U417" s="445"/>
      <c r="V417" s="445"/>
      <c r="W417" s="445"/>
      <c r="X417" s="445"/>
      <c r="Y417" s="445"/>
    </row>
    <row r="418" spans="1:25" ht="18">
      <c r="A418" s="463">
        <v>4</v>
      </c>
      <c r="B418" s="464">
        <v>7</v>
      </c>
      <c r="C418" s="462" t="s">
        <v>595</v>
      </c>
      <c r="D418" s="457">
        <v>5</v>
      </c>
      <c r="E418" s="457"/>
      <c r="F418" s="457"/>
      <c r="G418" s="457">
        <v>3</v>
      </c>
      <c r="H418" s="456" t="s">
        <v>9</v>
      </c>
      <c r="I418" s="500"/>
      <c r="J418" s="458"/>
      <c r="K418" s="676"/>
      <c r="L418" s="676"/>
      <c r="M418" s="445"/>
      <c r="N418" s="445"/>
      <c r="O418" s="445"/>
      <c r="P418" s="445"/>
      <c r="Q418" s="445"/>
      <c r="R418" s="445"/>
      <c r="S418" s="445"/>
      <c r="T418" s="445"/>
      <c r="U418" s="445"/>
      <c r="V418" s="445"/>
      <c r="W418" s="445"/>
      <c r="X418" s="445"/>
      <c r="Y418" s="445"/>
    </row>
    <row r="419" spans="1:25" ht="31.5">
      <c r="A419" s="457">
        <v>4</v>
      </c>
      <c r="B419" s="462">
        <v>7</v>
      </c>
      <c r="C419" s="462" t="s">
        <v>596</v>
      </c>
      <c r="D419" s="457"/>
      <c r="E419" s="457"/>
      <c r="F419" s="457"/>
      <c r="G419" s="457"/>
      <c r="H419" s="503" t="s">
        <v>693</v>
      </c>
      <c r="I419" s="532">
        <f>I420</f>
        <v>0</v>
      </c>
      <c r="J419" s="458"/>
      <c r="K419" s="676"/>
      <c r="L419" s="676"/>
      <c r="M419" s="445"/>
      <c r="N419" s="445"/>
      <c r="O419" s="445"/>
      <c r="P419" s="445"/>
      <c r="Q419" s="445"/>
      <c r="R419" s="445"/>
      <c r="S419" s="445"/>
      <c r="T419" s="445"/>
      <c r="U419" s="445"/>
      <c r="V419" s="445"/>
      <c r="W419" s="445"/>
      <c r="X419" s="445"/>
      <c r="Y419" s="445"/>
    </row>
    <row r="420" spans="1:25" ht="18">
      <c r="A420" s="463">
        <v>4</v>
      </c>
      <c r="B420" s="464">
        <v>7</v>
      </c>
      <c r="C420" s="462" t="s">
        <v>596</v>
      </c>
      <c r="D420" s="457">
        <v>5</v>
      </c>
      <c r="E420" s="457"/>
      <c r="F420" s="457"/>
      <c r="G420" s="457">
        <v>2</v>
      </c>
      <c r="H420" s="456" t="s">
        <v>8</v>
      </c>
      <c r="I420" s="500"/>
      <c r="J420" s="458"/>
      <c r="K420" s="676"/>
      <c r="L420" s="676"/>
      <c r="M420" s="445"/>
      <c r="N420" s="445"/>
      <c r="O420" s="445"/>
      <c r="P420" s="445"/>
      <c r="Q420" s="445"/>
      <c r="R420" s="445"/>
      <c r="S420" s="445"/>
      <c r="T420" s="445"/>
      <c r="U420" s="445"/>
      <c r="V420" s="445"/>
      <c r="W420" s="445"/>
      <c r="X420" s="445"/>
      <c r="Y420" s="445"/>
    </row>
    <row r="421" spans="1:25" ht="31.5">
      <c r="A421" s="463">
        <v>4</v>
      </c>
      <c r="B421" s="464">
        <v>7</v>
      </c>
      <c r="C421" s="462" t="s">
        <v>437</v>
      </c>
      <c r="D421" s="457"/>
      <c r="E421" s="457"/>
      <c r="F421" s="457"/>
      <c r="G421" s="457"/>
      <c r="H421" s="502" t="s">
        <v>436</v>
      </c>
      <c r="I421" s="531">
        <f>I422</f>
        <v>0</v>
      </c>
      <c r="J421" s="458"/>
      <c r="K421" s="676"/>
      <c r="L421" s="676"/>
      <c r="M421" s="445"/>
      <c r="N421" s="445"/>
      <c r="O421" s="445"/>
      <c r="P421" s="445"/>
      <c r="Q421" s="445"/>
      <c r="R421" s="445"/>
      <c r="S421" s="445"/>
      <c r="T421" s="445"/>
      <c r="U421" s="445"/>
      <c r="V421" s="445"/>
      <c r="W421" s="445"/>
      <c r="X421" s="445"/>
      <c r="Y421" s="445"/>
    </row>
    <row r="422" spans="1:25" ht="31.5">
      <c r="A422" s="463">
        <v>4</v>
      </c>
      <c r="B422" s="464">
        <v>7</v>
      </c>
      <c r="C422" s="462" t="s">
        <v>437</v>
      </c>
      <c r="D422" s="457">
        <v>5</v>
      </c>
      <c r="E422" s="457"/>
      <c r="F422" s="457"/>
      <c r="G422" s="457">
        <v>2</v>
      </c>
      <c r="H422" s="456" t="s">
        <v>8</v>
      </c>
      <c r="I422" s="500"/>
      <c r="J422" s="458"/>
      <c r="K422" s="676"/>
      <c r="L422" s="676"/>
      <c r="M422" s="445"/>
      <c r="N422" s="445"/>
      <c r="O422" s="445"/>
      <c r="P422" s="445"/>
      <c r="Q422" s="445"/>
      <c r="R422" s="445"/>
      <c r="S422" s="445"/>
      <c r="T422" s="445"/>
      <c r="U422" s="445"/>
      <c r="V422" s="445"/>
      <c r="W422" s="445"/>
      <c r="X422" s="445"/>
      <c r="Y422" s="445"/>
    </row>
    <row r="423" spans="1:25" ht="18">
      <c r="A423" s="452">
        <v>5</v>
      </c>
      <c r="B423" s="459"/>
      <c r="C423" s="459"/>
      <c r="D423" s="452"/>
      <c r="E423" s="452"/>
      <c r="F423" s="452"/>
      <c r="G423" s="452"/>
      <c r="H423" s="453" t="s">
        <v>694</v>
      </c>
      <c r="I423" s="524">
        <f>I424+I427+I430</f>
        <v>0</v>
      </c>
      <c r="J423" s="454"/>
      <c r="K423" s="675"/>
      <c r="L423" s="675"/>
      <c r="M423" s="455"/>
      <c r="N423" s="455"/>
      <c r="O423" s="455"/>
      <c r="P423" s="455"/>
      <c r="Q423" s="455"/>
      <c r="R423" s="455"/>
      <c r="S423" s="455"/>
      <c r="T423" s="455"/>
      <c r="U423" s="455"/>
      <c r="V423" s="455"/>
      <c r="W423" s="455"/>
      <c r="X423" s="455"/>
      <c r="Y423" s="455"/>
    </row>
    <row r="424" spans="1:25" ht="18">
      <c r="A424" s="452">
        <v>5</v>
      </c>
      <c r="B424" s="459">
        <v>1</v>
      </c>
      <c r="C424" s="452"/>
      <c r="D424" s="452"/>
      <c r="E424" s="452"/>
      <c r="F424" s="452"/>
      <c r="G424" s="452"/>
      <c r="H424" s="453" t="s">
        <v>435</v>
      </c>
      <c r="I424" s="524">
        <f>I425</f>
        <v>0</v>
      </c>
      <c r="J424" s="454"/>
      <c r="K424" s="675"/>
      <c r="L424" s="675"/>
      <c r="M424" s="455"/>
      <c r="N424" s="455"/>
      <c r="O424" s="455"/>
      <c r="P424" s="455"/>
      <c r="Q424" s="455"/>
      <c r="R424" s="455"/>
      <c r="S424" s="455"/>
      <c r="T424" s="455"/>
      <c r="U424" s="455"/>
      <c r="V424" s="455"/>
      <c r="W424" s="455"/>
      <c r="X424" s="455"/>
      <c r="Y424" s="455"/>
    </row>
    <row r="425" spans="1:25" ht="18">
      <c r="A425" s="452">
        <v>5</v>
      </c>
      <c r="B425" s="459">
        <v>1</v>
      </c>
      <c r="C425" s="459" t="s">
        <v>695</v>
      </c>
      <c r="D425" s="452"/>
      <c r="E425" s="452"/>
      <c r="F425" s="452"/>
      <c r="G425" s="452"/>
      <c r="H425" s="453" t="s">
        <v>435</v>
      </c>
      <c r="I425" s="524">
        <f>I426</f>
        <v>0</v>
      </c>
      <c r="J425" s="454"/>
      <c r="K425" s="675"/>
      <c r="L425" s="675"/>
      <c r="M425" s="455"/>
      <c r="N425" s="455"/>
      <c r="O425" s="455"/>
      <c r="P425" s="455"/>
      <c r="Q425" s="455"/>
      <c r="R425" s="455"/>
      <c r="S425" s="455"/>
      <c r="T425" s="455"/>
      <c r="U425" s="455"/>
      <c r="V425" s="455"/>
      <c r="W425" s="455"/>
      <c r="X425" s="455"/>
      <c r="Y425" s="455"/>
    </row>
    <row r="426" spans="1:25" ht="18">
      <c r="A426" s="457">
        <v>5</v>
      </c>
      <c r="B426" s="462">
        <v>1</v>
      </c>
      <c r="C426" s="462" t="s">
        <v>695</v>
      </c>
      <c r="D426" s="457">
        <v>5</v>
      </c>
      <c r="E426" s="457"/>
      <c r="F426" s="457"/>
      <c r="G426" s="457">
        <v>4</v>
      </c>
      <c r="H426" s="456" t="s">
        <v>696</v>
      </c>
      <c r="I426" s="525"/>
      <c r="J426" s="458"/>
      <c r="K426" s="676"/>
      <c r="L426" s="676"/>
      <c r="M426" s="445"/>
      <c r="N426" s="445"/>
      <c r="O426" s="445"/>
      <c r="P426" s="445"/>
      <c r="Q426" s="445"/>
      <c r="R426" s="445"/>
      <c r="S426" s="445"/>
      <c r="T426" s="445"/>
      <c r="U426" s="445"/>
      <c r="V426" s="445"/>
      <c r="W426" s="445"/>
      <c r="X426" s="445"/>
      <c r="Y426" s="445"/>
    </row>
    <row r="427" spans="1:25" ht="18">
      <c r="A427" s="452">
        <v>5</v>
      </c>
      <c r="B427" s="459">
        <v>2</v>
      </c>
      <c r="C427" s="452"/>
      <c r="D427" s="452"/>
      <c r="E427" s="452"/>
      <c r="F427" s="452"/>
      <c r="G427" s="452"/>
      <c r="H427" s="453" t="s">
        <v>434</v>
      </c>
      <c r="I427" s="524">
        <f>I428</f>
        <v>0</v>
      </c>
      <c r="J427" s="454"/>
      <c r="K427" s="675"/>
      <c r="L427" s="675"/>
      <c r="M427" s="455"/>
      <c r="N427" s="455"/>
      <c r="O427" s="455"/>
      <c r="P427" s="455"/>
      <c r="Q427" s="455"/>
      <c r="R427" s="455"/>
      <c r="S427" s="455"/>
      <c r="T427" s="455"/>
      <c r="U427" s="455"/>
      <c r="V427" s="455"/>
      <c r="W427" s="455"/>
      <c r="X427" s="455"/>
      <c r="Y427" s="455"/>
    </row>
    <row r="428" spans="1:25" ht="18">
      <c r="A428" s="452">
        <v>5</v>
      </c>
      <c r="B428" s="459">
        <v>2</v>
      </c>
      <c r="C428" s="459" t="s">
        <v>695</v>
      </c>
      <c r="D428" s="452"/>
      <c r="E428" s="452"/>
      <c r="F428" s="452"/>
      <c r="G428" s="452"/>
      <c r="H428" s="453" t="s">
        <v>435</v>
      </c>
      <c r="I428" s="524">
        <f>I429</f>
        <v>0</v>
      </c>
      <c r="J428" s="454"/>
      <c r="K428" s="675"/>
      <c r="L428" s="675"/>
      <c r="M428" s="455"/>
      <c r="N428" s="455"/>
      <c r="O428" s="455"/>
      <c r="P428" s="455"/>
      <c r="Q428" s="455"/>
      <c r="R428" s="455"/>
      <c r="S428" s="455"/>
      <c r="T428" s="455"/>
      <c r="U428" s="455"/>
      <c r="V428" s="455"/>
      <c r="W428" s="455"/>
      <c r="X428" s="455"/>
      <c r="Y428" s="455"/>
    </row>
    <row r="429" spans="1:25" ht="18">
      <c r="A429" s="457">
        <v>5</v>
      </c>
      <c r="B429" s="462">
        <v>2</v>
      </c>
      <c r="C429" s="462" t="s">
        <v>695</v>
      </c>
      <c r="D429" s="457">
        <v>5</v>
      </c>
      <c r="E429" s="457"/>
      <c r="F429" s="457"/>
      <c r="G429" s="457">
        <v>4</v>
      </c>
      <c r="H429" s="456" t="s">
        <v>696</v>
      </c>
      <c r="I429" s="525"/>
      <c r="J429" s="458"/>
      <c r="K429" s="676"/>
      <c r="L429" s="676"/>
      <c r="M429" s="445"/>
      <c r="N429" s="445"/>
      <c r="O429" s="445"/>
      <c r="P429" s="445"/>
      <c r="Q429" s="445"/>
      <c r="R429" s="445"/>
      <c r="S429" s="445"/>
      <c r="T429" s="445"/>
      <c r="U429" s="445"/>
      <c r="V429" s="445"/>
      <c r="W429" s="445"/>
      <c r="X429" s="445"/>
      <c r="Y429" s="445"/>
    </row>
    <row r="430" spans="1:25" ht="18">
      <c r="A430" s="452">
        <v>5</v>
      </c>
      <c r="B430" s="459">
        <v>3</v>
      </c>
      <c r="C430" s="452"/>
      <c r="D430" s="452"/>
      <c r="E430" s="452"/>
      <c r="F430" s="452"/>
      <c r="G430" s="452"/>
      <c r="H430" s="453" t="s">
        <v>697</v>
      </c>
      <c r="I430" s="524">
        <f>I431</f>
        <v>0</v>
      </c>
      <c r="J430" s="454"/>
      <c r="K430" s="675"/>
      <c r="L430" s="675"/>
      <c r="M430" s="455"/>
      <c r="N430" s="455"/>
      <c r="O430" s="455"/>
      <c r="P430" s="455"/>
      <c r="Q430" s="455"/>
      <c r="R430" s="455"/>
      <c r="S430" s="455"/>
      <c r="T430" s="455"/>
      <c r="U430" s="455"/>
      <c r="V430" s="455"/>
      <c r="W430" s="455"/>
      <c r="X430" s="455"/>
      <c r="Y430" s="455"/>
    </row>
    <row r="431" spans="1:25" ht="18">
      <c r="A431" s="452">
        <v>5</v>
      </c>
      <c r="B431" s="459">
        <v>3</v>
      </c>
      <c r="C431" s="459" t="s">
        <v>695</v>
      </c>
      <c r="D431" s="452"/>
      <c r="E431" s="452"/>
      <c r="F431" s="452"/>
      <c r="G431" s="452"/>
      <c r="H431" s="453" t="s">
        <v>435</v>
      </c>
      <c r="I431" s="524">
        <f>I432</f>
        <v>0</v>
      </c>
      <c r="J431" s="454"/>
      <c r="K431" s="675"/>
      <c r="L431" s="675"/>
      <c r="M431" s="455"/>
      <c r="N431" s="455"/>
      <c r="O431" s="455"/>
      <c r="P431" s="455"/>
      <c r="Q431" s="455"/>
      <c r="R431" s="455"/>
      <c r="S431" s="455"/>
      <c r="T431" s="455"/>
      <c r="U431" s="455"/>
      <c r="V431" s="455"/>
      <c r="W431" s="455"/>
      <c r="X431" s="455"/>
      <c r="Y431" s="455"/>
    </row>
    <row r="432" spans="1:25" ht="18">
      <c r="A432" s="457">
        <v>5</v>
      </c>
      <c r="B432" s="462">
        <v>3</v>
      </c>
      <c r="C432" s="462" t="s">
        <v>695</v>
      </c>
      <c r="D432" s="457">
        <v>5</v>
      </c>
      <c r="E432" s="457"/>
      <c r="F432" s="457"/>
      <c r="G432" s="457">
        <v>4</v>
      </c>
      <c r="H432" s="456" t="s">
        <v>696</v>
      </c>
      <c r="I432" s="525"/>
      <c r="J432" s="458"/>
      <c r="K432" s="676"/>
      <c r="L432" s="676"/>
      <c r="M432" s="445"/>
      <c r="N432" s="445"/>
      <c r="O432" s="445"/>
      <c r="P432" s="445"/>
      <c r="Q432" s="445"/>
      <c r="R432" s="445"/>
      <c r="S432" s="445"/>
      <c r="T432" s="445"/>
      <c r="U432" s="445"/>
      <c r="V432" s="445"/>
      <c r="W432" s="445"/>
      <c r="X432" s="445"/>
      <c r="Y432" s="445"/>
    </row>
    <row r="433" spans="1:25" ht="18">
      <c r="A433" s="457"/>
      <c r="B433" s="462"/>
      <c r="C433" s="462"/>
      <c r="D433" s="457"/>
      <c r="E433" s="457"/>
      <c r="F433" s="457"/>
      <c r="G433" s="457"/>
      <c r="H433" s="456"/>
      <c r="I433" s="525"/>
      <c r="J433" s="458"/>
      <c r="K433" s="676"/>
      <c r="L433" s="676"/>
      <c r="M433" s="445"/>
      <c r="N433" s="445"/>
      <c r="O433" s="445"/>
      <c r="P433" s="445"/>
      <c r="Q433" s="445"/>
      <c r="R433" s="445"/>
      <c r="S433" s="445"/>
      <c r="T433" s="445"/>
      <c r="U433" s="445"/>
      <c r="V433" s="445"/>
      <c r="W433" s="445"/>
      <c r="X433" s="445"/>
      <c r="Y433" s="445"/>
    </row>
    <row r="434" spans="1:25" ht="18">
      <c r="A434" s="457"/>
      <c r="B434" s="457"/>
      <c r="C434" s="457"/>
      <c r="D434" s="457"/>
      <c r="E434" s="457"/>
      <c r="F434" s="457"/>
      <c r="G434" s="457"/>
      <c r="H434" s="456"/>
      <c r="I434" s="525"/>
      <c r="J434" s="458"/>
      <c r="K434" s="676"/>
      <c r="L434" s="676"/>
      <c r="M434" s="445"/>
      <c r="N434" s="445"/>
      <c r="O434" s="445"/>
      <c r="P434" s="445"/>
      <c r="Q434" s="445"/>
      <c r="R434" s="445"/>
      <c r="S434" s="445"/>
      <c r="T434" s="445"/>
      <c r="U434" s="445"/>
      <c r="V434" s="445"/>
      <c r="W434" s="445"/>
      <c r="X434" s="445"/>
      <c r="Y434" s="445"/>
    </row>
    <row r="435" spans="1:25" ht="18">
      <c r="A435" s="457"/>
      <c r="B435" s="457"/>
      <c r="C435" s="457"/>
      <c r="D435" s="457"/>
      <c r="E435" s="457"/>
      <c r="F435" s="457"/>
      <c r="G435" s="457"/>
      <c r="H435" s="456" t="s">
        <v>10</v>
      </c>
      <c r="I435" s="525" t="e">
        <f>I22</f>
        <v>#REF!</v>
      </c>
      <c r="J435" s="458"/>
      <c r="K435" s="676"/>
      <c r="L435" s="676"/>
      <c r="M435" s="445"/>
      <c r="N435" s="445"/>
      <c r="O435" s="445"/>
      <c r="P435" s="445"/>
      <c r="Q435" s="445"/>
      <c r="R435" s="445"/>
      <c r="S435" s="445"/>
      <c r="T435" s="445"/>
      <c r="U435" s="445"/>
      <c r="V435" s="445"/>
      <c r="W435" s="445"/>
      <c r="X435" s="445"/>
      <c r="Y435" s="445"/>
    </row>
    <row r="436" spans="1:25" ht="18">
      <c r="A436" s="457"/>
      <c r="B436" s="457"/>
      <c r="C436" s="457"/>
      <c r="D436" s="457"/>
      <c r="E436" s="457"/>
      <c r="F436" s="457"/>
      <c r="G436" s="457"/>
      <c r="H436" s="456" t="s">
        <v>698</v>
      </c>
      <c r="I436" s="525" t="e">
        <f>I20-I435</f>
        <v>#REF!</v>
      </c>
      <c r="J436" s="458"/>
      <c r="K436" s="676"/>
      <c r="L436" s="676"/>
      <c r="M436" s="445"/>
      <c r="N436" s="445"/>
      <c r="O436" s="445"/>
      <c r="P436" s="445"/>
      <c r="Q436" s="445"/>
      <c r="R436" s="445"/>
      <c r="S436" s="445"/>
      <c r="T436" s="445"/>
      <c r="U436" s="445"/>
      <c r="V436" s="445"/>
      <c r="W436" s="445"/>
      <c r="X436" s="445"/>
      <c r="Y436" s="445"/>
    </row>
    <row r="437" spans="1:25" ht="18">
      <c r="A437" s="457"/>
      <c r="B437" s="457"/>
      <c r="C437" s="457"/>
      <c r="D437" s="457"/>
      <c r="E437" s="457"/>
      <c r="F437" s="457"/>
      <c r="G437" s="457"/>
      <c r="H437" s="456"/>
      <c r="I437" s="525"/>
      <c r="J437" s="458"/>
      <c r="K437" s="676"/>
      <c r="L437" s="676"/>
      <c r="M437" s="445"/>
      <c r="N437" s="445"/>
      <c r="O437" s="445"/>
      <c r="P437" s="445"/>
      <c r="Q437" s="445"/>
      <c r="R437" s="445"/>
      <c r="S437" s="445"/>
      <c r="T437" s="445"/>
      <c r="U437" s="445"/>
      <c r="V437" s="445"/>
      <c r="W437" s="445"/>
      <c r="X437" s="445"/>
      <c r="Y437" s="445"/>
    </row>
    <row r="438" spans="1:25" ht="18">
      <c r="A438" s="457"/>
      <c r="B438" s="457"/>
      <c r="C438" s="457"/>
      <c r="D438" s="457">
        <v>6</v>
      </c>
      <c r="E438" s="457"/>
      <c r="F438" s="457"/>
      <c r="G438" s="457"/>
      <c r="H438" s="456" t="s">
        <v>11</v>
      </c>
      <c r="I438" s="525">
        <f>I439-I440</f>
        <v>0</v>
      </c>
      <c r="J438" s="458"/>
      <c r="K438" s="676"/>
      <c r="L438" s="676"/>
      <c r="M438" s="445"/>
      <c r="N438" s="445"/>
      <c r="O438" s="445"/>
      <c r="P438" s="445"/>
      <c r="Q438" s="445"/>
      <c r="R438" s="445"/>
      <c r="S438" s="445"/>
      <c r="T438" s="445"/>
      <c r="U438" s="445"/>
      <c r="V438" s="445"/>
      <c r="W438" s="445"/>
      <c r="X438" s="445"/>
      <c r="Y438" s="445"/>
    </row>
    <row r="439" spans="1:25" ht="18">
      <c r="A439" s="457"/>
      <c r="B439" s="457"/>
      <c r="C439" s="457"/>
      <c r="D439" s="457">
        <v>6</v>
      </c>
      <c r="E439" s="457"/>
      <c r="F439" s="457"/>
      <c r="G439" s="457">
        <v>1</v>
      </c>
      <c r="H439" s="456" t="s">
        <v>16</v>
      </c>
      <c r="I439" s="525"/>
      <c r="J439" s="458"/>
      <c r="K439" s="676"/>
      <c r="L439" s="676"/>
      <c r="M439" s="445"/>
      <c r="N439" s="445"/>
      <c r="O439" s="445"/>
      <c r="P439" s="445"/>
      <c r="Q439" s="445"/>
      <c r="R439" s="445"/>
      <c r="S439" s="445"/>
      <c r="T439" s="445"/>
      <c r="U439" s="445"/>
      <c r="V439" s="445"/>
      <c r="W439" s="445"/>
      <c r="X439" s="445"/>
      <c r="Y439" s="445"/>
    </row>
    <row r="440" spans="1:25" ht="18">
      <c r="A440" s="457"/>
      <c r="B440" s="457"/>
      <c r="C440" s="457"/>
      <c r="D440" s="457">
        <v>6</v>
      </c>
      <c r="E440" s="457"/>
      <c r="F440" s="457"/>
      <c r="G440" s="457">
        <v>2</v>
      </c>
      <c r="H440" s="456" t="s">
        <v>18</v>
      </c>
      <c r="I440" s="525"/>
      <c r="J440" s="458"/>
      <c r="K440" s="676"/>
      <c r="L440" s="676"/>
      <c r="M440" s="445"/>
      <c r="N440" s="445"/>
      <c r="O440" s="445"/>
      <c r="P440" s="445"/>
      <c r="Q440" s="445"/>
      <c r="R440" s="445"/>
      <c r="S440" s="445"/>
      <c r="T440" s="445"/>
      <c r="U440" s="445"/>
      <c r="V440" s="445"/>
      <c r="W440" s="445"/>
      <c r="X440" s="445"/>
      <c r="Y440" s="445"/>
    </row>
    <row r="441" spans="1:25" ht="18.75">
      <c r="A441" s="504"/>
      <c r="B441" s="505"/>
      <c r="C441" s="505"/>
      <c r="D441" s="505"/>
      <c r="E441" s="505"/>
      <c r="F441" s="505"/>
      <c r="G441" s="505"/>
      <c r="H441" s="506"/>
      <c r="I441" s="533"/>
      <c r="J441" s="507"/>
      <c r="K441" s="676"/>
      <c r="L441" s="676"/>
      <c r="M441" s="418"/>
      <c r="N441" s="418"/>
      <c r="O441" s="418"/>
      <c r="P441" s="418"/>
      <c r="Q441" s="418"/>
      <c r="R441" s="418"/>
      <c r="S441" s="418"/>
      <c r="T441" s="418"/>
      <c r="U441" s="418"/>
      <c r="V441" s="418"/>
      <c r="W441" s="418"/>
      <c r="X441" s="418"/>
      <c r="Y441" s="418"/>
    </row>
    <row r="442" spans="1:25" ht="18.75">
      <c r="A442" s="457"/>
      <c r="B442" s="508"/>
      <c r="C442" s="508"/>
      <c r="D442" s="508"/>
      <c r="E442" s="508"/>
      <c r="F442" s="508"/>
      <c r="G442" s="508"/>
      <c r="H442" s="484" t="s">
        <v>699</v>
      </c>
      <c r="I442" s="500" t="e">
        <f>I436+I438</f>
        <v>#REF!</v>
      </c>
      <c r="J442" s="509"/>
      <c r="K442" s="676"/>
      <c r="L442" s="676"/>
      <c r="M442" s="418"/>
      <c r="N442" s="418"/>
      <c r="O442" s="418"/>
      <c r="P442" s="418"/>
      <c r="Q442" s="418"/>
      <c r="R442" s="418"/>
      <c r="S442" s="418"/>
      <c r="T442" s="418"/>
      <c r="U442" s="418"/>
      <c r="V442" s="418"/>
      <c r="W442" s="418"/>
      <c r="X442" s="418"/>
      <c r="Y442" s="418"/>
    </row>
    <row r="443" spans="1:25" ht="18.75">
      <c r="A443" s="613"/>
      <c r="B443" s="613"/>
      <c r="C443" s="613"/>
      <c r="D443" s="613"/>
      <c r="E443" s="613"/>
      <c r="F443" s="613"/>
      <c r="G443" s="613"/>
      <c r="H443" s="510"/>
      <c r="I443" s="511"/>
      <c r="J443" s="510"/>
      <c r="K443" s="510"/>
      <c r="L443" s="510"/>
      <c r="M443" s="418"/>
      <c r="N443" s="418"/>
      <c r="O443" s="418"/>
      <c r="P443" s="418"/>
      <c r="Q443" s="418"/>
      <c r="R443" s="418"/>
      <c r="S443" s="418"/>
      <c r="T443" s="418"/>
      <c r="U443" s="418"/>
      <c r="V443" s="418"/>
      <c r="W443" s="418"/>
      <c r="X443" s="418"/>
      <c r="Y443" s="418"/>
    </row>
    <row r="444" spans="1:25" ht="18.75">
      <c r="A444" s="512"/>
      <c r="B444" s="512"/>
      <c r="C444" s="512"/>
      <c r="D444" s="512"/>
      <c r="E444" s="512"/>
      <c r="F444" s="512"/>
      <c r="G444" s="512"/>
      <c r="H444" s="2787" t="s">
        <v>880</v>
      </c>
      <c r="I444" s="2787"/>
      <c r="J444" s="2787"/>
      <c r="K444" s="614"/>
      <c r="L444" s="614"/>
      <c r="M444" s="418"/>
      <c r="N444" s="418"/>
      <c r="O444" s="418"/>
      <c r="P444" s="418"/>
      <c r="Q444" s="418"/>
      <c r="R444" s="418"/>
      <c r="S444" s="418"/>
      <c r="T444" s="418"/>
      <c r="U444" s="418"/>
      <c r="V444" s="418"/>
      <c r="W444" s="418"/>
      <c r="X444" s="418"/>
      <c r="Y444" s="418"/>
    </row>
    <row r="445" spans="1:25" ht="18.75">
      <c r="A445" s="512"/>
      <c r="B445" s="512"/>
      <c r="C445" s="512"/>
      <c r="D445" s="512"/>
      <c r="E445" s="512"/>
      <c r="F445" s="512"/>
      <c r="G445" s="512"/>
      <c r="H445" s="2788" t="s">
        <v>881</v>
      </c>
      <c r="I445" s="2788"/>
      <c r="J445" s="2788"/>
      <c r="K445" s="611"/>
      <c r="L445" s="611"/>
      <c r="M445" s="418"/>
      <c r="N445" s="418"/>
      <c r="O445" s="418"/>
      <c r="P445" s="418"/>
      <c r="Q445" s="418"/>
      <c r="R445" s="418"/>
      <c r="S445" s="418"/>
      <c r="T445" s="418"/>
      <c r="U445" s="418"/>
      <c r="V445" s="418"/>
      <c r="W445" s="418"/>
      <c r="X445" s="418"/>
      <c r="Y445" s="418"/>
    </row>
    <row r="446" spans="1:25" ht="18.75">
      <c r="A446" s="512"/>
      <c r="B446" s="512"/>
      <c r="C446" s="512"/>
      <c r="D446" s="512"/>
      <c r="E446" s="512"/>
      <c r="F446" s="512"/>
      <c r="G446" s="512"/>
      <c r="H446" s="512"/>
      <c r="I446" s="612"/>
      <c r="J446" s="613"/>
      <c r="K446" s="613"/>
      <c r="L446" s="613"/>
      <c r="M446" s="418"/>
      <c r="N446" s="418"/>
      <c r="O446" s="418"/>
      <c r="P446" s="418"/>
      <c r="Q446" s="418"/>
      <c r="R446" s="418"/>
      <c r="S446" s="418"/>
      <c r="T446" s="418"/>
      <c r="U446" s="418"/>
      <c r="V446" s="418"/>
      <c r="W446" s="418"/>
      <c r="X446" s="418"/>
      <c r="Y446" s="418"/>
    </row>
    <row r="447" spans="1:25" ht="18.75">
      <c r="A447" s="512"/>
      <c r="B447" s="512"/>
      <c r="C447" s="512"/>
      <c r="D447" s="512"/>
      <c r="E447" s="512"/>
      <c r="F447" s="512"/>
      <c r="G447" s="512"/>
      <c r="H447" s="512"/>
      <c r="I447" s="612"/>
      <c r="J447" s="613"/>
      <c r="K447" s="613"/>
      <c r="L447" s="613"/>
      <c r="M447" s="418"/>
      <c r="N447" s="418"/>
      <c r="O447" s="418"/>
      <c r="P447" s="418"/>
      <c r="Q447" s="418"/>
      <c r="R447" s="418"/>
      <c r="S447" s="418"/>
      <c r="T447" s="418"/>
      <c r="U447" s="418"/>
      <c r="V447" s="418"/>
      <c r="W447" s="418"/>
      <c r="X447" s="418"/>
      <c r="Y447" s="418"/>
    </row>
    <row r="448" spans="1:25" ht="18.75">
      <c r="A448" s="512"/>
      <c r="B448" s="512"/>
      <c r="C448" s="512"/>
      <c r="D448" s="512"/>
      <c r="E448" s="512"/>
      <c r="F448" s="512"/>
      <c r="G448" s="512"/>
      <c r="H448" s="512"/>
      <c r="I448" s="612"/>
      <c r="J448" s="613"/>
      <c r="K448" s="613"/>
      <c r="L448" s="613"/>
      <c r="M448" s="418"/>
      <c r="N448" s="418"/>
      <c r="O448" s="418"/>
      <c r="P448" s="418"/>
      <c r="Q448" s="418"/>
      <c r="R448" s="418"/>
      <c r="S448" s="418"/>
      <c r="T448" s="418"/>
      <c r="U448" s="418"/>
      <c r="V448" s="418"/>
      <c r="W448" s="418"/>
      <c r="X448" s="418"/>
      <c r="Y448" s="418"/>
    </row>
    <row r="449" spans="1:25" ht="18.75">
      <c r="A449" s="512"/>
      <c r="B449" s="512"/>
      <c r="C449" s="512"/>
      <c r="D449" s="512"/>
      <c r="E449" s="512"/>
      <c r="F449" s="512"/>
      <c r="G449" s="512"/>
      <c r="H449" s="512"/>
      <c r="I449" s="612"/>
      <c r="J449" s="613"/>
      <c r="K449" s="613"/>
      <c r="L449" s="613"/>
      <c r="M449" s="418"/>
      <c r="N449" s="418"/>
      <c r="O449" s="418"/>
      <c r="P449" s="418"/>
      <c r="Q449" s="418"/>
      <c r="R449" s="418"/>
      <c r="S449" s="418"/>
      <c r="T449" s="418"/>
      <c r="U449" s="418"/>
      <c r="V449" s="418"/>
      <c r="W449" s="418"/>
      <c r="X449" s="418"/>
      <c r="Y449" s="418"/>
    </row>
    <row r="450" spans="1:25" ht="18.75">
      <c r="A450" s="512"/>
      <c r="B450" s="512"/>
      <c r="C450" s="512"/>
      <c r="D450" s="512"/>
      <c r="E450" s="512"/>
      <c r="F450" s="512"/>
      <c r="G450" s="512"/>
      <c r="H450" s="512"/>
      <c r="I450" s="2789" t="s">
        <v>876</v>
      </c>
      <c r="J450" s="2790"/>
      <c r="K450" s="613"/>
      <c r="L450" s="613"/>
      <c r="M450" s="418"/>
      <c r="N450" s="418"/>
      <c r="O450" s="418"/>
      <c r="P450" s="418"/>
      <c r="Q450" s="418"/>
      <c r="R450" s="418"/>
      <c r="S450" s="418"/>
      <c r="T450" s="418"/>
      <c r="U450" s="418"/>
      <c r="V450" s="418"/>
      <c r="W450" s="418"/>
      <c r="X450" s="418"/>
      <c r="Y450" s="418"/>
    </row>
    <row r="451" spans="1:25" ht="18.75">
      <c r="A451" s="513"/>
      <c r="B451" s="513"/>
      <c r="C451" s="513"/>
      <c r="D451" s="513"/>
      <c r="E451" s="513"/>
      <c r="F451" s="513"/>
      <c r="G451" s="513"/>
      <c r="H451" s="513"/>
      <c r="I451" s="514"/>
      <c r="J451" s="513"/>
      <c r="K451" s="513"/>
      <c r="L451" s="513"/>
      <c r="M451" s="418"/>
      <c r="N451" s="418"/>
      <c r="O451" s="418"/>
      <c r="P451" s="418"/>
      <c r="Q451" s="418"/>
      <c r="R451" s="418"/>
      <c r="S451" s="418"/>
      <c r="T451" s="418"/>
      <c r="U451" s="418"/>
      <c r="V451" s="418"/>
      <c r="W451" s="418"/>
      <c r="X451" s="418"/>
      <c r="Y451" s="418"/>
    </row>
  </sheetData>
  <customSheetViews>
    <customSheetView guid="{0F09EDAE-127A-4543-88A5-04139BD32AD8}" showPageBreaks="1" printArea="1" hiddenRows="1" state="hidden">
      <rowBreaks count="3" manualBreakCount="3">
        <brk id="94" max="16383" man="1"/>
        <brk id="167" max="9" man="1"/>
        <brk id="240" max="9" man="1"/>
      </rowBreaks>
      <colBreaks count="1" manualBreakCount="1">
        <brk id="26" max="264" man="1"/>
      </colBreaks>
      <pageMargins left="0.78740157480314965" right="0.55118110236220474" top="0.74803149606299213" bottom="0.74803149606299213" header="0.31496062992125984" footer="0.31496062992125984"/>
      <pageSetup paperSize="5" scale="53" orientation="landscape" r:id="rId1"/>
    </customSheetView>
    <customSheetView guid="{C05430D3-5A25-4A4C-823C-7D6EA772E5F0}" showPageBreaks="1" printArea="1" hiddenRows="1" state="hidden">
      <rowBreaks count="3" manualBreakCount="3">
        <brk id="94" max="16383" man="1"/>
        <brk id="167" max="9" man="1"/>
        <brk id="240" max="9" man="1"/>
      </rowBreaks>
      <colBreaks count="1" manualBreakCount="1">
        <brk id="26" max="264" man="1"/>
      </colBreaks>
      <pageMargins left="0.78740157480314965" right="0.55118110236220474" top="0.74803149606299213" bottom="0.74803149606299213" header="0.31496062992125984" footer="0.31496062992125984"/>
      <pageSetup paperSize="5" scale="53" orientation="landscape" r:id="rId2"/>
    </customSheetView>
  </customSheetViews>
  <mergeCells count="18">
    <mergeCell ref="H444:J444"/>
    <mergeCell ref="H445:J445"/>
    <mergeCell ref="I450:J450"/>
    <mergeCell ref="AC33:AE33"/>
    <mergeCell ref="AC58:AE58"/>
    <mergeCell ref="Z60:AA60"/>
    <mergeCell ref="AC68:AF68"/>
    <mergeCell ref="A14:C14"/>
    <mergeCell ref="D14:G14"/>
    <mergeCell ref="K12:V12"/>
    <mergeCell ref="W12:W13"/>
    <mergeCell ref="A6:J6"/>
    <mergeCell ref="A7:J7"/>
    <mergeCell ref="A8:J8"/>
    <mergeCell ref="A11:B11"/>
    <mergeCell ref="A12:G13"/>
    <mergeCell ref="H12:H13"/>
    <mergeCell ref="I12:J12"/>
  </mergeCells>
  <pageMargins left="0.78740157480314965" right="0.55118110236220474" top="0.74803149606299213" bottom="0.74803149606299213" header="0.31496062992125984" footer="0.31496062992125984"/>
  <pageSetup paperSize="5" scale="53" orientation="landscape" r:id="rId3"/>
  <rowBreaks count="3" manualBreakCount="3">
    <brk id="94" max="16383" man="1"/>
    <brk id="167" max="9" man="1"/>
    <brk id="240" max="9" man="1"/>
  </rowBreaks>
  <colBreaks count="1" manualBreakCount="1">
    <brk id="26" max="26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32"/>
  <sheetViews>
    <sheetView topLeftCell="A4" workbookViewId="0">
      <selection activeCell="G14" sqref="G14"/>
    </sheetView>
  </sheetViews>
  <sheetFormatPr defaultRowHeight="15"/>
  <cols>
    <col min="2" max="2" width="5" bestFit="1" customWidth="1"/>
    <col min="3" max="3" width="65.85546875" bestFit="1" customWidth="1"/>
    <col min="4" max="4" width="8.28515625" bestFit="1" customWidth="1"/>
    <col min="5" max="5" width="9" bestFit="1" customWidth="1"/>
    <col min="6" max="6" width="12.85546875" hidden="1" customWidth="1"/>
    <col min="7" max="7" width="14.85546875" bestFit="1" customWidth="1"/>
    <col min="8" max="8" width="15.42578125" customWidth="1"/>
    <col min="10" max="10" width="13.85546875" bestFit="1" customWidth="1"/>
    <col min="12" max="12" width="15.140625" style="2002" bestFit="1" customWidth="1"/>
  </cols>
  <sheetData>
    <row r="3" spans="2:12" ht="18">
      <c r="B3" s="2801" t="s">
        <v>1585</v>
      </c>
      <c r="C3" s="2801"/>
      <c r="D3" s="2801"/>
      <c r="E3" s="2801"/>
      <c r="F3" s="2801"/>
      <c r="G3" s="2801"/>
    </row>
    <row r="4" spans="2:12">
      <c r="B4" s="1261"/>
      <c r="D4" s="1261"/>
      <c r="E4" s="1261"/>
      <c r="F4" s="2002"/>
      <c r="G4" s="2002"/>
    </row>
    <row r="5" spans="2:12" ht="47.25">
      <c r="B5" s="2486" t="s">
        <v>1545</v>
      </c>
      <c r="C5" s="2486" t="s">
        <v>1568</v>
      </c>
      <c r="D5" s="2486" t="s">
        <v>60</v>
      </c>
      <c r="E5" s="2486" t="s">
        <v>97</v>
      </c>
      <c r="F5" s="2487" t="s">
        <v>1582</v>
      </c>
      <c r="G5" s="2487" t="s">
        <v>1569</v>
      </c>
    </row>
    <row r="6" spans="2:12" ht="15.75">
      <c r="B6" s="2497">
        <v>1</v>
      </c>
      <c r="C6" s="2498" t="s">
        <v>1560</v>
      </c>
      <c r="D6" s="2497">
        <v>1</v>
      </c>
      <c r="E6" s="2497" t="s">
        <v>174</v>
      </c>
      <c r="F6" s="2499"/>
      <c r="G6" s="2499">
        <f>'1.4 O PEM pkpkd rusak'!N103</f>
        <v>11390349</v>
      </c>
    </row>
    <row r="7" spans="2:12" ht="15.75">
      <c r="B7" s="2497">
        <v>2</v>
      </c>
      <c r="C7" s="2498" t="s">
        <v>1586</v>
      </c>
      <c r="D7" s="2497">
        <v>1</v>
      </c>
      <c r="E7" s="2497" t="s">
        <v>174</v>
      </c>
      <c r="F7" s="2499"/>
      <c r="G7" s="2499">
        <f>'1.6 OP BPD'!N40</f>
        <v>3439500</v>
      </c>
    </row>
    <row r="8" spans="2:12" ht="15.75">
      <c r="B8" s="2497">
        <v>3</v>
      </c>
      <c r="C8" s="2498" t="s">
        <v>1562</v>
      </c>
      <c r="D8" s="2497">
        <v>1</v>
      </c>
      <c r="E8" s="2497" t="s">
        <v>174</v>
      </c>
      <c r="F8" s="2499">
        <f>'1.9 Musdes'!N23</f>
        <v>0</v>
      </c>
      <c r="G8" s="2499">
        <f>'1.9 Musdes'!N21</f>
        <v>6500000</v>
      </c>
    </row>
    <row r="9" spans="2:12" ht="15.75">
      <c r="B9" s="2497">
        <v>4</v>
      </c>
      <c r="C9" s="2498" t="s">
        <v>1563</v>
      </c>
      <c r="D9" s="2497">
        <v>1</v>
      </c>
      <c r="E9" s="2497" t="s">
        <v>174</v>
      </c>
      <c r="F9" s="2499">
        <f>'1.10 Hnr RKP'!N28</f>
        <v>0</v>
      </c>
      <c r="G9" s="2499">
        <f>'1.10 Hnr RKP'!N26</f>
        <v>3880000</v>
      </c>
      <c r="J9" s="2521"/>
    </row>
    <row r="10" spans="2:12" ht="15.75">
      <c r="B10" s="2497">
        <v>5</v>
      </c>
      <c r="C10" s="2498" t="s">
        <v>806</v>
      </c>
      <c r="D10" s="2497">
        <v>1</v>
      </c>
      <c r="E10" s="2497" t="s">
        <v>174</v>
      </c>
      <c r="F10" s="2499">
        <f>'3.3 HUT RI'!N30</f>
        <v>0</v>
      </c>
      <c r="G10" s="2499">
        <f>'3.3 HUT RI'!N28</f>
        <v>2160000</v>
      </c>
      <c r="J10" s="2521"/>
    </row>
    <row r="11" spans="2:12" ht="15.75">
      <c r="B11" s="2497">
        <v>6</v>
      </c>
      <c r="C11" s="2498" t="s">
        <v>1565</v>
      </c>
      <c r="D11" s="2497">
        <v>1</v>
      </c>
      <c r="E11" s="2497" t="s">
        <v>174</v>
      </c>
      <c r="F11" s="2499">
        <f>'3.9 STQ - '!O45</f>
        <v>0</v>
      </c>
      <c r="G11" s="2499">
        <f>'3.9 STQ - '!O43</f>
        <v>6810000</v>
      </c>
    </row>
    <row r="12" spans="2:12" ht="15.75">
      <c r="B12" s="2497">
        <v>7</v>
      </c>
      <c r="C12" s="2498" t="s">
        <v>1566</v>
      </c>
      <c r="D12" s="2497">
        <v>1</v>
      </c>
      <c r="E12" s="2497" t="s">
        <v>174</v>
      </c>
      <c r="F12" s="2499">
        <f>'3.4 KATARUNA'!N21</f>
        <v>0</v>
      </c>
      <c r="G12" s="2499">
        <f>'3.4 KATARUNA'!N19</f>
        <v>1200000</v>
      </c>
    </row>
    <row r="13" spans="2:12" ht="15.75">
      <c r="B13" s="2497">
        <v>8</v>
      </c>
      <c r="C13" s="2498" t="s">
        <v>1567</v>
      </c>
      <c r="D13" s="2497">
        <v>1</v>
      </c>
      <c r="E13" s="2497" t="s">
        <v>174</v>
      </c>
      <c r="F13" s="2499">
        <f>'3.7 PKK'!N58</f>
        <v>0</v>
      </c>
      <c r="G13" s="2499">
        <f>'3.7 PKK'!N56</f>
        <v>5934500</v>
      </c>
    </row>
    <row r="14" spans="2:12" s="2520" customFormat="1" ht="15.75">
      <c r="B14" s="2516">
        <v>9</v>
      </c>
      <c r="C14" s="2517" t="s">
        <v>1587</v>
      </c>
      <c r="D14" s="2518">
        <v>1</v>
      </c>
      <c r="E14" s="2518" t="s">
        <v>174</v>
      </c>
      <c r="F14" s="2519"/>
      <c r="G14" s="2519">
        <v>32604651</v>
      </c>
      <c r="L14" s="2523"/>
    </row>
    <row r="15" spans="2:12" ht="15.75">
      <c r="B15" s="2497">
        <v>10</v>
      </c>
      <c r="C15" s="2511"/>
      <c r="D15" s="2510">
        <v>1</v>
      </c>
      <c r="E15" s="2510" t="s">
        <v>174</v>
      </c>
      <c r="F15" s="2512"/>
      <c r="G15" s="2512"/>
    </row>
    <row r="16" spans="2:12" ht="15.75">
      <c r="B16" s="2488"/>
      <c r="C16" s="2489" t="s">
        <v>1583</v>
      </c>
      <c r="D16" s="2488"/>
      <c r="E16" s="2488"/>
      <c r="F16" s="2490"/>
      <c r="G16" s="2490">
        <f>SUM(G6:G14)</f>
        <v>73919000</v>
      </c>
    </row>
    <row r="17" spans="2:10" ht="15.75">
      <c r="B17" s="2488"/>
      <c r="C17" s="2491" t="s">
        <v>1584</v>
      </c>
      <c r="D17" s="2492"/>
      <c r="E17" s="2492"/>
      <c r="F17" s="2493"/>
      <c r="G17" s="2490">
        <v>74169000</v>
      </c>
    </row>
    <row r="18" spans="2:10" ht="15.75">
      <c r="B18" s="2488"/>
      <c r="C18" s="2491" t="s">
        <v>1538</v>
      </c>
      <c r="D18" s="2492"/>
      <c r="E18" s="2492"/>
      <c r="F18" s="2493"/>
      <c r="G18" s="2490">
        <f>G16-G17</f>
        <v>-250000</v>
      </c>
    </row>
    <row r="19" spans="2:10">
      <c r="B19" s="1261"/>
      <c r="D19" s="1261"/>
      <c r="E19" s="1261"/>
      <c r="F19" s="2002"/>
      <c r="G19" s="2002"/>
    </row>
    <row r="20" spans="2:10">
      <c r="B20" s="1261"/>
      <c r="D20" s="1261"/>
      <c r="E20" s="1261"/>
      <c r="F20" s="2002"/>
      <c r="G20" s="2521"/>
    </row>
    <row r="21" spans="2:10">
      <c r="G21" s="2521"/>
    </row>
    <row r="22" spans="2:10">
      <c r="G22" s="2521"/>
    </row>
    <row r="23" spans="2:10">
      <c r="G23" s="2521"/>
    </row>
    <row r="24" spans="2:10">
      <c r="G24" s="2521"/>
    </row>
    <row r="28" spans="2:10">
      <c r="G28">
        <v>33830651</v>
      </c>
    </row>
    <row r="29" spans="2:10">
      <c r="G29" s="2522">
        <f>G14-G28</f>
        <v>-1226000</v>
      </c>
      <c r="J29" s="61"/>
    </row>
    <row r="32" spans="2:10">
      <c r="J32" s="2521"/>
    </row>
  </sheetData>
  <mergeCells count="1">
    <mergeCell ref="B3:G3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FF0000"/>
    <pageSetUpPr fitToPage="1"/>
  </sheetPr>
  <dimension ref="A4:AC1298"/>
  <sheetViews>
    <sheetView topLeftCell="H16" zoomScale="70" zoomScaleNormal="70" workbookViewId="0">
      <selection activeCell="T34" sqref="T34"/>
    </sheetView>
  </sheetViews>
  <sheetFormatPr defaultColWidth="8.85546875" defaultRowHeight="15.75"/>
  <cols>
    <col min="1" max="2" width="4.5703125" style="554" customWidth="1"/>
    <col min="3" max="3" width="5" style="554" customWidth="1"/>
    <col min="4" max="7" width="4.7109375" style="554" customWidth="1"/>
    <col min="8" max="8" width="77.28515625" style="554" customWidth="1"/>
    <col min="9" max="9" width="12.42578125" style="1181" hidden="1" customWidth="1"/>
    <col min="10" max="10" width="12.42578125" style="554" hidden="1" customWidth="1"/>
    <col min="11" max="13" width="22" style="554" customWidth="1"/>
    <col min="14" max="14" width="11.42578125" style="554" customWidth="1"/>
    <col min="15" max="15" width="5.140625" style="419" customWidth="1"/>
    <col min="16" max="17" width="22" style="419" hidden="1" customWidth="1"/>
    <col min="18" max="18" width="41.7109375" style="419" customWidth="1"/>
    <col min="19" max="19" width="31.85546875" style="419" customWidth="1"/>
    <col min="20" max="20" width="26.42578125" style="419" bestFit="1" customWidth="1"/>
    <col min="21" max="21" width="26.28515625" style="419" bestFit="1" customWidth="1"/>
    <col min="22" max="24" width="20.5703125" style="419" customWidth="1"/>
    <col min="25" max="25" width="17.7109375" style="419" customWidth="1"/>
    <col min="26" max="26" width="17.140625" style="419" bestFit="1" customWidth="1"/>
    <col min="27" max="16384" width="8.85546875" style="419"/>
  </cols>
  <sheetData>
    <row r="4" spans="1:23">
      <c r="G4" s="1988"/>
    </row>
    <row r="5" spans="1:23" ht="26.45" customHeight="1">
      <c r="J5" s="2806"/>
      <c r="K5" s="2806"/>
      <c r="L5" s="2806"/>
      <c r="M5" s="2806"/>
      <c r="N5" s="2806"/>
      <c r="U5" s="973"/>
    </row>
    <row r="8" spans="1:23">
      <c r="A8" s="2807" t="s">
        <v>700</v>
      </c>
      <c r="B8" s="2807"/>
      <c r="C8" s="2807"/>
      <c r="D8" s="2807"/>
      <c r="E8" s="2807"/>
      <c r="F8" s="2807"/>
      <c r="G8" s="2807"/>
      <c r="H8" s="2807"/>
      <c r="I8" s="2807"/>
      <c r="J8" s="2807"/>
      <c r="K8" s="2807"/>
      <c r="L8" s="2807"/>
      <c r="M8" s="2807"/>
      <c r="N8" s="2807"/>
    </row>
    <row r="9" spans="1:23">
      <c r="A9" s="2807" t="s">
        <v>1460</v>
      </c>
      <c r="B9" s="2807"/>
      <c r="C9" s="2807"/>
      <c r="D9" s="2807"/>
      <c r="E9" s="2807"/>
      <c r="F9" s="2807"/>
      <c r="G9" s="2807"/>
      <c r="H9" s="2807"/>
      <c r="I9" s="2807"/>
      <c r="J9" s="2807"/>
      <c r="K9" s="2807"/>
      <c r="L9" s="2807"/>
      <c r="M9" s="2807"/>
      <c r="N9" s="2807"/>
    </row>
    <row r="10" spans="1:23">
      <c r="A10" s="2807" t="s">
        <v>1336</v>
      </c>
      <c r="B10" s="2807"/>
      <c r="C10" s="2807"/>
      <c r="D10" s="2807"/>
      <c r="E10" s="2807"/>
      <c r="F10" s="2807"/>
      <c r="G10" s="2807"/>
      <c r="H10" s="2807"/>
      <c r="I10" s="2807"/>
      <c r="J10" s="2807"/>
      <c r="K10" s="2807"/>
      <c r="L10" s="2807"/>
      <c r="M10" s="2807"/>
      <c r="N10" s="2807"/>
    </row>
    <row r="11" spans="1:23">
      <c r="A11" s="1181"/>
      <c r="B11" s="1181"/>
      <c r="C11" s="1181"/>
      <c r="D11" s="1181"/>
      <c r="E11" s="1181"/>
      <c r="F11" s="1181"/>
      <c r="G11" s="1181"/>
      <c r="H11" s="1181"/>
      <c r="J11" s="1181"/>
      <c r="K11" s="1181"/>
      <c r="L11" s="2134"/>
      <c r="M11" s="2163"/>
      <c r="N11" s="1181"/>
      <c r="P11" s="1249"/>
      <c r="Q11" s="1249"/>
      <c r="R11" s="2392" t="s">
        <v>590</v>
      </c>
      <c r="S11" s="2392"/>
      <c r="T11" s="2392" t="s">
        <v>1523</v>
      </c>
      <c r="U11" s="2392" t="s">
        <v>1522</v>
      </c>
      <c r="V11" s="2392" t="s">
        <v>1573</v>
      </c>
    </row>
    <row r="12" spans="1:23">
      <c r="A12" s="1181"/>
      <c r="B12" s="1181"/>
      <c r="C12" s="1181"/>
      <c r="D12" s="1181"/>
      <c r="E12" s="1181"/>
      <c r="F12" s="1181"/>
      <c r="G12" s="1181"/>
      <c r="H12" s="1181"/>
      <c r="J12" s="1181"/>
      <c r="K12" s="1181"/>
      <c r="L12" s="2134"/>
      <c r="M12" s="2163"/>
      <c r="N12" s="1181"/>
      <c r="P12" s="1249"/>
      <c r="Q12" s="1249"/>
      <c r="R12" s="1980">
        <v>1</v>
      </c>
      <c r="S12" s="817" t="s">
        <v>22</v>
      </c>
      <c r="T12" s="2393">
        <f>813987000</f>
        <v>813987000</v>
      </c>
      <c r="U12" s="2394">
        <v>803180000</v>
      </c>
      <c r="V12" s="2394">
        <f>T12-U12</f>
        <v>10807000</v>
      </c>
      <c r="W12" s="986">
        <f>30%*U12</f>
        <v>240954000</v>
      </c>
    </row>
    <row r="13" spans="1:23">
      <c r="R13" s="1980">
        <v>2</v>
      </c>
      <c r="S13" s="817" t="s">
        <v>23</v>
      </c>
      <c r="T13" s="2393">
        <v>597993000</v>
      </c>
      <c r="U13" s="2394">
        <v>523824000</v>
      </c>
      <c r="V13" s="2394">
        <f t="shared" ref="V13:V18" si="0">T13-U13</f>
        <v>74169000</v>
      </c>
    </row>
    <row r="14" spans="1:23" ht="15.75" customHeight="1">
      <c r="A14" s="2804" t="s">
        <v>0</v>
      </c>
      <c r="B14" s="2804"/>
      <c r="C14" s="2804"/>
      <c r="D14" s="2804"/>
      <c r="E14" s="2804"/>
      <c r="F14" s="2804"/>
      <c r="G14" s="2804"/>
      <c r="H14" s="2804" t="s">
        <v>1</v>
      </c>
      <c r="I14" s="2804" t="s">
        <v>701</v>
      </c>
      <c r="J14" s="2804"/>
      <c r="K14" s="2812" t="s">
        <v>702</v>
      </c>
      <c r="L14" s="2813"/>
      <c r="M14" s="2814" t="s">
        <v>1528</v>
      </c>
      <c r="N14" s="2808" t="s">
        <v>39</v>
      </c>
      <c r="P14" s="2808" t="s">
        <v>1192</v>
      </c>
      <c r="Q14" s="2808" t="s">
        <v>1193</v>
      </c>
      <c r="R14" s="1980">
        <v>3</v>
      </c>
      <c r="S14" s="817" t="s">
        <v>1209</v>
      </c>
      <c r="T14" s="2393">
        <v>44114000</v>
      </c>
      <c r="U14" s="2394">
        <v>34885000</v>
      </c>
      <c r="V14" s="2394">
        <f t="shared" si="0"/>
        <v>9229000</v>
      </c>
    </row>
    <row r="15" spans="1:23">
      <c r="A15" s="2804"/>
      <c r="B15" s="2804"/>
      <c r="C15" s="2804"/>
      <c r="D15" s="2804"/>
      <c r="E15" s="2804"/>
      <c r="F15" s="2804"/>
      <c r="G15" s="2804"/>
      <c r="H15" s="2804"/>
      <c r="I15" s="1474" t="s">
        <v>703</v>
      </c>
      <c r="J15" s="1474" t="s">
        <v>704</v>
      </c>
      <c r="K15" s="2132" t="s">
        <v>1382</v>
      </c>
      <c r="L15" s="2132" t="s">
        <v>1521</v>
      </c>
      <c r="M15" s="2815"/>
      <c r="N15" s="2808"/>
      <c r="P15" s="2804"/>
      <c r="Q15" s="2804"/>
      <c r="R15" s="1980">
        <v>4</v>
      </c>
      <c r="S15" s="817" t="s">
        <v>1208</v>
      </c>
      <c r="T15" s="2393">
        <v>60000000</v>
      </c>
      <c r="U15" s="2394">
        <v>60000000</v>
      </c>
      <c r="V15" s="2394">
        <f t="shared" si="0"/>
        <v>0</v>
      </c>
    </row>
    <row r="16" spans="1:23">
      <c r="A16" s="2804">
        <v>1</v>
      </c>
      <c r="B16" s="2804"/>
      <c r="C16" s="2804"/>
      <c r="D16" s="2804">
        <v>2</v>
      </c>
      <c r="E16" s="2804"/>
      <c r="F16" s="2804"/>
      <c r="G16" s="2804"/>
      <c r="H16" s="1474">
        <v>3</v>
      </c>
      <c r="I16" s="1474">
        <v>4</v>
      </c>
      <c r="J16" s="1474">
        <v>5</v>
      </c>
      <c r="K16" s="2132">
        <v>6</v>
      </c>
      <c r="L16" s="2143">
        <v>7</v>
      </c>
      <c r="M16" s="2143"/>
      <c r="N16" s="1474">
        <v>7</v>
      </c>
      <c r="P16" s="1250">
        <v>6</v>
      </c>
      <c r="Q16" s="1250"/>
      <c r="R16" s="1980">
        <v>5</v>
      </c>
      <c r="S16" s="817" t="s">
        <v>240</v>
      </c>
      <c r="T16" s="2393">
        <v>20000000</v>
      </c>
      <c r="U16" s="2394">
        <v>20000000</v>
      </c>
      <c r="V16" s="2394">
        <f t="shared" si="0"/>
        <v>0</v>
      </c>
    </row>
    <row r="17" spans="1:25">
      <c r="A17" s="1474" t="s">
        <v>72</v>
      </c>
      <c r="B17" s="1474" t="s">
        <v>73</v>
      </c>
      <c r="C17" s="1474" t="s">
        <v>264</v>
      </c>
      <c r="D17" s="1474" t="s">
        <v>72</v>
      </c>
      <c r="E17" s="1474" t="s">
        <v>73</v>
      </c>
      <c r="F17" s="1474" t="s">
        <v>264</v>
      </c>
      <c r="G17" s="1474" t="s">
        <v>75</v>
      </c>
      <c r="H17" s="1474"/>
      <c r="I17" s="1474"/>
      <c r="J17" s="1474"/>
      <c r="K17" s="557"/>
      <c r="L17" s="557"/>
      <c r="M17" s="557"/>
      <c r="N17" s="1474"/>
      <c r="P17" s="557"/>
      <c r="Q17" s="1979"/>
      <c r="R17" s="1980">
        <v>6</v>
      </c>
      <c r="S17" s="817" t="s">
        <v>415</v>
      </c>
      <c r="T17" s="2393">
        <v>0</v>
      </c>
      <c r="U17" s="2394"/>
      <c r="V17" s="2394">
        <f t="shared" si="0"/>
        <v>0</v>
      </c>
      <c r="W17" s="1357"/>
    </row>
    <row r="18" spans="1:25" s="420" customFormat="1">
      <c r="A18" s="2395"/>
      <c r="B18" s="2395"/>
      <c r="C18" s="2395"/>
      <c r="D18" s="2396">
        <v>4</v>
      </c>
      <c r="E18" s="2396" t="s">
        <v>589</v>
      </c>
      <c r="F18" s="2396" t="s">
        <v>589</v>
      </c>
      <c r="G18" s="2396"/>
      <c r="H18" s="2396" t="s">
        <v>590</v>
      </c>
      <c r="I18" s="2395"/>
      <c r="J18" s="2396"/>
      <c r="K18" s="2397">
        <f>K19+K36+K49</f>
        <v>1536094000</v>
      </c>
      <c r="L18" s="2397">
        <f>L19+L36+L49</f>
        <v>1441889000</v>
      </c>
      <c r="M18" s="2397">
        <f>L18-K18</f>
        <v>-94205000</v>
      </c>
      <c r="N18" s="2396"/>
      <c r="P18" s="560">
        <v>1465948000</v>
      </c>
      <c r="Q18" s="1114">
        <f t="shared" ref="Q18:Q49" si="1">P18-K18</f>
        <v>-70146000</v>
      </c>
      <c r="R18" s="1240"/>
      <c r="S18" s="817" t="s">
        <v>320</v>
      </c>
      <c r="T18" s="2393">
        <f>SUM(T12:T17)</f>
        <v>1536094000</v>
      </c>
      <c r="U18" s="2394">
        <f>SUM(U12:U17)</f>
        <v>1441889000</v>
      </c>
      <c r="V18" s="2394">
        <f t="shared" si="0"/>
        <v>94205000</v>
      </c>
      <c r="W18" s="928"/>
    </row>
    <row r="19" spans="1:25" s="420" customFormat="1">
      <c r="A19" s="2398"/>
      <c r="B19" s="2398"/>
      <c r="C19" s="2398"/>
      <c r="D19" s="2399">
        <f>D18</f>
        <v>4</v>
      </c>
      <c r="E19" s="2399">
        <v>1</v>
      </c>
      <c r="F19" s="2399" t="s">
        <v>589</v>
      </c>
      <c r="G19" s="2399"/>
      <c r="H19" s="2399" t="s">
        <v>3</v>
      </c>
      <c r="I19" s="2398"/>
      <c r="J19" s="2399"/>
      <c r="K19" s="2400">
        <f>K20+K23+K30+K33</f>
        <v>20000000</v>
      </c>
      <c r="L19" s="2400">
        <f>L20+L23+L30+L33</f>
        <v>20000000</v>
      </c>
      <c r="M19" s="2400">
        <f t="shared" ref="M19:M64" si="2">L19-K19</f>
        <v>0</v>
      </c>
      <c r="N19" s="2399"/>
      <c r="P19" s="562">
        <v>12420000</v>
      </c>
      <c r="Q19" s="1115">
        <f t="shared" si="1"/>
        <v>-7580000</v>
      </c>
      <c r="U19" s="419"/>
      <c r="V19" s="928"/>
      <c r="W19" s="1445"/>
    </row>
    <row r="20" spans="1:25" s="420" customFormat="1">
      <c r="A20" s="2398"/>
      <c r="B20" s="2398"/>
      <c r="C20" s="2398"/>
      <c r="D20" s="2399">
        <f>D19</f>
        <v>4</v>
      </c>
      <c r="E20" s="2399">
        <v>1</v>
      </c>
      <c r="F20" s="2399">
        <v>1</v>
      </c>
      <c r="G20" s="2399"/>
      <c r="H20" s="2399" t="s">
        <v>4</v>
      </c>
      <c r="I20" s="2398"/>
      <c r="J20" s="2399"/>
      <c r="K20" s="2400">
        <f>K21+K22</f>
        <v>0</v>
      </c>
      <c r="L20" s="2400">
        <f>L21+L22</f>
        <v>0</v>
      </c>
      <c r="M20" s="2400">
        <f t="shared" si="2"/>
        <v>0</v>
      </c>
      <c r="N20" s="2399"/>
      <c r="P20" s="562">
        <v>0</v>
      </c>
      <c r="Q20" s="1115">
        <f t="shared" si="1"/>
        <v>0</v>
      </c>
      <c r="R20" s="2809" t="s">
        <v>1397</v>
      </c>
      <c r="S20" s="2809"/>
      <c r="T20" s="2809"/>
      <c r="U20" s="419"/>
      <c r="V20" s="1356"/>
      <c r="W20" s="1358"/>
    </row>
    <row r="21" spans="1:25">
      <c r="A21" s="2401"/>
      <c r="B21" s="2401"/>
      <c r="C21" s="2401"/>
      <c r="D21" s="2402">
        <f>D20</f>
        <v>4</v>
      </c>
      <c r="E21" s="2402">
        <v>1</v>
      </c>
      <c r="F21" s="2402">
        <v>1</v>
      </c>
      <c r="G21" s="2402">
        <v>1</v>
      </c>
      <c r="H21" s="2402" t="s">
        <v>705</v>
      </c>
      <c r="I21" s="2401"/>
      <c r="J21" s="2402"/>
      <c r="K21" s="2400">
        <v>0</v>
      </c>
      <c r="L21" s="2400">
        <v>0</v>
      </c>
      <c r="M21" s="2400">
        <f t="shared" si="2"/>
        <v>0</v>
      </c>
      <c r="N21" s="2402"/>
      <c r="P21" s="565">
        <v>0</v>
      </c>
      <c r="Q21" s="1116">
        <f t="shared" si="1"/>
        <v>0</v>
      </c>
      <c r="R21" s="1981" t="s">
        <v>1398</v>
      </c>
      <c r="S21" s="1981"/>
      <c r="T21" s="1982">
        <f>U18-U15</f>
        <v>1381889000</v>
      </c>
      <c r="V21" s="1356"/>
      <c r="W21" s="1357"/>
    </row>
    <row r="22" spans="1:25">
      <c r="A22" s="2401"/>
      <c r="B22" s="2401"/>
      <c r="C22" s="2401"/>
      <c r="D22" s="2402">
        <f t="shared" ref="D22:D63" si="3">D21</f>
        <v>4</v>
      </c>
      <c r="E22" s="2402">
        <v>1</v>
      </c>
      <c r="F22" s="2402">
        <v>1</v>
      </c>
      <c r="G22" s="2402">
        <v>9</v>
      </c>
      <c r="H22" s="2402" t="s">
        <v>706</v>
      </c>
      <c r="I22" s="2401"/>
      <c r="J22" s="2402"/>
      <c r="K22" s="2400"/>
      <c r="L22" s="2400"/>
      <c r="M22" s="2400">
        <f t="shared" si="2"/>
        <v>0</v>
      </c>
      <c r="N22" s="2402"/>
      <c r="P22" s="566"/>
      <c r="Q22" s="566">
        <f t="shared" si="1"/>
        <v>0</v>
      </c>
      <c r="R22" s="1981" t="s">
        <v>1399</v>
      </c>
      <c r="S22" s="1981"/>
      <c r="T22" s="1982">
        <f>L69+L75+L81+L114+L118</f>
        <v>411836000</v>
      </c>
      <c r="V22" s="1357"/>
      <c r="W22" s="1357"/>
    </row>
    <row r="23" spans="1:25" s="420" customFormat="1">
      <c r="A23" s="2398"/>
      <c r="B23" s="2398"/>
      <c r="C23" s="2398"/>
      <c r="D23" s="2399">
        <f t="shared" si="3"/>
        <v>4</v>
      </c>
      <c r="E23" s="2399">
        <v>1</v>
      </c>
      <c r="F23" s="2399">
        <v>2</v>
      </c>
      <c r="G23" s="2399"/>
      <c r="H23" s="2399" t="s">
        <v>276</v>
      </c>
      <c r="I23" s="2398"/>
      <c r="J23" s="2399"/>
      <c r="K23" s="2400">
        <f>SUM(K24:K29)</f>
        <v>20000000</v>
      </c>
      <c r="L23" s="2400">
        <f>SUM(L24:L29)</f>
        <v>20000000</v>
      </c>
      <c r="M23" s="2400">
        <f t="shared" si="2"/>
        <v>0</v>
      </c>
      <c r="N23" s="2399"/>
      <c r="P23" s="565">
        <v>12420000</v>
      </c>
      <c r="Q23" s="1116">
        <f t="shared" si="1"/>
        <v>-7580000</v>
      </c>
      <c r="R23" s="2810" t="s">
        <v>30</v>
      </c>
      <c r="S23" s="2811"/>
      <c r="T23" s="1983">
        <f>T22/T21</f>
        <v>0.2980239367995548</v>
      </c>
      <c r="U23" s="419"/>
      <c r="V23" s="1358"/>
      <c r="W23" s="928"/>
      <c r="X23" s="973"/>
      <c r="Y23" s="1977"/>
    </row>
    <row r="24" spans="1:25">
      <c r="A24" s="2401"/>
      <c r="B24" s="2401"/>
      <c r="C24" s="2401"/>
      <c r="D24" s="2402">
        <f t="shared" si="3"/>
        <v>4</v>
      </c>
      <c r="E24" s="2402">
        <v>1</v>
      </c>
      <c r="F24" s="2402">
        <v>2</v>
      </c>
      <c r="G24" s="2402">
        <v>1</v>
      </c>
      <c r="H24" s="2402" t="s">
        <v>220</v>
      </c>
      <c r="I24" s="2401"/>
      <c r="J24" s="2402"/>
      <c r="K24" s="2403">
        <v>20000000</v>
      </c>
      <c r="L24" s="2403">
        <v>20000000</v>
      </c>
      <c r="M24" s="2400">
        <f t="shared" si="2"/>
        <v>0</v>
      </c>
      <c r="N24" s="2402" t="s">
        <v>965</v>
      </c>
      <c r="P24" s="565">
        <v>12420000</v>
      </c>
      <c r="Q24" s="1116">
        <f t="shared" si="1"/>
        <v>-7580000</v>
      </c>
      <c r="V24" s="1359"/>
      <c r="W24" s="1357"/>
    </row>
    <row r="25" spans="1:25">
      <c r="A25" s="2401"/>
      <c r="B25" s="2401"/>
      <c r="C25" s="2401"/>
      <c r="D25" s="2402">
        <f t="shared" si="3"/>
        <v>4</v>
      </c>
      <c r="E25" s="2402">
        <v>1</v>
      </c>
      <c r="F25" s="2402">
        <v>2</v>
      </c>
      <c r="G25" s="2402">
        <v>2</v>
      </c>
      <c r="H25" s="2402" t="s">
        <v>277</v>
      </c>
      <c r="I25" s="2401"/>
      <c r="J25" s="2402"/>
      <c r="K25" s="2403"/>
      <c r="L25" s="2403"/>
      <c r="M25" s="2400">
        <f t="shared" si="2"/>
        <v>0</v>
      </c>
      <c r="N25" s="2402"/>
      <c r="P25" s="565"/>
      <c r="Q25" s="565">
        <f t="shared" si="1"/>
        <v>0</v>
      </c>
      <c r="R25" s="787" t="s">
        <v>895</v>
      </c>
      <c r="S25" s="788"/>
      <c r="T25" s="1263" t="s">
        <v>23</v>
      </c>
      <c r="U25" s="1263" t="s">
        <v>22</v>
      </c>
      <c r="V25" s="1263" t="s">
        <v>330</v>
      </c>
      <c r="W25" s="1263" t="s">
        <v>240</v>
      </c>
      <c r="X25" s="1263" t="s">
        <v>327</v>
      </c>
      <c r="Y25" s="1263" t="s">
        <v>415</v>
      </c>
    </row>
    <row r="26" spans="1:25">
      <c r="A26" s="2401"/>
      <c r="B26" s="2401"/>
      <c r="C26" s="2401"/>
      <c r="D26" s="2402">
        <f t="shared" si="3"/>
        <v>4</v>
      </c>
      <c r="E26" s="2402">
        <v>1</v>
      </c>
      <c r="F26" s="2402">
        <v>2</v>
      </c>
      <c r="G26" s="2402">
        <v>3</v>
      </c>
      <c r="H26" s="2402" t="s">
        <v>278</v>
      </c>
      <c r="I26" s="2401"/>
      <c r="J26" s="2402"/>
      <c r="K26" s="2403"/>
      <c r="L26" s="2403"/>
      <c r="M26" s="2400">
        <f t="shared" si="2"/>
        <v>0</v>
      </c>
      <c r="N26" s="2402"/>
      <c r="P26" s="565"/>
      <c r="Q26" s="565">
        <f t="shared" si="1"/>
        <v>0</v>
      </c>
      <c r="R26" s="790" t="s">
        <v>896</v>
      </c>
      <c r="S26" s="791">
        <f>SUMIFS(L21:L370,O21:O370,"PP")</f>
        <v>564113151</v>
      </c>
      <c r="T26" s="792">
        <f>SUMIFS($L$21:$L$348,$N$21:$N$348,"ADD",$O$21:$O$348,"PP")</f>
        <v>539828151</v>
      </c>
      <c r="U26" s="792">
        <f>SUMIFS($K$21:$K$348,$N$21:$N$348,"DD",$O$21:$O$348,"PP")</f>
        <v>0</v>
      </c>
      <c r="V26" s="792">
        <f>SUMIFS($L$21:$L$348,$N$21:$N$348,"PBH",$O$21:$O$348,"PP")</f>
        <v>12985000</v>
      </c>
      <c r="W26" s="792">
        <f>SUMIFS($K$21:$K$348,$N$21:$N$348,"PAD",$O$21:$O$348,"PP")</f>
        <v>11300000</v>
      </c>
      <c r="X26" s="792">
        <f>SUMIFS($K$21:$K$348,$N$21:$N$348,"BPP",$O$21:$O$348,"PP")</f>
        <v>0</v>
      </c>
      <c r="Y26" s="792">
        <f>SUMIFS($K$21:$K$348,$N$21:$N$348,"DLL",$O$21:$O$348,"PP")</f>
        <v>0</v>
      </c>
    </row>
    <row r="27" spans="1:25">
      <c r="A27" s="2401"/>
      <c r="B27" s="2401"/>
      <c r="C27" s="2401"/>
      <c r="D27" s="2402">
        <f t="shared" si="3"/>
        <v>4</v>
      </c>
      <c r="E27" s="2402">
        <v>1</v>
      </c>
      <c r="F27" s="2402">
        <v>2</v>
      </c>
      <c r="G27" s="2402">
        <v>4</v>
      </c>
      <c r="H27" s="2402" t="s">
        <v>279</v>
      </c>
      <c r="I27" s="2401"/>
      <c r="J27" s="2402"/>
      <c r="K27" s="2403"/>
      <c r="L27" s="2403"/>
      <c r="M27" s="2400">
        <f t="shared" si="2"/>
        <v>0</v>
      </c>
      <c r="N27" s="2402"/>
      <c r="P27" s="565"/>
      <c r="Q27" s="565">
        <f t="shared" si="1"/>
        <v>0</v>
      </c>
      <c r="R27" s="790" t="s">
        <v>897</v>
      </c>
      <c r="S27" s="791">
        <f>SUMIFS(L22:L371,O22:O371,"PB")</f>
        <v>394335614</v>
      </c>
      <c r="T27" s="792">
        <f>SUMIFS($K$21:$K$348,$N$21:$N$348,"ADD",$O$21:$O$348,"PB")</f>
        <v>0</v>
      </c>
      <c r="U27" s="792">
        <f>SUMIFS($L$21:$L$348,$N$21:$N$348,"DD",$O$21:$O$348,"PB")</f>
        <v>394335614</v>
      </c>
      <c r="V27" s="792">
        <f>SUMIFS($K$21:$K$348,$N$21:$N$348,"PBH",$O$21:$O$348,"PB")</f>
        <v>0</v>
      </c>
      <c r="W27" s="792">
        <f>SUMIFS($K$21:$K$348,$N$21:$N$348,"PAD",$O$21:$O$348,"PB")</f>
        <v>0</v>
      </c>
      <c r="X27" s="792">
        <f>SUMIFS($K$21:$K$348,$N$21:$N$348,"BPP",$O$21:$O$348,"PB")</f>
        <v>0</v>
      </c>
      <c r="Y27" s="792">
        <f>SUMIFS($K$21:$K$348,$N$21:$N$348,"DLL",$O$21:$O$348,"PB")</f>
        <v>0</v>
      </c>
    </row>
    <row r="28" spans="1:25">
      <c r="A28" s="2401"/>
      <c r="B28" s="2401"/>
      <c r="C28" s="2401"/>
      <c r="D28" s="2402">
        <f t="shared" si="3"/>
        <v>4</v>
      </c>
      <c r="E28" s="2402">
        <v>1</v>
      </c>
      <c r="F28" s="2402">
        <v>2</v>
      </c>
      <c r="G28" s="2402">
        <v>5</v>
      </c>
      <c r="H28" s="2402" t="s">
        <v>707</v>
      </c>
      <c r="I28" s="2401"/>
      <c r="J28" s="2402"/>
      <c r="K28" s="2403"/>
      <c r="L28" s="2403"/>
      <c r="M28" s="2400">
        <f t="shared" si="2"/>
        <v>0</v>
      </c>
      <c r="N28" s="2402"/>
      <c r="P28" s="565"/>
      <c r="Q28" s="565">
        <f t="shared" si="1"/>
        <v>0</v>
      </c>
      <c r="R28" s="790" t="s">
        <v>898</v>
      </c>
      <c r="S28" s="791">
        <f>SUMIFS(L23:L372,O23:O372,"PN")</f>
        <v>216340886</v>
      </c>
      <c r="T28" s="792">
        <f>SUMIFS($L$21:$L$348,$N$21:$N$348,"ADD",$O$21:$O$348,"PN")</f>
        <v>15450500</v>
      </c>
      <c r="U28" s="792">
        <f>SUMIFS($L$21:$L$348,$N$21:$N$348,"DD",$O$21:$O$348,"PN")</f>
        <v>167890386</v>
      </c>
      <c r="V28" s="792">
        <f>SUMIFS($L$21:$L$348,$N$21:$N$348,"PBH",$O$21:$O$348,"PN")</f>
        <v>21900000</v>
      </c>
      <c r="W28" s="792">
        <f>SUMIFS($K$21:$K$348,$N$21:$N$348,"PAD",$O$21:$O$348,"PN")</f>
        <v>8700000</v>
      </c>
      <c r="X28" s="792">
        <f>SUMIFS($K$21:$K$348,$N$21:$N$348,"BPP",$O$21:$O$348,"PN")</f>
        <v>2400000</v>
      </c>
      <c r="Y28" s="792">
        <f>SUMIFS($K$21:$K$348,$N$21:$N$348,"DLL",$O$21:$O$348,"PN")</f>
        <v>0</v>
      </c>
    </row>
    <row r="29" spans="1:25">
      <c r="A29" s="2401"/>
      <c r="B29" s="2401"/>
      <c r="C29" s="2401"/>
      <c r="D29" s="2402">
        <f t="shared" si="3"/>
        <v>4</v>
      </c>
      <c r="E29" s="2402">
        <v>1</v>
      </c>
      <c r="F29" s="2402">
        <v>2</v>
      </c>
      <c r="G29" s="2402">
        <v>9</v>
      </c>
      <c r="H29" s="2402" t="s">
        <v>706</v>
      </c>
      <c r="I29" s="2401"/>
      <c r="J29" s="2402"/>
      <c r="K29" s="2403"/>
      <c r="L29" s="2403"/>
      <c r="M29" s="2400">
        <f t="shared" si="2"/>
        <v>0</v>
      </c>
      <c r="N29" s="2402"/>
      <c r="P29" s="565"/>
      <c r="Q29" s="565">
        <f t="shared" si="1"/>
        <v>0</v>
      </c>
      <c r="R29" s="790" t="s">
        <v>899</v>
      </c>
      <c r="S29" s="791">
        <f>SUMIFS(L24:L372,O24:O372,"PD")</f>
        <v>17600000</v>
      </c>
      <c r="T29" s="792">
        <f>SUMIFS($K$21:$K$348,$N$21:$N$348,"ADD",$O$21:$O$348,"PD")</f>
        <v>0</v>
      </c>
      <c r="U29" s="792">
        <f>SUMIFS($K$21:$K$348,$N$21:$N$348,"DD",$O$21:$O$348,"PD")</f>
        <v>0</v>
      </c>
      <c r="V29" s="792">
        <f>SUMIFS($K$21:$K$348,$N$21:$N$348,"PBH",$O$21:$O$348,"PD")</f>
        <v>0</v>
      </c>
      <c r="W29" s="792">
        <f>SUMIFS($K$21:$K$348,$N$21:$N$348,"PAD",$O$21:$O$348,"PD")</f>
        <v>0</v>
      </c>
      <c r="X29" s="792">
        <f>SUMIFS($K$21:$K$348,$N$21:$N$348,"BPP",$O$21:$O$348,"PD")</f>
        <v>17600000</v>
      </c>
      <c r="Y29" s="792">
        <f>SUMIFS($K$21:$K$348,$N$21:$N$348,"DLL",$O$21:$O$348,"PD")</f>
        <v>0</v>
      </c>
    </row>
    <row r="30" spans="1:25" s="420" customFormat="1">
      <c r="A30" s="2398"/>
      <c r="B30" s="2398"/>
      <c r="C30" s="2398"/>
      <c r="D30" s="2402">
        <f t="shared" si="3"/>
        <v>4</v>
      </c>
      <c r="E30" s="2399">
        <v>1</v>
      </c>
      <c r="F30" s="2399">
        <v>3</v>
      </c>
      <c r="G30" s="2399"/>
      <c r="H30" s="2399" t="s">
        <v>708</v>
      </c>
      <c r="I30" s="2398"/>
      <c r="J30" s="2399"/>
      <c r="K30" s="2400">
        <f>SUM(K31:K32)</f>
        <v>0</v>
      </c>
      <c r="L30" s="2400">
        <f>SUM(L31:L32)</f>
        <v>0</v>
      </c>
      <c r="M30" s="2400">
        <f t="shared" si="2"/>
        <v>0</v>
      </c>
      <c r="N30" s="2399"/>
      <c r="P30" s="562">
        <v>0</v>
      </c>
      <c r="Q30" s="562">
        <f t="shared" si="1"/>
        <v>0</v>
      </c>
      <c r="R30" s="790" t="s">
        <v>900</v>
      </c>
      <c r="S30" s="791">
        <f>SUMIFS(K25:K372,O25:O372,"MD")</f>
        <v>0</v>
      </c>
      <c r="T30" s="792">
        <f>SUMIFS($K$21:$K$348,$N$21:$N$348,"ADD",$O$21:$O$348,"MD")</f>
        <v>0</v>
      </c>
      <c r="U30" s="792">
        <f>SUMIFS($K$21:$K$348,$N$21:$N$348,"DD",$O$21:$O$348,"MD")</f>
        <v>0</v>
      </c>
      <c r="V30" s="792">
        <f>SUMIFS($K$21:$K$348,$N$21:$N$348,"PBH",$O$21:$O$348,"MD")</f>
        <v>0</v>
      </c>
      <c r="W30" s="792">
        <f>SUMIFS($K$21:$K$348,$N$21:$N$348,"PAD",$O$21:$O$348,"MD")</f>
        <v>0</v>
      </c>
      <c r="X30" s="792">
        <f>SUMIFS($K$21:$K$348,$N$21:$N$348,"BPP",$O$21:$O$348,"MD")</f>
        <v>0</v>
      </c>
      <c r="Y30" s="792">
        <f>SUMIFS($K$21:$K$348,$N$21:$N$348,"DLL",$O$21:$O$348,"MD")</f>
        <v>0</v>
      </c>
    </row>
    <row r="31" spans="1:25">
      <c r="A31" s="2401"/>
      <c r="B31" s="2401"/>
      <c r="C31" s="2401"/>
      <c r="D31" s="2402">
        <f t="shared" si="3"/>
        <v>4</v>
      </c>
      <c r="E31" s="2402">
        <v>1</v>
      </c>
      <c r="F31" s="2402">
        <v>3</v>
      </c>
      <c r="G31" s="2402">
        <v>1</v>
      </c>
      <c r="H31" s="2402" t="s">
        <v>709</v>
      </c>
      <c r="I31" s="2401"/>
      <c r="J31" s="2402"/>
      <c r="K31" s="2403"/>
      <c r="L31" s="2403"/>
      <c r="M31" s="2400">
        <f t="shared" si="2"/>
        <v>0</v>
      </c>
      <c r="N31" s="2402"/>
      <c r="P31" s="565"/>
      <c r="Q31" s="565">
        <f t="shared" si="1"/>
        <v>0</v>
      </c>
      <c r="R31" s="790" t="s">
        <v>1519</v>
      </c>
      <c r="S31" s="791">
        <f>SUMIFS(L26:L374,O26:O374,"PBA")</f>
        <v>275809000</v>
      </c>
      <c r="T31" s="792"/>
      <c r="U31" s="792">
        <f>SUMIFS($L$21:$L$348,$N$21:$N$348,"DD",$O$21:$O$348,"PBA")</f>
        <v>240954000</v>
      </c>
      <c r="V31" s="792"/>
      <c r="W31" s="792"/>
      <c r="X31" s="792">
        <f>SUMIFS($K$21:$K$348,$N$21:$N$348,"BPP",$O$21:$O$348,"PBA")</f>
        <v>0</v>
      </c>
      <c r="Y31" s="792"/>
    </row>
    <row r="32" spans="1:25">
      <c r="A32" s="2401"/>
      <c r="B32" s="2401"/>
      <c r="C32" s="2401"/>
      <c r="D32" s="2402">
        <f t="shared" si="3"/>
        <v>4</v>
      </c>
      <c r="E32" s="2402">
        <v>1</v>
      </c>
      <c r="F32" s="2402">
        <v>3</v>
      </c>
      <c r="G32" s="2402">
        <v>9</v>
      </c>
      <c r="H32" s="2402" t="s">
        <v>710</v>
      </c>
      <c r="I32" s="2401"/>
      <c r="J32" s="2402"/>
      <c r="K32" s="2403"/>
      <c r="L32" s="2403"/>
      <c r="M32" s="2400">
        <f t="shared" si="2"/>
        <v>0</v>
      </c>
      <c r="N32" s="2402"/>
      <c r="P32" s="565"/>
      <c r="Q32" s="565">
        <f t="shared" si="1"/>
        <v>0</v>
      </c>
      <c r="R32" s="931" t="s">
        <v>36</v>
      </c>
      <c r="S32" s="932">
        <f>S26+S27+S28+S29+S30+S31</f>
        <v>1468198651</v>
      </c>
      <c r="T32" s="933">
        <f>T26+T27+T28+T29</f>
        <v>555278651</v>
      </c>
      <c r="U32" s="933">
        <f>U26+U27+U28+U29+U31</f>
        <v>803180000</v>
      </c>
      <c r="V32" s="933">
        <f>V26+V27+V28+V29</f>
        <v>34885000</v>
      </c>
      <c r="W32" s="933">
        <f>W26+W27+W28+W29</f>
        <v>20000000</v>
      </c>
      <c r="X32" s="933">
        <f>X26+X27+X28+X29+X30+X31</f>
        <v>20000000</v>
      </c>
      <c r="Y32" s="933">
        <f>Y26+Y27+Y28+Y29</f>
        <v>0</v>
      </c>
    </row>
    <row r="33" spans="1:25" s="420" customFormat="1" ht="23.25">
      <c r="A33" s="2398"/>
      <c r="B33" s="2398"/>
      <c r="C33" s="2398"/>
      <c r="D33" s="2402">
        <f t="shared" si="3"/>
        <v>4</v>
      </c>
      <c r="E33" s="2399">
        <v>1</v>
      </c>
      <c r="F33" s="2399">
        <v>4</v>
      </c>
      <c r="G33" s="2399"/>
      <c r="H33" s="2399" t="s">
        <v>711</v>
      </c>
      <c r="I33" s="2398"/>
      <c r="J33" s="2399"/>
      <c r="K33" s="2400">
        <f>SUM(K34:K35)</f>
        <v>0</v>
      </c>
      <c r="L33" s="2400">
        <f>SUM(L34:L35)</f>
        <v>0</v>
      </c>
      <c r="M33" s="2400">
        <f t="shared" si="2"/>
        <v>0</v>
      </c>
      <c r="N33" s="2399"/>
      <c r="P33" s="562">
        <v>0</v>
      </c>
      <c r="Q33" s="562">
        <f t="shared" si="1"/>
        <v>0</v>
      </c>
      <c r="R33" s="998" t="s">
        <v>37</v>
      </c>
      <c r="S33" s="1247">
        <f>U18-S32</f>
        <v>-26309651</v>
      </c>
      <c r="T33" s="1247">
        <f>U13-T32</f>
        <v>-31454651</v>
      </c>
      <c r="U33" s="2036">
        <f>U12-U32</f>
        <v>0</v>
      </c>
      <c r="V33" s="1247">
        <f>U14-V32</f>
        <v>0</v>
      </c>
      <c r="W33" s="1247">
        <f>U16-W32</f>
        <v>0</v>
      </c>
      <c r="X33" s="1247">
        <f>U15-X32</f>
        <v>40000000</v>
      </c>
      <c r="Y33" s="1247">
        <f>T17-Y32</f>
        <v>0</v>
      </c>
    </row>
    <row r="34" spans="1:25">
      <c r="A34" s="2401"/>
      <c r="B34" s="2401"/>
      <c r="C34" s="2401"/>
      <c r="D34" s="2402">
        <f t="shared" si="3"/>
        <v>4</v>
      </c>
      <c r="E34" s="2402">
        <v>1</v>
      </c>
      <c r="F34" s="2402">
        <v>4</v>
      </c>
      <c r="G34" s="2402">
        <v>1</v>
      </c>
      <c r="H34" s="2402" t="s">
        <v>280</v>
      </c>
      <c r="I34" s="2401"/>
      <c r="J34" s="2402"/>
      <c r="K34" s="2403"/>
      <c r="L34" s="2403"/>
      <c r="M34" s="2400">
        <f t="shared" si="2"/>
        <v>0</v>
      </c>
      <c r="N34" s="2402"/>
      <c r="P34" s="565"/>
      <c r="Q34" s="565">
        <f t="shared" si="1"/>
        <v>0</v>
      </c>
      <c r="R34" s="420"/>
      <c r="S34" s="420"/>
      <c r="T34" s="420">
        <f>Sisa_ADD+32604651</f>
        <v>1150000</v>
      </c>
      <c r="U34" s="420"/>
      <c r="V34" s="420"/>
      <c r="W34" s="420"/>
      <c r="X34" s="420"/>
      <c r="Y34" s="420"/>
    </row>
    <row r="35" spans="1:25">
      <c r="A35" s="2401"/>
      <c r="B35" s="2401"/>
      <c r="C35" s="2401"/>
      <c r="D35" s="2402">
        <f t="shared" si="3"/>
        <v>4</v>
      </c>
      <c r="E35" s="2402">
        <v>1</v>
      </c>
      <c r="F35" s="2402">
        <v>4</v>
      </c>
      <c r="G35" s="2402">
        <v>9</v>
      </c>
      <c r="H35" s="2402" t="s">
        <v>706</v>
      </c>
      <c r="I35" s="2401"/>
      <c r="J35" s="2402"/>
      <c r="K35" s="2403"/>
      <c r="L35" s="2403"/>
      <c r="M35" s="2400">
        <f t="shared" si="2"/>
        <v>0</v>
      </c>
      <c r="N35" s="2402"/>
      <c r="P35" s="565"/>
      <c r="Q35" s="565">
        <f t="shared" si="1"/>
        <v>0</v>
      </c>
      <c r="S35" s="791">
        <f>SUMIFS(K30:K379,O30:O379,"PP")</f>
        <v>597552000</v>
      </c>
      <c r="U35" s="973"/>
      <c r="V35" s="986"/>
    </row>
    <row r="36" spans="1:25" s="420" customFormat="1">
      <c r="A36" s="2398"/>
      <c r="B36" s="2398"/>
      <c r="C36" s="2398"/>
      <c r="D36" s="2402">
        <f t="shared" si="3"/>
        <v>4</v>
      </c>
      <c r="E36" s="2399">
        <v>2</v>
      </c>
      <c r="F36" s="2399" t="s">
        <v>589</v>
      </c>
      <c r="G36" s="2399"/>
      <c r="H36" s="2399" t="s">
        <v>591</v>
      </c>
      <c r="I36" s="2398"/>
      <c r="J36" s="2399"/>
      <c r="K36" s="2404">
        <f>K37+K39+K41+K43+K46</f>
        <v>1516094000</v>
      </c>
      <c r="L36" s="2404">
        <f>L37+L39+L41+L43+L46</f>
        <v>1421889000</v>
      </c>
      <c r="M36" s="2400">
        <f t="shared" si="2"/>
        <v>-94205000</v>
      </c>
      <c r="N36" s="2399"/>
      <c r="P36" s="555">
        <v>1453528000</v>
      </c>
      <c r="Q36" s="555">
        <f t="shared" si="1"/>
        <v>-62566000</v>
      </c>
      <c r="R36" s="419"/>
      <c r="S36" s="791">
        <f>SUMIFS(K31:K380,O31:O380,"PB")</f>
        <v>552827000</v>
      </c>
      <c r="T36" s="419"/>
      <c r="U36" s="419"/>
      <c r="V36" s="986"/>
      <c r="W36" s="419"/>
      <c r="X36" s="419"/>
      <c r="Y36" s="419"/>
    </row>
    <row r="37" spans="1:25" s="420" customFormat="1">
      <c r="A37" s="2398"/>
      <c r="B37" s="2398"/>
      <c r="C37" s="2398"/>
      <c r="D37" s="2402">
        <f t="shared" si="3"/>
        <v>4</v>
      </c>
      <c r="E37" s="2399">
        <v>2</v>
      </c>
      <c r="F37" s="2399">
        <v>1</v>
      </c>
      <c r="G37" s="2399"/>
      <c r="H37" s="2399" t="s">
        <v>5</v>
      </c>
      <c r="I37" s="2398"/>
      <c r="J37" s="2399"/>
      <c r="K37" s="2404">
        <f>K38</f>
        <v>813987000</v>
      </c>
      <c r="L37" s="2404">
        <f>L38</f>
        <v>803180000</v>
      </c>
      <c r="M37" s="2400">
        <f t="shared" si="2"/>
        <v>-10807000</v>
      </c>
      <c r="N37" s="2399"/>
      <c r="P37" s="555">
        <v>800958000</v>
      </c>
      <c r="Q37" s="555">
        <f t="shared" si="1"/>
        <v>-13029000</v>
      </c>
      <c r="S37" s="791">
        <f>SUMIFS(K32:K381,O32:O381,"PN")</f>
        <v>270759386</v>
      </c>
    </row>
    <row r="38" spans="1:25">
      <c r="A38" s="2401"/>
      <c r="B38" s="2401"/>
      <c r="C38" s="2401"/>
      <c r="D38" s="2402">
        <f t="shared" si="3"/>
        <v>4</v>
      </c>
      <c r="E38" s="2402">
        <v>2</v>
      </c>
      <c r="F38" s="2402">
        <v>1</v>
      </c>
      <c r="G38" s="2402">
        <v>1</v>
      </c>
      <c r="H38" s="2402" t="s">
        <v>5</v>
      </c>
      <c r="I38" s="2401"/>
      <c r="J38" s="2402"/>
      <c r="K38" s="2405">
        <f>T12</f>
        <v>813987000</v>
      </c>
      <c r="L38" s="2405">
        <f>U12</f>
        <v>803180000</v>
      </c>
      <c r="M38" s="2403">
        <f t="shared" si="2"/>
        <v>-10807000</v>
      </c>
      <c r="N38" s="2402" t="s">
        <v>22</v>
      </c>
      <c r="P38" s="567">
        <v>800958000</v>
      </c>
      <c r="Q38" s="567">
        <f t="shared" si="1"/>
        <v>-13029000</v>
      </c>
      <c r="S38" s="791">
        <f>SUMIFS(K33:K381,O33:O381,"PD")</f>
        <v>17600000</v>
      </c>
      <c r="T38" s="1363"/>
      <c r="U38" s="1363"/>
      <c r="V38" s="1262"/>
      <c r="W38" s="420"/>
      <c r="X38" s="420"/>
    </row>
    <row r="39" spans="1:25" ht="31.5">
      <c r="A39" s="2398"/>
      <c r="B39" s="2398"/>
      <c r="C39" s="2398"/>
      <c r="D39" s="2402">
        <f t="shared" si="3"/>
        <v>4</v>
      </c>
      <c r="E39" s="2399">
        <v>2</v>
      </c>
      <c r="F39" s="2399">
        <v>2</v>
      </c>
      <c r="G39" s="2399"/>
      <c r="H39" s="2399" t="s">
        <v>712</v>
      </c>
      <c r="I39" s="2401"/>
      <c r="J39" s="2402"/>
      <c r="K39" s="2404">
        <f>K40</f>
        <v>44114000</v>
      </c>
      <c r="L39" s="2404">
        <f>L40</f>
        <v>34885000</v>
      </c>
      <c r="M39" s="2400">
        <f t="shared" si="2"/>
        <v>-9229000</v>
      </c>
      <c r="N39" s="2402"/>
      <c r="P39" s="555">
        <v>25620000</v>
      </c>
      <c r="Q39" s="555">
        <f t="shared" si="1"/>
        <v>-18494000</v>
      </c>
      <c r="R39" s="1"/>
      <c r="S39" s="791">
        <f>SUMIFS(K34:K381,O34:O381,"MD")</f>
        <v>0</v>
      </c>
      <c r="T39" s="1363"/>
      <c r="U39" s="1363"/>
      <c r="V39" s="420"/>
      <c r="W39" s="420"/>
      <c r="X39" s="420"/>
    </row>
    <row r="40" spans="1:25">
      <c r="A40" s="2401"/>
      <c r="B40" s="2401"/>
      <c r="C40" s="2401"/>
      <c r="D40" s="2402">
        <f t="shared" si="3"/>
        <v>4</v>
      </c>
      <c r="E40" s="2402">
        <v>2</v>
      </c>
      <c r="F40" s="2402">
        <v>2</v>
      </c>
      <c r="G40" s="2402">
        <v>1</v>
      </c>
      <c r="H40" s="2402" t="s">
        <v>712</v>
      </c>
      <c r="I40" s="2401"/>
      <c r="J40" s="2402"/>
      <c r="K40" s="2405">
        <f>T14</f>
        <v>44114000</v>
      </c>
      <c r="L40" s="2405">
        <f>U14</f>
        <v>34885000</v>
      </c>
      <c r="M40" s="2403">
        <f t="shared" si="2"/>
        <v>-9229000</v>
      </c>
      <c r="N40" s="2402" t="s">
        <v>330</v>
      </c>
      <c r="P40" s="567">
        <v>25620000</v>
      </c>
      <c r="Q40" s="567">
        <f t="shared" si="1"/>
        <v>-18494000</v>
      </c>
      <c r="R40" s="1"/>
      <c r="S40" s="791">
        <f>SUMIFS(K35:K383,O35:O383,"PBA")</f>
        <v>0</v>
      </c>
      <c r="T40" s="1363"/>
      <c r="U40" s="1363"/>
      <c r="W40" s="420"/>
      <c r="X40" s="1135"/>
    </row>
    <row r="41" spans="1:25">
      <c r="A41" s="2401"/>
      <c r="B41" s="2401"/>
      <c r="C41" s="2401"/>
      <c r="D41" s="2402">
        <f t="shared" si="3"/>
        <v>4</v>
      </c>
      <c r="E41" s="2399">
        <v>2</v>
      </c>
      <c r="F41" s="2399">
        <v>3</v>
      </c>
      <c r="G41" s="2399"/>
      <c r="H41" s="2399" t="s">
        <v>45</v>
      </c>
      <c r="I41" s="2401"/>
      <c r="J41" s="2402"/>
      <c r="K41" s="2404">
        <f>K42</f>
        <v>597993000</v>
      </c>
      <c r="L41" s="2404">
        <f>L42</f>
        <v>523824000</v>
      </c>
      <c r="M41" s="2400">
        <f t="shared" si="2"/>
        <v>-74169000</v>
      </c>
      <c r="N41" s="2402"/>
      <c r="P41" s="555">
        <v>566950000</v>
      </c>
      <c r="Q41" s="555">
        <f t="shared" si="1"/>
        <v>-31043000</v>
      </c>
      <c r="S41" s="932">
        <f>S35+S36+S37+S38+S39+S40</f>
        <v>1438738386</v>
      </c>
      <c r="W41" s="420"/>
      <c r="X41" s="1135"/>
    </row>
    <row r="42" spans="1:25">
      <c r="A42" s="2401"/>
      <c r="B42" s="2401"/>
      <c r="C42" s="2401"/>
      <c r="D42" s="2402">
        <f t="shared" si="3"/>
        <v>4</v>
      </c>
      <c r="E42" s="2402">
        <v>2</v>
      </c>
      <c r="F42" s="2402">
        <v>3</v>
      </c>
      <c r="G42" s="2402">
        <v>1</v>
      </c>
      <c r="H42" s="2402" t="s">
        <v>45</v>
      </c>
      <c r="I42" s="2401"/>
      <c r="J42" s="2402"/>
      <c r="K42" s="2405">
        <f>T13</f>
        <v>597993000</v>
      </c>
      <c r="L42" s="2405">
        <f>U13</f>
        <v>523824000</v>
      </c>
      <c r="M42" s="2403">
        <f t="shared" si="2"/>
        <v>-74169000</v>
      </c>
      <c r="N42" s="2402" t="s">
        <v>23</v>
      </c>
      <c r="P42" s="567">
        <v>566950000</v>
      </c>
      <c r="Q42" s="567">
        <f t="shared" si="1"/>
        <v>-31043000</v>
      </c>
      <c r="S42" s="1262">
        <f>S41-T18</f>
        <v>-97355614</v>
      </c>
      <c r="T42" s="1135"/>
      <c r="W42" s="420"/>
      <c r="X42" s="1135"/>
    </row>
    <row r="43" spans="1:25">
      <c r="A43" s="2401"/>
      <c r="B43" s="2401"/>
      <c r="C43" s="2401"/>
      <c r="D43" s="2402">
        <f t="shared" si="3"/>
        <v>4</v>
      </c>
      <c r="E43" s="2399">
        <v>2</v>
      </c>
      <c r="F43" s="2399">
        <v>4</v>
      </c>
      <c r="G43" s="2399"/>
      <c r="H43" s="2399" t="s">
        <v>12</v>
      </c>
      <c r="I43" s="2401"/>
      <c r="J43" s="2402"/>
      <c r="K43" s="2404">
        <f>K44+K45</f>
        <v>60000000</v>
      </c>
      <c r="L43" s="2404">
        <f>L44+L45</f>
        <v>60000000</v>
      </c>
      <c r="M43" s="2400">
        <f t="shared" si="2"/>
        <v>0</v>
      </c>
      <c r="N43" s="2402"/>
      <c r="P43" s="555">
        <v>60000000</v>
      </c>
      <c r="Q43" s="555">
        <f t="shared" si="1"/>
        <v>0</v>
      </c>
      <c r="T43" s="986"/>
      <c r="U43" s="928"/>
      <c r="X43" s="986"/>
    </row>
    <row r="44" spans="1:25">
      <c r="A44" s="2401"/>
      <c r="B44" s="2401"/>
      <c r="C44" s="2401"/>
      <c r="D44" s="2402">
        <f t="shared" si="3"/>
        <v>4</v>
      </c>
      <c r="E44" s="2402">
        <v>2</v>
      </c>
      <c r="F44" s="2402">
        <v>4</v>
      </c>
      <c r="G44" s="2402">
        <v>1</v>
      </c>
      <c r="H44" s="2402" t="s">
        <v>713</v>
      </c>
      <c r="I44" s="2401"/>
      <c r="J44" s="2402"/>
      <c r="K44" s="2405">
        <v>60000000</v>
      </c>
      <c r="L44" s="2405">
        <v>60000000</v>
      </c>
      <c r="M44" s="2400">
        <f t="shared" si="2"/>
        <v>0</v>
      </c>
      <c r="N44" s="2402" t="s">
        <v>429</v>
      </c>
      <c r="P44" s="567">
        <v>60000000</v>
      </c>
      <c r="Q44" s="567">
        <f t="shared" si="1"/>
        <v>0</v>
      </c>
      <c r="T44" s="986"/>
      <c r="X44" s="986"/>
    </row>
    <row r="45" spans="1:25">
      <c r="A45" s="2401"/>
      <c r="B45" s="2401"/>
      <c r="C45" s="2401"/>
      <c r="D45" s="2402">
        <f t="shared" si="3"/>
        <v>4</v>
      </c>
      <c r="E45" s="2402">
        <v>2</v>
      </c>
      <c r="F45" s="2402">
        <v>4</v>
      </c>
      <c r="G45" s="2402">
        <v>9</v>
      </c>
      <c r="H45" s="2402" t="s">
        <v>714</v>
      </c>
      <c r="I45" s="2401"/>
      <c r="J45" s="2402"/>
      <c r="K45" s="2405"/>
      <c r="L45" s="2405"/>
      <c r="M45" s="2400">
        <f t="shared" si="2"/>
        <v>0</v>
      </c>
      <c r="N45" s="2402"/>
      <c r="P45" s="567"/>
      <c r="Q45" s="567">
        <f t="shared" si="1"/>
        <v>0</v>
      </c>
      <c r="T45" s="973"/>
      <c r="X45" s="973"/>
    </row>
    <row r="46" spans="1:25" ht="22.5" customHeight="1">
      <c r="A46" s="2401"/>
      <c r="B46" s="2401"/>
      <c r="C46" s="2401"/>
      <c r="D46" s="2402">
        <f t="shared" si="3"/>
        <v>4</v>
      </c>
      <c r="E46" s="2399">
        <v>2</v>
      </c>
      <c r="F46" s="2399">
        <v>5</v>
      </c>
      <c r="G46" s="2399"/>
      <c r="H46" s="2399" t="s">
        <v>715</v>
      </c>
      <c r="I46" s="2401"/>
      <c r="J46" s="2402"/>
      <c r="K46" s="2405">
        <f>K47+K48</f>
        <v>0</v>
      </c>
      <c r="L46" s="2405">
        <f>L47+L48</f>
        <v>0</v>
      </c>
      <c r="M46" s="2400">
        <f t="shared" si="2"/>
        <v>0</v>
      </c>
      <c r="N46" s="2402"/>
      <c r="P46" s="567">
        <v>0</v>
      </c>
      <c r="Q46" s="567">
        <f t="shared" si="1"/>
        <v>0</v>
      </c>
      <c r="U46" s="973"/>
    </row>
    <row r="47" spans="1:25" ht="21" customHeight="1">
      <c r="A47" s="2401"/>
      <c r="B47" s="2401"/>
      <c r="C47" s="2401"/>
      <c r="D47" s="2402">
        <f t="shared" si="3"/>
        <v>4</v>
      </c>
      <c r="E47" s="2402">
        <v>2</v>
      </c>
      <c r="F47" s="2402">
        <v>5</v>
      </c>
      <c r="G47" s="2402">
        <v>1</v>
      </c>
      <c r="H47" s="2402" t="s">
        <v>715</v>
      </c>
      <c r="I47" s="2401"/>
      <c r="J47" s="2402"/>
      <c r="K47" s="2405"/>
      <c r="L47" s="2405"/>
      <c r="M47" s="2400">
        <f t="shared" si="2"/>
        <v>0</v>
      </c>
      <c r="N47" s="2402"/>
      <c r="P47" s="567"/>
      <c r="Q47" s="567">
        <f t="shared" si="1"/>
        <v>0</v>
      </c>
    </row>
    <row r="48" spans="1:25">
      <c r="A48" s="2401"/>
      <c r="B48" s="2401"/>
      <c r="C48" s="2401"/>
      <c r="D48" s="2402">
        <f t="shared" si="3"/>
        <v>4</v>
      </c>
      <c r="E48" s="2402">
        <v>2</v>
      </c>
      <c r="F48" s="2402">
        <v>5</v>
      </c>
      <c r="G48" s="2402">
        <v>9</v>
      </c>
      <c r="H48" s="2402" t="s">
        <v>716</v>
      </c>
      <c r="I48" s="2401"/>
      <c r="J48" s="2402"/>
      <c r="K48" s="2405"/>
      <c r="L48" s="2405"/>
      <c r="M48" s="2400">
        <f t="shared" si="2"/>
        <v>0</v>
      </c>
      <c r="N48" s="2402"/>
      <c r="P48" s="567"/>
      <c r="Q48" s="567">
        <f t="shared" si="1"/>
        <v>0</v>
      </c>
    </row>
    <row r="49" spans="1:29" s="420" customFormat="1">
      <c r="A49" s="2398"/>
      <c r="B49" s="2398"/>
      <c r="C49" s="2398"/>
      <c r="D49" s="2402">
        <f t="shared" si="3"/>
        <v>4</v>
      </c>
      <c r="E49" s="2399">
        <v>3</v>
      </c>
      <c r="F49" s="2399" t="s">
        <v>589</v>
      </c>
      <c r="G49" s="2399"/>
      <c r="H49" s="2399" t="s">
        <v>13</v>
      </c>
      <c r="I49" s="2398"/>
      <c r="J49" s="2399"/>
      <c r="K49" s="2404">
        <f>K50+K52+K54+K56+K58+K60+K62</f>
        <v>0</v>
      </c>
      <c r="L49" s="2404">
        <f>L50+L52+L54+L56+L58+L60+L62</f>
        <v>0</v>
      </c>
      <c r="M49" s="2400">
        <f t="shared" si="2"/>
        <v>0</v>
      </c>
      <c r="N49" s="2399"/>
      <c r="P49" s="555">
        <v>0</v>
      </c>
      <c r="Q49" s="555">
        <f t="shared" si="1"/>
        <v>0</v>
      </c>
      <c r="R49" s="419"/>
      <c r="S49" s="419"/>
      <c r="T49" s="419"/>
      <c r="U49" s="419"/>
      <c r="V49" s="419"/>
      <c r="W49" s="419"/>
      <c r="X49" s="419"/>
    </row>
    <row r="50" spans="1:29">
      <c r="A50" s="2401"/>
      <c r="B50" s="2401"/>
      <c r="C50" s="2401"/>
      <c r="D50" s="2402">
        <f t="shared" si="3"/>
        <v>4</v>
      </c>
      <c r="E50" s="2399">
        <v>3</v>
      </c>
      <c r="F50" s="2399">
        <v>1</v>
      </c>
      <c r="G50" s="2399"/>
      <c r="H50" s="2399" t="s">
        <v>717</v>
      </c>
      <c r="I50" s="2401"/>
      <c r="J50" s="2402"/>
      <c r="K50" s="2405">
        <f>K51</f>
        <v>0</v>
      </c>
      <c r="L50" s="2405">
        <f>L51</f>
        <v>0</v>
      </c>
      <c r="M50" s="2400">
        <f t="shared" si="2"/>
        <v>0</v>
      </c>
      <c r="N50" s="2402"/>
      <c r="P50" s="567">
        <v>0</v>
      </c>
      <c r="Q50" s="567">
        <f t="shared" ref="Q50:Q73" si="4">P50-K50</f>
        <v>0</v>
      </c>
    </row>
    <row r="51" spans="1:29">
      <c r="A51" s="2401"/>
      <c r="B51" s="2401"/>
      <c r="C51" s="2401"/>
      <c r="D51" s="2402">
        <f t="shared" si="3"/>
        <v>4</v>
      </c>
      <c r="E51" s="2402">
        <v>3</v>
      </c>
      <c r="F51" s="2402">
        <v>1</v>
      </c>
      <c r="G51" s="2402">
        <v>1</v>
      </c>
      <c r="H51" s="2402" t="s">
        <v>717</v>
      </c>
      <c r="I51" s="2401"/>
      <c r="J51" s="2402"/>
      <c r="K51" s="2405"/>
      <c r="L51" s="2405"/>
      <c r="M51" s="2400">
        <f t="shared" si="2"/>
        <v>0</v>
      </c>
      <c r="N51" s="2402"/>
      <c r="P51" s="567"/>
      <c r="Q51" s="567">
        <f t="shared" si="4"/>
        <v>0</v>
      </c>
      <c r="U51" s="973"/>
    </row>
    <row r="52" spans="1:29">
      <c r="A52" s="2401"/>
      <c r="B52" s="2401"/>
      <c r="C52" s="2401"/>
      <c r="D52" s="2402">
        <f t="shared" si="3"/>
        <v>4</v>
      </c>
      <c r="E52" s="2399">
        <v>3</v>
      </c>
      <c r="F52" s="2399">
        <v>2</v>
      </c>
      <c r="G52" s="2399"/>
      <c r="H52" s="2399" t="s">
        <v>718</v>
      </c>
      <c r="I52" s="2401"/>
      <c r="J52" s="2402"/>
      <c r="K52" s="2405">
        <f>K53</f>
        <v>0</v>
      </c>
      <c r="L52" s="2405">
        <f>L53</f>
        <v>0</v>
      </c>
      <c r="M52" s="2400">
        <f t="shared" si="2"/>
        <v>0</v>
      </c>
      <c r="N52" s="2402"/>
      <c r="P52" s="567">
        <v>0</v>
      </c>
      <c r="Q52" s="567">
        <f t="shared" si="4"/>
        <v>0</v>
      </c>
      <c r="U52" s="973"/>
    </row>
    <row r="53" spans="1:29">
      <c r="A53" s="2401"/>
      <c r="B53" s="2401"/>
      <c r="C53" s="2401"/>
      <c r="D53" s="2402">
        <f t="shared" si="3"/>
        <v>4</v>
      </c>
      <c r="E53" s="2402">
        <v>3</v>
      </c>
      <c r="F53" s="2402">
        <v>2</v>
      </c>
      <c r="G53" s="2402">
        <v>1</v>
      </c>
      <c r="H53" s="2402" t="s">
        <v>718</v>
      </c>
      <c r="I53" s="2401"/>
      <c r="J53" s="2402"/>
      <c r="K53" s="2405"/>
      <c r="L53" s="2405"/>
      <c r="M53" s="2400">
        <f t="shared" si="2"/>
        <v>0</v>
      </c>
      <c r="N53" s="2402"/>
      <c r="P53" s="567"/>
      <c r="Q53" s="567">
        <f t="shared" si="4"/>
        <v>0</v>
      </c>
    </row>
    <row r="54" spans="1:29">
      <c r="A54" s="2401"/>
      <c r="B54" s="2401"/>
      <c r="C54" s="2401"/>
      <c r="D54" s="2402">
        <f t="shared" si="3"/>
        <v>4</v>
      </c>
      <c r="E54" s="2399">
        <v>3</v>
      </c>
      <c r="F54" s="2399">
        <v>3</v>
      </c>
      <c r="G54" s="2399"/>
      <c r="H54" s="2399" t="s">
        <v>719</v>
      </c>
      <c r="I54" s="2401"/>
      <c r="J54" s="2402"/>
      <c r="K54" s="2405">
        <f>K55</f>
        <v>0</v>
      </c>
      <c r="L54" s="2405">
        <f>L55</f>
        <v>0</v>
      </c>
      <c r="M54" s="2400">
        <f t="shared" si="2"/>
        <v>0</v>
      </c>
      <c r="N54" s="2402"/>
      <c r="P54" s="567">
        <v>0</v>
      </c>
      <c r="Q54" s="567">
        <f t="shared" si="4"/>
        <v>0</v>
      </c>
    </row>
    <row r="55" spans="1:29">
      <c r="A55" s="2401"/>
      <c r="B55" s="2401"/>
      <c r="C55" s="2401"/>
      <c r="D55" s="2402">
        <f t="shared" si="3"/>
        <v>4</v>
      </c>
      <c r="E55" s="2402">
        <v>3</v>
      </c>
      <c r="F55" s="2402">
        <v>3</v>
      </c>
      <c r="G55" s="2402">
        <v>1</v>
      </c>
      <c r="H55" s="2402" t="s">
        <v>719</v>
      </c>
      <c r="I55" s="2401"/>
      <c r="J55" s="2402"/>
      <c r="K55" s="2405"/>
      <c r="L55" s="2405"/>
      <c r="M55" s="2400">
        <f t="shared" si="2"/>
        <v>0</v>
      </c>
      <c r="N55" s="2402"/>
      <c r="P55" s="567"/>
      <c r="Q55" s="567">
        <f t="shared" si="4"/>
        <v>0</v>
      </c>
    </row>
    <row r="56" spans="1:29">
      <c r="A56" s="2401"/>
      <c r="B56" s="2401"/>
      <c r="C56" s="2401"/>
      <c r="D56" s="2402">
        <f t="shared" si="3"/>
        <v>4</v>
      </c>
      <c r="E56" s="2399">
        <v>3</v>
      </c>
      <c r="F56" s="2399">
        <v>4</v>
      </c>
      <c r="G56" s="2399"/>
      <c r="H56" s="2399" t="s">
        <v>720</v>
      </c>
      <c r="I56" s="2401"/>
      <c r="J56" s="2402"/>
      <c r="K56" s="2404">
        <f>K57</f>
        <v>0</v>
      </c>
      <c r="L56" s="2404">
        <f>L57</f>
        <v>0</v>
      </c>
      <c r="M56" s="2400">
        <f t="shared" si="2"/>
        <v>0</v>
      </c>
      <c r="N56" s="2402"/>
      <c r="P56" s="555">
        <v>0</v>
      </c>
      <c r="Q56" s="555">
        <f t="shared" si="4"/>
        <v>0</v>
      </c>
    </row>
    <row r="57" spans="1:29">
      <c r="A57" s="2401"/>
      <c r="B57" s="2401"/>
      <c r="C57" s="2401"/>
      <c r="D57" s="2402">
        <f t="shared" si="3"/>
        <v>4</v>
      </c>
      <c r="E57" s="2402">
        <v>3</v>
      </c>
      <c r="F57" s="2402">
        <v>4</v>
      </c>
      <c r="G57" s="2402">
        <v>1</v>
      </c>
      <c r="H57" s="2402" t="s">
        <v>720</v>
      </c>
      <c r="I57" s="2401"/>
      <c r="J57" s="2402"/>
      <c r="K57" s="2405"/>
      <c r="L57" s="2405"/>
      <c r="M57" s="2400">
        <f t="shared" si="2"/>
        <v>0</v>
      </c>
      <c r="N57" s="2402"/>
      <c r="P57" s="567"/>
      <c r="Q57" s="567">
        <f t="shared" si="4"/>
        <v>0</v>
      </c>
    </row>
    <row r="58" spans="1:29" ht="18" customHeight="1">
      <c r="A58" s="2401"/>
      <c r="B58" s="2401"/>
      <c r="C58" s="2401"/>
      <c r="D58" s="2402">
        <f t="shared" si="3"/>
        <v>4</v>
      </c>
      <c r="E58" s="2399">
        <v>3</v>
      </c>
      <c r="F58" s="2399">
        <v>5</v>
      </c>
      <c r="G58" s="2399"/>
      <c r="H58" s="2399" t="s">
        <v>721</v>
      </c>
      <c r="I58" s="2401"/>
      <c r="J58" s="2402"/>
      <c r="K58" s="2405">
        <f>K59</f>
        <v>0</v>
      </c>
      <c r="L58" s="2405">
        <f>L59</f>
        <v>0</v>
      </c>
      <c r="M58" s="2400">
        <f t="shared" si="2"/>
        <v>0</v>
      </c>
      <c r="N58" s="2402"/>
      <c r="P58" s="567">
        <v>0</v>
      </c>
      <c r="Q58" s="567">
        <f t="shared" si="4"/>
        <v>0</v>
      </c>
    </row>
    <row r="59" spans="1:29" ht="47.25">
      <c r="A59" s="2401"/>
      <c r="B59" s="2401"/>
      <c r="C59" s="2401"/>
      <c r="D59" s="2402">
        <f t="shared" si="3"/>
        <v>4</v>
      </c>
      <c r="E59" s="2402">
        <v>3</v>
      </c>
      <c r="F59" s="2402">
        <v>5</v>
      </c>
      <c r="G59" s="2402">
        <v>1</v>
      </c>
      <c r="H59" s="2402" t="s">
        <v>721</v>
      </c>
      <c r="I59" s="2401"/>
      <c r="J59" s="2402"/>
      <c r="K59" s="2405"/>
      <c r="L59" s="2405"/>
      <c r="M59" s="2400">
        <f t="shared" si="2"/>
        <v>0</v>
      </c>
      <c r="N59" s="2402"/>
      <c r="P59" s="567"/>
      <c r="Q59" s="567">
        <f t="shared" si="4"/>
        <v>0</v>
      </c>
    </row>
    <row r="60" spans="1:29">
      <c r="A60" s="2401"/>
      <c r="B60" s="2401"/>
      <c r="C60" s="2401"/>
      <c r="D60" s="2402">
        <f t="shared" si="3"/>
        <v>4</v>
      </c>
      <c r="E60" s="2399">
        <v>3</v>
      </c>
      <c r="F60" s="2399">
        <v>6</v>
      </c>
      <c r="G60" s="2399"/>
      <c r="H60" s="2399" t="s">
        <v>722</v>
      </c>
      <c r="I60" s="2401"/>
      <c r="J60" s="2402"/>
      <c r="K60" s="2404">
        <f>K61</f>
        <v>0</v>
      </c>
      <c r="L60" s="2404">
        <f>L61</f>
        <v>0</v>
      </c>
      <c r="M60" s="2400">
        <f t="shared" si="2"/>
        <v>0</v>
      </c>
      <c r="N60" s="2402"/>
      <c r="P60" s="555">
        <v>0</v>
      </c>
      <c r="Q60" s="555">
        <f t="shared" si="4"/>
        <v>0</v>
      </c>
      <c r="T60" s="848"/>
    </row>
    <row r="61" spans="1:29">
      <c r="A61" s="2401"/>
      <c r="B61" s="2401"/>
      <c r="C61" s="2401"/>
      <c r="D61" s="2402">
        <f t="shared" si="3"/>
        <v>4</v>
      </c>
      <c r="E61" s="2402">
        <v>3</v>
      </c>
      <c r="F61" s="2402">
        <v>6</v>
      </c>
      <c r="G61" s="2402">
        <v>1</v>
      </c>
      <c r="H61" s="2402" t="s">
        <v>722</v>
      </c>
      <c r="I61" s="2401"/>
      <c r="J61" s="2402"/>
      <c r="K61" s="2405">
        <v>0</v>
      </c>
      <c r="L61" s="2405">
        <v>0</v>
      </c>
      <c r="M61" s="2400">
        <f t="shared" si="2"/>
        <v>0</v>
      </c>
      <c r="N61" s="2402" t="s">
        <v>415</v>
      </c>
      <c r="P61" s="567">
        <v>0</v>
      </c>
      <c r="Q61" s="567">
        <f t="shared" si="4"/>
        <v>0</v>
      </c>
    </row>
    <row r="62" spans="1:29" ht="17.25" customHeight="1">
      <c r="A62" s="2401"/>
      <c r="B62" s="2401"/>
      <c r="C62" s="2401"/>
      <c r="D62" s="2402">
        <f t="shared" si="3"/>
        <v>4</v>
      </c>
      <c r="E62" s="2399">
        <v>3</v>
      </c>
      <c r="F62" s="2399">
        <v>9</v>
      </c>
      <c r="G62" s="2399"/>
      <c r="H62" s="2399" t="s">
        <v>723</v>
      </c>
      <c r="I62" s="2401"/>
      <c r="J62" s="2402"/>
      <c r="K62" s="2405">
        <f>K63</f>
        <v>0</v>
      </c>
      <c r="L62" s="2405">
        <f>L63</f>
        <v>0</v>
      </c>
      <c r="M62" s="2400">
        <f t="shared" si="2"/>
        <v>0</v>
      </c>
      <c r="N62" s="2402"/>
      <c r="P62" s="567">
        <v>0</v>
      </c>
      <c r="Q62" s="567">
        <f t="shared" si="4"/>
        <v>0</v>
      </c>
    </row>
    <row r="63" spans="1:29">
      <c r="A63" s="2406"/>
      <c r="B63" s="2406"/>
      <c r="C63" s="2406"/>
      <c r="D63" s="2407">
        <f t="shared" si="3"/>
        <v>4</v>
      </c>
      <c r="E63" s="2407">
        <v>3</v>
      </c>
      <c r="F63" s="2407">
        <v>9</v>
      </c>
      <c r="G63" s="2407">
        <v>9</v>
      </c>
      <c r="H63" s="2407" t="s">
        <v>723</v>
      </c>
      <c r="I63" s="2406"/>
      <c r="J63" s="2407"/>
      <c r="K63" s="2408"/>
      <c r="L63" s="2408"/>
      <c r="M63" s="2409">
        <f t="shared" si="2"/>
        <v>0</v>
      </c>
      <c r="N63" s="2407"/>
      <c r="P63" s="567"/>
      <c r="Q63" s="567">
        <f t="shared" si="4"/>
        <v>0</v>
      </c>
    </row>
    <row r="64" spans="1:29" s="420" customFormat="1">
      <c r="A64" s="2410"/>
      <c r="B64" s="2410"/>
      <c r="C64" s="2410"/>
      <c r="D64" s="581"/>
      <c r="E64" s="581"/>
      <c r="F64" s="581"/>
      <c r="G64" s="581"/>
      <c r="H64" s="581" t="s">
        <v>6</v>
      </c>
      <c r="I64" s="2410"/>
      <c r="J64" s="581"/>
      <c r="K64" s="2411">
        <f>K18</f>
        <v>1536094000</v>
      </c>
      <c r="L64" s="2411">
        <f>L18</f>
        <v>1441889000</v>
      </c>
      <c r="M64" s="2412">
        <f t="shared" si="2"/>
        <v>-94205000</v>
      </c>
      <c r="N64" s="581"/>
      <c r="P64" s="555">
        <v>1465948000</v>
      </c>
      <c r="Q64" s="555">
        <f t="shared" si="4"/>
        <v>-70146000</v>
      </c>
      <c r="R64" s="928"/>
      <c r="S64"/>
      <c r="T64"/>
      <c r="U64"/>
      <c r="V64"/>
      <c r="W64"/>
      <c r="X64"/>
      <c r="Y64"/>
      <c r="Z64"/>
      <c r="AA64"/>
      <c r="AB64"/>
      <c r="AC64"/>
    </row>
    <row r="65" spans="1:29">
      <c r="A65" s="2413"/>
      <c r="B65" s="2413"/>
      <c r="C65" s="2413"/>
      <c r="D65" s="2413"/>
      <c r="E65" s="2413"/>
      <c r="F65" s="2413"/>
      <c r="G65" s="2413"/>
      <c r="H65" s="2414"/>
      <c r="I65" s="2413"/>
      <c r="J65" s="2414"/>
      <c r="K65" s="2415"/>
      <c r="L65" s="2415"/>
      <c r="M65" s="2415"/>
      <c r="N65" s="2414"/>
      <c r="P65" s="567"/>
      <c r="Q65" s="567">
        <f t="shared" si="4"/>
        <v>0</v>
      </c>
      <c r="R65" s="828"/>
      <c r="S65" s="829"/>
      <c r="T65" s="829"/>
      <c r="U65" s="829"/>
      <c r="V65" s="829"/>
      <c r="W65" s="829"/>
      <c r="X65" s="829"/>
      <c r="Y65" s="829"/>
      <c r="Z65" s="829"/>
      <c r="AA65"/>
      <c r="AB65"/>
      <c r="AC65"/>
    </row>
    <row r="66" spans="1:29" s="420" customFormat="1" ht="18.75" customHeight="1">
      <c r="A66" s="2398"/>
      <c r="B66" s="2398"/>
      <c r="C66" s="2398"/>
      <c r="D66" s="2398">
        <v>5</v>
      </c>
      <c r="E66" s="2398"/>
      <c r="F66" s="2398"/>
      <c r="G66" s="2398"/>
      <c r="H66" s="2399" t="s">
        <v>7</v>
      </c>
      <c r="I66" s="2398"/>
      <c r="J66" s="2399"/>
      <c r="K66" s="2404">
        <f>K67+K191+K226+K285+K306</f>
        <v>1536094000</v>
      </c>
      <c r="L66" s="2404">
        <f>L67+L191+L226+L285+L306</f>
        <v>1473343651</v>
      </c>
      <c r="M66" s="2404"/>
      <c r="N66" s="2399"/>
      <c r="P66" s="555">
        <v>1465948000</v>
      </c>
      <c r="Q66" s="555">
        <f t="shared" si="4"/>
        <v>-70146000</v>
      </c>
      <c r="R66" s="1354"/>
      <c r="S66" s="829"/>
      <c r="T66" s="831"/>
      <c r="U66" s="829"/>
      <c r="V66" s="829"/>
      <c r="W66" s="829"/>
      <c r="X66" s="829"/>
      <c r="Y66" s="829"/>
      <c r="Z66" s="829"/>
      <c r="AA66"/>
      <c r="AB66"/>
      <c r="AC66"/>
    </row>
    <row r="67" spans="1:29" s="849" customFormat="1" ht="21" customHeight="1">
      <c r="A67" s="2416">
        <v>1</v>
      </c>
      <c r="B67" s="2416"/>
      <c r="C67" s="2416"/>
      <c r="D67" s="2416"/>
      <c r="E67" s="2416"/>
      <c r="F67" s="2416"/>
      <c r="G67" s="2416"/>
      <c r="H67" s="2417" t="s">
        <v>961</v>
      </c>
      <c r="I67" s="2416"/>
      <c r="J67" s="2417"/>
      <c r="K67" s="2418">
        <f>K68+K114+K118++K126+K130+K138+K181</f>
        <v>597552000</v>
      </c>
      <c r="L67" s="2418">
        <f>L68+L114+L118++L126+L130+L138+L181</f>
        <v>564113151</v>
      </c>
      <c r="M67" s="2418">
        <f>M69+M75+M81+M90+M114+M118+M130+M138+M154+M181+M186</f>
        <v>-33438849</v>
      </c>
      <c r="N67" s="2417"/>
      <c r="P67" s="816">
        <v>456180000</v>
      </c>
      <c r="Q67" s="816">
        <f t="shared" si="4"/>
        <v>-141372000</v>
      </c>
      <c r="R67" s="919"/>
      <c r="S67" s="850"/>
      <c r="T67" s="850"/>
      <c r="U67" s="850"/>
      <c r="V67" s="850"/>
      <c r="W67" s="850"/>
      <c r="X67" s="850"/>
      <c r="Y67" s="850"/>
      <c r="Z67" s="850"/>
      <c r="AA67" s="851"/>
      <c r="AB67" s="851"/>
      <c r="AC67" s="851"/>
    </row>
    <row r="68" spans="1:29" s="420" customFormat="1" ht="31.5">
      <c r="A68" s="2398">
        <v>1</v>
      </c>
      <c r="B68" s="2419">
        <v>1</v>
      </c>
      <c r="C68" s="2398"/>
      <c r="D68" s="2398"/>
      <c r="E68" s="2398"/>
      <c r="F68" s="2398"/>
      <c r="G68" s="2398"/>
      <c r="H68" s="2399" t="s">
        <v>592</v>
      </c>
      <c r="I68" s="2398"/>
      <c r="J68" s="2399"/>
      <c r="K68" s="2404">
        <f>K69+K75+K81+K90</f>
        <v>422969500</v>
      </c>
      <c r="L68" s="2404">
        <f>L69+L75+L81+L90</f>
        <v>410179151</v>
      </c>
      <c r="M68" s="2404"/>
      <c r="N68" s="2399"/>
      <c r="P68" s="802">
        <v>384275500</v>
      </c>
      <c r="Q68" s="802">
        <f t="shared" si="4"/>
        <v>-38694000</v>
      </c>
      <c r="R68" s="1354"/>
      <c r="S68" s="858"/>
      <c r="T68" s="912"/>
      <c r="U68" s="858"/>
      <c r="V68" s="829"/>
      <c r="W68" s="829"/>
      <c r="X68" s="829"/>
      <c r="Y68" s="829"/>
      <c r="Z68" s="829"/>
      <c r="AA68"/>
      <c r="AB68"/>
      <c r="AC68"/>
    </row>
    <row r="69" spans="1:29">
      <c r="A69" s="2398">
        <v>1</v>
      </c>
      <c r="B69" s="2419">
        <v>1</v>
      </c>
      <c r="C69" s="2419" t="s">
        <v>593</v>
      </c>
      <c r="D69" s="2398">
        <v>5</v>
      </c>
      <c r="E69" s="2398"/>
      <c r="F69" s="2398"/>
      <c r="G69" s="2398"/>
      <c r="H69" s="2399" t="s">
        <v>548</v>
      </c>
      <c r="I69" s="2398"/>
      <c r="J69" s="2399"/>
      <c r="K69" s="2404">
        <f>K70</f>
        <v>43250000</v>
      </c>
      <c r="L69" s="2404">
        <f>L70</f>
        <v>43250000</v>
      </c>
      <c r="M69" s="2404">
        <f>L69-K69</f>
        <v>0</v>
      </c>
      <c r="N69" s="2399"/>
      <c r="P69" s="797">
        <v>39520000</v>
      </c>
      <c r="Q69" s="797">
        <f t="shared" si="4"/>
        <v>-3730000</v>
      </c>
      <c r="R69" s="828"/>
      <c r="S69" s="858"/>
      <c r="T69" s="912"/>
      <c r="U69" s="858"/>
      <c r="V69" s="829"/>
      <c r="W69" s="829"/>
      <c r="X69" s="829"/>
      <c r="Y69" s="829"/>
      <c r="Z69" s="832"/>
      <c r="AA69" s="534"/>
      <c r="AB69" s="534"/>
      <c r="AC69" s="534"/>
    </row>
    <row r="70" spans="1:29">
      <c r="A70" s="2401">
        <v>1</v>
      </c>
      <c r="B70" s="2420">
        <v>1</v>
      </c>
      <c r="C70" s="2420" t="s">
        <v>593</v>
      </c>
      <c r="D70" s="2401">
        <v>5</v>
      </c>
      <c r="E70" s="2401">
        <v>1</v>
      </c>
      <c r="F70" s="2401"/>
      <c r="G70" s="2401"/>
      <c r="H70" s="2402" t="s">
        <v>312</v>
      </c>
      <c r="I70" s="2401" t="s">
        <v>21</v>
      </c>
      <c r="J70" s="2402"/>
      <c r="K70" s="2405">
        <f>K71</f>
        <v>43250000</v>
      </c>
      <c r="L70" s="2405">
        <f>L71</f>
        <v>43250000</v>
      </c>
      <c r="M70" s="2405">
        <f t="shared" ref="M70:M74" si="5">L70-K70</f>
        <v>0</v>
      </c>
      <c r="N70" s="2402"/>
      <c r="P70" s="567">
        <v>39520000</v>
      </c>
      <c r="Q70" s="567">
        <f t="shared" si="4"/>
        <v>-3730000</v>
      </c>
      <c r="R70" s="828"/>
      <c r="S70" s="855"/>
      <c r="T70" s="913"/>
      <c r="U70" s="858"/>
      <c r="V70" s="829"/>
      <c r="W70" s="829"/>
      <c r="X70" s="829"/>
      <c r="Y70" s="829"/>
      <c r="Z70" s="832"/>
      <c r="AA70" s="534"/>
      <c r="AB70" s="534"/>
      <c r="AC70" s="534"/>
    </row>
    <row r="71" spans="1:29">
      <c r="A71" s="2401">
        <v>1</v>
      </c>
      <c r="B71" s="2420">
        <v>1</v>
      </c>
      <c r="C71" s="2420" t="s">
        <v>593</v>
      </c>
      <c r="D71" s="2401">
        <v>5</v>
      </c>
      <c r="E71" s="2401">
        <v>1</v>
      </c>
      <c r="F71" s="2420">
        <v>1</v>
      </c>
      <c r="G71" s="2420"/>
      <c r="H71" s="2402" t="s">
        <v>724</v>
      </c>
      <c r="I71" s="2401"/>
      <c r="J71" s="2402"/>
      <c r="K71" s="2405">
        <f>K72+K73+K74</f>
        <v>43250000</v>
      </c>
      <c r="L71" s="2405">
        <f>K71</f>
        <v>43250000</v>
      </c>
      <c r="M71" s="2405">
        <f t="shared" si="5"/>
        <v>0</v>
      </c>
      <c r="N71" s="2402"/>
      <c r="P71" s="567">
        <v>39520000</v>
      </c>
      <c r="Q71" s="567">
        <f t="shared" si="4"/>
        <v>-3730000</v>
      </c>
      <c r="R71" s="828"/>
      <c r="S71" s="855"/>
      <c r="T71" s="913"/>
      <c r="U71" s="858"/>
      <c r="V71" s="829"/>
      <c r="W71" s="829"/>
      <c r="X71" s="829"/>
      <c r="Y71" s="829"/>
      <c r="Z71" s="829"/>
      <c r="AA71"/>
      <c r="AB71"/>
      <c r="AC71"/>
    </row>
    <row r="72" spans="1:29">
      <c r="A72" s="2401">
        <v>1</v>
      </c>
      <c r="B72" s="2420">
        <v>1</v>
      </c>
      <c r="C72" s="2420" t="s">
        <v>593</v>
      </c>
      <c r="D72" s="2401">
        <v>5</v>
      </c>
      <c r="E72" s="2401">
        <v>1</v>
      </c>
      <c r="F72" s="2420">
        <v>1</v>
      </c>
      <c r="G72" s="2420">
        <v>1</v>
      </c>
      <c r="H72" s="2402" t="s">
        <v>204</v>
      </c>
      <c r="I72" s="2401">
        <f>'1.1 Siltun Kds'!E15</f>
        <v>12</v>
      </c>
      <c r="J72" s="2402" t="str">
        <f>'1.1 Siltun Kds'!F15</f>
        <v>OB</v>
      </c>
      <c r="K72" s="2405">
        <f>'1.1 Siltun Kds'!H16</f>
        <v>30000000</v>
      </c>
      <c r="L72" s="2405">
        <f>K72</f>
        <v>30000000</v>
      </c>
      <c r="M72" s="2405">
        <f t="shared" si="5"/>
        <v>0</v>
      </c>
      <c r="N72" s="2402" t="s">
        <v>23</v>
      </c>
      <c r="O72" s="419" t="s">
        <v>25</v>
      </c>
      <c r="P72" s="567">
        <v>32500000</v>
      </c>
      <c r="Q72" s="567">
        <f t="shared" si="4"/>
        <v>2500000</v>
      </c>
      <c r="R72" s="828"/>
      <c r="S72" s="914"/>
      <c r="T72" s="915"/>
      <c r="U72" s="858"/>
      <c r="V72" s="829"/>
      <c r="W72" s="829"/>
      <c r="X72" s="829"/>
      <c r="Y72" s="829"/>
      <c r="Z72" s="832"/>
      <c r="AA72" s="534"/>
      <c r="AB72" s="534"/>
      <c r="AC72" s="534"/>
    </row>
    <row r="73" spans="1:29">
      <c r="A73" s="2401">
        <v>1</v>
      </c>
      <c r="B73" s="2420">
        <v>1</v>
      </c>
      <c r="C73" s="2420" t="s">
        <v>593</v>
      </c>
      <c r="D73" s="2401">
        <v>5</v>
      </c>
      <c r="E73" s="2401">
        <v>1</v>
      </c>
      <c r="F73" s="2420">
        <v>1</v>
      </c>
      <c r="G73" s="2420">
        <v>2</v>
      </c>
      <c r="H73" s="2402" t="s">
        <v>328</v>
      </c>
      <c r="I73" s="2401">
        <f>'1.1 Siltun Kds'!E18</f>
        <v>12</v>
      </c>
      <c r="J73" s="2402" t="str">
        <f>'1.1 Siltun Kds'!F18</f>
        <v>OB</v>
      </c>
      <c r="K73" s="2405">
        <f>'1.1 Siltun Kds'!H18</f>
        <v>12000000</v>
      </c>
      <c r="L73" s="2405">
        <f>K73</f>
        <v>12000000</v>
      </c>
      <c r="M73" s="2405">
        <f t="shared" si="5"/>
        <v>0</v>
      </c>
      <c r="N73" s="2402" t="s">
        <v>23</v>
      </c>
      <c r="O73" s="419" t="s">
        <v>25</v>
      </c>
      <c r="P73" s="567">
        <v>7020000</v>
      </c>
      <c r="Q73" s="567">
        <f t="shared" si="4"/>
        <v>-4980000</v>
      </c>
      <c r="R73" s="828"/>
      <c r="S73" s="858"/>
      <c r="T73" s="858"/>
      <c r="U73" s="858"/>
      <c r="V73" s="829"/>
      <c r="W73" s="829"/>
      <c r="X73" s="829"/>
      <c r="Y73" s="829"/>
      <c r="Z73" s="829"/>
      <c r="AA73"/>
      <c r="AB73"/>
      <c r="AC73"/>
    </row>
    <row r="74" spans="1:29">
      <c r="A74" s="2401"/>
      <c r="B74" s="2420"/>
      <c r="C74" s="2420"/>
      <c r="D74" s="2401"/>
      <c r="E74" s="2401"/>
      <c r="F74" s="2420">
        <v>1</v>
      </c>
      <c r="G74" s="2420">
        <v>3</v>
      </c>
      <c r="H74" s="2402" t="s">
        <v>1452</v>
      </c>
      <c r="I74" s="2401">
        <v>1</v>
      </c>
      <c r="J74" s="2402" t="s">
        <v>116</v>
      </c>
      <c r="K74" s="2405">
        <f>'1.1 Siltun Kds'!H22</f>
        <v>1250000</v>
      </c>
      <c r="L74" s="2405">
        <f>K74</f>
        <v>1250000</v>
      </c>
      <c r="M74" s="2405">
        <f t="shared" si="5"/>
        <v>0</v>
      </c>
      <c r="N74" s="2402" t="s">
        <v>330</v>
      </c>
      <c r="O74" s="419" t="s">
        <v>25</v>
      </c>
      <c r="P74" s="567"/>
      <c r="Q74" s="567"/>
      <c r="R74" s="828"/>
      <c r="S74" s="858"/>
      <c r="T74" s="858"/>
      <c r="U74" s="858"/>
      <c r="V74" s="829"/>
      <c r="W74" s="829"/>
      <c r="X74" s="829"/>
      <c r="Y74" s="829"/>
      <c r="Z74" s="829"/>
      <c r="AA74"/>
      <c r="AB74"/>
      <c r="AC74"/>
    </row>
    <row r="75" spans="1:29" ht="31.5">
      <c r="A75" s="2398">
        <v>1</v>
      </c>
      <c r="B75" s="2419">
        <v>1</v>
      </c>
      <c r="C75" s="2419" t="s">
        <v>594</v>
      </c>
      <c r="D75" s="2398">
        <v>5</v>
      </c>
      <c r="E75" s="2398"/>
      <c r="F75" s="2398"/>
      <c r="G75" s="2398"/>
      <c r="H75" s="2399" t="s">
        <v>547</v>
      </c>
      <c r="I75" s="2398"/>
      <c r="J75" s="2399"/>
      <c r="K75" s="2404">
        <f>K76</f>
        <v>280110000</v>
      </c>
      <c r="L75" s="2404">
        <f>L76</f>
        <v>280110000</v>
      </c>
      <c r="M75" s="2404">
        <f>L75-K75</f>
        <v>0</v>
      </c>
      <c r="N75" s="2399"/>
      <c r="P75" s="797">
        <v>181090000</v>
      </c>
      <c r="Q75" s="797">
        <f>P75-K75</f>
        <v>-99020000</v>
      </c>
      <c r="R75" s="828"/>
      <c r="S75" s="858"/>
      <c r="T75" s="858"/>
      <c r="U75" s="858"/>
      <c r="V75" s="829"/>
      <c r="W75" s="829"/>
      <c r="X75" s="829"/>
      <c r="Y75" s="829"/>
      <c r="Z75" s="829"/>
      <c r="AA75"/>
      <c r="AB75"/>
      <c r="AC75"/>
    </row>
    <row r="76" spans="1:29">
      <c r="A76" s="2401">
        <v>1</v>
      </c>
      <c r="B76" s="2420">
        <v>1</v>
      </c>
      <c r="C76" s="2420" t="s">
        <v>594</v>
      </c>
      <c r="D76" s="2401">
        <v>5</v>
      </c>
      <c r="E76" s="2401">
        <v>1</v>
      </c>
      <c r="F76" s="2401"/>
      <c r="G76" s="2401"/>
      <c r="H76" s="2402" t="s">
        <v>312</v>
      </c>
      <c r="I76" s="2401"/>
      <c r="J76" s="2402"/>
      <c r="K76" s="2405">
        <f>K77</f>
        <v>280110000</v>
      </c>
      <c r="L76" s="2405">
        <f>L77</f>
        <v>280110000</v>
      </c>
      <c r="M76" s="2405">
        <f t="shared" ref="M76:M140" si="6">L76-K76</f>
        <v>0</v>
      </c>
      <c r="N76" s="2402"/>
      <c r="P76" s="567">
        <v>181090000</v>
      </c>
      <c r="Q76" s="567">
        <f>P76-K76</f>
        <v>-99020000</v>
      </c>
      <c r="R76" s="828"/>
      <c r="S76" s="858"/>
      <c r="T76" s="912"/>
      <c r="U76" s="858"/>
      <c r="V76" s="829"/>
      <c r="W76" s="829"/>
      <c r="X76" s="829"/>
      <c r="Y76" s="829"/>
      <c r="Z76" s="829"/>
      <c r="AA76"/>
      <c r="AB76"/>
      <c r="AC76"/>
    </row>
    <row r="77" spans="1:29">
      <c r="A77" s="2401">
        <v>1</v>
      </c>
      <c r="B77" s="2420">
        <v>1</v>
      </c>
      <c r="C77" s="2420" t="s">
        <v>594</v>
      </c>
      <c r="D77" s="2401">
        <v>5</v>
      </c>
      <c r="E77" s="2401">
        <v>1</v>
      </c>
      <c r="F77" s="2420">
        <v>2</v>
      </c>
      <c r="G77" s="2420"/>
      <c r="H77" s="2402" t="s">
        <v>725</v>
      </c>
      <c r="I77" s="2401"/>
      <c r="J77" s="2402"/>
      <c r="K77" s="2405">
        <f>K78+K79+K80</f>
        <v>280110000</v>
      </c>
      <c r="L77" s="2405">
        <f>L78+L79+L80</f>
        <v>280110000</v>
      </c>
      <c r="M77" s="2405">
        <f t="shared" si="6"/>
        <v>0</v>
      </c>
      <c r="N77" s="2402"/>
      <c r="P77" s="567">
        <v>181090000</v>
      </c>
      <c r="Q77" s="567">
        <f>P77-K77</f>
        <v>-99020000</v>
      </c>
      <c r="R77" s="828"/>
      <c r="S77" s="858"/>
      <c r="T77" s="912"/>
      <c r="U77" s="858"/>
      <c r="V77" s="829"/>
      <c r="W77" s="829"/>
      <c r="X77" s="829"/>
      <c r="Y77" s="829"/>
      <c r="Z77" s="829"/>
      <c r="AA77"/>
      <c r="AB77"/>
      <c r="AC77"/>
    </row>
    <row r="78" spans="1:29">
      <c r="A78" s="2401">
        <v>1</v>
      </c>
      <c r="B78" s="2420">
        <v>1</v>
      </c>
      <c r="C78" s="2420" t="s">
        <v>594</v>
      </c>
      <c r="D78" s="2401">
        <v>5</v>
      </c>
      <c r="E78" s="2401">
        <v>1</v>
      </c>
      <c r="F78" s="2420">
        <v>2</v>
      </c>
      <c r="G78" s="2420">
        <v>1</v>
      </c>
      <c r="H78" s="2402" t="s">
        <v>565</v>
      </c>
      <c r="I78" s="2401">
        <v>120</v>
      </c>
      <c r="J78" s="2402" t="s">
        <v>116</v>
      </c>
      <c r="K78" s="2405">
        <f>'1.2 Siltun Prngkt '!G20</f>
        <v>248400000</v>
      </c>
      <c r="L78" s="2405">
        <f>K78</f>
        <v>248400000</v>
      </c>
      <c r="M78" s="2405">
        <f t="shared" si="6"/>
        <v>0</v>
      </c>
      <c r="N78" s="2402" t="s">
        <v>23</v>
      </c>
      <c r="O78" s="419" t="s">
        <v>25</v>
      </c>
      <c r="P78" s="567">
        <v>146250000</v>
      </c>
      <c r="Q78" s="567">
        <f>P78-K78</f>
        <v>-102150000</v>
      </c>
      <c r="R78" s="828"/>
      <c r="S78" s="855"/>
      <c r="T78" s="913"/>
      <c r="U78" s="916"/>
      <c r="V78" s="833"/>
      <c r="W78" s="833"/>
      <c r="X78" s="834"/>
      <c r="Y78" s="834"/>
      <c r="Z78" s="829"/>
      <c r="AA78"/>
      <c r="AB78"/>
      <c r="AC78"/>
    </row>
    <row r="79" spans="1:29">
      <c r="A79" s="2401">
        <v>1</v>
      </c>
      <c r="B79" s="2420">
        <v>1</v>
      </c>
      <c r="C79" s="2420" t="s">
        <v>594</v>
      </c>
      <c r="D79" s="2401">
        <v>5</v>
      </c>
      <c r="E79" s="2401">
        <v>1</v>
      </c>
      <c r="F79" s="2420">
        <v>2</v>
      </c>
      <c r="G79" s="2420">
        <v>2</v>
      </c>
      <c r="H79" s="2402" t="s">
        <v>566</v>
      </c>
      <c r="I79" s="2401">
        <v>120</v>
      </c>
      <c r="J79" s="2402" t="s">
        <v>116</v>
      </c>
      <c r="K79" s="2405">
        <f>'1.2 Siltun Prngkt '!G26</f>
        <v>21360000</v>
      </c>
      <c r="L79" s="2405">
        <f t="shared" ref="L79:L80" si="7">K79</f>
        <v>21360000</v>
      </c>
      <c r="M79" s="2405">
        <f t="shared" si="6"/>
        <v>0</v>
      </c>
      <c r="N79" s="2402" t="s">
        <v>23</v>
      </c>
      <c r="O79" s="419" t="s">
        <v>25</v>
      </c>
      <c r="P79" s="567">
        <v>34840000</v>
      </c>
      <c r="Q79" s="567">
        <f>P79-K79</f>
        <v>13480000</v>
      </c>
      <c r="R79" s="828"/>
      <c r="S79" s="855"/>
      <c r="T79" s="913"/>
      <c r="U79" s="855"/>
      <c r="V79" s="833"/>
      <c r="W79" s="833"/>
      <c r="X79" s="835"/>
      <c r="Y79" s="834"/>
      <c r="Z79" s="829"/>
      <c r="AA79"/>
      <c r="AB79"/>
      <c r="AC79"/>
    </row>
    <row r="80" spans="1:29">
      <c r="A80" s="2401"/>
      <c r="B80" s="2420"/>
      <c r="C80" s="2420"/>
      <c r="D80" s="2401"/>
      <c r="E80" s="2401"/>
      <c r="F80" s="2420">
        <v>2</v>
      </c>
      <c r="G80" s="2420">
        <v>3</v>
      </c>
      <c r="H80" s="2402" t="s">
        <v>1453</v>
      </c>
      <c r="I80" s="2401">
        <v>10</v>
      </c>
      <c r="J80" s="2402" t="s">
        <v>116</v>
      </c>
      <c r="K80" s="2405">
        <f>'1.2 Siltun Prngkt '!G32</f>
        <v>10350000</v>
      </c>
      <c r="L80" s="2405">
        <f t="shared" si="7"/>
        <v>10350000</v>
      </c>
      <c r="M80" s="2405">
        <f t="shared" si="6"/>
        <v>0</v>
      </c>
      <c r="N80" s="2402" t="s">
        <v>330</v>
      </c>
      <c r="O80" s="419" t="s">
        <v>25</v>
      </c>
      <c r="P80" s="567"/>
      <c r="Q80" s="567"/>
      <c r="R80" s="828"/>
      <c r="S80" s="855"/>
      <c r="T80" s="913"/>
      <c r="U80" s="855"/>
      <c r="V80" s="833"/>
      <c r="W80" s="833"/>
      <c r="X80" s="835"/>
      <c r="Y80" s="834"/>
      <c r="Z80" s="829"/>
      <c r="AA80"/>
      <c r="AB80"/>
      <c r="AC80"/>
    </row>
    <row r="81" spans="1:29" ht="31.5">
      <c r="A81" s="2398">
        <v>1</v>
      </c>
      <c r="B81" s="2419">
        <v>1</v>
      </c>
      <c r="C81" s="2419" t="s">
        <v>595</v>
      </c>
      <c r="D81" s="2398">
        <v>5</v>
      </c>
      <c r="E81" s="2398"/>
      <c r="F81" s="2398"/>
      <c r="G81" s="2398"/>
      <c r="H81" s="2399" t="s">
        <v>546</v>
      </c>
      <c r="I81" s="2398"/>
      <c r="J81" s="2399"/>
      <c r="K81" s="2404">
        <f>K82</f>
        <v>29676000</v>
      </c>
      <c r="L81" s="2404">
        <f>L82</f>
        <v>29676000</v>
      </c>
      <c r="M81" s="2404">
        <f t="shared" si="6"/>
        <v>0</v>
      </c>
      <c r="N81" s="2399"/>
      <c r="P81" s="797">
        <v>21120000</v>
      </c>
      <c r="Q81" s="797">
        <f>P81-K81</f>
        <v>-8556000</v>
      </c>
      <c r="R81" s="828"/>
      <c r="S81" s="914"/>
      <c r="T81" s="915"/>
      <c r="U81" s="914"/>
      <c r="V81" s="836"/>
      <c r="W81" s="836"/>
      <c r="X81" s="837"/>
      <c r="Y81" s="834"/>
      <c r="Z81" s="829"/>
      <c r="AA81"/>
      <c r="AB81"/>
      <c r="AC81" t="s">
        <v>21</v>
      </c>
    </row>
    <row r="82" spans="1:29">
      <c r="A82" s="2401">
        <v>1</v>
      </c>
      <c r="B82" s="2420">
        <v>1</v>
      </c>
      <c r="C82" s="2420" t="s">
        <v>595</v>
      </c>
      <c r="D82" s="2401">
        <v>5</v>
      </c>
      <c r="E82" s="2401">
        <v>1</v>
      </c>
      <c r="F82" s="2401"/>
      <c r="G82" s="2401"/>
      <c r="H82" s="2402" t="s">
        <v>312</v>
      </c>
      <c r="I82" s="2401"/>
      <c r="J82" s="2402"/>
      <c r="K82" s="2405">
        <f>K83</f>
        <v>29676000</v>
      </c>
      <c r="L82" s="2405">
        <f>L83</f>
        <v>29676000</v>
      </c>
      <c r="M82" s="2405">
        <f t="shared" si="6"/>
        <v>0</v>
      </c>
      <c r="N82" s="2402"/>
      <c r="P82" s="567">
        <v>21120000</v>
      </c>
      <c r="Q82" s="567">
        <f>P82-K82</f>
        <v>-8556000</v>
      </c>
      <c r="R82" s="828"/>
      <c r="S82" s="855"/>
      <c r="T82" s="855"/>
      <c r="U82" s="859"/>
      <c r="V82" s="834"/>
      <c r="W82" s="834"/>
      <c r="X82" s="835"/>
      <c r="Y82" s="834"/>
      <c r="Z82" s="829"/>
      <c r="AA82"/>
      <c r="AB82"/>
      <c r="AC82"/>
    </row>
    <row r="83" spans="1:29">
      <c r="A83" s="2401">
        <v>1</v>
      </c>
      <c r="B83" s="2420">
        <v>1</v>
      </c>
      <c r="C83" s="2420" t="s">
        <v>595</v>
      </c>
      <c r="D83" s="2401">
        <v>5</v>
      </c>
      <c r="E83" s="2401">
        <v>1</v>
      </c>
      <c r="F83" s="2420">
        <v>3</v>
      </c>
      <c r="G83" s="2420"/>
      <c r="H83" s="2402" t="s">
        <v>726</v>
      </c>
      <c r="I83" s="2401"/>
      <c r="J83" s="2402"/>
      <c r="K83" s="2405">
        <f>SUM(K84:K89)</f>
        <v>29676000</v>
      </c>
      <c r="L83" s="2405">
        <f>SUM(L84:L89)</f>
        <v>29676000</v>
      </c>
      <c r="M83" s="2405">
        <f t="shared" si="6"/>
        <v>0</v>
      </c>
      <c r="N83" s="2402"/>
      <c r="P83" s="567">
        <v>21120000</v>
      </c>
      <c r="Q83" s="567">
        <f>P83-K83</f>
        <v>-8556000</v>
      </c>
      <c r="R83" s="828"/>
      <c r="S83" s="855"/>
      <c r="T83" s="917"/>
      <c r="U83" s="857"/>
      <c r="V83" s="835"/>
      <c r="W83" s="835"/>
      <c r="X83" s="834"/>
      <c r="Y83" s="834"/>
      <c r="Z83" s="829"/>
      <c r="AA83"/>
      <c r="AB83"/>
      <c r="AC83"/>
    </row>
    <row r="84" spans="1:29">
      <c r="A84" s="2401">
        <v>1</v>
      </c>
      <c r="B84" s="2420">
        <v>1</v>
      </c>
      <c r="C84" s="2420" t="s">
        <v>595</v>
      </c>
      <c r="D84" s="2401">
        <v>5</v>
      </c>
      <c r="E84" s="2401">
        <v>1</v>
      </c>
      <c r="F84" s="2420">
        <v>3</v>
      </c>
      <c r="G84" s="2420">
        <v>1</v>
      </c>
      <c r="H84" s="2402" t="s">
        <v>727</v>
      </c>
      <c r="I84" s="2401">
        <v>12</v>
      </c>
      <c r="J84" s="2402" t="s">
        <v>116</v>
      </c>
      <c r="K84" s="2405">
        <f>'1.3 Bpjs '!G16</f>
        <v>1680000</v>
      </c>
      <c r="L84" s="2405">
        <f>'1.3 Bpjs '!G16</f>
        <v>1680000</v>
      </c>
      <c r="M84" s="2405">
        <f t="shared" si="6"/>
        <v>0</v>
      </c>
      <c r="N84" s="2402" t="s">
        <v>23</v>
      </c>
      <c r="O84" s="419" t="s">
        <v>25</v>
      </c>
      <c r="P84" s="567">
        <v>876000</v>
      </c>
      <c r="Q84" s="567">
        <f>P84-K84</f>
        <v>-804000</v>
      </c>
      <c r="R84" s="828"/>
      <c r="S84" s="855"/>
      <c r="T84" s="857"/>
      <c r="U84" s="855"/>
      <c r="V84" s="834"/>
      <c r="W84" s="834"/>
      <c r="X84" s="834"/>
      <c r="Y84" s="834"/>
      <c r="Z84" s="829"/>
      <c r="AA84"/>
      <c r="AB84"/>
      <c r="AC84"/>
    </row>
    <row r="85" spans="1:29">
      <c r="A85" s="2401"/>
      <c r="B85" s="2420"/>
      <c r="C85" s="2420"/>
      <c r="D85" s="2401"/>
      <c r="E85" s="2401"/>
      <c r="F85" s="2420"/>
      <c r="G85" s="2420">
        <v>2</v>
      </c>
      <c r="H85" s="2402" t="s">
        <v>1430</v>
      </c>
      <c r="I85" s="2401">
        <v>12</v>
      </c>
      <c r="J85" s="2402" t="s">
        <v>116</v>
      </c>
      <c r="K85" s="2405">
        <f>'1.3 Bpjs '!G17</f>
        <v>1296000</v>
      </c>
      <c r="L85" s="2405">
        <f>'1.3 Bpjs '!G17</f>
        <v>1296000</v>
      </c>
      <c r="M85" s="2405">
        <f t="shared" si="6"/>
        <v>0</v>
      </c>
      <c r="N85" s="2402" t="s">
        <v>23</v>
      </c>
      <c r="O85" s="419" t="s">
        <v>25</v>
      </c>
      <c r="P85" s="567"/>
      <c r="Q85" s="567"/>
      <c r="R85" s="828"/>
      <c r="S85" s="855"/>
      <c r="T85" s="857"/>
      <c r="U85" s="855"/>
      <c r="V85" s="834"/>
      <c r="W85" s="834"/>
      <c r="X85" s="834"/>
      <c r="Y85" s="834"/>
      <c r="Z85" s="829"/>
      <c r="AA85"/>
      <c r="AB85"/>
      <c r="AC85"/>
    </row>
    <row r="86" spans="1:29">
      <c r="A86" s="2401">
        <v>1</v>
      </c>
      <c r="B86" s="2420">
        <v>1</v>
      </c>
      <c r="C86" s="2420" t="s">
        <v>595</v>
      </c>
      <c r="D86" s="2401">
        <v>5</v>
      </c>
      <c r="E86" s="2401">
        <v>1</v>
      </c>
      <c r="F86" s="2420">
        <v>3</v>
      </c>
      <c r="G86" s="2420">
        <v>3</v>
      </c>
      <c r="H86" s="2402" t="s">
        <v>728</v>
      </c>
      <c r="I86" s="2401">
        <v>120</v>
      </c>
      <c r="J86" s="2402" t="s">
        <v>116</v>
      </c>
      <c r="K86" s="2405">
        <f>'1.3 Bpjs '!G18</f>
        <v>11448000</v>
      </c>
      <c r="L86" s="2405">
        <f>'1.3 Bpjs '!G18</f>
        <v>11448000</v>
      </c>
      <c r="M86" s="2405">
        <f t="shared" si="6"/>
        <v>0</v>
      </c>
      <c r="N86" s="2402" t="s">
        <v>23</v>
      </c>
      <c r="O86" s="419" t="s">
        <v>25</v>
      </c>
      <c r="P86" s="567">
        <v>7884000</v>
      </c>
      <c r="Q86" s="567">
        <f>P86-K86</f>
        <v>-3564000</v>
      </c>
      <c r="R86" s="828"/>
      <c r="S86" s="855"/>
      <c r="T86" s="857"/>
      <c r="U86" s="918"/>
      <c r="V86" s="834"/>
      <c r="W86" s="834"/>
      <c r="X86" s="834"/>
      <c r="Y86" s="834"/>
      <c r="Z86" s="829"/>
      <c r="AA86"/>
      <c r="AB86"/>
      <c r="AC86"/>
    </row>
    <row r="87" spans="1:29">
      <c r="A87" s="2401">
        <v>1</v>
      </c>
      <c r="B87" s="2420">
        <v>1</v>
      </c>
      <c r="C87" s="2420" t="s">
        <v>595</v>
      </c>
      <c r="D87" s="2401">
        <v>5</v>
      </c>
      <c r="E87" s="2401">
        <v>1</v>
      </c>
      <c r="F87" s="2420">
        <v>3</v>
      </c>
      <c r="G87" s="2420">
        <v>4</v>
      </c>
      <c r="H87" s="2402" t="s">
        <v>729</v>
      </c>
      <c r="I87" s="2401">
        <f>1*12</f>
        <v>12</v>
      </c>
      <c r="J87" s="2402" t="s">
        <v>116</v>
      </c>
      <c r="K87" s="2405">
        <f>'1.3 Bpjs '!G19</f>
        <v>1788000</v>
      </c>
      <c r="L87" s="2405">
        <f>'1.3 Bpjs '!G19</f>
        <v>1788000</v>
      </c>
      <c r="M87" s="2405">
        <f t="shared" si="6"/>
        <v>0</v>
      </c>
      <c r="N87" s="2402" t="s">
        <v>23</v>
      </c>
      <c r="O87" s="419" t="s">
        <v>25</v>
      </c>
      <c r="P87" s="567">
        <v>1236000</v>
      </c>
      <c r="Q87" s="567">
        <f>P87-K87</f>
        <v>-552000</v>
      </c>
      <c r="R87" s="828"/>
      <c r="S87" s="855"/>
      <c r="T87" s="857"/>
      <c r="U87" s="918"/>
      <c r="V87" s="834"/>
      <c r="W87" s="834"/>
      <c r="X87" s="834"/>
      <c r="Y87" s="834"/>
      <c r="Z87" s="829"/>
      <c r="AA87"/>
      <c r="AB87"/>
      <c r="AC87"/>
    </row>
    <row r="88" spans="1:29">
      <c r="A88" s="2401"/>
      <c r="B88" s="2420"/>
      <c r="C88" s="2420"/>
      <c r="D88" s="2401"/>
      <c r="E88" s="2401"/>
      <c r="F88" s="2420"/>
      <c r="G88" s="2420">
        <v>5</v>
      </c>
      <c r="H88" s="2402" t="s">
        <v>1431</v>
      </c>
      <c r="I88" s="2401">
        <v>12</v>
      </c>
      <c r="J88" s="2402" t="s">
        <v>116</v>
      </c>
      <c r="K88" s="2405">
        <f>'1.3 Bpjs '!G20</f>
        <v>1368000</v>
      </c>
      <c r="L88" s="2405">
        <f>'1.3 Bpjs '!G20</f>
        <v>1368000</v>
      </c>
      <c r="M88" s="2405">
        <f t="shared" si="6"/>
        <v>0</v>
      </c>
      <c r="N88" s="2402" t="s">
        <v>23</v>
      </c>
      <c r="O88" s="419" t="s">
        <v>25</v>
      </c>
      <c r="P88" s="567"/>
      <c r="Q88" s="567"/>
      <c r="R88" s="828"/>
      <c r="S88" s="855"/>
      <c r="T88" s="857"/>
      <c r="U88" s="918"/>
      <c r="V88" s="834"/>
      <c r="W88" s="834"/>
      <c r="X88" s="834"/>
      <c r="Y88" s="834"/>
      <c r="Z88" s="829"/>
      <c r="AA88"/>
      <c r="AB88"/>
      <c r="AC88"/>
    </row>
    <row r="89" spans="1:29">
      <c r="A89" s="2401">
        <v>1</v>
      </c>
      <c r="B89" s="2420">
        <v>1</v>
      </c>
      <c r="C89" s="2420" t="s">
        <v>595</v>
      </c>
      <c r="D89" s="2401">
        <v>5</v>
      </c>
      <c r="E89" s="2401">
        <v>1</v>
      </c>
      <c r="F89" s="2420">
        <v>3</v>
      </c>
      <c r="G89" s="2420">
        <v>6</v>
      </c>
      <c r="H89" s="2402" t="s">
        <v>730</v>
      </c>
      <c r="I89" s="2401">
        <v>120</v>
      </c>
      <c r="J89" s="2402" t="s">
        <v>116</v>
      </c>
      <c r="K89" s="2405">
        <f>'1.3 Bpjs '!G21</f>
        <v>12096000</v>
      </c>
      <c r="L89" s="2405">
        <f>'1.3 Bpjs '!G21</f>
        <v>12096000</v>
      </c>
      <c r="M89" s="2405">
        <f t="shared" si="6"/>
        <v>0</v>
      </c>
      <c r="N89" s="2402" t="s">
        <v>23</v>
      </c>
      <c r="O89" s="419" t="s">
        <v>25</v>
      </c>
      <c r="P89" s="567">
        <v>11124000</v>
      </c>
      <c r="Q89" s="567">
        <f t="shared" ref="Q89:Q105" si="8">P89-K89</f>
        <v>-972000</v>
      </c>
      <c r="R89" s="828"/>
      <c r="S89" s="834"/>
      <c r="T89" s="835"/>
      <c r="U89" s="834"/>
      <c r="V89" s="834"/>
      <c r="W89" s="834"/>
      <c r="X89" s="834"/>
      <c r="Y89" s="834"/>
      <c r="Z89" s="829"/>
      <c r="AA89"/>
      <c r="AB89"/>
      <c r="AC89"/>
    </row>
    <row r="90" spans="1:29">
      <c r="A90" s="2398">
        <v>1</v>
      </c>
      <c r="B90" s="2419">
        <v>1</v>
      </c>
      <c r="C90" s="2419" t="s">
        <v>596</v>
      </c>
      <c r="D90" s="2398">
        <v>5</v>
      </c>
      <c r="E90" s="2398"/>
      <c r="F90" s="2398"/>
      <c r="G90" s="2398"/>
      <c r="H90" s="2399" t="s">
        <v>549</v>
      </c>
      <c r="I90" s="2398"/>
      <c r="J90" s="2399"/>
      <c r="K90" s="2404">
        <f>K91</f>
        <v>69933500</v>
      </c>
      <c r="L90" s="2404">
        <f>L91</f>
        <v>57143151</v>
      </c>
      <c r="M90" s="2404">
        <f>L90-K90</f>
        <v>-12790349</v>
      </c>
      <c r="N90" s="2399"/>
      <c r="P90" s="797">
        <v>68654000</v>
      </c>
      <c r="Q90" s="797">
        <f t="shared" si="8"/>
        <v>-1279500</v>
      </c>
      <c r="R90" s="2007"/>
      <c r="S90" s="838"/>
      <c r="T90" s="838"/>
      <c r="U90" s="834"/>
      <c r="V90" s="834"/>
      <c r="W90" s="834"/>
      <c r="X90" s="834"/>
      <c r="Y90" s="834"/>
      <c r="Z90" s="829"/>
      <c r="AA90"/>
      <c r="AB90"/>
      <c r="AC90"/>
    </row>
    <row r="91" spans="1:29">
      <c r="A91" s="2401">
        <v>1</v>
      </c>
      <c r="B91" s="2420">
        <v>1</v>
      </c>
      <c r="C91" s="2420" t="s">
        <v>596</v>
      </c>
      <c r="D91" s="2401">
        <v>5</v>
      </c>
      <c r="E91" s="2401">
        <v>2</v>
      </c>
      <c r="F91" s="2401"/>
      <c r="G91" s="2401"/>
      <c r="H91" s="2402" t="s">
        <v>8</v>
      </c>
      <c r="I91" s="2401"/>
      <c r="J91" s="2402"/>
      <c r="K91" s="2405">
        <f>K92+K100+K108+K103+K111+K106</f>
        <v>69933500</v>
      </c>
      <c r="L91" s="2405">
        <f>L92+L100+L108+L103+L111+L106+L113</f>
        <v>57143151</v>
      </c>
      <c r="M91" s="2405">
        <f t="shared" si="6"/>
        <v>-12790349</v>
      </c>
      <c r="N91" s="2402"/>
      <c r="P91" s="567">
        <v>68654000</v>
      </c>
      <c r="Q91" s="567">
        <f t="shared" si="8"/>
        <v>-1279500</v>
      </c>
      <c r="R91" s="2007"/>
      <c r="S91" s="839"/>
      <c r="T91" s="839"/>
      <c r="U91" s="834"/>
      <c r="V91" s="834"/>
      <c r="W91" s="834"/>
      <c r="X91" s="834"/>
      <c r="Y91" s="834"/>
      <c r="Z91" s="1986"/>
      <c r="AA91" s="114"/>
      <c r="AB91" s="114"/>
      <c r="AC91" s="114"/>
    </row>
    <row r="92" spans="1:29" s="554" customFormat="1">
      <c r="A92" s="2401">
        <v>1</v>
      </c>
      <c r="B92" s="2420">
        <v>1</v>
      </c>
      <c r="C92" s="2420" t="s">
        <v>596</v>
      </c>
      <c r="D92" s="2401">
        <v>5</v>
      </c>
      <c r="E92" s="2401">
        <v>2</v>
      </c>
      <c r="F92" s="2420">
        <v>1</v>
      </c>
      <c r="G92" s="2420"/>
      <c r="H92" s="2402" t="s">
        <v>731</v>
      </c>
      <c r="I92" s="2401"/>
      <c r="J92" s="2402"/>
      <c r="K92" s="2405">
        <f>K93+K94+K95+K96+K97+K98+K99</f>
        <v>16457500</v>
      </c>
      <c r="L92" s="2405">
        <f>L93+L94+L95+L96+L97+L98+L99</f>
        <v>8107151</v>
      </c>
      <c r="M92" s="2405">
        <f t="shared" si="6"/>
        <v>-8350349</v>
      </c>
      <c r="N92" s="2402"/>
      <c r="P92" s="567">
        <v>22218000</v>
      </c>
      <c r="Q92" s="567">
        <f t="shared" si="8"/>
        <v>5760500</v>
      </c>
      <c r="R92" s="2524"/>
      <c r="S92" s="853"/>
      <c r="T92" s="853"/>
      <c r="U92" s="855"/>
      <c r="V92" s="855"/>
      <c r="W92" s="855"/>
      <c r="X92" s="855"/>
      <c r="Y92" s="855"/>
      <c r="Z92" s="1987"/>
      <c r="AA92" s="1988"/>
      <c r="AB92" s="1988"/>
      <c r="AC92" s="1988"/>
    </row>
    <row r="93" spans="1:29">
      <c r="A93" s="2401">
        <v>1</v>
      </c>
      <c r="B93" s="2420">
        <v>1</v>
      </c>
      <c r="C93" s="2420" t="s">
        <v>596</v>
      </c>
      <c r="D93" s="2401">
        <v>5</v>
      </c>
      <c r="E93" s="2401">
        <v>2</v>
      </c>
      <c r="F93" s="2420">
        <v>1</v>
      </c>
      <c r="G93" s="2420">
        <v>1</v>
      </c>
      <c r="H93" s="2402" t="s">
        <v>832</v>
      </c>
      <c r="I93" s="2401">
        <v>1</v>
      </c>
      <c r="J93" s="2402" t="s">
        <v>164</v>
      </c>
      <c r="K93" s="2405">
        <f>'1.4 O PEM pkpkd rusak'!H47</f>
        <v>9077500</v>
      </c>
      <c r="L93" s="2405">
        <f>'1.4 O PEM pkpkd rusak'!L47</f>
        <v>6040000</v>
      </c>
      <c r="M93" s="2405">
        <f t="shared" si="6"/>
        <v>-3037500</v>
      </c>
      <c r="N93" s="2402" t="s">
        <v>23</v>
      </c>
      <c r="O93" s="419" t="s">
        <v>25</v>
      </c>
      <c r="P93" s="567">
        <v>8923000</v>
      </c>
      <c r="Q93" s="567">
        <f t="shared" si="8"/>
        <v>-154500</v>
      </c>
      <c r="R93" s="828"/>
      <c r="S93" s="840"/>
      <c r="T93" s="841"/>
      <c r="U93" s="834"/>
      <c r="V93" s="834"/>
      <c r="W93" s="834"/>
      <c r="X93" s="834"/>
      <c r="Y93" s="834"/>
      <c r="Z93" s="829"/>
      <c r="AA93"/>
      <c r="AB93"/>
      <c r="AC93"/>
    </row>
    <row r="94" spans="1:29">
      <c r="A94" s="2401">
        <v>1</v>
      </c>
      <c r="B94" s="2420">
        <v>1</v>
      </c>
      <c r="C94" s="2420" t="s">
        <v>596</v>
      </c>
      <c r="D94" s="2401">
        <v>5</v>
      </c>
      <c r="E94" s="2401">
        <v>2</v>
      </c>
      <c r="F94" s="2420">
        <v>1</v>
      </c>
      <c r="G94" s="2420">
        <v>2</v>
      </c>
      <c r="H94" s="2402" t="s">
        <v>910</v>
      </c>
      <c r="I94" s="2401">
        <v>1</v>
      </c>
      <c r="J94" s="2402" t="s">
        <v>164</v>
      </c>
      <c r="K94" s="2405">
        <f>'1.4 O PEM pkpkd rusak'!H50</f>
        <v>240000</v>
      </c>
      <c r="L94" s="2405">
        <f>'1.4 O PEM pkpkd rusak'!L50</f>
        <v>240000</v>
      </c>
      <c r="M94" s="2405">
        <f t="shared" si="6"/>
        <v>0</v>
      </c>
      <c r="N94" s="2402" t="s">
        <v>23</v>
      </c>
      <c r="O94" s="419" t="s">
        <v>25</v>
      </c>
      <c r="P94" s="567">
        <v>240000</v>
      </c>
      <c r="Q94" s="567">
        <f t="shared" si="8"/>
        <v>0</v>
      </c>
      <c r="R94" s="828"/>
      <c r="S94" s="840"/>
      <c r="T94" s="841"/>
      <c r="U94" s="834"/>
      <c r="V94" s="834"/>
      <c r="W94" s="834"/>
      <c r="X94" s="834"/>
      <c r="Y94" s="834"/>
      <c r="Z94" s="829"/>
      <c r="AA94"/>
      <c r="AB94"/>
      <c r="AC94"/>
    </row>
    <row r="95" spans="1:29" ht="31.5">
      <c r="A95" s="2401">
        <v>1</v>
      </c>
      <c r="B95" s="2420">
        <v>1</v>
      </c>
      <c r="C95" s="2420" t="s">
        <v>596</v>
      </c>
      <c r="D95" s="2401">
        <v>5</v>
      </c>
      <c r="E95" s="2401">
        <v>2</v>
      </c>
      <c r="F95" s="2420">
        <v>1</v>
      </c>
      <c r="G95" s="2420">
        <v>3</v>
      </c>
      <c r="H95" s="2402" t="s">
        <v>911</v>
      </c>
      <c r="I95" s="2401">
        <v>1</v>
      </c>
      <c r="J95" s="2402" t="s">
        <v>164</v>
      </c>
      <c r="K95" s="2405">
        <f>'1.4 O PEM pkpkd rusak'!H57</f>
        <v>350000</v>
      </c>
      <c r="L95" s="2405">
        <f>'1.4 O PEM pkpkd rusak'!L57</f>
        <v>450000</v>
      </c>
      <c r="M95" s="2405">
        <f t="shared" si="6"/>
        <v>100000</v>
      </c>
      <c r="N95" s="2402" t="s">
        <v>23</v>
      </c>
      <c r="O95" s="419" t="s">
        <v>25</v>
      </c>
      <c r="P95" s="567">
        <v>300000</v>
      </c>
      <c r="Q95" s="567">
        <f t="shared" si="8"/>
        <v>-50000</v>
      </c>
      <c r="R95" s="828"/>
      <c r="S95" s="840"/>
      <c r="T95" s="841"/>
      <c r="U95" s="834"/>
      <c r="V95" s="834"/>
      <c r="W95" s="834"/>
      <c r="X95" s="834"/>
      <c r="Y95" s="834"/>
      <c r="Z95" s="829"/>
      <c r="AA95"/>
      <c r="AB95"/>
      <c r="AC95"/>
    </row>
    <row r="96" spans="1:29" ht="31.5">
      <c r="A96" s="2401">
        <v>1</v>
      </c>
      <c r="B96" s="2420">
        <v>1</v>
      </c>
      <c r="C96" s="2420" t="s">
        <v>596</v>
      </c>
      <c r="D96" s="2401">
        <v>5</v>
      </c>
      <c r="E96" s="2401">
        <v>2</v>
      </c>
      <c r="F96" s="2420">
        <v>1</v>
      </c>
      <c r="G96" s="2420">
        <v>4</v>
      </c>
      <c r="H96" s="2402" t="s">
        <v>912</v>
      </c>
      <c r="I96" s="2401">
        <v>1</v>
      </c>
      <c r="J96" s="2402" t="s">
        <v>164</v>
      </c>
      <c r="K96" s="2405">
        <f>'1.4 O PEM pkpkd rusak'!H61</f>
        <v>500000</v>
      </c>
      <c r="L96" s="2405">
        <f>'1.4 O PEM pkpkd rusak'!L61</f>
        <v>0</v>
      </c>
      <c r="M96" s="2405">
        <f t="shared" si="6"/>
        <v>-500000</v>
      </c>
      <c r="N96" s="2402" t="s">
        <v>23</v>
      </c>
      <c r="O96" s="419" t="s">
        <v>25</v>
      </c>
      <c r="P96" s="567">
        <v>700000</v>
      </c>
      <c r="Q96" s="567">
        <f t="shared" si="8"/>
        <v>200000</v>
      </c>
      <c r="R96" s="828"/>
      <c r="S96" s="840"/>
      <c r="T96" s="841"/>
      <c r="U96" s="834"/>
      <c r="V96" s="834"/>
      <c r="W96" s="834"/>
      <c r="X96" s="834"/>
      <c r="Y96" s="834"/>
      <c r="Z96" s="829"/>
      <c r="AA96"/>
      <c r="AB96"/>
      <c r="AC96"/>
    </row>
    <row r="97" spans="1:29" ht="31.5">
      <c r="A97" s="2401">
        <v>1</v>
      </c>
      <c r="B97" s="2420">
        <v>1</v>
      </c>
      <c r="C97" s="2420" t="s">
        <v>596</v>
      </c>
      <c r="D97" s="2401">
        <v>5</v>
      </c>
      <c r="E97" s="2401">
        <v>2</v>
      </c>
      <c r="F97" s="2420">
        <v>1</v>
      </c>
      <c r="G97" s="2420">
        <v>5</v>
      </c>
      <c r="H97" s="2402" t="s">
        <v>734</v>
      </c>
      <c r="I97" s="2401">
        <v>1</v>
      </c>
      <c r="J97" s="2402" t="s">
        <v>164</v>
      </c>
      <c r="K97" s="2405">
        <f>'1.4 O PEM pkpkd rusak'!H64</f>
        <v>4800000</v>
      </c>
      <c r="L97" s="2405">
        <f>'1.4 O PEM pkpkd rusak'!L64</f>
        <v>1177151</v>
      </c>
      <c r="M97" s="2405">
        <f t="shared" si="6"/>
        <v>-3622849</v>
      </c>
      <c r="N97" s="2402" t="s">
        <v>23</v>
      </c>
      <c r="O97" s="419" t="s">
        <v>25</v>
      </c>
      <c r="P97" s="567">
        <v>3600000</v>
      </c>
      <c r="Q97" s="567">
        <f t="shared" si="8"/>
        <v>-1200000</v>
      </c>
      <c r="R97" s="828"/>
      <c r="S97" s="840"/>
      <c r="T97" s="841"/>
      <c r="U97" s="834"/>
      <c r="V97" s="834"/>
      <c r="W97" s="834"/>
      <c r="X97" s="834"/>
      <c r="Y97" s="834"/>
      <c r="Z97" s="829"/>
      <c r="AA97"/>
      <c r="AB97"/>
      <c r="AC97"/>
    </row>
    <row r="98" spans="1:29" ht="31.5">
      <c r="A98" s="2401">
        <v>1</v>
      </c>
      <c r="B98" s="2420">
        <v>1</v>
      </c>
      <c r="C98" s="2420" t="s">
        <v>596</v>
      </c>
      <c r="D98" s="2401">
        <v>5</v>
      </c>
      <c r="E98" s="2401">
        <v>2</v>
      </c>
      <c r="F98" s="2420">
        <v>1</v>
      </c>
      <c r="G98" s="2420">
        <v>6</v>
      </c>
      <c r="H98" s="2402" t="s">
        <v>735</v>
      </c>
      <c r="I98" s="2401">
        <v>1</v>
      </c>
      <c r="J98" s="2402" t="s">
        <v>164</v>
      </c>
      <c r="K98" s="2405">
        <f>'1.4 O PEM pkpkd rusak'!H69</f>
        <v>1490000</v>
      </c>
      <c r="L98" s="2405">
        <f>'1.4 O PEM pkpkd rusak'!L69</f>
        <v>200000</v>
      </c>
      <c r="M98" s="2405">
        <f t="shared" si="6"/>
        <v>-1290000</v>
      </c>
      <c r="N98" s="2402" t="s">
        <v>23</v>
      </c>
      <c r="O98" s="419" t="s">
        <v>25</v>
      </c>
      <c r="P98" s="567">
        <v>2805000</v>
      </c>
      <c r="Q98" s="567">
        <f t="shared" si="8"/>
        <v>1315000</v>
      </c>
      <c r="R98" s="828"/>
      <c r="S98" s="838"/>
      <c r="T98" s="842"/>
      <c r="U98" s="834"/>
      <c r="V98" s="835"/>
      <c r="W98" s="835"/>
      <c r="X98" s="834"/>
      <c r="Y98" s="834"/>
      <c r="Z98" s="829"/>
      <c r="AA98"/>
      <c r="AB98"/>
      <c r="AC98"/>
    </row>
    <row r="99" spans="1:29" s="554" customFormat="1">
      <c r="A99" s="2401">
        <v>1</v>
      </c>
      <c r="B99" s="2420">
        <v>1</v>
      </c>
      <c r="C99" s="2420" t="s">
        <v>596</v>
      </c>
      <c r="D99" s="2401">
        <v>5</v>
      </c>
      <c r="E99" s="2401">
        <v>2</v>
      </c>
      <c r="F99" s="2420">
        <v>1</v>
      </c>
      <c r="G99" s="2420">
        <v>9</v>
      </c>
      <c r="H99" s="2402" t="s">
        <v>1121</v>
      </c>
      <c r="I99" s="2401">
        <v>1</v>
      </c>
      <c r="J99" s="2402" t="s">
        <v>164</v>
      </c>
      <c r="K99" s="2405"/>
      <c r="L99" s="2405"/>
      <c r="M99" s="2405">
        <f t="shared" si="6"/>
        <v>0</v>
      </c>
      <c r="N99" s="2402"/>
      <c r="P99" s="567">
        <v>5650000</v>
      </c>
      <c r="Q99" s="567">
        <f t="shared" si="8"/>
        <v>5650000</v>
      </c>
      <c r="R99" s="1265"/>
      <c r="S99" s="852"/>
      <c r="T99" s="1978"/>
      <c r="U99" s="855"/>
      <c r="V99" s="857"/>
      <c r="W99" s="857"/>
      <c r="X99" s="855"/>
      <c r="Y99" s="855"/>
      <c r="Z99" s="858"/>
      <c r="AA99" s="854"/>
      <c r="AB99" s="854"/>
      <c r="AC99" s="854"/>
    </row>
    <row r="100" spans="1:29" s="554" customFormat="1">
      <c r="A100" s="2401"/>
      <c r="B100" s="2420">
        <v>1</v>
      </c>
      <c r="C100" s="2420" t="s">
        <v>596</v>
      </c>
      <c r="D100" s="2401">
        <v>5</v>
      </c>
      <c r="E100" s="2401">
        <v>2</v>
      </c>
      <c r="F100" s="2420">
        <v>2</v>
      </c>
      <c r="G100" s="2420"/>
      <c r="H100" s="2402" t="s">
        <v>1128</v>
      </c>
      <c r="I100" s="2401"/>
      <c r="J100" s="2402"/>
      <c r="K100" s="2405">
        <f>K101+K102</f>
        <v>39600000</v>
      </c>
      <c r="L100" s="2405">
        <f>L101+L102</f>
        <v>39600000</v>
      </c>
      <c r="M100" s="2405">
        <f t="shared" si="6"/>
        <v>0</v>
      </c>
      <c r="N100" s="2402"/>
      <c r="P100" s="567">
        <v>21300000</v>
      </c>
      <c r="Q100" s="567">
        <f t="shared" si="8"/>
        <v>-18300000</v>
      </c>
      <c r="R100" s="1265"/>
      <c r="S100" s="853"/>
      <c r="T100" s="2008"/>
      <c r="U100" s="855"/>
      <c r="V100" s="857"/>
      <c r="W100" s="857"/>
      <c r="X100" s="855"/>
      <c r="Y100" s="855"/>
      <c r="Z100" s="1987"/>
      <c r="AA100" s="1988"/>
      <c r="AB100" s="1988"/>
      <c r="AC100" s="1988"/>
    </row>
    <row r="101" spans="1:29" s="554" customFormat="1">
      <c r="A101" s="2401"/>
      <c r="B101" s="2420">
        <v>1</v>
      </c>
      <c r="C101" s="2420" t="s">
        <v>596</v>
      </c>
      <c r="D101" s="2401">
        <v>5</v>
      </c>
      <c r="E101" s="2401">
        <v>2</v>
      </c>
      <c r="F101" s="2420">
        <v>2</v>
      </c>
      <c r="G101" s="2420">
        <v>1</v>
      </c>
      <c r="H101" s="2402" t="s">
        <v>1129</v>
      </c>
      <c r="I101" s="2401">
        <v>1</v>
      </c>
      <c r="J101" s="2402" t="s">
        <v>164</v>
      </c>
      <c r="K101" s="2405">
        <f>'1.4 O PEM pkpkd rusak'!H82</f>
        <v>33600000</v>
      </c>
      <c r="L101" s="2405">
        <f>K101</f>
        <v>33600000</v>
      </c>
      <c r="M101" s="2405">
        <f t="shared" si="6"/>
        <v>0</v>
      </c>
      <c r="N101" s="2402" t="s">
        <v>23</v>
      </c>
      <c r="O101" s="554" t="s">
        <v>25</v>
      </c>
      <c r="P101" s="567">
        <v>15300000</v>
      </c>
      <c r="Q101" s="567">
        <f t="shared" si="8"/>
        <v>-18300000</v>
      </c>
      <c r="R101" s="1265"/>
      <c r="S101" s="852"/>
      <c r="T101" s="1978"/>
      <c r="U101" s="855"/>
      <c r="V101" s="857"/>
      <c r="W101" s="857"/>
      <c r="X101" s="855"/>
      <c r="Y101" s="855"/>
      <c r="Z101" s="858"/>
      <c r="AA101" s="854"/>
      <c r="AB101" s="854"/>
      <c r="AC101" s="854"/>
    </row>
    <row r="102" spans="1:29" s="554" customFormat="1">
      <c r="A102" s="2401"/>
      <c r="B102" s="2420">
        <v>1</v>
      </c>
      <c r="C102" s="2420" t="s">
        <v>596</v>
      </c>
      <c r="D102" s="2401">
        <v>5</v>
      </c>
      <c r="E102" s="2401">
        <v>2</v>
      </c>
      <c r="F102" s="2420">
        <v>2</v>
      </c>
      <c r="G102" s="2420">
        <v>3</v>
      </c>
      <c r="H102" s="2402" t="s">
        <v>1147</v>
      </c>
      <c r="I102" s="2401">
        <v>1</v>
      </c>
      <c r="J102" s="2402" t="s">
        <v>164</v>
      </c>
      <c r="K102" s="2405">
        <f>'1.4 O PEM pkpkd rusak'!H85</f>
        <v>6000000</v>
      </c>
      <c r="L102" s="2405">
        <f>'1.4 O PEM pkpkd rusak'!L85</f>
        <v>6000000</v>
      </c>
      <c r="M102" s="2405">
        <f t="shared" si="6"/>
        <v>0</v>
      </c>
      <c r="N102" s="2402" t="s">
        <v>23</v>
      </c>
      <c r="O102" s="554" t="s">
        <v>25</v>
      </c>
      <c r="P102" s="567">
        <v>6000000</v>
      </c>
      <c r="Q102" s="567">
        <f t="shared" si="8"/>
        <v>0</v>
      </c>
      <c r="R102" s="1265"/>
      <c r="S102" s="852"/>
      <c r="T102" s="1978"/>
      <c r="U102" s="855"/>
      <c r="V102" s="857"/>
      <c r="W102" s="857"/>
      <c r="X102" s="855"/>
      <c r="Y102" s="855"/>
      <c r="Z102" s="858"/>
      <c r="AA102" s="854"/>
      <c r="AB102" s="854"/>
      <c r="AC102" s="854"/>
    </row>
    <row r="103" spans="1:29" s="554" customFormat="1">
      <c r="A103" s="2401">
        <v>1</v>
      </c>
      <c r="B103" s="2420">
        <v>1</v>
      </c>
      <c r="C103" s="2420" t="s">
        <v>596</v>
      </c>
      <c r="D103" s="2401">
        <v>5</v>
      </c>
      <c r="E103" s="2401">
        <v>2</v>
      </c>
      <c r="F103" s="2420">
        <v>3</v>
      </c>
      <c r="G103" s="2420"/>
      <c r="H103" s="2402" t="s">
        <v>740</v>
      </c>
      <c r="I103" s="2401"/>
      <c r="J103" s="2402"/>
      <c r="K103" s="2405">
        <f>K104</f>
        <v>6200000</v>
      </c>
      <c r="L103" s="2405">
        <f>SUM(L104:L105)</f>
        <v>2000000</v>
      </c>
      <c r="M103" s="2405">
        <f t="shared" si="6"/>
        <v>-4200000</v>
      </c>
      <c r="N103" s="2402"/>
      <c r="P103" s="567">
        <v>22300000</v>
      </c>
      <c r="Q103" s="567">
        <f t="shared" si="8"/>
        <v>16100000</v>
      </c>
      <c r="R103" s="1265"/>
      <c r="S103" s="855"/>
      <c r="T103" s="855"/>
      <c r="U103" s="855"/>
      <c r="V103" s="855"/>
      <c r="W103" s="855"/>
      <c r="X103" s="855"/>
      <c r="Y103" s="855"/>
      <c r="Z103" s="1987"/>
      <c r="AA103" s="1988"/>
      <c r="AB103" s="1988"/>
      <c r="AC103" s="1988"/>
    </row>
    <row r="104" spans="1:29" s="554" customFormat="1">
      <c r="A104" s="2401">
        <v>1</v>
      </c>
      <c r="B104" s="2420">
        <v>1</v>
      </c>
      <c r="C104" s="2420" t="s">
        <v>596</v>
      </c>
      <c r="D104" s="2401">
        <v>5</v>
      </c>
      <c r="E104" s="2401">
        <v>2</v>
      </c>
      <c r="F104" s="2420">
        <v>3</v>
      </c>
      <c r="G104" s="2420">
        <v>1</v>
      </c>
      <c r="H104" s="2402" t="s">
        <v>741</v>
      </c>
      <c r="I104" s="2401">
        <v>1</v>
      </c>
      <c r="J104" s="2402" t="s">
        <v>164</v>
      </c>
      <c r="K104" s="2405">
        <f>'1.4 O PEM pkpkd rusak'!G87</f>
        <v>6200000</v>
      </c>
      <c r="L104" s="2405">
        <f>'1.4 O PEM '!M81</f>
        <v>2000000</v>
      </c>
      <c r="M104" s="2405">
        <f t="shared" si="6"/>
        <v>-4200000</v>
      </c>
      <c r="N104" s="2402" t="s">
        <v>23</v>
      </c>
      <c r="O104" s="554" t="s">
        <v>25</v>
      </c>
      <c r="P104" s="567">
        <v>7800000</v>
      </c>
      <c r="Q104" s="567">
        <f t="shared" si="8"/>
        <v>1600000</v>
      </c>
      <c r="R104" s="1265"/>
      <c r="S104" s="855"/>
      <c r="T104" s="855"/>
      <c r="U104" s="855"/>
      <c r="V104" s="855"/>
      <c r="W104" s="855"/>
      <c r="X104" s="855"/>
      <c r="Y104" s="855"/>
      <c r="Z104" s="858"/>
      <c r="AA104" s="854"/>
      <c r="AB104" s="854"/>
      <c r="AC104" s="854"/>
    </row>
    <row r="105" spans="1:29" s="554" customFormat="1">
      <c r="A105" s="2401">
        <v>1</v>
      </c>
      <c r="B105" s="2420">
        <v>1</v>
      </c>
      <c r="C105" s="2420" t="s">
        <v>596</v>
      </c>
      <c r="D105" s="2401">
        <v>5</v>
      </c>
      <c r="E105" s="2401">
        <v>2</v>
      </c>
      <c r="F105" s="2420">
        <v>3</v>
      </c>
      <c r="G105" s="2420">
        <v>2</v>
      </c>
      <c r="H105" s="2402" t="s">
        <v>742</v>
      </c>
      <c r="I105" s="2401">
        <v>1</v>
      </c>
      <c r="J105" s="2402" t="s">
        <v>164</v>
      </c>
      <c r="K105" s="2405"/>
      <c r="L105" s="2405"/>
      <c r="M105" s="2405">
        <f t="shared" si="6"/>
        <v>0</v>
      </c>
      <c r="N105" s="2402"/>
      <c r="P105" s="567">
        <v>14500000</v>
      </c>
      <c r="Q105" s="567">
        <f t="shared" si="8"/>
        <v>14500000</v>
      </c>
      <c r="R105" s="1265"/>
      <c r="S105" s="857"/>
      <c r="T105" s="855"/>
      <c r="U105" s="853"/>
      <c r="V105" s="853"/>
      <c r="W105" s="853"/>
      <c r="X105" s="855"/>
      <c r="Y105" s="855"/>
      <c r="Z105" s="858"/>
      <c r="AA105" s="854"/>
      <c r="AB105" s="854"/>
      <c r="AC105" s="854"/>
    </row>
    <row r="106" spans="1:29" s="554" customFormat="1">
      <c r="A106" s="2401">
        <v>1</v>
      </c>
      <c r="B106" s="2420">
        <v>1</v>
      </c>
      <c r="C106" s="2420" t="s">
        <v>596</v>
      </c>
      <c r="D106" s="2401">
        <v>5</v>
      </c>
      <c r="E106" s="2401">
        <v>2</v>
      </c>
      <c r="F106" s="2420">
        <v>3</v>
      </c>
      <c r="G106" s="2420"/>
      <c r="H106" s="2402" t="s">
        <v>1121</v>
      </c>
      <c r="I106" s="2401"/>
      <c r="J106" s="2402"/>
      <c r="K106" s="2405">
        <f>SUM(K107:K107)</f>
        <v>5500000</v>
      </c>
      <c r="L106" s="2405">
        <f>SUM(L107:L107)</f>
        <v>5500000</v>
      </c>
      <c r="M106" s="2405">
        <f t="shared" si="6"/>
        <v>0</v>
      </c>
      <c r="N106" s="2402"/>
      <c r="P106" s="567"/>
      <c r="Q106" s="567"/>
      <c r="R106" s="1265"/>
      <c r="S106" s="857"/>
      <c r="T106" s="855"/>
      <c r="U106" s="853"/>
      <c r="V106" s="853"/>
      <c r="W106" s="853"/>
      <c r="X106" s="855"/>
      <c r="Y106" s="855"/>
      <c r="Z106" s="1987"/>
      <c r="AA106" s="1988"/>
      <c r="AB106" s="1988"/>
      <c r="AC106" s="1988"/>
    </row>
    <row r="107" spans="1:29" s="554" customFormat="1">
      <c r="A107" s="2401">
        <v>1</v>
      </c>
      <c r="B107" s="2420">
        <v>1</v>
      </c>
      <c r="C107" s="2420" t="s">
        <v>596</v>
      </c>
      <c r="D107" s="2401">
        <v>5</v>
      </c>
      <c r="E107" s="2401">
        <v>2</v>
      </c>
      <c r="F107" s="2420">
        <v>3</v>
      </c>
      <c r="G107" s="2420">
        <v>1</v>
      </c>
      <c r="H107" s="2402" t="s">
        <v>1395</v>
      </c>
      <c r="I107" s="2401">
        <v>11</v>
      </c>
      <c r="J107" s="2402" t="s">
        <v>171</v>
      </c>
      <c r="K107" s="2405">
        <f>'1.4 O PEM pkpkd rusak'!H91</f>
        <v>5500000</v>
      </c>
      <c r="L107" s="2405">
        <f>'1.4 O PEM pkpkd rusak'!L91</f>
        <v>5500000</v>
      </c>
      <c r="M107" s="2405">
        <f t="shared" si="6"/>
        <v>0</v>
      </c>
      <c r="N107" s="2402" t="s">
        <v>23</v>
      </c>
      <c r="O107" s="554" t="s">
        <v>25</v>
      </c>
      <c r="P107" s="567"/>
      <c r="Q107" s="567"/>
      <c r="R107" s="1265"/>
      <c r="S107" s="857"/>
      <c r="T107" s="855"/>
      <c r="U107" s="853"/>
      <c r="V107" s="853"/>
      <c r="W107" s="853"/>
      <c r="X107" s="855"/>
      <c r="Y107" s="855"/>
      <c r="Z107" s="858"/>
      <c r="AA107" s="854"/>
      <c r="AB107" s="854"/>
      <c r="AC107" s="854"/>
    </row>
    <row r="108" spans="1:29" s="554" customFormat="1">
      <c r="A108" s="2401">
        <v>1</v>
      </c>
      <c r="B108" s="2420">
        <v>1</v>
      </c>
      <c r="C108" s="2420" t="s">
        <v>596</v>
      </c>
      <c r="D108" s="2401">
        <v>5</v>
      </c>
      <c r="E108" s="2420">
        <v>2</v>
      </c>
      <c r="F108" s="2420">
        <v>5</v>
      </c>
      <c r="G108" s="2401"/>
      <c r="H108" s="2421" t="s">
        <v>744</v>
      </c>
      <c r="I108" s="2401"/>
      <c r="J108" s="2402"/>
      <c r="K108" s="2405">
        <f>K109+K110</f>
        <v>1176000</v>
      </c>
      <c r="L108" s="2405">
        <f>L109+L110</f>
        <v>1176000</v>
      </c>
      <c r="M108" s="2405">
        <f t="shared" si="6"/>
        <v>0</v>
      </c>
      <c r="N108" s="2402"/>
      <c r="P108" s="567">
        <v>1836000</v>
      </c>
      <c r="Q108" s="567">
        <f t="shared" ref="Q108:Q135" si="9">P108-K108</f>
        <v>660000</v>
      </c>
      <c r="R108" s="1265"/>
      <c r="S108" s="2805"/>
      <c r="T108" s="2805"/>
      <c r="U108" s="853"/>
      <c r="V108" s="853"/>
      <c r="W108" s="853"/>
      <c r="X108" s="853"/>
      <c r="Y108" s="853"/>
      <c r="Z108" s="853"/>
      <c r="AA108" s="1988"/>
      <c r="AB108" s="1988"/>
      <c r="AC108" s="1988"/>
    </row>
    <row r="109" spans="1:29" s="554" customFormat="1">
      <c r="A109" s="2401">
        <v>1</v>
      </c>
      <c r="B109" s="2420">
        <v>1</v>
      </c>
      <c r="C109" s="2420" t="s">
        <v>596</v>
      </c>
      <c r="D109" s="2401">
        <v>5</v>
      </c>
      <c r="E109" s="2420">
        <v>2</v>
      </c>
      <c r="F109" s="2420">
        <v>5</v>
      </c>
      <c r="G109" s="2401">
        <v>1</v>
      </c>
      <c r="H109" s="2421" t="s">
        <v>745</v>
      </c>
      <c r="I109" s="2401">
        <v>1</v>
      </c>
      <c r="J109" s="2402" t="s">
        <v>164</v>
      </c>
      <c r="K109" s="2405">
        <f>'1.4 O PEM pkpkd rusak'!G93</f>
        <v>900000</v>
      </c>
      <c r="L109" s="2405">
        <f>'1.4 O PEM pkpkd rusak'!L93</f>
        <v>900000</v>
      </c>
      <c r="M109" s="2405">
        <f t="shared" si="6"/>
        <v>0</v>
      </c>
      <c r="N109" s="2402" t="s">
        <v>23</v>
      </c>
      <c r="O109" s="554" t="s">
        <v>25</v>
      </c>
      <c r="P109" s="567">
        <v>960000</v>
      </c>
      <c r="Q109" s="567">
        <f t="shared" si="9"/>
        <v>60000</v>
      </c>
      <c r="R109" s="1265"/>
      <c r="S109" s="855"/>
      <c r="T109" s="856"/>
      <c r="U109" s="856"/>
      <c r="V109" s="856"/>
      <c r="W109" s="856"/>
      <c r="X109" s="856"/>
      <c r="Y109" s="856"/>
      <c r="Z109" s="857"/>
      <c r="AA109" s="854"/>
      <c r="AB109" s="854"/>
      <c r="AC109" s="854"/>
    </row>
    <row r="110" spans="1:29" s="554" customFormat="1">
      <c r="A110" s="2401">
        <v>1</v>
      </c>
      <c r="B110" s="2420">
        <v>1</v>
      </c>
      <c r="C110" s="2420" t="s">
        <v>596</v>
      </c>
      <c r="D110" s="2401">
        <v>5</v>
      </c>
      <c r="E110" s="2420">
        <v>2</v>
      </c>
      <c r="F110" s="2420">
        <v>5</v>
      </c>
      <c r="G110" s="2401">
        <v>7</v>
      </c>
      <c r="H110" s="2421" t="s">
        <v>1154</v>
      </c>
      <c r="I110" s="2401">
        <v>1</v>
      </c>
      <c r="J110" s="2402" t="s">
        <v>164</v>
      </c>
      <c r="K110" s="2405">
        <f>'1.4 O PEM pkpkd rusak'!G95</f>
        <v>276000</v>
      </c>
      <c r="L110" s="2405">
        <f>'1.4 O PEM pkpkd rusak'!L95</f>
        <v>276000</v>
      </c>
      <c r="M110" s="2405">
        <f t="shared" si="6"/>
        <v>0</v>
      </c>
      <c r="N110" s="2402" t="s">
        <v>23</v>
      </c>
      <c r="O110" s="554" t="s">
        <v>25</v>
      </c>
      <c r="P110" s="567">
        <v>276000</v>
      </c>
      <c r="Q110" s="567">
        <f t="shared" si="9"/>
        <v>0</v>
      </c>
      <c r="R110" s="1265"/>
      <c r="S110" s="855"/>
      <c r="T110" s="856"/>
      <c r="U110" s="856"/>
      <c r="V110" s="856"/>
      <c r="W110" s="856"/>
      <c r="X110" s="856"/>
      <c r="Y110" s="856"/>
      <c r="Z110" s="857"/>
      <c r="AA110" s="854"/>
      <c r="AB110" s="854"/>
      <c r="AC110" s="854"/>
    </row>
    <row r="111" spans="1:29" s="554" customFormat="1">
      <c r="A111" s="2401">
        <v>1</v>
      </c>
      <c r="B111" s="2420">
        <v>1</v>
      </c>
      <c r="C111" s="2420" t="s">
        <v>596</v>
      </c>
      <c r="D111" s="2401">
        <v>5</v>
      </c>
      <c r="E111" s="2420">
        <v>2</v>
      </c>
      <c r="F111" s="2420">
        <v>6</v>
      </c>
      <c r="G111" s="2401"/>
      <c r="H111" s="2421" t="s">
        <v>1117</v>
      </c>
      <c r="I111" s="2401"/>
      <c r="J111" s="2402"/>
      <c r="K111" s="2405">
        <f>K112</f>
        <v>1000000</v>
      </c>
      <c r="L111" s="2405">
        <f>L112</f>
        <v>760000</v>
      </c>
      <c r="M111" s="2405">
        <f t="shared" si="6"/>
        <v>-240000</v>
      </c>
      <c r="N111" s="2402"/>
      <c r="P111" s="567">
        <v>1000000</v>
      </c>
      <c r="Q111" s="567">
        <f t="shared" si="9"/>
        <v>0</v>
      </c>
      <c r="R111" s="1265"/>
      <c r="S111" s="855"/>
      <c r="T111" s="856"/>
      <c r="U111" s="856"/>
      <c r="V111" s="856"/>
      <c r="W111" s="856"/>
      <c r="X111" s="856"/>
      <c r="Y111" s="856"/>
      <c r="Z111" s="857"/>
      <c r="AA111" s="1988"/>
      <c r="AB111" s="1988"/>
      <c r="AC111" s="1988"/>
    </row>
    <row r="112" spans="1:29" s="554" customFormat="1">
      <c r="A112" s="2401">
        <v>1</v>
      </c>
      <c r="B112" s="2420">
        <v>1</v>
      </c>
      <c r="C112" s="2420" t="s">
        <v>596</v>
      </c>
      <c r="D112" s="2401">
        <v>5</v>
      </c>
      <c r="E112" s="2420">
        <v>2</v>
      </c>
      <c r="F112" s="2420">
        <v>6</v>
      </c>
      <c r="G112" s="2401">
        <v>2</v>
      </c>
      <c r="H112" s="2421" t="s">
        <v>1118</v>
      </c>
      <c r="I112" s="2401">
        <v>1</v>
      </c>
      <c r="J112" s="2402" t="s">
        <v>164</v>
      </c>
      <c r="K112" s="2405">
        <f>'1.4 O PEM pkpkd rusak'!G99</f>
        <v>1000000</v>
      </c>
      <c r="L112" s="2405">
        <f>'1.4 O PEM pkpkd rusak'!M99</f>
        <v>760000</v>
      </c>
      <c r="M112" s="2405">
        <f t="shared" si="6"/>
        <v>-240000</v>
      </c>
      <c r="N112" s="2402" t="s">
        <v>23</v>
      </c>
      <c r="O112" s="554" t="s">
        <v>25</v>
      </c>
      <c r="P112" s="567">
        <v>1000000</v>
      </c>
      <c r="Q112" s="567">
        <f t="shared" si="9"/>
        <v>0</v>
      </c>
      <c r="R112" s="1265"/>
      <c r="S112" s="855"/>
      <c r="T112" s="856"/>
      <c r="U112" s="856"/>
      <c r="V112" s="856"/>
      <c r="W112" s="856"/>
      <c r="X112" s="856"/>
      <c r="Y112" s="856"/>
      <c r="Z112" s="857"/>
      <c r="AA112" s="854"/>
      <c r="AB112" s="854"/>
      <c r="AC112" s="854"/>
    </row>
    <row r="113" spans="1:29" s="554" customFormat="1">
      <c r="A113" s="2401"/>
      <c r="B113" s="2420"/>
      <c r="C113" s="2420"/>
      <c r="D113" s="2401"/>
      <c r="E113" s="2420"/>
      <c r="F113" s="2420"/>
      <c r="G113" s="2401"/>
      <c r="H113" s="2421" t="s">
        <v>1580</v>
      </c>
      <c r="I113" s="2401">
        <v>1</v>
      </c>
      <c r="J113" s="2402" t="s">
        <v>1158</v>
      </c>
      <c r="K113" s="2405">
        <f>'1.4 O PEM pkpkd rusak'!G102</f>
        <v>0</v>
      </c>
      <c r="L113" s="2405">
        <f>'1.4 O PEM pkpkd rusak'!L102</f>
        <v>0</v>
      </c>
      <c r="M113" s="2405">
        <f t="shared" si="6"/>
        <v>0</v>
      </c>
      <c r="N113" s="2402" t="s">
        <v>23</v>
      </c>
      <c r="O113" s="554" t="s">
        <v>25</v>
      </c>
      <c r="P113" s="567"/>
      <c r="Q113" s="567"/>
      <c r="R113" s="1265"/>
      <c r="S113" s="855"/>
      <c r="T113" s="856"/>
      <c r="U113" s="856"/>
      <c r="V113" s="856"/>
      <c r="W113" s="856"/>
      <c r="X113" s="856"/>
      <c r="Y113" s="856"/>
      <c r="Z113" s="857"/>
      <c r="AA113" s="854"/>
      <c r="AB113" s="854"/>
      <c r="AC113" s="854"/>
    </row>
    <row r="114" spans="1:29" s="420" customFormat="1">
      <c r="A114" s="2398">
        <v>1</v>
      </c>
      <c r="B114" s="2419">
        <v>1</v>
      </c>
      <c r="C114" s="2419" t="s">
        <v>597</v>
      </c>
      <c r="D114" s="2398">
        <v>5</v>
      </c>
      <c r="E114" s="2398"/>
      <c r="F114" s="2398"/>
      <c r="G114" s="2398"/>
      <c r="H114" s="2399" t="s">
        <v>545</v>
      </c>
      <c r="I114" s="2398"/>
      <c r="J114" s="2399"/>
      <c r="K114" s="2404">
        <f t="shared" ref="K114:L116" si="10">K115</f>
        <v>58800000</v>
      </c>
      <c r="L114" s="2404">
        <f t="shared" si="10"/>
        <v>58800000</v>
      </c>
      <c r="M114" s="2404">
        <f t="shared" si="6"/>
        <v>0</v>
      </c>
      <c r="N114" s="2399"/>
      <c r="P114" s="797">
        <v>48552000</v>
      </c>
      <c r="Q114" s="797">
        <f t="shared" si="9"/>
        <v>-10248000</v>
      </c>
      <c r="R114" s="830"/>
      <c r="S114" s="914"/>
      <c r="T114" s="1482"/>
      <c r="U114" s="1482"/>
      <c r="V114" s="1482"/>
      <c r="W114" s="1482"/>
      <c r="X114" s="1482"/>
      <c r="Y114" s="1482"/>
      <c r="Z114" s="1483"/>
      <c r="AA114" s="1484"/>
      <c r="AB114" s="534"/>
      <c r="AC114" s="534"/>
    </row>
    <row r="115" spans="1:29">
      <c r="A115" s="2401">
        <v>1</v>
      </c>
      <c r="B115" s="2420">
        <v>1</v>
      </c>
      <c r="C115" s="2420" t="s">
        <v>597</v>
      </c>
      <c r="D115" s="2401">
        <v>5</v>
      </c>
      <c r="E115" s="2401">
        <v>1</v>
      </c>
      <c r="F115" s="2401"/>
      <c r="G115" s="2401"/>
      <c r="H115" s="2402" t="s">
        <v>312</v>
      </c>
      <c r="I115" s="2401"/>
      <c r="J115" s="2402"/>
      <c r="K115" s="2405">
        <f t="shared" si="10"/>
        <v>58800000</v>
      </c>
      <c r="L115" s="2405">
        <f t="shared" si="10"/>
        <v>58800000</v>
      </c>
      <c r="M115" s="2405">
        <f t="shared" si="6"/>
        <v>0</v>
      </c>
      <c r="N115" s="2402"/>
      <c r="P115" s="567">
        <v>48552000</v>
      </c>
      <c r="Q115" s="567">
        <f t="shared" si="9"/>
        <v>-10248000</v>
      </c>
      <c r="R115" s="828"/>
      <c r="S115" s="855"/>
      <c r="T115" s="856"/>
      <c r="U115" s="856"/>
      <c r="V115" s="856"/>
      <c r="W115" s="856"/>
      <c r="X115" s="856"/>
      <c r="Y115" s="856"/>
      <c r="Z115" s="857"/>
      <c r="AA115" s="854"/>
      <c r="AB115"/>
      <c r="AC115"/>
    </row>
    <row r="116" spans="1:29">
      <c r="A116" s="2401">
        <v>1</v>
      </c>
      <c r="B116" s="2420">
        <v>1</v>
      </c>
      <c r="C116" s="2420" t="s">
        <v>597</v>
      </c>
      <c r="D116" s="2401">
        <v>5</v>
      </c>
      <c r="E116" s="2401">
        <v>1</v>
      </c>
      <c r="F116" s="2420">
        <v>4</v>
      </c>
      <c r="G116" s="2420"/>
      <c r="H116" s="2402" t="s">
        <v>14</v>
      </c>
      <c r="I116" s="2401"/>
      <c r="J116" s="2402"/>
      <c r="K116" s="2405">
        <f t="shared" si="10"/>
        <v>58800000</v>
      </c>
      <c r="L116" s="2405">
        <f t="shared" si="10"/>
        <v>58800000</v>
      </c>
      <c r="M116" s="2405">
        <f t="shared" si="6"/>
        <v>0</v>
      </c>
      <c r="N116" s="2402"/>
      <c r="P116" s="567">
        <v>48552000</v>
      </c>
      <c r="Q116" s="567">
        <f t="shared" si="9"/>
        <v>-10248000</v>
      </c>
      <c r="R116" s="828"/>
      <c r="S116" s="855"/>
      <c r="T116" s="856"/>
      <c r="U116" s="856"/>
      <c r="V116" s="856"/>
      <c r="W116" s="856"/>
      <c r="X116" s="856"/>
      <c r="Y116" s="856"/>
      <c r="Z116" s="857"/>
      <c r="AA116" s="854"/>
      <c r="AB116"/>
      <c r="AC116"/>
    </row>
    <row r="117" spans="1:29">
      <c r="A117" s="2401">
        <v>1</v>
      </c>
      <c r="B117" s="2420">
        <v>1</v>
      </c>
      <c r="C117" s="2420" t="s">
        <v>597</v>
      </c>
      <c r="D117" s="2401">
        <v>5</v>
      </c>
      <c r="E117" s="2401">
        <v>1</v>
      </c>
      <c r="F117" s="2420">
        <v>4</v>
      </c>
      <c r="G117" s="2420">
        <v>1</v>
      </c>
      <c r="H117" s="2402" t="s">
        <v>14</v>
      </c>
      <c r="I117" s="2401">
        <v>1</v>
      </c>
      <c r="J117" s="2402" t="s">
        <v>164</v>
      </c>
      <c r="K117" s="2405">
        <f>'1.5 BPD'!H20</f>
        <v>58800000</v>
      </c>
      <c r="L117" s="2405">
        <f>K117</f>
        <v>58800000</v>
      </c>
      <c r="M117" s="2405">
        <f t="shared" si="6"/>
        <v>0</v>
      </c>
      <c r="N117" s="2402" t="s">
        <v>23</v>
      </c>
      <c r="O117" s="419" t="s">
        <v>25</v>
      </c>
      <c r="P117" s="567">
        <v>48552000</v>
      </c>
      <c r="Q117" s="567">
        <f t="shared" si="9"/>
        <v>-10248000</v>
      </c>
      <c r="R117" s="828"/>
      <c r="S117" s="855"/>
      <c r="T117" s="857"/>
      <c r="U117" s="857"/>
      <c r="V117" s="857"/>
      <c r="W117" s="857"/>
      <c r="X117" s="857"/>
      <c r="Y117" s="857"/>
      <c r="Z117" s="858"/>
      <c r="AA117" s="854"/>
      <c r="AB117"/>
      <c r="AC117"/>
    </row>
    <row r="118" spans="1:29" s="420" customFormat="1" ht="31.5">
      <c r="A118" s="2398">
        <v>1</v>
      </c>
      <c r="B118" s="2419">
        <v>1</v>
      </c>
      <c r="C118" s="2419" t="s">
        <v>598</v>
      </c>
      <c r="D118" s="2398">
        <v>5</v>
      </c>
      <c r="E118" s="2398"/>
      <c r="F118" s="2398"/>
      <c r="G118" s="2398"/>
      <c r="H118" s="2399" t="s">
        <v>599</v>
      </c>
      <c r="I118" s="2398"/>
      <c r="J118" s="2399"/>
      <c r="K118" s="2404">
        <f>K119</f>
        <v>3439500</v>
      </c>
      <c r="L118" s="2404">
        <f>'1.6 OP BPD'!L40</f>
        <v>0</v>
      </c>
      <c r="M118" s="2404">
        <f t="shared" si="6"/>
        <v>-3439500</v>
      </c>
      <c r="N118" s="2399"/>
      <c r="P118" s="797">
        <v>6139500</v>
      </c>
      <c r="Q118" s="797">
        <f t="shared" si="9"/>
        <v>2700000</v>
      </c>
      <c r="R118" s="830"/>
      <c r="S118" s="914"/>
      <c r="T118" s="915"/>
      <c r="U118" s="915"/>
      <c r="V118" s="915"/>
      <c r="W118" s="915"/>
      <c r="X118" s="915"/>
      <c r="Y118" s="915"/>
      <c r="Z118" s="1485"/>
      <c r="AA118" s="1484"/>
      <c r="AB118" s="534"/>
      <c r="AC118" s="534"/>
    </row>
    <row r="119" spans="1:29">
      <c r="A119" s="2401">
        <v>1</v>
      </c>
      <c r="B119" s="2420">
        <v>1</v>
      </c>
      <c r="C119" s="2420" t="s">
        <v>598</v>
      </c>
      <c r="D119" s="2401">
        <v>5</v>
      </c>
      <c r="E119" s="2401">
        <v>2</v>
      </c>
      <c r="F119" s="2401"/>
      <c r="G119" s="2401"/>
      <c r="H119" s="2402" t="s">
        <v>8</v>
      </c>
      <c r="I119" s="2401"/>
      <c r="J119" s="2402"/>
      <c r="K119" s="2405">
        <f>K120+K124</f>
        <v>3439500</v>
      </c>
      <c r="L119" s="2405">
        <f>L120+L124</f>
        <v>0</v>
      </c>
      <c r="M119" s="2405">
        <f t="shared" si="6"/>
        <v>-3439500</v>
      </c>
      <c r="N119" s="2402"/>
      <c r="P119" s="567">
        <v>6139500</v>
      </c>
      <c r="Q119" s="567">
        <f t="shared" si="9"/>
        <v>2700000</v>
      </c>
      <c r="R119" s="828"/>
      <c r="S119" s="855"/>
      <c r="T119" s="859"/>
      <c r="U119" s="859"/>
      <c r="V119" s="859"/>
      <c r="W119" s="859"/>
      <c r="X119" s="859"/>
      <c r="Y119" s="859"/>
      <c r="Z119" s="1987"/>
      <c r="AA119" s="1988"/>
      <c r="AB119" s="114"/>
      <c r="AC119" s="114"/>
    </row>
    <row r="120" spans="1:29">
      <c r="A120" s="2401">
        <v>1</v>
      </c>
      <c r="B120" s="2420">
        <v>1</v>
      </c>
      <c r="C120" s="2420" t="s">
        <v>598</v>
      </c>
      <c r="D120" s="2401">
        <v>5</v>
      </c>
      <c r="E120" s="2401">
        <v>2</v>
      </c>
      <c r="F120" s="2420">
        <v>1</v>
      </c>
      <c r="G120" s="2420"/>
      <c r="H120" s="2402" t="s">
        <v>731</v>
      </c>
      <c r="I120" s="2401"/>
      <c r="J120" s="2402"/>
      <c r="K120" s="2405">
        <f>SUM(K121:K123)</f>
        <v>1679500</v>
      </c>
      <c r="L120" s="2405">
        <f>SUM(L121:L123)</f>
        <v>0</v>
      </c>
      <c r="M120" s="2405">
        <f t="shared" si="6"/>
        <v>-1679500</v>
      </c>
      <c r="N120" s="2402"/>
      <c r="P120" s="567">
        <v>1669500</v>
      </c>
      <c r="Q120" s="567">
        <f t="shared" si="9"/>
        <v>-10000</v>
      </c>
      <c r="R120" s="828"/>
      <c r="S120" s="834"/>
      <c r="T120" s="834"/>
      <c r="U120" s="834"/>
      <c r="V120" s="834"/>
      <c r="W120" s="834"/>
      <c r="X120" s="834"/>
      <c r="Y120" s="834"/>
      <c r="Z120" s="1986"/>
      <c r="AA120" s="114"/>
      <c r="AB120" s="114"/>
      <c r="AC120" s="114"/>
    </row>
    <row r="121" spans="1:29">
      <c r="A121" s="2401">
        <v>1</v>
      </c>
      <c r="B121" s="2420">
        <v>1</v>
      </c>
      <c r="C121" s="2420" t="s">
        <v>598</v>
      </c>
      <c r="D121" s="2401">
        <v>5</v>
      </c>
      <c r="E121" s="2401">
        <v>2</v>
      </c>
      <c r="F121" s="2420">
        <v>1</v>
      </c>
      <c r="G121" s="2420">
        <v>1</v>
      </c>
      <c r="H121" s="2422" t="s">
        <v>864</v>
      </c>
      <c r="I121" s="2401">
        <v>1</v>
      </c>
      <c r="J121" s="2402" t="s">
        <v>164</v>
      </c>
      <c r="K121" s="2405">
        <f>'1.6 OP BPD'!H30</f>
        <v>809500</v>
      </c>
      <c r="L121" s="2405">
        <f>'1.6 OP BPD'!L30</f>
        <v>0</v>
      </c>
      <c r="M121" s="2405">
        <f t="shared" si="6"/>
        <v>-809500</v>
      </c>
      <c r="N121" s="2402" t="s">
        <v>23</v>
      </c>
      <c r="O121" s="419" t="s">
        <v>25</v>
      </c>
      <c r="P121" s="567">
        <v>799500</v>
      </c>
      <c r="Q121" s="567">
        <f t="shared" si="9"/>
        <v>-10000</v>
      </c>
      <c r="R121" s="828"/>
      <c r="S121" s="828"/>
      <c r="T121" s="828"/>
      <c r="U121" s="828"/>
      <c r="V121" s="835"/>
      <c r="W121" s="835"/>
      <c r="X121" s="834"/>
      <c r="Y121" s="834"/>
      <c r="Z121" s="829"/>
      <c r="AA121"/>
      <c r="AB121"/>
      <c r="AC121"/>
    </row>
    <row r="122" spans="1:29" s="554" customFormat="1" ht="31.5">
      <c r="A122" s="2401">
        <v>1</v>
      </c>
      <c r="B122" s="2420">
        <v>1</v>
      </c>
      <c r="C122" s="2420" t="s">
        <v>598</v>
      </c>
      <c r="D122" s="2401">
        <v>5</v>
      </c>
      <c r="E122" s="2401">
        <v>2</v>
      </c>
      <c r="F122" s="2420">
        <v>1</v>
      </c>
      <c r="G122" s="2420">
        <v>3</v>
      </c>
      <c r="H122" s="2402" t="s">
        <v>734</v>
      </c>
      <c r="I122" s="2401">
        <v>1</v>
      </c>
      <c r="J122" s="2402" t="s">
        <v>164</v>
      </c>
      <c r="K122" s="2405"/>
      <c r="L122" s="2405"/>
      <c r="M122" s="2405">
        <f t="shared" si="6"/>
        <v>0</v>
      </c>
      <c r="N122" s="2402"/>
      <c r="P122" s="567"/>
      <c r="Q122" s="567">
        <f t="shared" si="9"/>
        <v>0</v>
      </c>
      <c r="R122" s="1265"/>
      <c r="S122" s="1265"/>
      <c r="T122" s="1265"/>
      <c r="U122" s="1265"/>
      <c r="V122" s="855"/>
      <c r="W122" s="855"/>
      <c r="X122" s="855"/>
      <c r="Y122" s="855"/>
      <c r="Z122" s="858"/>
      <c r="AA122" s="854"/>
      <c r="AB122" s="854"/>
      <c r="AC122" s="854"/>
    </row>
    <row r="123" spans="1:29" ht="31.5">
      <c r="A123" s="2401">
        <v>1</v>
      </c>
      <c r="B123" s="2420">
        <v>1</v>
      </c>
      <c r="C123" s="2420" t="s">
        <v>598</v>
      </c>
      <c r="D123" s="2401">
        <v>5</v>
      </c>
      <c r="E123" s="2401">
        <v>2</v>
      </c>
      <c r="F123" s="2420">
        <v>1</v>
      </c>
      <c r="G123" s="2420">
        <v>4</v>
      </c>
      <c r="H123" s="2402" t="s">
        <v>735</v>
      </c>
      <c r="I123" s="2401">
        <v>1</v>
      </c>
      <c r="J123" s="2402" t="s">
        <v>164</v>
      </c>
      <c r="K123" s="2405">
        <f>'1.6 OP BPD'!H35</f>
        <v>870000</v>
      </c>
      <c r="L123" s="2405">
        <f>'1.6 OP BPD'!L35</f>
        <v>0</v>
      </c>
      <c r="M123" s="2405">
        <f t="shared" si="6"/>
        <v>-870000</v>
      </c>
      <c r="N123" s="2402" t="s">
        <v>23</v>
      </c>
      <c r="O123" s="419" t="s">
        <v>25</v>
      </c>
      <c r="P123" s="567">
        <v>870000</v>
      </c>
      <c r="Q123" s="567">
        <f t="shared" si="9"/>
        <v>0</v>
      </c>
      <c r="R123" s="828"/>
      <c r="S123" s="828"/>
      <c r="T123" s="828"/>
      <c r="U123" s="828"/>
      <c r="V123" s="834"/>
      <c r="W123" s="834"/>
      <c r="X123" s="834"/>
      <c r="Y123" s="834"/>
      <c r="Z123" s="829"/>
      <c r="AA123"/>
      <c r="AB123"/>
      <c r="AC123"/>
    </row>
    <row r="124" spans="1:29">
      <c r="A124" s="2401">
        <v>1</v>
      </c>
      <c r="B124" s="2420">
        <v>1</v>
      </c>
      <c r="C124" s="2420" t="s">
        <v>598</v>
      </c>
      <c r="D124" s="2401">
        <v>5</v>
      </c>
      <c r="E124" s="2401">
        <v>2</v>
      </c>
      <c r="F124" s="2420">
        <v>3</v>
      </c>
      <c r="G124" s="2420"/>
      <c r="H124" s="2402" t="s">
        <v>740</v>
      </c>
      <c r="I124" s="2401"/>
      <c r="J124" s="2402"/>
      <c r="K124" s="2405">
        <f>SUM(K125:K125)</f>
        <v>1760000</v>
      </c>
      <c r="L124" s="2405">
        <f>SUM(L125:L125)</f>
        <v>0</v>
      </c>
      <c r="M124" s="2405">
        <f t="shared" si="6"/>
        <v>-1760000</v>
      </c>
      <c r="N124" s="2402"/>
      <c r="P124" s="567">
        <v>2720000</v>
      </c>
      <c r="Q124" s="567">
        <f t="shared" si="9"/>
        <v>960000</v>
      </c>
      <c r="R124" s="828"/>
      <c r="S124" s="828"/>
      <c r="T124" s="828"/>
      <c r="U124" s="828"/>
      <c r="V124" s="834"/>
      <c r="W124" s="834"/>
      <c r="X124" s="834"/>
      <c r="Y124" s="834"/>
      <c r="Z124" s="1986"/>
      <c r="AA124" s="114"/>
      <c r="AB124" s="114"/>
      <c r="AC124" s="114"/>
    </row>
    <row r="125" spans="1:29">
      <c r="A125" s="2401">
        <v>1</v>
      </c>
      <c r="B125" s="2420">
        <v>1</v>
      </c>
      <c r="C125" s="2420" t="s">
        <v>598</v>
      </c>
      <c r="D125" s="2401">
        <v>5</v>
      </c>
      <c r="E125" s="2401">
        <v>2</v>
      </c>
      <c r="F125" s="2420">
        <v>3</v>
      </c>
      <c r="G125" s="2420">
        <v>1</v>
      </c>
      <c r="H125" s="2402" t="s">
        <v>741</v>
      </c>
      <c r="I125" s="2401">
        <v>1</v>
      </c>
      <c r="J125" s="2402" t="s">
        <v>164</v>
      </c>
      <c r="K125" s="2405">
        <f>'1.6 OP BPD'!H39</f>
        <v>1760000</v>
      </c>
      <c r="L125" s="2405">
        <f>'1.6 OP BPD'!L39</f>
        <v>0</v>
      </c>
      <c r="M125" s="2405">
        <f t="shared" si="6"/>
        <v>-1760000</v>
      </c>
      <c r="N125" s="2402" t="s">
        <v>23</v>
      </c>
      <c r="O125" s="419" t="s">
        <v>25</v>
      </c>
      <c r="P125" s="567">
        <v>2720000</v>
      </c>
      <c r="Q125" s="567">
        <f t="shared" si="9"/>
        <v>960000</v>
      </c>
      <c r="R125" s="828"/>
      <c r="S125" s="828"/>
      <c r="T125" s="828"/>
      <c r="U125" s="828"/>
      <c r="V125" s="834"/>
      <c r="W125" s="834"/>
      <c r="X125" s="834"/>
      <c r="Y125" s="834"/>
      <c r="Z125" s="829"/>
      <c r="AA125"/>
      <c r="AB125"/>
      <c r="AC125"/>
    </row>
    <row r="126" spans="1:29" s="420" customFormat="1">
      <c r="A126" s="2398">
        <v>1</v>
      </c>
      <c r="B126" s="2419">
        <v>1</v>
      </c>
      <c r="C126" s="2419" t="s">
        <v>600</v>
      </c>
      <c r="D126" s="2398">
        <v>5</v>
      </c>
      <c r="E126" s="2398"/>
      <c r="F126" s="2398"/>
      <c r="G126" s="2398"/>
      <c r="H126" s="2399" t="s">
        <v>551</v>
      </c>
      <c r="I126" s="2398"/>
      <c r="J126" s="2399"/>
      <c r="K126" s="2404">
        <f>K127</f>
        <v>76800000</v>
      </c>
      <c r="L126" s="2404">
        <f>L127</f>
        <v>76800000</v>
      </c>
      <c r="M126" s="2404">
        <f t="shared" si="6"/>
        <v>0</v>
      </c>
      <c r="N126" s="2399"/>
      <c r="P126" s="797">
        <v>19200000</v>
      </c>
      <c r="Q126" s="797">
        <f t="shared" si="9"/>
        <v>-57600000</v>
      </c>
      <c r="R126" s="830"/>
      <c r="S126" s="830"/>
      <c r="T126" s="830"/>
      <c r="U126" s="830"/>
      <c r="V126" s="836"/>
      <c r="W126" s="836"/>
      <c r="X126" s="836"/>
      <c r="Y126" s="836"/>
      <c r="Z126" s="832"/>
      <c r="AA126" s="534"/>
      <c r="AB126" s="534"/>
      <c r="AC126" s="534"/>
    </row>
    <row r="127" spans="1:29">
      <c r="A127" s="2401">
        <v>1</v>
      </c>
      <c r="B127" s="2420">
        <v>1</v>
      </c>
      <c r="C127" s="2420" t="s">
        <v>600</v>
      </c>
      <c r="D127" s="2401">
        <v>5</v>
      </c>
      <c r="E127" s="2401">
        <v>2</v>
      </c>
      <c r="F127" s="2401"/>
      <c r="G127" s="2401"/>
      <c r="H127" s="2402" t="s">
        <v>8</v>
      </c>
      <c r="I127" s="2401"/>
      <c r="J127" s="2402"/>
      <c r="K127" s="2405">
        <f>K128</f>
        <v>76800000</v>
      </c>
      <c r="L127" s="2405">
        <f>L128</f>
        <v>76800000</v>
      </c>
      <c r="M127" s="2405">
        <f t="shared" si="6"/>
        <v>0</v>
      </c>
      <c r="N127" s="2402"/>
      <c r="P127" s="567">
        <v>19200000</v>
      </c>
      <c r="Q127" s="567">
        <f t="shared" si="9"/>
        <v>-57600000</v>
      </c>
      <c r="R127" s="828"/>
      <c r="S127" s="828"/>
      <c r="T127" s="828"/>
      <c r="U127" s="828"/>
      <c r="V127" s="834"/>
      <c r="W127" s="834"/>
      <c r="X127" s="834"/>
      <c r="Y127" s="834"/>
      <c r="Z127" s="1986"/>
      <c r="AA127" s="114"/>
      <c r="AB127" s="114"/>
      <c r="AC127" s="114"/>
    </row>
    <row r="128" spans="1:29">
      <c r="A128" s="2401">
        <v>1</v>
      </c>
      <c r="B128" s="2420">
        <v>1</v>
      </c>
      <c r="C128" s="2420" t="s">
        <v>600</v>
      </c>
      <c r="D128" s="2401">
        <v>5</v>
      </c>
      <c r="E128" s="2401">
        <v>2</v>
      </c>
      <c r="F128" s="2420">
        <v>1</v>
      </c>
      <c r="G128" s="2420"/>
      <c r="H128" s="2402" t="s">
        <v>731</v>
      </c>
      <c r="I128" s="2401"/>
      <c r="J128" s="2402"/>
      <c r="K128" s="2405">
        <f>SUM(K129:K129)</f>
        <v>76800000</v>
      </c>
      <c r="L128" s="2405">
        <f>SUM(L129:L129)</f>
        <v>76800000</v>
      </c>
      <c r="M128" s="2405">
        <f t="shared" si="6"/>
        <v>0</v>
      </c>
      <c r="N128" s="2402"/>
      <c r="P128" s="567">
        <v>19200000</v>
      </c>
      <c r="Q128" s="567">
        <f t="shared" si="9"/>
        <v>-57600000</v>
      </c>
      <c r="S128" s="535"/>
      <c r="T128" s="535"/>
      <c r="U128" s="535"/>
      <c r="V128" s="535"/>
      <c r="W128" s="535"/>
      <c r="X128" s="535"/>
      <c r="Y128" s="535"/>
      <c r="Z128" s="114"/>
      <c r="AA128" s="114"/>
      <c r="AB128" s="114"/>
      <c r="AC128" s="114"/>
    </row>
    <row r="129" spans="1:29">
      <c r="A129" s="2401">
        <v>1</v>
      </c>
      <c r="B129" s="2420">
        <v>1</v>
      </c>
      <c r="C129" s="2420" t="s">
        <v>600</v>
      </c>
      <c r="D129" s="2401">
        <v>5</v>
      </c>
      <c r="E129" s="2401">
        <v>2</v>
      </c>
      <c r="F129" s="2420">
        <v>1</v>
      </c>
      <c r="G129" s="2420">
        <v>5</v>
      </c>
      <c r="H129" s="2402" t="s">
        <v>823</v>
      </c>
      <c r="I129" s="2401">
        <f>12*16</f>
        <v>192</v>
      </c>
      <c r="J129" s="2402" t="s">
        <v>116</v>
      </c>
      <c r="K129" s="2405">
        <f>'1.7 RT'!H33</f>
        <v>76800000</v>
      </c>
      <c r="L129" s="2405">
        <f>K129</f>
        <v>76800000</v>
      </c>
      <c r="M129" s="2405">
        <f t="shared" si="6"/>
        <v>0</v>
      </c>
      <c r="N129" s="2402" t="s">
        <v>23</v>
      </c>
      <c r="O129" s="419" t="s">
        <v>25</v>
      </c>
      <c r="P129" s="567">
        <v>19200000</v>
      </c>
      <c r="Q129" s="567">
        <f t="shared" si="9"/>
        <v>-57600000</v>
      </c>
      <c r="S129" s="535"/>
      <c r="T129" s="535"/>
      <c r="U129" s="535"/>
      <c r="V129" s="535"/>
      <c r="W129" s="535"/>
      <c r="X129" s="535" t="s">
        <v>21</v>
      </c>
      <c r="Y129" s="535"/>
      <c r="Z129"/>
      <c r="AA129"/>
      <c r="AB129"/>
      <c r="AC129"/>
    </row>
    <row r="130" spans="1:29" s="554" customFormat="1">
      <c r="A130" s="2398">
        <v>1</v>
      </c>
      <c r="B130" s="2419">
        <v>2</v>
      </c>
      <c r="C130" s="2419"/>
      <c r="D130" s="2401"/>
      <c r="E130" s="2398"/>
      <c r="F130" s="2419"/>
      <c r="G130" s="2419"/>
      <c r="H130" s="2399" t="s">
        <v>602</v>
      </c>
      <c r="I130" s="2398"/>
      <c r="J130" s="2399"/>
      <c r="K130" s="2404">
        <f>K135</f>
        <v>7005000</v>
      </c>
      <c r="L130" s="2404">
        <f>L135</f>
        <v>0</v>
      </c>
      <c r="M130" s="2404">
        <f t="shared" si="6"/>
        <v>-7005000</v>
      </c>
      <c r="N130" s="2399"/>
      <c r="P130" s="555">
        <v>26508500</v>
      </c>
      <c r="Q130" s="555">
        <f t="shared" si="9"/>
        <v>19503500</v>
      </c>
      <c r="R130" s="2584"/>
      <c r="S130" s="2585"/>
      <c r="T130" s="2586"/>
      <c r="U130" s="2586"/>
      <c r="V130" s="2587">
        <f>T118/4</f>
        <v>0</v>
      </c>
      <c r="W130" s="2587"/>
      <c r="X130" s="854"/>
      <c r="Y130" s="854"/>
      <c r="Z130" s="854"/>
      <c r="AA130" s="854"/>
      <c r="AB130" s="854"/>
      <c r="AC130" s="854"/>
    </row>
    <row r="131" spans="1:29" hidden="1">
      <c r="A131" s="2401">
        <v>1</v>
      </c>
      <c r="B131" s="2420">
        <v>2</v>
      </c>
      <c r="C131" s="2420" t="s">
        <v>593</v>
      </c>
      <c r="D131" s="2401">
        <v>5</v>
      </c>
      <c r="E131" s="2401"/>
      <c r="F131" s="2420"/>
      <c r="G131" s="2420"/>
      <c r="H131" s="2402" t="s">
        <v>544</v>
      </c>
      <c r="I131" s="2401"/>
      <c r="J131" s="2402"/>
      <c r="K131" s="2405">
        <f>K132</f>
        <v>0</v>
      </c>
      <c r="L131" s="2405">
        <f>L132</f>
        <v>0</v>
      </c>
      <c r="M131" s="2405">
        <f t="shared" si="6"/>
        <v>0</v>
      </c>
      <c r="N131" s="2402"/>
      <c r="P131" s="567">
        <v>4863500</v>
      </c>
      <c r="Q131" s="567">
        <f t="shared" si="9"/>
        <v>4863500</v>
      </c>
      <c r="S131" s="114"/>
      <c r="T131" s="114"/>
      <c r="U131" s="1990"/>
      <c r="V131" s="114"/>
      <c r="W131" s="114"/>
      <c r="X131" s="114"/>
      <c r="Y131" s="114"/>
      <c r="Z131" s="114" t="s">
        <v>21</v>
      </c>
      <c r="AA131" s="114"/>
      <c r="AB131" s="114"/>
      <c r="AC131" s="114"/>
    </row>
    <row r="132" spans="1:29" hidden="1">
      <c r="A132" s="2401">
        <v>1</v>
      </c>
      <c r="B132" s="2420">
        <v>2</v>
      </c>
      <c r="C132" s="2420" t="s">
        <v>593</v>
      </c>
      <c r="D132" s="2401">
        <v>5</v>
      </c>
      <c r="E132" s="2401">
        <v>3</v>
      </c>
      <c r="F132" s="2401"/>
      <c r="G132" s="2420"/>
      <c r="H132" s="2402" t="s">
        <v>9</v>
      </c>
      <c r="I132" s="2401"/>
      <c r="J132" s="2402"/>
      <c r="K132" s="2405">
        <f>K133</f>
        <v>0</v>
      </c>
      <c r="L132" s="2405">
        <f>L133</f>
        <v>0</v>
      </c>
      <c r="M132" s="2405">
        <f t="shared" si="6"/>
        <v>0</v>
      </c>
      <c r="N132" s="2402"/>
      <c r="P132" s="567">
        <v>4863500</v>
      </c>
      <c r="Q132" s="567">
        <f t="shared" si="9"/>
        <v>4863500</v>
      </c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</row>
    <row r="133" spans="1:29" hidden="1">
      <c r="A133" s="2401">
        <v>1</v>
      </c>
      <c r="B133" s="2420">
        <v>2</v>
      </c>
      <c r="C133" s="2420" t="s">
        <v>593</v>
      </c>
      <c r="D133" s="2401">
        <v>5</v>
      </c>
      <c r="E133" s="2401">
        <v>3</v>
      </c>
      <c r="F133" s="2401">
        <v>2</v>
      </c>
      <c r="G133" s="2401"/>
      <c r="H133" s="2402" t="s">
        <v>1190</v>
      </c>
      <c r="I133" s="2401"/>
      <c r="J133" s="2402"/>
      <c r="K133" s="2405">
        <f>SUM(K134:K134)</f>
        <v>0</v>
      </c>
      <c r="L133" s="2405">
        <f>SUM(L134:L134)</f>
        <v>0</v>
      </c>
      <c r="M133" s="2405">
        <f t="shared" si="6"/>
        <v>0</v>
      </c>
      <c r="N133" s="2402"/>
      <c r="P133" s="567">
        <v>4863500</v>
      </c>
      <c r="Q133" s="567">
        <f t="shared" si="9"/>
        <v>4863500</v>
      </c>
      <c r="S133"/>
      <c r="T133"/>
      <c r="U133"/>
      <c r="V133"/>
      <c r="W133"/>
      <c r="X133"/>
      <c r="Y133"/>
      <c r="Z133"/>
      <c r="AA133"/>
      <c r="AB133"/>
      <c r="AC133"/>
    </row>
    <row r="134" spans="1:29" hidden="1">
      <c r="A134" s="2401">
        <v>1</v>
      </c>
      <c r="B134" s="2420">
        <v>2</v>
      </c>
      <c r="C134" s="2420" t="s">
        <v>593</v>
      </c>
      <c r="D134" s="2401">
        <v>5</v>
      </c>
      <c r="E134" s="2401">
        <v>3</v>
      </c>
      <c r="F134" s="2401">
        <v>2</v>
      </c>
      <c r="G134" s="2401">
        <v>3</v>
      </c>
      <c r="H134" s="2402" t="s">
        <v>1189</v>
      </c>
      <c r="I134" s="2401">
        <v>1</v>
      </c>
      <c r="J134" s="2402" t="s">
        <v>164</v>
      </c>
      <c r="K134" s="2405">
        <f>'1.8 Mdl'!G19</f>
        <v>0</v>
      </c>
      <c r="L134" s="2405">
        <f>'1.8 Mdl'!H19</f>
        <v>0</v>
      </c>
      <c r="M134" s="2405">
        <f t="shared" si="6"/>
        <v>0</v>
      </c>
      <c r="N134" s="2402" t="s">
        <v>23</v>
      </c>
      <c r="O134" s="419" t="s">
        <v>25</v>
      </c>
      <c r="P134" s="567">
        <v>4863500</v>
      </c>
      <c r="Q134" s="567">
        <f t="shared" si="9"/>
        <v>4863500</v>
      </c>
      <c r="S134"/>
      <c r="T134" s="3"/>
      <c r="U134"/>
      <c r="V134"/>
      <c r="W134"/>
      <c r="X134"/>
      <c r="Y134"/>
      <c r="Z134"/>
      <c r="AA134"/>
      <c r="AB134"/>
      <c r="AC134"/>
    </row>
    <row r="135" spans="1:29">
      <c r="A135" s="2401">
        <v>1</v>
      </c>
      <c r="B135" s="2420">
        <v>2</v>
      </c>
      <c r="C135" s="2420" t="s">
        <v>593</v>
      </c>
      <c r="D135" s="2401">
        <v>5</v>
      </c>
      <c r="E135" s="2401">
        <v>3</v>
      </c>
      <c r="F135" s="2401">
        <v>4</v>
      </c>
      <c r="G135" s="2401"/>
      <c r="H135" s="2402" t="s">
        <v>1419</v>
      </c>
      <c r="I135" s="2401">
        <v>1</v>
      </c>
      <c r="J135" s="2402" t="s">
        <v>164</v>
      </c>
      <c r="K135" s="2405">
        <f>K136+K137</f>
        <v>7005000</v>
      </c>
      <c r="L135" s="2405">
        <f>L136+L137</f>
        <v>0</v>
      </c>
      <c r="M135" s="2405">
        <f t="shared" si="6"/>
        <v>-7005000</v>
      </c>
      <c r="N135" s="2402"/>
      <c r="P135" s="567">
        <v>4863500</v>
      </c>
      <c r="Q135" s="567">
        <f t="shared" si="9"/>
        <v>-2141500</v>
      </c>
      <c r="S135"/>
      <c r="T135" s="3"/>
      <c r="U135"/>
      <c r="V135"/>
      <c r="W135"/>
      <c r="X135"/>
      <c r="Y135"/>
      <c r="Z135"/>
      <c r="AA135"/>
      <c r="AB135"/>
      <c r="AC135"/>
    </row>
    <row r="136" spans="1:29" s="554" customFormat="1" ht="31.5">
      <c r="A136" s="2401">
        <v>1</v>
      </c>
      <c r="B136" s="2420">
        <v>2</v>
      </c>
      <c r="C136" s="2420" t="s">
        <v>595</v>
      </c>
      <c r="D136" s="2401">
        <v>5</v>
      </c>
      <c r="E136" s="2401">
        <v>3</v>
      </c>
      <c r="F136" s="2401">
        <v>4</v>
      </c>
      <c r="G136" s="2401">
        <v>2</v>
      </c>
      <c r="H136" s="2402" t="s">
        <v>1420</v>
      </c>
      <c r="I136" s="2401"/>
      <c r="J136" s="2402"/>
      <c r="K136" s="2423">
        <f>[21]Rekap!$E$14</f>
        <v>1578000</v>
      </c>
      <c r="L136" s="2423"/>
      <c r="M136" s="2423">
        <f t="shared" si="6"/>
        <v>-1578000</v>
      </c>
      <c r="N136" s="2424" t="s">
        <v>330</v>
      </c>
      <c r="O136" s="2483" t="s">
        <v>25</v>
      </c>
      <c r="P136" s="567"/>
      <c r="Q136" s="567"/>
      <c r="S136" s="854"/>
      <c r="T136" s="2484"/>
      <c r="U136" s="854"/>
      <c r="V136" s="854"/>
      <c r="W136" s="854"/>
      <c r="X136" s="854"/>
      <c r="Y136" s="854"/>
      <c r="Z136" s="854"/>
      <c r="AA136" s="854"/>
      <c r="AB136" s="854"/>
      <c r="AC136" s="854"/>
    </row>
    <row r="137" spans="1:29" ht="31.5">
      <c r="A137" s="2401">
        <v>1</v>
      </c>
      <c r="B137" s="2420">
        <v>2</v>
      </c>
      <c r="C137" s="2420" t="s">
        <v>596</v>
      </c>
      <c r="D137" s="2401">
        <v>5</v>
      </c>
      <c r="E137" s="2401">
        <v>3</v>
      </c>
      <c r="F137" s="2401">
        <v>4</v>
      </c>
      <c r="G137" s="2401">
        <v>3</v>
      </c>
      <c r="H137" s="2402" t="s">
        <v>1421</v>
      </c>
      <c r="I137" s="2401"/>
      <c r="J137" s="2402"/>
      <c r="K137" s="2423">
        <f>[21]Rekap!$E$10</f>
        <v>5427000</v>
      </c>
      <c r="L137" s="2423"/>
      <c r="M137" s="2423">
        <f t="shared" si="6"/>
        <v>-5427000</v>
      </c>
      <c r="N137" s="2424" t="s">
        <v>330</v>
      </c>
      <c r="O137" s="556" t="s">
        <v>25</v>
      </c>
      <c r="P137" s="567"/>
      <c r="Q137" s="567"/>
      <c r="S137"/>
      <c r="T137" s="3"/>
      <c r="U137"/>
      <c r="V137"/>
      <c r="W137"/>
      <c r="X137"/>
      <c r="Y137"/>
      <c r="Z137"/>
      <c r="AA137"/>
      <c r="AB137"/>
      <c r="AC137"/>
    </row>
    <row r="138" spans="1:29" s="420" customFormat="1" ht="31.5">
      <c r="A138" s="2425">
        <v>1</v>
      </c>
      <c r="B138" s="2426">
        <v>4</v>
      </c>
      <c r="C138" s="2426"/>
      <c r="D138" s="2398">
        <v>5</v>
      </c>
      <c r="E138" s="2425"/>
      <c r="F138" s="2425"/>
      <c r="G138" s="2425"/>
      <c r="H138" s="2427" t="s">
        <v>609</v>
      </c>
      <c r="I138" s="2425"/>
      <c r="J138" s="2428"/>
      <c r="K138" s="2429">
        <f>K139+K146+K150+K154</f>
        <v>18729000</v>
      </c>
      <c r="L138" s="2429">
        <f>L139+L146+L150+L154</f>
        <v>8349000</v>
      </c>
      <c r="M138" s="2429">
        <f t="shared" si="6"/>
        <v>-10380000</v>
      </c>
      <c r="N138" s="2428"/>
      <c r="P138" s="807">
        <v>32376000</v>
      </c>
      <c r="Q138" s="807">
        <f>P138-K138</f>
        <v>13647000</v>
      </c>
      <c r="S138" s="1989"/>
      <c r="T138" s="534"/>
      <c r="U138" s="534"/>
      <c r="V138" s="534"/>
      <c r="W138" s="534"/>
      <c r="X138" s="534"/>
      <c r="Y138" s="534"/>
      <c r="Z138" s="534"/>
      <c r="AA138" s="534"/>
      <c r="AB138" s="534"/>
      <c r="AC138" s="534"/>
    </row>
    <row r="139" spans="1:29" s="420" customFormat="1">
      <c r="A139" s="2430">
        <v>1</v>
      </c>
      <c r="B139" s="2431">
        <v>4</v>
      </c>
      <c r="C139" s="2430" t="s">
        <v>593</v>
      </c>
      <c r="D139" s="2398">
        <v>5</v>
      </c>
      <c r="E139" s="2398"/>
      <c r="F139" s="2398"/>
      <c r="G139" s="2398"/>
      <c r="H139" s="2432" t="s">
        <v>865</v>
      </c>
      <c r="I139" s="2430"/>
      <c r="J139" s="2399"/>
      <c r="K139" s="2404">
        <f>K140</f>
        <v>6500000</v>
      </c>
      <c r="L139" s="2404">
        <f>L140</f>
        <v>0</v>
      </c>
      <c r="M139" s="2404">
        <f t="shared" si="6"/>
        <v>-6500000</v>
      </c>
      <c r="N139" s="2399"/>
      <c r="P139" s="797">
        <v>5650000</v>
      </c>
      <c r="Q139" s="797">
        <f>P139-K139</f>
        <v>-850000</v>
      </c>
    </row>
    <row r="140" spans="1:29">
      <c r="A140" s="2433">
        <v>1</v>
      </c>
      <c r="B140" s="2434">
        <v>4</v>
      </c>
      <c r="C140" s="2433" t="s">
        <v>593</v>
      </c>
      <c r="D140" s="2401">
        <v>5</v>
      </c>
      <c r="E140" s="2401">
        <v>2</v>
      </c>
      <c r="F140" s="2401"/>
      <c r="G140" s="2401"/>
      <c r="H140" s="2402" t="s">
        <v>8</v>
      </c>
      <c r="I140" s="2401"/>
      <c r="J140" s="2402"/>
      <c r="K140" s="2405">
        <f>K141</f>
        <v>6500000</v>
      </c>
      <c r="L140" s="2405">
        <f>L141</f>
        <v>0</v>
      </c>
      <c r="M140" s="2405">
        <f t="shared" si="6"/>
        <v>-6500000</v>
      </c>
      <c r="N140" s="2402"/>
      <c r="P140" s="567">
        <v>5650000</v>
      </c>
      <c r="Q140" s="567">
        <f>P140-K140</f>
        <v>-850000</v>
      </c>
    </row>
    <row r="141" spans="1:29" ht="31.5">
      <c r="A141" s="2433">
        <v>1</v>
      </c>
      <c r="B141" s="2434">
        <v>4</v>
      </c>
      <c r="C141" s="2433" t="s">
        <v>593</v>
      </c>
      <c r="D141" s="2401">
        <v>5</v>
      </c>
      <c r="E141" s="2401">
        <v>2</v>
      </c>
      <c r="F141" s="2401">
        <v>6</v>
      </c>
      <c r="G141" s="2401"/>
      <c r="H141" s="2402" t="s">
        <v>735</v>
      </c>
      <c r="I141" s="2401"/>
      <c r="J141" s="2402"/>
      <c r="K141" s="2405">
        <f>SUM(K142:K144)</f>
        <v>6500000</v>
      </c>
      <c r="L141" s="2405">
        <f>SUM(L142:L144)</f>
        <v>0</v>
      </c>
      <c r="M141" s="2405">
        <f t="shared" ref="M141:M209" si="11">L141-K141</f>
        <v>-6500000</v>
      </c>
      <c r="N141" s="2402"/>
      <c r="P141" s="567">
        <v>5650000</v>
      </c>
      <c r="Q141" s="567">
        <f>P141-K141</f>
        <v>-850000</v>
      </c>
    </row>
    <row r="142" spans="1:29">
      <c r="A142" s="2433">
        <v>1</v>
      </c>
      <c r="B142" s="2434">
        <v>4</v>
      </c>
      <c r="C142" s="2435" t="s">
        <v>593</v>
      </c>
      <c r="D142" s="2401">
        <v>5</v>
      </c>
      <c r="E142" s="2401">
        <v>2</v>
      </c>
      <c r="F142" s="2401">
        <v>6</v>
      </c>
      <c r="G142" s="2401">
        <v>1</v>
      </c>
      <c r="H142" s="2402" t="s">
        <v>256</v>
      </c>
      <c r="I142" s="2401">
        <f>'1.9 Musdes'!D16</f>
        <v>20</v>
      </c>
      <c r="J142" s="2436" t="s">
        <v>255</v>
      </c>
      <c r="K142" s="2405">
        <f>'1.9 Musdes'!G16</f>
        <v>500000</v>
      </c>
      <c r="L142" s="2405">
        <f>'1.9 Musdes'!L16</f>
        <v>0</v>
      </c>
      <c r="M142" s="2405">
        <f t="shared" si="11"/>
        <v>-500000</v>
      </c>
      <c r="N142" s="2402" t="s">
        <v>23</v>
      </c>
      <c r="O142" s="419" t="s">
        <v>25</v>
      </c>
      <c r="P142" s="567"/>
      <c r="Q142" s="567"/>
    </row>
    <row r="143" spans="1:29">
      <c r="A143" s="2433">
        <v>1</v>
      </c>
      <c r="B143" s="2434">
        <v>4</v>
      </c>
      <c r="C143" s="2435" t="s">
        <v>593</v>
      </c>
      <c r="D143" s="2401">
        <v>5</v>
      </c>
      <c r="E143" s="2401">
        <v>2</v>
      </c>
      <c r="F143" s="2401">
        <v>6</v>
      </c>
      <c r="G143" s="2401">
        <v>2</v>
      </c>
      <c r="H143" s="2402" t="s">
        <v>257</v>
      </c>
      <c r="I143" s="2401">
        <f>'1.9 Musdes'!D17</f>
        <v>300</v>
      </c>
      <c r="J143" s="2436" t="s">
        <v>148</v>
      </c>
      <c r="K143" s="2405">
        <f>'1.9 Musdes'!G17</f>
        <v>2400000</v>
      </c>
      <c r="L143" s="2405">
        <f>'1.9 Musdes'!L17</f>
        <v>0</v>
      </c>
      <c r="M143" s="2405">
        <f t="shared" si="11"/>
        <v>-2400000</v>
      </c>
      <c r="N143" s="2402" t="s">
        <v>23</v>
      </c>
      <c r="O143" s="419" t="s">
        <v>25</v>
      </c>
      <c r="P143" s="567"/>
      <c r="Q143" s="567"/>
    </row>
    <row r="144" spans="1:29">
      <c r="A144" s="2433">
        <v>1</v>
      </c>
      <c r="B144" s="2434">
        <v>4</v>
      </c>
      <c r="C144" s="2435" t="s">
        <v>593</v>
      </c>
      <c r="D144" s="2401">
        <v>5</v>
      </c>
      <c r="E144" s="2401">
        <v>2</v>
      </c>
      <c r="F144" s="2401">
        <v>6</v>
      </c>
      <c r="G144" s="2401">
        <v>3</v>
      </c>
      <c r="H144" s="2402" t="s">
        <v>249</v>
      </c>
      <c r="I144" s="2401">
        <f>'1.9 Musdes'!D18</f>
        <v>180</v>
      </c>
      <c r="J144" s="2436" t="s">
        <v>148</v>
      </c>
      <c r="K144" s="2405">
        <f>'1.9 Musdes'!G18</f>
        <v>3600000</v>
      </c>
      <c r="L144" s="2405">
        <f>'1.9 Musdes'!L18</f>
        <v>0</v>
      </c>
      <c r="M144" s="2405">
        <f t="shared" si="11"/>
        <v>-3600000</v>
      </c>
      <c r="N144" s="2402" t="s">
        <v>23</v>
      </c>
      <c r="O144" s="419" t="s">
        <v>25</v>
      </c>
      <c r="P144" s="567"/>
      <c r="Q144" s="567"/>
    </row>
    <row r="145" spans="1:18">
      <c r="A145" s="2433"/>
      <c r="B145" s="2434"/>
      <c r="C145" s="2433"/>
      <c r="D145" s="2401"/>
      <c r="E145" s="2401"/>
      <c r="F145" s="2401"/>
      <c r="G145" s="2401"/>
      <c r="H145" s="2402"/>
      <c r="I145" s="2401"/>
      <c r="J145" s="2402"/>
      <c r="K145" s="2405"/>
      <c r="L145" s="2405"/>
      <c r="M145" s="2405">
        <f t="shared" si="11"/>
        <v>0</v>
      </c>
      <c r="N145" s="2402"/>
      <c r="P145" s="567"/>
      <c r="Q145" s="567"/>
    </row>
    <row r="146" spans="1:18" s="420" customFormat="1">
      <c r="A146" s="2430">
        <v>1</v>
      </c>
      <c r="B146" s="2431">
        <v>4</v>
      </c>
      <c r="C146" s="2430" t="s">
        <v>595</v>
      </c>
      <c r="D146" s="2398">
        <v>5</v>
      </c>
      <c r="E146" s="2398"/>
      <c r="F146" s="2398"/>
      <c r="G146" s="2398"/>
      <c r="H146" s="2437" t="s">
        <v>866</v>
      </c>
      <c r="I146" s="2438"/>
      <c r="J146" s="2399"/>
      <c r="K146" s="2404">
        <f>K147</f>
        <v>3880000</v>
      </c>
      <c r="L146" s="2404">
        <f>L147</f>
        <v>0</v>
      </c>
      <c r="M146" s="2404">
        <f t="shared" si="11"/>
        <v>-3880000</v>
      </c>
      <c r="N146" s="2399"/>
      <c r="P146" s="797">
        <v>3880000</v>
      </c>
      <c r="Q146" s="797">
        <f t="shared" ref="Q146:Q154" si="12">P146-K146</f>
        <v>0</v>
      </c>
      <c r="R146" s="2514"/>
    </row>
    <row r="147" spans="1:18" s="420" customFormat="1">
      <c r="A147" s="2430">
        <v>1</v>
      </c>
      <c r="B147" s="2431">
        <v>4</v>
      </c>
      <c r="C147" s="2430" t="s">
        <v>595</v>
      </c>
      <c r="D147" s="2398">
        <v>5</v>
      </c>
      <c r="E147" s="2398">
        <v>2</v>
      </c>
      <c r="F147" s="2398"/>
      <c r="G147" s="2398"/>
      <c r="H147" s="2399" t="s">
        <v>8</v>
      </c>
      <c r="I147" s="2438"/>
      <c r="J147" s="2399"/>
      <c r="K147" s="2404">
        <f>K148</f>
        <v>3880000</v>
      </c>
      <c r="L147" s="2404">
        <f>L148</f>
        <v>0</v>
      </c>
      <c r="M147" s="2404">
        <f t="shared" si="11"/>
        <v>-3880000</v>
      </c>
      <c r="N147" s="2399"/>
      <c r="P147" s="555">
        <v>3880000</v>
      </c>
      <c r="Q147" s="555">
        <f t="shared" si="12"/>
        <v>0</v>
      </c>
      <c r="R147" s="2514"/>
    </row>
    <row r="148" spans="1:18">
      <c r="A148" s="2433">
        <v>1</v>
      </c>
      <c r="B148" s="2434">
        <v>4</v>
      </c>
      <c r="C148" s="2433" t="s">
        <v>595</v>
      </c>
      <c r="D148" s="2401">
        <v>5</v>
      </c>
      <c r="E148" s="2401">
        <v>2</v>
      </c>
      <c r="F148" s="2401">
        <v>2</v>
      </c>
      <c r="G148" s="2401"/>
      <c r="H148" s="2402" t="s">
        <v>736</v>
      </c>
      <c r="I148" s="2439"/>
      <c r="J148" s="2402"/>
      <c r="K148" s="2405">
        <f>SUM(K149:K149)</f>
        <v>3880000</v>
      </c>
      <c r="L148" s="2405">
        <f>SUM(L149:L149)</f>
        <v>0</v>
      </c>
      <c r="M148" s="2405">
        <f t="shared" si="11"/>
        <v>-3880000</v>
      </c>
      <c r="N148" s="2402"/>
      <c r="P148" s="567">
        <v>3880000</v>
      </c>
      <c r="Q148" s="567">
        <f t="shared" si="12"/>
        <v>0</v>
      </c>
      <c r="R148" s="2515"/>
    </row>
    <row r="149" spans="1:18">
      <c r="A149" s="2433">
        <v>1</v>
      </c>
      <c r="B149" s="2434">
        <v>4</v>
      </c>
      <c r="C149" s="2433" t="s">
        <v>595</v>
      </c>
      <c r="D149" s="2401">
        <v>5</v>
      </c>
      <c r="E149" s="2401">
        <v>2</v>
      </c>
      <c r="F149" s="2401">
        <v>2</v>
      </c>
      <c r="G149" s="2401">
        <v>1</v>
      </c>
      <c r="H149" s="2402" t="s">
        <v>737</v>
      </c>
      <c r="I149" s="2439">
        <v>1</v>
      </c>
      <c r="J149" s="2402" t="s">
        <v>164</v>
      </c>
      <c r="K149" s="2405">
        <f>'1.10 Hnr RKP'!H26</f>
        <v>3880000</v>
      </c>
      <c r="L149" s="2405">
        <f>'1.10 Hnr RKP'!L26</f>
        <v>0</v>
      </c>
      <c r="M149" s="2405">
        <f t="shared" si="11"/>
        <v>-3880000</v>
      </c>
      <c r="N149" s="2402" t="s">
        <v>23</v>
      </c>
      <c r="O149" s="419" t="s">
        <v>25</v>
      </c>
      <c r="P149" s="567">
        <v>3880000</v>
      </c>
      <c r="Q149" s="567">
        <f t="shared" si="12"/>
        <v>0</v>
      </c>
      <c r="R149" s="2515"/>
    </row>
    <row r="150" spans="1:18" s="420" customFormat="1">
      <c r="A150" s="2430">
        <v>1</v>
      </c>
      <c r="B150" s="2431">
        <v>4</v>
      </c>
      <c r="C150" s="2430" t="s">
        <v>597</v>
      </c>
      <c r="D150" s="2398">
        <v>5</v>
      </c>
      <c r="E150" s="2398"/>
      <c r="F150" s="2398"/>
      <c r="G150" s="2398"/>
      <c r="H150" s="2437" t="s">
        <v>539</v>
      </c>
      <c r="I150" s="2398"/>
      <c r="J150" s="2399"/>
      <c r="K150" s="2404">
        <f>K151</f>
        <v>2700000</v>
      </c>
      <c r="L150" s="2404">
        <f>L151</f>
        <v>2700000</v>
      </c>
      <c r="M150" s="2404">
        <f t="shared" si="11"/>
        <v>0</v>
      </c>
      <c r="N150" s="2399"/>
      <c r="P150" s="797">
        <v>2700000</v>
      </c>
      <c r="Q150" s="797">
        <f t="shared" si="12"/>
        <v>0</v>
      </c>
      <c r="R150" s="2514">
        <f>12*50000</f>
        <v>600000</v>
      </c>
    </row>
    <row r="151" spans="1:18" s="420" customFormat="1">
      <c r="A151" s="2430">
        <v>1</v>
      </c>
      <c r="B151" s="2431">
        <v>4</v>
      </c>
      <c r="C151" s="2430" t="s">
        <v>597</v>
      </c>
      <c r="D151" s="2398">
        <v>5</v>
      </c>
      <c r="E151" s="2398">
        <v>2</v>
      </c>
      <c r="F151" s="2398"/>
      <c r="G151" s="2398"/>
      <c r="H151" s="2399" t="s">
        <v>8</v>
      </c>
      <c r="I151" s="2398"/>
      <c r="J151" s="2399"/>
      <c r="K151" s="2404">
        <f>K152</f>
        <v>2700000</v>
      </c>
      <c r="L151" s="2404">
        <f>L152</f>
        <v>2700000</v>
      </c>
      <c r="M151" s="2404">
        <f t="shared" si="11"/>
        <v>0</v>
      </c>
      <c r="N151" s="2399"/>
      <c r="P151" s="555">
        <v>2700000</v>
      </c>
      <c r="Q151" s="555">
        <f t="shared" si="12"/>
        <v>0</v>
      </c>
      <c r="R151" s="2514">
        <f>12*25000</f>
        <v>300000</v>
      </c>
    </row>
    <row r="152" spans="1:18">
      <c r="A152" s="2433">
        <v>1</v>
      </c>
      <c r="B152" s="2434">
        <v>4</v>
      </c>
      <c r="C152" s="2433" t="s">
        <v>597</v>
      </c>
      <c r="D152" s="2401">
        <v>5</v>
      </c>
      <c r="E152" s="2401">
        <v>2</v>
      </c>
      <c r="F152" s="2401">
        <v>2</v>
      </c>
      <c r="G152" s="2401"/>
      <c r="H152" s="2402" t="s">
        <v>736</v>
      </c>
      <c r="I152" s="2401"/>
      <c r="J152" s="2402"/>
      <c r="K152" s="2405">
        <f>SUM(K153:K153)</f>
        <v>2700000</v>
      </c>
      <c r="L152" s="2405">
        <f>SUM(L153:L153)</f>
        <v>2700000</v>
      </c>
      <c r="M152" s="2405">
        <f t="shared" si="11"/>
        <v>0</v>
      </c>
      <c r="N152" s="2402"/>
      <c r="P152" s="567">
        <v>2700000</v>
      </c>
      <c r="Q152" s="567">
        <f t="shared" si="12"/>
        <v>0</v>
      </c>
      <c r="R152" s="2515">
        <f>9*12500*12</f>
        <v>1350000</v>
      </c>
    </row>
    <row r="153" spans="1:18">
      <c r="A153" s="2433">
        <v>1</v>
      </c>
      <c r="B153" s="2434">
        <v>4</v>
      </c>
      <c r="C153" s="2433" t="s">
        <v>597</v>
      </c>
      <c r="D153" s="2401">
        <v>5</v>
      </c>
      <c r="E153" s="2401">
        <v>2</v>
      </c>
      <c r="F153" s="2401">
        <v>2</v>
      </c>
      <c r="G153" s="2401">
        <v>5</v>
      </c>
      <c r="H153" s="2402" t="s">
        <v>738</v>
      </c>
      <c r="I153" s="2401">
        <v>1</v>
      </c>
      <c r="J153" s="2402" t="s">
        <v>164</v>
      </c>
      <c r="K153" s="2405">
        <f>'1.11 Aset'!D11</f>
        <v>2700000</v>
      </c>
      <c r="L153" s="2405">
        <f>K153</f>
        <v>2700000</v>
      </c>
      <c r="M153" s="2405">
        <f t="shared" si="11"/>
        <v>0</v>
      </c>
      <c r="N153" s="2402" t="s">
        <v>240</v>
      </c>
      <c r="O153" s="419" t="s">
        <v>25</v>
      </c>
      <c r="P153" s="567">
        <v>2700000</v>
      </c>
      <c r="Q153" s="567">
        <f t="shared" si="12"/>
        <v>0</v>
      </c>
      <c r="R153" s="2515">
        <f>SUM(R150:R152)</f>
        <v>2250000</v>
      </c>
    </row>
    <row r="154" spans="1:18" s="420" customFormat="1" ht="31.5">
      <c r="A154" s="2430">
        <v>1</v>
      </c>
      <c r="B154" s="2431">
        <v>4</v>
      </c>
      <c r="C154" s="2430">
        <v>10</v>
      </c>
      <c r="D154" s="2398"/>
      <c r="E154" s="2398"/>
      <c r="F154" s="2398"/>
      <c r="G154" s="2398"/>
      <c r="H154" s="2399" t="s">
        <v>1346</v>
      </c>
      <c r="I154" s="2398"/>
      <c r="J154" s="2399"/>
      <c r="K154" s="2404">
        <f>K155</f>
        <v>5649000</v>
      </c>
      <c r="L154" s="2404">
        <f>L155</f>
        <v>5649000</v>
      </c>
      <c r="M154" s="2404">
        <f t="shared" si="11"/>
        <v>0</v>
      </c>
      <c r="N154" s="2399"/>
      <c r="P154" s="555">
        <v>20146000</v>
      </c>
      <c r="Q154" s="555">
        <f t="shared" si="12"/>
        <v>14497000</v>
      </c>
      <c r="R154" s="2514"/>
    </row>
    <row r="155" spans="1:18">
      <c r="A155" s="2433">
        <v>1</v>
      </c>
      <c r="B155" s="2434">
        <v>4</v>
      </c>
      <c r="C155" s="2433">
        <v>10</v>
      </c>
      <c r="D155" s="2401">
        <v>5</v>
      </c>
      <c r="E155" s="2401">
        <v>2</v>
      </c>
      <c r="F155" s="2401"/>
      <c r="G155" s="2401"/>
      <c r="H155" s="2402" t="s">
        <v>8</v>
      </c>
      <c r="I155" s="2401"/>
      <c r="J155" s="2402"/>
      <c r="K155" s="2405">
        <f>K156+K169+K172+K176</f>
        <v>5649000</v>
      </c>
      <c r="L155" s="2405">
        <f>L156+L169+L172+L176</f>
        <v>5649000</v>
      </c>
      <c r="M155" s="2405">
        <f t="shared" si="11"/>
        <v>0</v>
      </c>
      <c r="N155" s="2402"/>
      <c r="P155" s="567"/>
      <c r="Q155" s="567"/>
      <c r="R155" s="2515"/>
    </row>
    <row r="156" spans="1:18">
      <c r="A156" s="2433">
        <v>1</v>
      </c>
      <c r="B156" s="2434">
        <v>4</v>
      </c>
      <c r="C156" s="2433">
        <v>10</v>
      </c>
      <c r="D156" s="2401">
        <v>5</v>
      </c>
      <c r="E156" s="2401">
        <v>2</v>
      </c>
      <c r="F156" s="2401">
        <v>1</v>
      </c>
      <c r="G156" s="2401"/>
      <c r="H156" s="2402" t="s">
        <v>1414</v>
      </c>
      <c r="I156" s="2401"/>
      <c r="J156" s="2402"/>
      <c r="K156" s="2405">
        <f>SUM(K157:K168)</f>
        <v>374000</v>
      </c>
      <c r="L156" s="2405">
        <f>SUM(L157:L168)</f>
        <v>374000</v>
      </c>
      <c r="M156" s="2405">
        <f t="shared" si="11"/>
        <v>0</v>
      </c>
      <c r="N156" s="2402"/>
      <c r="P156" s="567"/>
      <c r="Q156" s="567"/>
      <c r="R156" s="2515"/>
    </row>
    <row r="157" spans="1:18">
      <c r="A157" s="2433">
        <v>1</v>
      </c>
      <c r="B157" s="2434">
        <v>4</v>
      </c>
      <c r="C157" s="2433">
        <v>10</v>
      </c>
      <c r="D157" s="2401">
        <v>5</v>
      </c>
      <c r="E157" s="2401">
        <v>2</v>
      </c>
      <c r="F157" s="2401">
        <v>1</v>
      </c>
      <c r="G157" s="2401">
        <v>1</v>
      </c>
      <c r="H157" s="2402" t="s">
        <v>338</v>
      </c>
      <c r="I157" s="2401">
        <f>'1.12 Pemilihan BPD'!D22</f>
        <v>2</v>
      </c>
      <c r="J157" s="2402" t="str">
        <f>'1.12 Pemilihan BPD'!E22</f>
        <v>Rim</v>
      </c>
      <c r="K157" s="2405">
        <f>'1.12 Pemilihan BPD'!G22</f>
        <v>120000</v>
      </c>
      <c r="L157" s="2405">
        <f>'1.12 Pemilihan BPD'!L22</f>
        <v>120000</v>
      </c>
      <c r="M157" s="2405">
        <f t="shared" si="11"/>
        <v>0</v>
      </c>
      <c r="N157" s="2402" t="s">
        <v>23</v>
      </c>
      <c r="O157" s="419" t="s">
        <v>25</v>
      </c>
      <c r="P157" s="567"/>
      <c r="Q157" s="567"/>
      <c r="R157" s="2515"/>
    </row>
    <row r="158" spans="1:18">
      <c r="A158" s="2433">
        <v>1</v>
      </c>
      <c r="B158" s="2434">
        <v>4</v>
      </c>
      <c r="C158" s="2433">
        <v>10</v>
      </c>
      <c r="D158" s="2401">
        <v>5</v>
      </c>
      <c r="E158" s="2401">
        <v>2</v>
      </c>
      <c r="F158" s="2401">
        <v>1</v>
      </c>
      <c r="G158" s="2401">
        <v>2</v>
      </c>
      <c r="H158" s="2402" t="s">
        <v>147</v>
      </c>
      <c r="I158" s="2401">
        <f>'1.12 Pemilihan BPD'!D23</f>
        <v>1</v>
      </c>
      <c r="J158" s="2402" t="str">
        <f>'1.12 Pemilihan BPD'!E23</f>
        <v>Kotak</v>
      </c>
      <c r="K158" s="2405">
        <f>'1.12 Pemilihan BPD'!G23</f>
        <v>25000</v>
      </c>
      <c r="L158" s="2405">
        <f>'1.12 Pemilihan BPD'!L23</f>
        <v>25000</v>
      </c>
      <c r="M158" s="2405">
        <f t="shared" si="11"/>
        <v>0</v>
      </c>
      <c r="N158" s="2402" t="s">
        <v>23</v>
      </c>
      <c r="O158" s="419" t="s">
        <v>25</v>
      </c>
      <c r="P158" s="567"/>
      <c r="Q158" s="567"/>
      <c r="R158" s="2515"/>
    </row>
    <row r="159" spans="1:18">
      <c r="A159" s="2433">
        <v>1</v>
      </c>
      <c r="B159" s="2434">
        <v>4</v>
      </c>
      <c r="C159" s="2433">
        <v>10</v>
      </c>
      <c r="D159" s="2401">
        <v>5</v>
      </c>
      <c r="E159" s="2401">
        <v>2</v>
      </c>
      <c r="F159" s="2401">
        <v>1</v>
      </c>
      <c r="G159" s="2401">
        <v>3</v>
      </c>
      <c r="H159" s="2402" t="s">
        <v>159</v>
      </c>
      <c r="I159" s="2401">
        <f>'1.12 Pemilihan BPD'!D24</f>
        <v>4</v>
      </c>
      <c r="J159" s="2402" t="str">
        <f>'1.12 Pemilihan BPD'!E24</f>
        <v>Buah</v>
      </c>
      <c r="K159" s="2405">
        <f>'1.12 Pemilihan BPD'!G24</f>
        <v>32000</v>
      </c>
      <c r="L159" s="2405">
        <f>'1.12 Pemilihan BPD'!L24</f>
        <v>32000</v>
      </c>
      <c r="M159" s="2405">
        <f t="shared" si="11"/>
        <v>0</v>
      </c>
      <c r="N159" s="2402" t="s">
        <v>23</v>
      </c>
      <c r="O159" s="419" t="s">
        <v>25</v>
      </c>
      <c r="P159" s="567"/>
      <c r="Q159" s="567"/>
      <c r="R159" s="2515"/>
    </row>
    <row r="160" spans="1:18">
      <c r="A160" s="2433">
        <v>1</v>
      </c>
      <c r="B160" s="2434">
        <v>4</v>
      </c>
      <c r="C160" s="2433">
        <v>10</v>
      </c>
      <c r="D160" s="2401">
        <v>5</v>
      </c>
      <c r="E160" s="2401">
        <v>2</v>
      </c>
      <c r="F160" s="2401">
        <v>1</v>
      </c>
      <c r="G160" s="2401">
        <v>4</v>
      </c>
      <c r="H160" s="2402" t="s">
        <v>1403</v>
      </c>
      <c r="I160" s="2401">
        <f>'1.12 Pemilihan BPD'!D25</f>
        <v>10</v>
      </c>
      <c r="J160" s="2402" t="str">
        <f>'1.12 Pemilihan BPD'!E25</f>
        <v>Buah</v>
      </c>
      <c r="K160" s="2405">
        <f>'1.12 Pemilihan BPD'!G25</f>
        <v>20000</v>
      </c>
      <c r="L160" s="2405">
        <f>'1.12 Pemilihan BPD'!L25</f>
        <v>20000</v>
      </c>
      <c r="M160" s="2405">
        <f t="shared" si="11"/>
        <v>0</v>
      </c>
      <c r="N160" s="2402" t="s">
        <v>23</v>
      </c>
      <c r="O160" s="419" t="s">
        <v>25</v>
      </c>
      <c r="P160" s="567"/>
      <c r="Q160" s="567"/>
    </row>
    <row r="161" spans="1:17">
      <c r="A161" s="2433">
        <v>1</v>
      </c>
      <c r="B161" s="2434">
        <v>4</v>
      </c>
      <c r="C161" s="2433">
        <v>10</v>
      </c>
      <c r="D161" s="2401">
        <v>5</v>
      </c>
      <c r="E161" s="2401">
        <v>2</v>
      </c>
      <c r="F161" s="2401">
        <v>1</v>
      </c>
      <c r="G161" s="2401">
        <v>5</v>
      </c>
      <c r="H161" s="2402" t="s">
        <v>1409</v>
      </c>
      <c r="I161" s="2401">
        <f>'1.12 Pemilihan BPD'!D26</f>
        <v>10</v>
      </c>
      <c r="J161" s="2402" t="str">
        <f>'1.12 Pemilihan BPD'!E26</f>
        <v>Buah</v>
      </c>
      <c r="K161" s="2405">
        <f>'1.12 Pemilihan BPD'!G26</f>
        <v>40000</v>
      </c>
      <c r="L161" s="2405">
        <f>'1.12 Pemilihan BPD'!L26</f>
        <v>40000</v>
      </c>
      <c r="M161" s="2405">
        <f t="shared" si="11"/>
        <v>0</v>
      </c>
      <c r="N161" s="2402" t="s">
        <v>23</v>
      </c>
      <c r="O161" s="419" t="s">
        <v>25</v>
      </c>
      <c r="P161" s="567"/>
      <c r="Q161" s="567"/>
    </row>
    <row r="162" spans="1:17">
      <c r="A162" s="2433">
        <v>1</v>
      </c>
      <c r="B162" s="2434">
        <v>4</v>
      </c>
      <c r="C162" s="2433">
        <v>10</v>
      </c>
      <c r="D162" s="2401">
        <v>5</v>
      </c>
      <c r="E162" s="2401">
        <v>2</v>
      </c>
      <c r="F162" s="2401">
        <v>1</v>
      </c>
      <c r="G162" s="2401">
        <v>6</v>
      </c>
      <c r="H162" s="2402" t="s">
        <v>1404</v>
      </c>
      <c r="I162" s="2401">
        <f>'1.12 Pemilihan BPD'!D27</f>
        <v>1</v>
      </c>
      <c r="J162" s="2402" t="str">
        <f>'1.12 Pemilihan BPD'!E27</f>
        <v>Botol</v>
      </c>
      <c r="K162" s="2405">
        <f>'1.12 Pemilihan BPD'!G27</f>
        <v>60000</v>
      </c>
      <c r="L162" s="2405">
        <f>'1.12 Pemilihan BPD'!L27</f>
        <v>60000</v>
      </c>
      <c r="M162" s="2405">
        <f t="shared" si="11"/>
        <v>0</v>
      </c>
      <c r="N162" s="2402" t="s">
        <v>23</v>
      </c>
      <c r="O162" s="419" t="s">
        <v>25</v>
      </c>
      <c r="P162" s="567"/>
      <c r="Q162" s="567"/>
    </row>
    <row r="163" spans="1:17">
      <c r="A163" s="2433">
        <v>1</v>
      </c>
      <c r="B163" s="2434">
        <v>4</v>
      </c>
      <c r="C163" s="2433">
        <v>10</v>
      </c>
      <c r="D163" s="2401">
        <v>5</v>
      </c>
      <c r="E163" s="2401">
        <v>2</v>
      </c>
      <c r="F163" s="2401">
        <v>1</v>
      </c>
      <c r="G163" s="2401">
        <v>7</v>
      </c>
      <c r="H163" s="2402" t="s">
        <v>1313</v>
      </c>
      <c r="I163" s="2401">
        <f>'1.12 Pemilihan BPD'!D28</f>
        <v>1</v>
      </c>
      <c r="J163" s="2402" t="str">
        <f>'1.12 Pemilihan BPD'!E28</f>
        <v>Buah</v>
      </c>
      <c r="K163" s="2405">
        <f>'1.12 Pemilihan BPD'!G28</f>
        <v>10000</v>
      </c>
      <c r="L163" s="2405">
        <f>'1.12 Pemilihan BPD'!L28</f>
        <v>10000</v>
      </c>
      <c r="M163" s="2405">
        <f t="shared" si="11"/>
        <v>0</v>
      </c>
      <c r="N163" s="2402" t="s">
        <v>23</v>
      </c>
      <c r="O163" s="419" t="s">
        <v>25</v>
      </c>
      <c r="P163" s="567"/>
      <c r="Q163" s="567"/>
    </row>
    <row r="164" spans="1:17">
      <c r="A164" s="2433">
        <v>1</v>
      </c>
      <c r="B164" s="2434">
        <v>4</v>
      </c>
      <c r="C164" s="2433">
        <v>10</v>
      </c>
      <c r="D164" s="2401">
        <v>5</v>
      </c>
      <c r="E164" s="2401">
        <v>2</v>
      </c>
      <c r="F164" s="2401">
        <v>1</v>
      </c>
      <c r="G164" s="2401">
        <v>8</v>
      </c>
      <c r="H164" s="2402" t="s">
        <v>1405</v>
      </c>
      <c r="I164" s="2401">
        <f>'1.12 Pemilihan BPD'!D29</f>
        <v>2</v>
      </c>
      <c r="J164" s="2402" t="str">
        <f>'1.12 Pemilihan BPD'!E29</f>
        <v>Buah</v>
      </c>
      <c r="K164" s="2405">
        <f>'1.12 Pemilihan BPD'!G29</f>
        <v>30000</v>
      </c>
      <c r="L164" s="2405">
        <f>'1.12 Pemilihan BPD'!L29</f>
        <v>30000</v>
      </c>
      <c r="M164" s="2405">
        <f t="shared" si="11"/>
        <v>0</v>
      </c>
      <c r="N164" s="2402" t="s">
        <v>23</v>
      </c>
      <c r="O164" s="419" t="s">
        <v>25</v>
      </c>
      <c r="P164" s="567"/>
      <c r="Q164" s="567"/>
    </row>
    <row r="165" spans="1:17">
      <c r="A165" s="2433">
        <v>1</v>
      </c>
      <c r="B165" s="2434">
        <v>4</v>
      </c>
      <c r="C165" s="2433">
        <v>10</v>
      </c>
      <c r="D165" s="2401">
        <v>5</v>
      </c>
      <c r="E165" s="2401">
        <v>2</v>
      </c>
      <c r="F165" s="2401">
        <v>1</v>
      </c>
      <c r="G165" s="2401">
        <v>9</v>
      </c>
      <c r="H165" s="2402" t="s">
        <v>1406</v>
      </c>
      <c r="I165" s="2401">
        <f>'1.12 Pemilihan BPD'!D30</f>
        <v>1</v>
      </c>
      <c r="J165" s="2402" t="str">
        <f>'1.12 Pemilihan BPD'!E30</f>
        <v>Kotak</v>
      </c>
      <c r="K165" s="2405">
        <f>'1.12 Pemilihan BPD'!G30</f>
        <v>12000</v>
      </c>
      <c r="L165" s="2405">
        <f>'1.12 Pemilihan BPD'!L30</f>
        <v>12000</v>
      </c>
      <c r="M165" s="2405">
        <f t="shared" si="11"/>
        <v>0</v>
      </c>
      <c r="N165" s="2402" t="s">
        <v>23</v>
      </c>
      <c r="O165" s="419" t="s">
        <v>25</v>
      </c>
      <c r="P165" s="567"/>
      <c r="Q165" s="567"/>
    </row>
    <row r="166" spans="1:17">
      <c r="A166" s="2433">
        <v>1</v>
      </c>
      <c r="B166" s="2434">
        <v>4</v>
      </c>
      <c r="C166" s="2433">
        <v>10</v>
      </c>
      <c r="D166" s="2401">
        <v>5</v>
      </c>
      <c r="E166" s="2401">
        <v>2</v>
      </c>
      <c r="F166" s="2401">
        <v>1</v>
      </c>
      <c r="G166" s="2401">
        <v>10</v>
      </c>
      <c r="H166" s="2402" t="s">
        <v>922</v>
      </c>
      <c r="I166" s="2401">
        <f>'1.12 Pemilihan BPD'!D31</f>
        <v>1</v>
      </c>
      <c r="J166" s="2402" t="str">
        <f>'1.12 Pemilihan BPD'!E31</f>
        <v>Buah</v>
      </c>
      <c r="K166" s="2405">
        <f>'1.12 Pemilihan BPD'!G31</f>
        <v>10000</v>
      </c>
      <c r="L166" s="2405">
        <f>'1.12 Pemilihan BPD'!L31</f>
        <v>10000</v>
      </c>
      <c r="M166" s="2405">
        <f t="shared" si="11"/>
        <v>0</v>
      </c>
      <c r="N166" s="2402" t="s">
        <v>23</v>
      </c>
      <c r="O166" s="419" t="s">
        <v>25</v>
      </c>
      <c r="P166" s="567"/>
      <c r="Q166" s="567"/>
    </row>
    <row r="167" spans="1:17">
      <c r="A167" s="2433">
        <v>1</v>
      </c>
      <c r="B167" s="2434">
        <v>4</v>
      </c>
      <c r="C167" s="2433">
        <v>10</v>
      </c>
      <c r="D167" s="2401">
        <v>5</v>
      </c>
      <c r="E167" s="2401">
        <v>2</v>
      </c>
      <c r="F167" s="2401">
        <v>1</v>
      </c>
      <c r="G167" s="2401">
        <v>11</v>
      </c>
      <c r="H167" s="2402" t="s">
        <v>1407</v>
      </c>
      <c r="I167" s="2401">
        <f>'1.12 Pemilihan BPD'!D32</f>
        <v>2</v>
      </c>
      <c r="J167" s="2402" t="str">
        <f>'1.12 Pemilihan BPD'!E32</f>
        <v>Kotak</v>
      </c>
      <c r="K167" s="2405">
        <f>'1.12 Pemilihan BPD'!G32</f>
        <v>5000</v>
      </c>
      <c r="L167" s="2405">
        <f>'1.12 Pemilihan BPD'!L32</f>
        <v>5000</v>
      </c>
      <c r="M167" s="2405">
        <f t="shared" si="11"/>
        <v>0</v>
      </c>
      <c r="N167" s="2402" t="s">
        <v>23</v>
      </c>
      <c r="O167" s="419" t="s">
        <v>25</v>
      </c>
      <c r="P167" s="567"/>
      <c r="Q167" s="567"/>
    </row>
    <row r="168" spans="1:17">
      <c r="A168" s="2433">
        <v>1</v>
      </c>
      <c r="B168" s="2434">
        <v>4</v>
      </c>
      <c r="C168" s="2433">
        <v>10</v>
      </c>
      <c r="D168" s="2401">
        <v>5</v>
      </c>
      <c r="E168" s="2401">
        <v>2</v>
      </c>
      <c r="F168" s="2401">
        <v>1</v>
      </c>
      <c r="G168" s="2401">
        <v>12</v>
      </c>
      <c r="H168" s="2402" t="s">
        <v>1408</v>
      </c>
      <c r="I168" s="2401">
        <f>'1.12 Pemilihan BPD'!D33</f>
        <v>2</v>
      </c>
      <c r="J168" s="2402" t="str">
        <f>'1.12 Pemilihan BPD'!E33</f>
        <v>Lembar</v>
      </c>
      <c r="K168" s="2405">
        <f>'1.12 Pemilihan BPD'!G33</f>
        <v>10000</v>
      </c>
      <c r="L168" s="2405">
        <f>'1.12 Pemilihan BPD'!L33</f>
        <v>10000</v>
      </c>
      <c r="M168" s="2405">
        <f t="shared" si="11"/>
        <v>0</v>
      </c>
      <c r="N168" s="2402" t="s">
        <v>23</v>
      </c>
      <c r="O168" s="419" t="s">
        <v>25</v>
      </c>
      <c r="P168" s="567"/>
      <c r="Q168" s="567"/>
    </row>
    <row r="169" spans="1:17">
      <c r="A169" s="2433">
        <v>1</v>
      </c>
      <c r="B169" s="2434">
        <v>4</v>
      </c>
      <c r="C169" s="2433">
        <v>10</v>
      </c>
      <c r="D169" s="2401">
        <v>5</v>
      </c>
      <c r="E169" s="2401">
        <v>2</v>
      </c>
      <c r="F169" s="2401">
        <v>5</v>
      </c>
      <c r="G169" s="2401"/>
      <c r="H169" s="2402" t="s">
        <v>1415</v>
      </c>
      <c r="I169" s="2401"/>
      <c r="J169" s="2402"/>
      <c r="K169" s="2405">
        <f>SUM(K170:K171)</f>
        <v>525000</v>
      </c>
      <c r="L169" s="2405">
        <f>SUM(L170:L171)</f>
        <v>525000</v>
      </c>
      <c r="M169" s="2405">
        <f t="shared" si="11"/>
        <v>0</v>
      </c>
      <c r="N169" s="2402"/>
      <c r="P169" s="567"/>
      <c r="Q169" s="567"/>
    </row>
    <row r="170" spans="1:17">
      <c r="A170" s="2433">
        <v>1</v>
      </c>
      <c r="B170" s="2434">
        <v>4</v>
      </c>
      <c r="C170" s="2433">
        <v>10</v>
      </c>
      <c r="D170" s="2401">
        <v>5</v>
      </c>
      <c r="E170" s="2401">
        <v>2</v>
      </c>
      <c r="F170" s="2401">
        <v>5</v>
      </c>
      <c r="G170" s="2401">
        <v>1</v>
      </c>
      <c r="H170" s="2402" t="s">
        <v>1412</v>
      </c>
      <c r="I170" s="2401">
        <f>'1.12 Pemilihan BPD'!D36</f>
        <v>1</v>
      </c>
      <c r="J170" s="2402" t="s">
        <v>103</v>
      </c>
      <c r="K170" s="2405">
        <f>'1.12 Pemilihan BPD'!G36</f>
        <v>400000</v>
      </c>
      <c r="L170" s="2405">
        <f>'1.12 Pemilihan BPD'!L36</f>
        <v>400000</v>
      </c>
      <c r="M170" s="2405">
        <f t="shared" si="11"/>
        <v>0</v>
      </c>
      <c r="N170" s="2402" t="s">
        <v>23</v>
      </c>
      <c r="O170" s="419" t="s">
        <v>25</v>
      </c>
      <c r="P170" s="567"/>
      <c r="Q170" s="567"/>
    </row>
    <row r="171" spans="1:17">
      <c r="A171" s="2433">
        <v>1</v>
      </c>
      <c r="B171" s="2434">
        <v>4</v>
      </c>
      <c r="C171" s="2433">
        <v>10</v>
      </c>
      <c r="D171" s="2401">
        <v>5</v>
      </c>
      <c r="E171" s="2401">
        <v>2</v>
      </c>
      <c r="F171" s="2401">
        <v>5</v>
      </c>
      <c r="G171" s="2401">
        <v>2</v>
      </c>
      <c r="H171" s="2402" t="s">
        <v>272</v>
      </c>
      <c r="I171" s="2401">
        <f>'1.12 Pemilihan BPD'!D37</f>
        <v>1</v>
      </c>
      <c r="J171" s="2402" t="s">
        <v>103</v>
      </c>
      <c r="K171" s="2405">
        <f>'1.12 Pemilihan BPD'!G37</f>
        <v>125000</v>
      </c>
      <c r="L171" s="2405">
        <f>'1.12 Pemilihan BPD'!L37</f>
        <v>125000</v>
      </c>
      <c r="M171" s="2405">
        <f t="shared" si="11"/>
        <v>0</v>
      </c>
      <c r="N171" s="2402" t="s">
        <v>23</v>
      </c>
      <c r="O171" s="419" t="s">
        <v>25</v>
      </c>
      <c r="P171" s="567"/>
      <c r="Q171" s="567"/>
    </row>
    <row r="172" spans="1:17" ht="31.5">
      <c r="A172" s="2433">
        <v>1</v>
      </c>
      <c r="B172" s="2434">
        <v>4</v>
      </c>
      <c r="C172" s="2433">
        <v>10</v>
      </c>
      <c r="D172" s="2401">
        <v>5</v>
      </c>
      <c r="E172" s="2401">
        <v>2</v>
      </c>
      <c r="F172" s="2401">
        <v>6</v>
      </c>
      <c r="G172" s="2401"/>
      <c r="H172" s="2402" t="s">
        <v>735</v>
      </c>
      <c r="I172" s="2401"/>
      <c r="J172" s="2402"/>
      <c r="K172" s="2405">
        <f>SUM(K173:K175)</f>
        <v>4225000</v>
      </c>
      <c r="L172" s="2405">
        <f>SUM(L173:L175)</f>
        <v>4225000</v>
      </c>
      <c r="M172" s="2405">
        <f t="shared" si="11"/>
        <v>0</v>
      </c>
      <c r="N172" s="2402"/>
      <c r="O172" s="556"/>
      <c r="P172" s="567"/>
      <c r="Q172" s="567"/>
    </row>
    <row r="173" spans="1:17">
      <c r="A173" s="2433">
        <v>1</v>
      </c>
      <c r="B173" s="2434">
        <v>4</v>
      </c>
      <c r="C173" s="2433">
        <v>10</v>
      </c>
      <c r="D173" s="2401">
        <v>5</v>
      </c>
      <c r="E173" s="2401">
        <v>2</v>
      </c>
      <c r="F173" s="2401">
        <v>6</v>
      </c>
      <c r="G173" s="2401">
        <v>1</v>
      </c>
      <c r="H173" s="2402" t="s">
        <v>249</v>
      </c>
      <c r="I173" s="2401">
        <f>'1.12 Pemilihan BPD'!D17</f>
        <v>150</v>
      </c>
      <c r="J173" s="2402" t="str">
        <f>'1.12 Pemilihan BPD'!E17</f>
        <v>Kotak</v>
      </c>
      <c r="K173" s="2405">
        <f>'1.12 Pemilihan BPD'!G17</f>
        <v>3000000</v>
      </c>
      <c r="L173" s="2405">
        <f>'1.12 Pemilihan BPD'!L17</f>
        <v>3000000</v>
      </c>
      <c r="M173" s="2405">
        <f t="shared" si="11"/>
        <v>0</v>
      </c>
      <c r="N173" s="2402" t="s">
        <v>23</v>
      </c>
      <c r="O173" s="556" t="s">
        <v>25</v>
      </c>
      <c r="P173" s="567"/>
      <c r="Q173" s="567"/>
    </row>
    <row r="174" spans="1:17">
      <c r="A174" s="2433">
        <v>1</v>
      </c>
      <c r="B174" s="2434">
        <v>4</v>
      </c>
      <c r="C174" s="2433">
        <v>10</v>
      </c>
      <c r="D174" s="2401">
        <v>5</v>
      </c>
      <c r="E174" s="2401">
        <v>2</v>
      </c>
      <c r="F174" s="2401">
        <v>6</v>
      </c>
      <c r="G174" s="2401">
        <v>2</v>
      </c>
      <c r="H174" s="2402" t="s">
        <v>257</v>
      </c>
      <c r="I174" s="2401">
        <f>'1.12 Pemilihan BPD'!D18</f>
        <v>150</v>
      </c>
      <c r="J174" s="2402" t="str">
        <f>'1.12 Pemilihan BPD'!E18</f>
        <v>Kotak</v>
      </c>
      <c r="K174" s="2405">
        <f>'1.12 Pemilihan BPD'!G18</f>
        <v>1050000</v>
      </c>
      <c r="L174" s="2405">
        <f>'1.12 Pemilihan BPD'!L18</f>
        <v>1050000</v>
      </c>
      <c r="M174" s="2405">
        <f t="shared" si="11"/>
        <v>0</v>
      </c>
      <c r="N174" s="2402" t="s">
        <v>23</v>
      </c>
      <c r="O174" s="556" t="s">
        <v>25</v>
      </c>
      <c r="P174" s="567"/>
      <c r="Q174" s="567"/>
    </row>
    <row r="175" spans="1:17">
      <c r="A175" s="2433">
        <v>1</v>
      </c>
      <c r="B175" s="2434">
        <v>4</v>
      </c>
      <c r="C175" s="2433">
        <v>10</v>
      </c>
      <c r="D175" s="2401">
        <v>5</v>
      </c>
      <c r="E175" s="2401">
        <v>2</v>
      </c>
      <c r="F175" s="2401">
        <v>6</v>
      </c>
      <c r="G175" s="2401">
        <v>3</v>
      </c>
      <c r="H175" s="2402" t="s">
        <v>1401</v>
      </c>
      <c r="I175" s="2401">
        <f>'1.12 Pemilihan BPD'!D19</f>
        <v>7</v>
      </c>
      <c r="J175" s="2402" t="str">
        <f>'1.12 Pemilihan BPD'!E19</f>
        <v>Duz</v>
      </c>
      <c r="K175" s="2405">
        <f>'1.12 Pemilihan BPD'!G19</f>
        <v>175000</v>
      </c>
      <c r="L175" s="2405">
        <f>'1.12 Pemilihan BPD'!L19</f>
        <v>175000</v>
      </c>
      <c r="M175" s="2405">
        <f t="shared" si="11"/>
        <v>0</v>
      </c>
      <c r="N175" s="2402" t="s">
        <v>23</v>
      </c>
      <c r="O175" s="556" t="s">
        <v>25</v>
      </c>
      <c r="P175" s="567"/>
      <c r="Q175" s="567"/>
    </row>
    <row r="176" spans="1:17">
      <c r="A176" s="2440"/>
      <c r="B176" s="2441"/>
      <c r="C176" s="2440"/>
      <c r="D176" s="2442"/>
      <c r="E176" s="2442"/>
      <c r="F176" s="2442"/>
      <c r="G176" s="2442"/>
      <c r="H176" s="2402" t="s">
        <v>1416</v>
      </c>
      <c r="I176" s="2401"/>
      <c r="J176" s="2402"/>
      <c r="K176" s="2405">
        <f>K177</f>
        <v>525000</v>
      </c>
      <c r="L176" s="2405">
        <f>L177</f>
        <v>525000</v>
      </c>
      <c r="M176" s="2405">
        <f t="shared" si="11"/>
        <v>0</v>
      </c>
      <c r="N176" s="2402"/>
      <c r="O176" s="556"/>
      <c r="P176" s="567"/>
      <c r="Q176" s="567"/>
    </row>
    <row r="177" spans="1:19">
      <c r="A177" s="2440"/>
      <c r="B177" s="2441"/>
      <c r="C177" s="2440"/>
      <c r="D177" s="2442"/>
      <c r="E177" s="2442"/>
      <c r="F177" s="2442"/>
      <c r="G177" s="2442"/>
      <c r="H177" s="2402" t="s">
        <v>1417</v>
      </c>
      <c r="I177" s="2401"/>
      <c r="J177" s="2402"/>
      <c r="K177" s="2405">
        <f>SUM(K178:K180)</f>
        <v>525000</v>
      </c>
      <c r="L177" s="2405">
        <f>SUM(L178:L180)</f>
        <v>525000</v>
      </c>
      <c r="M177" s="2405">
        <f t="shared" si="11"/>
        <v>0</v>
      </c>
      <c r="N177" s="2402"/>
      <c r="O177" s="556"/>
      <c r="P177" s="567"/>
      <c r="Q177" s="567"/>
    </row>
    <row r="178" spans="1:19">
      <c r="A178" s="2440"/>
      <c r="B178" s="2441"/>
      <c r="C178" s="2440"/>
      <c r="D178" s="2442"/>
      <c r="E178" s="2442"/>
      <c r="F178" s="2442"/>
      <c r="G178" s="2442"/>
      <c r="H178" s="2402" t="s">
        <v>177</v>
      </c>
      <c r="I178" s="2401">
        <v>1</v>
      </c>
      <c r="J178" s="2402" t="s">
        <v>1099</v>
      </c>
      <c r="K178" s="2405">
        <f>'1.12 Pemilihan BPD'!G40</f>
        <v>200000</v>
      </c>
      <c r="L178" s="2405">
        <f>'1.12 Pemilihan BPD'!L40</f>
        <v>200000</v>
      </c>
      <c r="M178" s="2405">
        <f t="shared" si="11"/>
        <v>0</v>
      </c>
      <c r="N178" s="2402" t="s">
        <v>23</v>
      </c>
      <c r="O178" s="556" t="s">
        <v>25</v>
      </c>
      <c r="P178" s="567"/>
      <c r="Q178" s="567"/>
    </row>
    <row r="179" spans="1:19">
      <c r="A179" s="2440"/>
      <c r="B179" s="2441"/>
      <c r="C179" s="2440"/>
      <c r="D179" s="2442"/>
      <c r="E179" s="2442"/>
      <c r="F179" s="2442"/>
      <c r="G179" s="2442"/>
      <c r="H179" s="2402" t="s">
        <v>178</v>
      </c>
      <c r="I179" s="2401">
        <v>1</v>
      </c>
      <c r="J179" s="2402" t="s">
        <v>1099</v>
      </c>
      <c r="K179" s="2405">
        <f>'1.12 Pemilihan BPD'!G41</f>
        <v>175000</v>
      </c>
      <c r="L179" s="2405">
        <f>'1.12 Pemilihan BPD'!L41</f>
        <v>175000</v>
      </c>
      <c r="M179" s="2405">
        <f t="shared" si="11"/>
        <v>0</v>
      </c>
      <c r="N179" s="2402" t="s">
        <v>23</v>
      </c>
      <c r="O179" s="556" t="s">
        <v>25</v>
      </c>
      <c r="P179" s="567"/>
      <c r="Q179" s="567"/>
    </row>
    <row r="180" spans="1:19">
      <c r="A180" s="2440"/>
      <c r="B180" s="2441"/>
      <c r="C180" s="2440"/>
      <c r="D180" s="2442"/>
      <c r="E180" s="2442"/>
      <c r="F180" s="2442"/>
      <c r="G180" s="2442"/>
      <c r="H180" s="2402" t="s">
        <v>179</v>
      </c>
      <c r="I180" s="2401">
        <v>1</v>
      </c>
      <c r="J180" s="2402" t="s">
        <v>1099</v>
      </c>
      <c r="K180" s="2405">
        <f>'1.12 Pemilihan BPD'!G42</f>
        <v>150000</v>
      </c>
      <c r="L180" s="2405">
        <f>'1.12 Pemilihan BPD'!L42</f>
        <v>150000</v>
      </c>
      <c r="M180" s="2405">
        <f t="shared" si="11"/>
        <v>0</v>
      </c>
      <c r="N180" s="2402" t="s">
        <v>23</v>
      </c>
      <c r="O180" s="556" t="s">
        <v>25</v>
      </c>
      <c r="P180" s="567"/>
      <c r="Q180" s="567"/>
    </row>
    <row r="181" spans="1:19">
      <c r="A181" s="2430">
        <v>1</v>
      </c>
      <c r="B181" s="2431">
        <v>5</v>
      </c>
      <c r="C181" s="2443"/>
      <c r="D181" s="2401"/>
      <c r="E181" s="2398"/>
      <c r="F181" s="2398"/>
      <c r="G181" s="2398"/>
      <c r="H181" s="2444" t="s">
        <v>621</v>
      </c>
      <c r="I181" s="2398"/>
      <c r="J181" s="2399"/>
      <c r="K181" s="2404">
        <f>K182+K186</f>
        <v>9809000</v>
      </c>
      <c r="L181" s="2404">
        <f>L182+L186</f>
        <v>9985000</v>
      </c>
      <c r="M181" s="2404">
        <f t="shared" si="11"/>
        <v>176000</v>
      </c>
      <c r="N181" s="2399"/>
      <c r="P181" s="802">
        <v>20146000</v>
      </c>
      <c r="Q181" s="802">
        <f t="shared" ref="Q181:Q189" si="13">P181-K181</f>
        <v>10337000</v>
      </c>
    </row>
    <row r="182" spans="1:19" s="420" customFormat="1">
      <c r="A182" s="2430">
        <v>1</v>
      </c>
      <c r="B182" s="2431">
        <v>5</v>
      </c>
      <c r="C182" s="2443" t="s">
        <v>598</v>
      </c>
      <c r="D182" s="2398"/>
      <c r="E182" s="2398"/>
      <c r="F182" s="2398"/>
      <c r="G182" s="2398"/>
      <c r="H182" s="2437" t="s">
        <v>530</v>
      </c>
      <c r="I182" s="2398"/>
      <c r="J182" s="2399"/>
      <c r="K182" s="2404">
        <f>K183</f>
        <v>1209000</v>
      </c>
      <c r="L182" s="2404">
        <f>L183</f>
        <v>1385000</v>
      </c>
      <c r="M182" s="2404">
        <f t="shared" si="11"/>
        <v>176000</v>
      </c>
      <c r="N182" s="2399"/>
      <c r="P182" s="555">
        <v>19346000</v>
      </c>
      <c r="Q182" s="555">
        <f t="shared" si="13"/>
        <v>18137000</v>
      </c>
    </row>
    <row r="183" spans="1:19">
      <c r="A183" s="2433">
        <v>1</v>
      </c>
      <c r="B183" s="2434">
        <v>5</v>
      </c>
      <c r="C183" s="2435" t="s">
        <v>598</v>
      </c>
      <c r="D183" s="2401">
        <v>5</v>
      </c>
      <c r="E183" s="2401">
        <v>2</v>
      </c>
      <c r="F183" s="2401"/>
      <c r="G183" s="2401"/>
      <c r="H183" s="2402" t="s">
        <v>8</v>
      </c>
      <c r="I183" s="2401"/>
      <c r="J183" s="2402"/>
      <c r="K183" s="2405">
        <f>K184</f>
        <v>1209000</v>
      </c>
      <c r="L183" s="2405">
        <f>L184</f>
        <v>1385000</v>
      </c>
      <c r="M183" s="2405">
        <f t="shared" si="11"/>
        <v>176000</v>
      </c>
      <c r="N183" s="2402"/>
      <c r="P183" s="567">
        <v>9744000</v>
      </c>
      <c r="Q183" s="567">
        <f t="shared" si="13"/>
        <v>8535000</v>
      </c>
    </row>
    <row r="184" spans="1:19">
      <c r="A184" s="2433">
        <v>1</v>
      </c>
      <c r="B184" s="2434">
        <v>5</v>
      </c>
      <c r="C184" s="2435" t="s">
        <v>598</v>
      </c>
      <c r="D184" s="2401">
        <v>5</v>
      </c>
      <c r="E184" s="2401">
        <v>2</v>
      </c>
      <c r="F184" s="2401">
        <v>2</v>
      </c>
      <c r="G184" s="2401"/>
      <c r="H184" s="2402" t="s">
        <v>736</v>
      </c>
      <c r="I184" s="2401"/>
      <c r="J184" s="2402"/>
      <c r="K184" s="2405">
        <f>SUM(K185:K185)</f>
        <v>1209000</v>
      </c>
      <c r="L184" s="2405">
        <f>SUM(L185:L185)</f>
        <v>1385000</v>
      </c>
      <c r="M184" s="2405">
        <f t="shared" si="11"/>
        <v>176000</v>
      </c>
      <c r="N184" s="2402"/>
      <c r="P184" s="567">
        <v>7200000</v>
      </c>
      <c r="Q184" s="567">
        <f t="shared" si="13"/>
        <v>5991000</v>
      </c>
    </row>
    <row r="185" spans="1:19">
      <c r="A185" s="2433">
        <v>1</v>
      </c>
      <c r="B185" s="2434">
        <v>5</v>
      </c>
      <c r="C185" s="2435" t="s">
        <v>598</v>
      </c>
      <c r="D185" s="2401">
        <v>5</v>
      </c>
      <c r="E185" s="2401">
        <v>2</v>
      </c>
      <c r="F185" s="2401">
        <v>2</v>
      </c>
      <c r="G185" s="2401">
        <v>5</v>
      </c>
      <c r="H185" s="2402" t="s">
        <v>738</v>
      </c>
      <c r="I185" s="2401">
        <v>1</v>
      </c>
      <c r="J185" s="2402" t="s">
        <v>164</v>
      </c>
      <c r="K185" s="2405">
        <f>'1.13 PBB'!H23</f>
        <v>1209000</v>
      </c>
      <c r="L185" s="2405">
        <f>'1.13 PBB'!M23</f>
        <v>1385000</v>
      </c>
      <c r="M185" s="2405">
        <f t="shared" si="11"/>
        <v>176000</v>
      </c>
      <c r="N185" s="2402" t="s">
        <v>330</v>
      </c>
      <c r="O185" s="419" t="s">
        <v>25</v>
      </c>
      <c r="P185" s="567">
        <v>2402000</v>
      </c>
      <c r="Q185" s="567">
        <f t="shared" si="13"/>
        <v>1193000</v>
      </c>
    </row>
    <row r="186" spans="1:19" s="420" customFormat="1">
      <c r="A186" s="2430">
        <v>1</v>
      </c>
      <c r="B186" s="2431">
        <v>5</v>
      </c>
      <c r="C186" s="2443">
        <v>90</v>
      </c>
      <c r="D186" s="2398"/>
      <c r="E186" s="2398"/>
      <c r="F186" s="2398"/>
      <c r="G186" s="2398"/>
      <c r="H186" s="2399" t="s">
        <v>1044</v>
      </c>
      <c r="I186" s="2398"/>
      <c r="J186" s="2399"/>
      <c r="K186" s="2404">
        <f t="shared" ref="K186:L188" si="14">K187</f>
        <v>8600000</v>
      </c>
      <c r="L186" s="2404">
        <f t="shared" si="14"/>
        <v>8600000</v>
      </c>
      <c r="M186" s="2404">
        <f t="shared" si="11"/>
        <v>0</v>
      </c>
      <c r="N186" s="2399"/>
      <c r="P186" s="555">
        <v>800000</v>
      </c>
      <c r="Q186" s="555">
        <f t="shared" si="13"/>
        <v>-7800000</v>
      </c>
    </row>
    <row r="187" spans="1:19">
      <c r="A187" s="2433">
        <v>1</v>
      </c>
      <c r="B187" s="2434">
        <v>5</v>
      </c>
      <c r="C187" s="2435">
        <v>90</v>
      </c>
      <c r="D187" s="2401">
        <v>5</v>
      </c>
      <c r="E187" s="2401">
        <v>2</v>
      </c>
      <c r="F187" s="2401"/>
      <c r="G187" s="2401"/>
      <c r="H187" s="2402" t="s">
        <v>8</v>
      </c>
      <c r="I187" s="2401"/>
      <c r="J187" s="2402"/>
      <c r="K187" s="2405">
        <f t="shared" si="14"/>
        <v>8600000</v>
      </c>
      <c r="L187" s="2405">
        <f t="shared" si="14"/>
        <v>8600000</v>
      </c>
      <c r="M187" s="2405">
        <f t="shared" si="11"/>
        <v>0</v>
      </c>
      <c r="N187" s="2402"/>
      <c r="P187" s="567">
        <v>800000</v>
      </c>
      <c r="Q187" s="567">
        <f t="shared" si="13"/>
        <v>-7800000</v>
      </c>
    </row>
    <row r="188" spans="1:19">
      <c r="A188" s="2433">
        <v>1</v>
      </c>
      <c r="B188" s="2434">
        <v>5</v>
      </c>
      <c r="C188" s="2435">
        <v>90</v>
      </c>
      <c r="D188" s="2401">
        <v>5</v>
      </c>
      <c r="E188" s="2401">
        <v>2</v>
      </c>
      <c r="F188" s="2401">
        <v>1</v>
      </c>
      <c r="G188" s="2401"/>
      <c r="H188" s="2402" t="s">
        <v>1020</v>
      </c>
      <c r="I188" s="2401"/>
      <c r="J188" s="2402"/>
      <c r="K188" s="2405">
        <f t="shared" si="14"/>
        <v>8600000</v>
      </c>
      <c r="L188" s="2405">
        <f t="shared" si="14"/>
        <v>8600000</v>
      </c>
      <c r="M188" s="2405">
        <f t="shared" si="11"/>
        <v>0</v>
      </c>
      <c r="N188" s="2402"/>
      <c r="P188" s="567"/>
      <c r="Q188" s="567">
        <f t="shared" si="13"/>
        <v>-8600000</v>
      </c>
    </row>
    <row r="189" spans="1:19">
      <c r="A189" s="2433">
        <v>1</v>
      </c>
      <c r="B189" s="2434">
        <v>5</v>
      </c>
      <c r="C189" s="2435">
        <v>90</v>
      </c>
      <c r="D189" s="2401">
        <v>5</v>
      </c>
      <c r="E189" s="2401">
        <v>2</v>
      </c>
      <c r="F189" s="2401">
        <v>1</v>
      </c>
      <c r="G189" s="2401">
        <v>12</v>
      </c>
      <c r="H189" s="2402" t="s">
        <v>1019</v>
      </c>
      <c r="I189" s="2401">
        <v>1</v>
      </c>
      <c r="J189" s="2402" t="s">
        <v>164</v>
      </c>
      <c r="K189" s="2405">
        <f>'1.14 TKD'!H22</f>
        <v>8600000</v>
      </c>
      <c r="L189" s="2405">
        <f>K189</f>
        <v>8600000</v>
      </c>
      <c r="M189" s="2405">
        <f t="shared" si="11"/>
        <v>0</v>
      </c>
      <c r="N189" s="2402" t="s">
        <v>240</v>
      </c>
      <c r="O189" s="419" t="s">
        <v>25</v>
      </c>
      <c r="P189" s="567">
        <v>11295000</v>
      </c>
      <c r="Q189" s="567">
        <f t="shared" si="13"/>
        <v>2695000</v>
      </c>
    </row>
    <row r="190" spans="1:19">
      <c r="A190" s="2433"/>
      <c r="B190" s="2434"/>
      <c r="C190" s="2435"/>
      <c r="D190" s="2401"/>
      <c r="E190" s="2401"/>
      <c r="F190" s="2401"/>
      <c r="G190" s="2401"/>
      <c r="H190" s="2402"/>
      <c r="I190" s="2401"/>
      <c r="J190" s="2402"/>
      <c r="K190" s="2405"/>
      <c r="L190" s="2405"/>
      <c r="M190" s="2405">
        <f t="shared" si="11"/>
        <v>0</v>
      </c>
      <c r="N190" s="2402"/>
      <c r="P190" s="567"/>
      <c r="Q190" s="567"/>
    </row>
    <row r="191" spans="1:19" ht="33" customHeight="1">
      <c r="A191" s="2416">
        <v>2</v>
      </c>
      <c r="B191" s="2445"/>
      <c r="C191" s="2445"/>
      <c r="D191" s="2446"/>
      <c r="E191" s="2416"/>
      <c r="F191" s="2416"/>
      <c r="G191" s="2416"/>
      <c r="H191" s="2417" t="s">
        <v>1191</v>
      </c>
      <c r="I191" s="2416"/>
      <c r="J191" s="2417"/>
      <c r="K191" s="2418">
        <f>K192+K211+K203+K220</f>
        <v>627978050</v>
      </c>
      <c r="L191" s="2418">
        <f>L192+L211+L203+L220</f>
        <v>399480614</v>
      </c>
      <c r="M191" s="2418">
        <f>L191-K191</f>
        <v>-228497436</v>
      </c>
      <c r="N191" s="2417"/>
      <c r="P191" s="816">
        <v>1275000</v>
      </c>
      <c r="Q191" s="816">
        <f t="shared" ref="Q191:Q196" si="15">P191-K191</f>
        <v>-626703050</v>
      </c>
      <c r="R191" s="973">
        <f>K191-U27</f>
        <v>233642436</v>
      </c>
      <c r="S191" s="973">
        <f>K191-S27</f>
        <v>233642436</v>
      </c>
    </row>
    <row r="192" spans="1:19" s="556" customFormat="1" ht="20.25" customHeight="1">
      <c r="A192" s="2398">
        <v>2</v>
      </c>
      <c r="B192" s="2419">
        <v>1</v>
      </c>
      <c r="C192" s="2419"/>
      <c r="D192" s="2401"/>
      <c r="E192" s="2398"/>
      <c r="F192" s="2398"/>
      <c r="G192" s="2398"/>
      <c r="H192" s="2399" t="s">
        <v>624</v>
      </c>
      <c r="I192" s="2398"/>
      <c r="J192" s="2399"/>
      <c r="K192" s="2404">
        <f>K193+K198</f>
        <v>57951050</v>
      </c>
      <c r="L192" s="2404">
        <f>L193</f>
        <v>22800000</v>
      </c>
      <c r="M192" s="2404">
        <f t="shared" si="11"/>
        <v>-35151050</v>
      </c>
      <c r="N192" s="2399"/>
      <c r="P192" s="802">
        <v>1275000</v>
      </c>
      <c r="Q192" s="802">
        <f t="shared" si="15"/>
        <v>-56676050</v>
      </c>
    </row>
    <row r="193" spans="1:17">
      <c r="A193" s="2447">
        <v>2</v>
      </c>
      <c r="B193" s="2434">
        <v>1</v>
      </c>
      <c r="C193" s="2434" t="s">
        <v>593</v>
      </c>
      <c r="D193" s="2401"/>
      <c r="E193" s="2401"/>
      <c r="F193" s="2401"/>
      <c r="G193" s="2401"/>
      <c r="H193" s="2448" t="s">
        <v>969</v>
      </c>
      <c r="I193" s="2439"/>
      <c r="J193" s="2402"/>
      <c r="K193" s="2405">
        <f>K195</f>
        <v>22800000</v>
      </c>
      <c r="L193" s="2405">
        <f>L195</f>
        <v>22800000</v>
      </c>
      <c r="M193" s="2405">
        <f t="shared" si="11"/>
        <v>0</v>
      </c>
      <c r="N193" s="2402"/>
      <c r="P193" s="796">
        <v>1275000</v>
      </c>
      <c r="Q193" s="796">
        <f t="shared" si="15"/>
        <v>-21525000</v>
      </c>
    </row>
    <row r="194" spans="1:17">
      <c r="A194" s="2447">
        <v>2</v>
      </c>
      <c r="B194" s="2434">
        <v>1</v>
      </c>
      <c r="C194" s="2434" t="s">
        <v>593</v>
      </c>
      <c r="D194" s="2401">
        <v>5</v>
      </c>
      <c r="E194" s="2401">
        <v>2</v>
      </c>
      <c r="F194" s="2401"/>
      <c r="G194" s="2401"/>
      <c r="H194" s="2448" t="s">
        <v>8</v>
      </c>
      <c r="I194" s="2439"/>
      <c r="J194" s="2402"/>
      <c r="K194" s="2405">
        <f>K195</f>
        <v>22800000</v>
      </c>
      <c r="L194" s="2405">
        <f>L195</f>
        <v>22800000</v>
      </c>
      <c r="M194" s="2405">
        <f t="shared" si="11"/>
        <v>0</v>
      </c>
      <c r="N194" s="2402"/>
      <c r="P194" s="567">
        <v>1275000</v>
      </c>
      <c r="Q194" s="567">
        <f t="shared" si="15"/>
        <v>-21525000</v>
      </c>
    </row>
    <row r="195" spans="1:17" s="554" customFormat="1">
      <c r="A195" s="2447">
        <v>2</v>
      </c>
      <c r="B195" s="2434">
        <v>1</v>
      </c>
      <c r="C195" s="2434" t="s">
        <v>593</v>
      </c>
      <c r="D195" s="2401">
        <v>5</v>
      </c>
      <c r="E195" s="2401">
        <v>2</v>
      </c>
      <c r="F195" s="2401">
        <v>2</v>
      </c>
      <c r="G195" s="2401"/>
      <c r="H195" s="2402" t="s">
        <v>736</v>
      </c>
      <c r="I195" s="2401"/>
      <c r="J195" s="2402"/>
      <c r="K195" s="2405">
        <f>K196</f>
        <v>22800000</v>
      </c>
      <c r="L195" s="2405">
        <f>L196</f>
        <v>22800000</v>
      </c>
      <c r="M195" s="2405">
        <f t="shared" si="11"/>
        <v>0</v>
      </c>
      <c r="N195" s="2402"/>
      <c r="P195" s="567">
        <v>10020000</v>
      </c>
      <c r="Q195" s="567">
        <f t="shared" si="15"/>
        <v>-12780000</v>
      </c>
    </row>
    <row r="196" spans="1:17">
      <c r="A196" s="2447">
        <v>2</v>
      </c>
      <c r="B196" s="2434">
        <v>1</v>
      </c>
      <c r="C196" s="2434" t="s">
        <v>593</v>
      </c>
      <c r="D196" s="2401">
        <v>5</v>
      </c>
      <c r="E196" s="2401">
        <v>2</v>
      </c>
      <c r="F196" s="2401">
        <v>2</v>
      </c>
      <c r="G196" s="2401">
        <v>5</v>
      </c>
      <c r="H196" s="2402" t="s">
        <v>738</v>
      </c>
      <c r="I196" s="2401">
        <v>1</v>
      </c>
      <c r="J196" s="2402" t="s">
        <v>164</v>
      </c>
      <c r="K196" s="2405">
        <f>'2.1 PAUD DAN TK'!H21+'2.2 HONOR MAdrasah'!H19</f>
        <v>22800000</v>
      </c>
      <c r="L196" s="2405">
        <f>K196</f>
        <v>22800000</v>
      </c>
      <c r="M196" s="2405">
        <f t="shared" si="11"/>
        <v>0</v>
      </c>
      <c r="N196" s="2402" t="s">
        <v>22</v>
      </c>
      <c r="O196" s="419" t="s">
        <v>26</v>
      </c>
      <c r="P196" s="567">
        <v>10020000</v>
      </c>
      <c r="Q196" s="567">
        <f t="shared" si="15"/>
        <v>-12780000</v>
      </c>
    </row>
    <row r="197" spans="1:17">
      <c r="A197" s="2447"/>
      <c r="B197" s="2434"/>
      <c r="C197" s="2434"/>
      <c r="D197" s="2401"/>
      <c r="E197" s="2401"/>
      <c r="F197" s="2401"/>
      <c r="G197" s="2401"/>
      <c r="H197" s="2402"/>
      <c r="I197" s="2401"/>
      <c r="J197" s="2402"/>
      <c r="K197" s="2405"/>
      <c r="L197" s="2405"/>
      <c r="M197" s="2405">
        <f t="shared" si="11"/>
        <v>0</v>
      </c>
      <c r="N197" s="2402"/>
      <c r="P197" s="567"/>
      <c r="Q197" s="567"/>
    </row>
    <row r="198" spans="1:17" s="554" customFormat="1">
      <c r="A198" s="575">
        <v>2</v>
      </c>
      <c r="B198" s="573">
        <v>1</v>
      </c>
      <c r="C198" s="573" t="s">
        <v>598</v>
      </c>
      <c r="D198" s="563">
        <v>5</v>
      </c>
      <c r="E198" s="563">
        <v>3</v>
      </c>
      <c r="F198" s="563"/>
      <c r="G198" s="563"/>
      <c r="H198" s="564" t="s">
        <v>9</v>
      </c>
      <c r="I198" s="2588"/>
      <c r="J198" s="564"/>
      <c r="K198" s="567">
        <f>SUM(K199:K201)</f>
        <v>35151050</v>
      </c>
      <c r="L198" s="564"/>
      <c r="N198" s="567"/>
      <c r="O198" s="567"/>
    </row>
    <row r="199" spans="1:17">
      <c r="A199" s="575">
        <v>2</v>
      </c>
      <c r="B199" s="573">
        <v>1</v>
      </c>
      <c r="C199" s="573" t="s">
        <v>598</v>
      </c>
      <c r="D199" s="563">
        <v>5</v>
      </c>
      <c r="E199" s="563">
        <v>3</v>
      </c>
      <c r="F199" s="563">
        <v>1</v>
      </c>
      <c r="G199" s="563"/>
      <c r="H199" s="564" t="s">
        <v>749</v>
      </c>
      <c r="I199" s="2588"/>
      <c r="J199" s="564"/>
      <c r="K199" s="567">
        <v>450000</v>
      </c>
      <c r="L199" s="564"/>
      <c r="M199" s="419"/>
      <c r="N199" s="567"/>
      <c r="O199" s="567"/>
    </row>
    <row r="200" spans="1:17">
      <c r="A200" s="575">
        <v>2</v>
      </c>
      <c r="B200" s="573">
        <v>1</v>
      </c>
      <c r="C200" s="573" t="s">
        <v>598</v>
      </c>
      <c r="D200" s="563">
        <v>5</v>
      </c>
      <c r="E200" s="563">
        <v>3</v>
      </c>
      <c r="F200" s="563">
        <v>2</v>
      </c>
      <c r="G200" s="563"/>
      <c r="H200" s="564" t="s">
        <v>750</v>
      </c>
      <c r="I200" s="2588"/>
      <c r="J200" s="564"/>
      <c r="K200" s="567">
        <v>8380000</v>
      </c>
      <c r="L200" s="564"/>
      <c r="M200" s="419"/>
      <c r="N200" s="567"/>
      <c r="O200" s="567"/>
    </row>
    <row r="201" spans="1:17">
      <c r="A201" s="575">
        <v>2</v>
      </c>
      <c r="B201" s="573">
        <v>1</v>
      </c>
      <c r="C201" s="573" t="s">
        <v>598</v>
      </c>
      <c r="D201" s="563">
        <v>5</v>
      </c>
      <c r="E201" s="563">
        <v>3</v>
      </c>
      <c r="F201" s="563">
        <v>3</v>
      </c>
      <c r="G201" s="563"/>
      <c r="H201" s="564" t="s">
        <v>751</v>
      </c>
      <c r="I201" s="2588"/>
      <c r="J201" s="564"/>
      <c r="K201" s="567">
        <v>26321050</v>
      </c>
      <c r="L201" s="564"/>
      <c r="M201" s="419"/>
      <c r="N201" s="567"/>
      <c r="O201" s="567"/>
    </row>
    <row r="202" spans="1:17">
      <c r="A202" s="2447"/>
      <c r="B202" s="2434"/>
      <c r="C202" s="2434"/>
      <c r="D202" s="2401"/>
      <c r="E202" s="2401"/>
      <c r="F202" s="2401"/>
      <c r="G202" s="2401"/>
      <c r="H202" s="2402"/>
      <c r="I202" s="2401"/>
      <c r="J202" s="2402"/>
      <c r="K202" s="2405"/>
      <c r="L202" s="2405"/>
      <c r="M202" s="2405"/>
      <c r="N202" s="2402"/>
      <c r="P202" s="567"/>
      <c r="Q202" s="567"/>
    </row>
    <row r="203" spans="1:17">
      <c r="A203" s="2449">
        <v>2</v>
      </c>
      <c r="B203" s="2431">
        <v>2</v>
      </c>
      <c r="C203" s="2431"/>
      <c r="D203" s="2398"/>
      <c r="E203" s="2398"/>
      <c r="F203" s="2398"/>
      <c r="G203" s="2398"/>
      <c r="H203" s="2399" t="s">
        <v>629</v>
      </c>
      <c r="I203" s="2398"/>
      <c r="J203" s="2399"/>
      <c r="K203" s="2404">
        <f>K204</f>
        <v>15280000</v>
      </c>
      <c r="L203" s="2404">
        <f>L204</f>
        <v>16254614</v>
      </c>
      <c r="M203" s="2404">
        <f t="shared" si="11"/>
        <v>974614</v>
      </c>
      <c r="N203" s="2399"/>
      <c r="P203" s="802">
        <v>10020000</v>
      </c>
      <c r="Q203" s="802">
        <f t="shared" ref="Q203:Q208" si="16">P203-K203</f>
        <v>-5260000</v>
      </c>
    </row>
    <row r="204" spans="1:17" ht="31.5">
      <c r="A204" s="2447">
        <v>2</v>
      </c>
      <c r="B204" s="2434">
        <v>2</v>
      </c>
      <c r="C204" s="2434" t="s">
        <v>594</v>
      </c>
      <c r="D204" s="2401"/>
      <c r="E204" s="2401"/>
      <c r="F204" s="2401"/>
      <c r="G204" s="2401"/>
      <c r="H204" s="2450" t="s">
        <v>970</v>
      </c>
      <c r="I204" s="2401"/>
      <c r="J204" s="2402"/>
      <c r="K204" s="2405">
        <f>K205</f>
        <v>15280000</v>
      </c>
      <c r="L204" s="2405">
        <f>L205</f>
        <v>16254614</v>
      </c>
      <c r="M204" s="2405">
        <f t="shared" si="11"/>
        <v>974614</v>
      </c>
      <c r="N204" s="2402"/>
      <c r="P204" s="567">
        <v>10020000</v>
      </c>
      <c r="Q204" s="567">
        <f t="shared" si="16"/>
        <v>-5260000</v>
      </c>
    </row>
    <row r="205" spans="1:17">
      <c r="A205" s="2447">
        <v>2</v>
      </c>
      <c r="B205" s="2434">
        <v>2</v>
      </c>
      <c r="C205" s="2434" t="s">
        <v>594</v>
      </c>
      <c r="D205" s="2401">
        <v>5</v>
      </c>
      <c r="E205" s="2401">
        <v>2</v>
      </c>
      <c r="F205" s="2401"/>
      <c r="G205" s="2401"/>
      <c r="H205" s="2448" t="s">
        <v>8</v>
      </c>
      <c r="I205" s="2401"/>
      <c r="J205" s="2402"/>
      <c r="K205" s="2405">
        <f>K206+K208+K209</f>
        <v>15280000</v>
      </c>
      <c r="L205" s="2405">
        <f>L206+L208+L209</f>
        <v>16254614</v>
      </c>
      <c r="M205" s="2405">
        <f t="shared" si="11"/>
        <v>974614</v>
      </c>
      <c r="N205" s="2402"/>
      <c r="P205" s="567">
        <v>855758000</v>
      </c>
      <c r="Q205" s="567">
        <f t="shared" si="16"/>
        <v>840478000</v>
      </c>
    </row>
    <row r="206" spans="1:17">
      <c r="A206" s="2447">
        <v>2</v>
      </c>
      <c r="B206" s="2434">
        <v>2</v>
      </c>
      <c r="C206" s="2434" t="s">
        <v>594</v>
      </c>
      <c r="D206" s="2401">
        <v>5</v>
      </c>
      <c r="E206" s="2401">
        <v>2</v>
      </c>
      <c r="F206" s="2401">
        <v>2</v>
      </c>
      <c r="G206" s="2401"/>
      <c r="H206" s="2402" t="s">
        <v>736</v>
      </c>
      <c r="I206" s="2401"/>
      <c r="J206" s="2402"/>
      <c r="K206" s="2405">
        <f>K207</f>
        <v>9600000</v>
      </c>
      <c r="L206" s="2405">
        <f>L207</f>
        <v>9600000</v>
      </c>
      <c r="M206" s="2405">
        <f t="shared" si="11"/>
        <v>0</v>
      </c>
      <c r="N206" s="2402"/>
      <c r="P206" s="567">
        <v>22800000</v>
      </c>
      <c r="Q206" s="567">
        <f t="shared" si="16"/>
        <v>13200000</v>
      </c>
    </row>
    <row r="207" spans="1:17">
      <c r="A207" s="2447">
        <v>2</v>
      </c>
      <c r="B207" s="2434">
        <v>2</v>
      </c>
      <c r="C207" s="2434" t="s">
        <v>594</v>
      </c>
      <c r="D207" s="2401">
        <v>5</v>
      </c>
      <c r="E207" s="2401">
        <v>2</v>
      </c>
      <c r="F207" s="2401">
        <v>2</v>
      </c>
      <c r="G207" s="2401">
        <v>5</v>
      </c>
      <c r="H207" s="2402" t="s">
        <v>738</v>
      </c>
      <c r="I207" s="2401">
        <v>1</v>
      </c>
      <c r="J207" s="2402" t="s">
        <v>164</v>
      </c>
      <c r="K207" s="2405">
        <f>'2.3A. PSYANDU'!H20</f>
        <v>9600000</v>
      </c>
      <c r="L207" s="2405">
        <f>K207</f>
        <v>9600000</v>
      </c>
      <c r="M207" s="2405">
        <f t="shared" si="11"/>
        <v>0</v>
      </c>
      <c r="N207" s="2402" t="s">
        <v>22</v>
      </c>
      <c r="O207" s="419" t="s">
        <v>26</v>
      </c>
      <c r="P207" s="567">
        <v>22800000</v>
      </c>
      <c r="Q207" s="567">
        <f t="shared" si="16"/>
        <v>13200000</v>
      </c>
    </row>
    <row r="208" spans="1:17">
      <c r="A208" s="2447">
        <v>2</v>
      </c>
      <c r="B208" s="2434">
        <v>2</v>
      </c>
      <c r="C208" s="2434" t="s">
        <v>594</v>
      </c>
      <c r="D208" s="2401">
        <v>5</v>
      </c>
      <c r="E208" s="2401">
        <v>7</v>
      </c>
      <c r="F208" s="2401"/>
      <c r="G208" s="2401"/>
      <c r="H208" s="2402" t="s">
        <v>971</v>
      </c>
      <c r="I208" s="2401">
        <v>1</v>
      </c>
      <c r="J208" s="2402" t="s">
        <v>164</v>
      </c>
      <c r="K208" s="2405">
        <f>'2.3A. PSYANDU'!H23</f>
        <v>2880000</v>
      </c>
      <c r="L208" s="2405">
        <f>'2.3A. PSYANDU'!L23</f>
        <v>3850000</v>
      </c>
      <c r="M208" s="2405">
        <f t="shared" si="11"/>
        <v>970000</v>
      </c>
      <c r="N208" s="2402" t="s">
        <v>22</v>
      </c>
      <c r="O208" s="419" t="s">
        <v>26</v>
      </c>
      <c r="P208" s="567">
        <v>22800000</v>
      </c>
      <c r="Q208" s="567">
        <f t="shared" si="16"/>
        <v>19920000</v>
      </c>
    </row>
    <row r="209" spans="1:17" s="420" customFormat="1">
      <c r="A209" s="2447">
        <v>2</v>
      </c>
      <c r="B209" s="2434">
        <v>2</v>
      </c>
      <c r="C209" s="2434">
        <v>2</v>
      </c>
      <c r="D209" s="2401">
        <v>5</v>
      </c>
      <c r="E209" s="2401">
        <v>7</v>
      </c>
      <c r="F209" s="2401">
        <v>1</v>
      </c>
      <c r="G209" s="2398"/>
      <c r="H209" s="2402" t="s">
        <v>751</v>
      </c>
      <c r="I209" s="2401">
        <v>1</v>
      </c>
      <c r="J209" s="2402" t="s">
        <v>301</v>
      </c>
      <c r="K209" s="2405">
        <f>'2.3A. PSYANDU'!H28</f>
        <v>2800000</v>
      </c>
      <c r="L209" s="2405">
        <f>'2.3A. PSYANDU'!L29</f>
        <v>2804614</v>
      </c>
      <c r="M209" s="2405">
        <f t="shared" si="11"/>
        <v>4614</v>
      </c>
      <c r="N209" s="2402" t="s">
        <v>22</v>
      </c>
      <c r="O209" s="419" t="s">
        <v>26</v>
      </c>
      <c r="P209" s="1486">
        <v>22800000</v>
      </c>
      <c r="Q209" s="1486" t="e">
        <f>P209-#REF!</f>
        <v>#REF!</v>
      </c>
    </row>
    <row r="210" spans="1:17">
      <c r="A210" s="2447"/>
      <c r="B210" s="2434"/>
      <c r="C210" s="2434"/>
      <c r="D210" s="2401"/>
      <c r="E210" s="2401"/>
      <c r="F210" s="2401"/>
      <c r="G210" s="2401"/>
      <c r="H210" s="2451"/>
      <c r="I210" s="2451"/>
      <c r="J210" s="2451"/>
      <c r="K210" s="2451"/>
      <c r="L210" s="2451"/>
      <c r="M210" s="2451">
        <f t="shared" ref="M210:M280" si="17">L210-K210</f>
        <v>0</v>
      </c>
      <c r="N210" s="2451"/>
      <c r="P210" s="1248">
        <v>9600000</v>
      </c>
      <c r="Q210" s="1248">
        <f>P210-K209</f>
        <v>6800000</v>
      </c>
    </row>
    <row r="211" spans="1:17">
      <c r="A211" s="2449">
        <v>2</v>
      </c>
      <c r="B211" s="2431">
        <v>3</v>
      </c>
      <c r="C211" s="2419"/>
      <c r="D211" s="2401"/>
      <c r="E211" s="2398"/>
      <c r="F211" s="2398"/>
      <c r="G211" s="2398"/>
      <c r="H211" s="2437" t="s">
        <v>634</v>
      </c>
      <c r="I211" s="2398"/>
      <c r="J211" s="2399"/>
      <c r="K211" s="2404">
        <f>K212</f>
        <v>514747000</v>
      </c>
      <c r="L211" s="2404">
        <f>L212</f>
        <v>355281000</v>
      </c>
      <c r="M211" s="2404">
        <f t="shared" si="17"/>
        <v>-159466000</v>
      </c>
      <c r="N211" s="2399"/>
      <c r="P211" s="802">
        <v>9600000</v>
      </c>
      <c r="Q211" s="802">
        <f t="shared" ref="Q211:Q240" si="18">P211-K211</f>
        <v>-505147000</v>
      </c>
    </row>
    <row r="212" spans="1:17" s="420" customFormat="1">
      <c r="A212" s="2449">
        <v>2</v>
      </c>
      <c r="B212" s="2431">
        <v>3</v>
      </c>
      <c r="C212" s="2431">
        <v>10</v>
      </c>
      <c r="D212" s="2398"/>
      <c r="E212" s="2398"/>
      <c r="F212" s="2398"/>
      <c r="G212" s="2398"/>
      <c r="H212" s="2437" t="s">
        <v>1091</v>
      </c>
      <c r="I212" s="2398"/>
      <c r="J212" s="2399"/>
      <c r="K212" s="2404">
        <f>K213</f>
        <v>514747000</v>
      </c>
      <c r="L212" s="2404">
        <v>355281000</v>
      </c>
      <c r="M212" s="2404">
        <f t="shared" si="17"/>
        <v>-159466000</v>
      </c>
      <c r="N212" s="2399"/>
      <c r="P212" s="797">
        <v>2400000</v>
      </c>
      <c r="Q212" s="797">
        <f t="shared" si="18"/>
        <v>-512347000</v>
      </c>
    </row>
    <row r="213" spans="1:17" s="554" customFormat="1">
      <c r="A213" s="2447">
        <v>2</v>
      </c>
      <c r="B213" s="2434">
        <v>3</v>
      </c>
      <c r="C213" s="2434">
        <v>10</v>
      </c>
      <c r="D213" s="2401">
        <v>5</v>
      </c>
      <c r="E213" s="2401">
        <v>3</v>
      </c>
      <c r="F213" s="2401"/>
      <c r="G213" s="2401"/>
      <c r="H213" s="2402" t="s">
        <v>9</v>
      </c>
      <c r="I213" s="2401"/>
      <c r="J213" s="2402"/>
      <c r="K213" s="2405">
        <f>K214</f>
        <v>514747000</v>
      </c>
      <c r="L213" s="2405">
        <f>L214</f>
        <v>355281000</v>
      </c>
      <c r="M213" s="2405">
        <f t="shared" si="17"/>
        <v>-159466000</v>
      </c>
      <c r="N213" s="2402"/>
      <c r="P213" s="567">
        <v>18000000</v>
      </c>
      <c r="Q213" s="567">
        <f t="shared" si="18"/>
        <v>-496747000</v>
      </c>
    </row>
    <row r="214" spans="1:17">
      <c r="A214" s="2447">
        <v>2</v>
      </c>
      <c r="B214" s="2434">
        <v>3</v>
      </c>
      <c r="C214" s="2434">
        <v>10</v>
      </c>
      <c r="D214" s="2401">
        <v>5</v>
      </c>
      <c r="E214" s="2401">
        <v>3</v>
      </c>
      <c r="F214" s="2401">
        <v>5</v>
      </c>
      <c r="G214" s="2401"/>
      <c r="H214" s="2452" t="s">
        <v>755</v>
      </c>
      <c r="I214" s="2401"/>
      <c r="J214" s="2402"/>
      <c r="K214" s="2405">
        <f>SUM(K215:K218)</f>
        <v>514747000</v>
      </c>
      <c r="L214" s="2405">
        <f>SUM(L215:L218)</f>
        <v>355281000</v>
      </c>
      <c r="M214" s="2405">
        <f t="shared" si="17"/>
        <v>-159466000</v>
      </c>
      <c r="N214" s="2402"/>
      <c r="P214" s="567">
        <v>18000000</v>
      </c>
      <c r="Q214" s="567">
        <f t="shared" si="18"/>
        <v>-496747000</v>
      </c>
    </row>
    <row r="215" spans="1:17">
      <c r="A215" s="2447">
        <v>2</v>
      </c>
      <c r="B215" s="2434">
        <v>3</v>
      </c>
      <c r="C215" s="2434">
        <v>10</v>
      </c>
      <c r="D215" s="2401">
        <v>5</v>
      </c>
      <c r="E215" s="2401">
        <v>3</v>
      </c>
      <c r="F215" s="2401">
        <v>5</v>
      </c>
      <c r="G215" s="2401">
        <v>1</v>
      </c>
      <c r="H215" s="2402" t="s">
        <v>749</v>
      </c>
      <c r="I215" s="2401"/>
      <c r="J215" s="2402"/>
      <c r="K215" s="2405">
        <v>5400000</v>
      </c>
      <c r="L215" s="2405">
        <v>3750000</v>
      </c>
      <c r="M215" s="2405">
        <f t="shared" si="17"/>
        <v>-1650000</v>
      </c>
      <c r="N215" s="2402" t="s">
        <v>22</v>
      </c>
      <c r="O215" s="419" t="s">
        <v>26</v>
      </c>
      <c r="P215" s="567">
        <v>18000000</v>
      </c>
      <c r="Q215" s="567">
        <f t="shared" si="18"/>
        <v>12600000</v>
      </c>
    </row>
    <row r="216" spans="1:17" s="420" customFormat="1">
      <c r="A216" s="2447">
        <v>2</v>
      </c>
      <c r="B216" s="2434">
        <v>3</v>
      </c>
      <c r="C216" s="2434">
        <v>10</v>
      </c>
      <c r="D216" s="2401">
        <v>5</v>
      </c>
      <c r="E216" s="2401">
        <v>3</v>
      </c>
      <c r="F216" s="2401">
        <v>5</v>
      </c>
      <c r="G216" s="2401">
        <v>2</v>
      </c>
      <c r="H216" s="2402" t="s">
        <v>750</v>
      </c>
      <c r="I216" s="2401"/>
      <c r="J216" s="2402"/>
      <c r="K216" s="2405">
        <v>130020000</v>
      </c>
      <c r="L216" s="2405">
        <v>89660000</v>
      </c>
      <c r="M216" s="2405">
        <f t="shared" si="17"/>
        <v>-40360000</v>
      </c>
      <c r="N216" s="2402" t="s">
        <v>22</v>
      </c>
      <c r="O216" s="419" t="s">
        <v>26</v>
      </c>
      <c r="P216" s="567">
        <v>450000</v>
      </c>
      <c r="Q216" s="567">
        <f t="shared" si="18"/>
        <v>-129570000</v>
      </c>
    </row>
    <row r="217" spans="1:17">
      <c r="A217" s="2447">
        <v>2</v>
      </c>
      <c r="B217" s="2434">
        <v>3</v>
      </c>
      <c r="C217" s="2434">
        <v>10</v>
      </c>
      <c r="D217" s="2401">
        <v>5</v>
      </c>
      <c r="E217" s="2401">
        <v>3</v>
      </c>
      <c r="F217" s="2401">
        <v>5</v>
      </c>
      <c r="G217" s="2401">
        <v>3</v>
      </c>
      <c r="H217" s="2402" t="s">
        <v>751</v>
      </c>
      <c r="I217" s="2401"/>
      <c r="J217" s="2402"/>
      <c r="K217" s="2405">
        <v>372327000</v>
      </c>
      <c r="L217" s="2405">
        <v>256871000</v>
      </c>
      <c r="M217" s="2405">
        <f t="shared" si="17"/>
        <v>-115456000</v>
      </c>
      <c r="N217" s="2402" t="s">
        <v>22</v>
      </c>
      <c r="O217" s="419" t="s">
        <v>26</v>
      </c>
      <c r="P217" s="567">
        <v>3800000</v>
      </c>
      <c r="Q217" s="567">
        <f t="shared" si="18"/>
        <v>-368527000</v>
      </c>
    </row>
    <row r="218" spans="1:17">
      <c r="A218" s="2447">
        <v>2</v>
      </c>
      <c r="B218" s="2434">
        <v>3</v>
      </c>
      <c r="C218" s="2434">
        <v>10</v>
      </c>
      <c r="D218" s="2401">
        <v>5</v>
      </c>
      <c r="E218" s="2401">
        <v>3</v>
      </c>
      <c r="F218" s="2401">
        <v>5</v>
      </c>
      <c r="G218" s="2401">
        <v>4</v>
      </c>
      <c r="H218" s="2402" t="s">
        <v>752</v>
      </c>
      <c r="I218" s="2401"/>
      <c r="J218" s="2402"/>
      <c r="K218" s="2405">
        <v>7000000</v>
      </c>
      <c r="L218" s="2405">
        <v>5000000</v>
      </c>
      <c r="M218" s="2405">
        <f t="shared" si="17"/>
        <v>-2000000</v>
      </c>
      <c r="N218" s="2402" t="s">
        <v>22</v>
      </c>
      <c r="O218" s="419" t="s">
        <v>26</v>
      </c>
      <c r="P218" s="567">
        <v>13750000</v>
      </c>
      <c r="Q218" s="567">
        <f t="shared" si="18"/>
        <v>6750000</v>
      </c>
    </row>
    <row r="219" spans="1:17">
      <c r="A219" s="2447"/>
      <c r="B219" s="2434"/>
      <c r="C219" s="2434"/>
      <c r="D219" s="2401"/>
      <c r="E219" s="2401"/>
      <c r="F219" s="2401"/>
      <c r="G219" s="2401"/>
      <c r="H219" s="2402"/>
      <c r="I219" s="2401"/>
      <c r="J219" s="2402"/>
      <c r="K219" s="2405"/>
      <c r="L219" s="2405"/>
      <c r="M219" s="2405"/>
      <c r="N219" s="2402"/>
      <c r="P219" s="567"/>
      <c r="Q219" s="567"/>
    </row>
    <row r="220" spans="1:17" s="553" customFormat="1">
      <c r="A220" s="2589">
        <v>2</v>
      </c>
      <c r="B220" s="2590">
        <v>3</v>
      </c>
      <c r="C220" s="2590">
        <v>12</v>
      </c>
      <c r="D220" s="561"/>
      <c r="E220" s="561"/>
      <c r="F220" s="561"/>
      <c r="G220" s="561"/>
      <c r="H220" s="1467" t="s">
        <v>1331</v>
      </c>
      <c r="I220" s="2591"/>
      <c r="J220" s="441"/>
      <c r="K220" s="555">
        <f>K221</f>
        <v>40000000</v>
      </c>
      <c r="L220" s="555">
        <f>L221</f>
        <v>5145000</v>
      </c>
      <c r="M220" s="2658">
        <f>L220-K220</f>
        <v>-34855000</v>
      </c>
      <c r="N220" s="555"/>
      <c r="O220" s="555"/>
    </row>
    <row r="221" spans="1:17">
      <c r="A221" s="575">
        <v>2</v>
      </c>
      <c r="B221" s="573">
        <v>3</v>
      </c>
      <c r="C221" s="573">
        <v>12</v>
      </c>
      <c r="D221" s="563">
        <v>5</v>
      </c>
      <c r="E221" s="563">
        <v>3</v>
      </c>
      <c r="F221" s="563"/>
      <c r="G221" s="563"/>
      <c r="H221" s="564" t="s">
        <v>1595</v>
      </c>
      <c r="I221" s="2588"/>
      <c r="J221" s="564"/>
      <c r="K221" s="567">
        <f>K222</f>
        <v>40000000</v>
      </c>
      <c r="L221" s="567">
        <f>L222</f>
        <v>5145000</v>
      </c>
      <c r="M221" s="2584">
        <f t="shared" ref="M221:M224" si="19">L221-K221</f>
        <v>-34855000</v>
      </c>
      <c r="N221" s="567"/>
      <c r="O221" s="567"/>
    </row>
    <row r="222" spans="1:17">
      <c r="A222" s="575">
        <v>2</v>
      </c>
      <c r="B222" s="573">
        <v>3</v>
      </c>
      <c r="C222" s="573">
        <v>12</v>
      </c>
      <c r="D222" s="563">
        <v>5</v>
      </c>
      <c r="E222" s="563">
        <v>3</v>
      </c>
      <c r="F222" s="563">
        <v>5</v>
      </c>
      <c r="G222" s="563"/>
      <c r="H222" s="443" t="s">
        <v>1596</v>
      </c>
      <c r="I222" s="2588"/>
      <c r="J222" s="564"/>
      <c r="K222" s="567">
        <f>SUM(K223:K224)</f>
        <v>40000000</v>
      </c>
      <c r="L222" s="567">
        <f>SUM(L223:L224)</f>
        <v>5145000</v>
      </c>
      <c r="M222" s="2584">
        <f t="shared" si="19"/>
        <v>-34855000</v>
      </c>
      <c r="N222" s="567"/>
      <c r="O222" s="567"/>
    </row>
    <row r="223" spans="1:17">
      <c r="A223" s="575">
        <v>2</v>
      </c>
      <c r="B223" s="573">
        <v>3</v>
      </c>
      <c r="C223" s="573">
        <v>12</v>
      </c>
      <c r="D223" s="563">
        <v>5</v>
      </c>
      <c r="E223" s="563">
        <v>3</v>
      </c>
      <c r="F223" s="563">
        <v>5</v>
      </c>
      <c r="G223" s="563">
        <v>1</v>
      </c>
      <c r="H223" s="564" t="s">
        <v>749</v>
      </c>
      <c r="I223" s="2588"/>
      <c r="J223" s="564"/>
      <c r="K223" s="567">
        <v>450000</v>
      </c>
      <c r="L223" s="564">
        <f>'2.1 PAMSIMAS (2)'!H18</f>
        <v>450000</v>
      </c>
      <c r="M223" s="2584">
        <f t="shared" si="19"/>
        <v>0</v>
      </c>
      <c r="N223" s="567"/>
      <c r="O223" s="567"/>
    </row>
    <row r="224" spans="1:17">
      <c r="A224" s="575">
        <v>2</v>
      </c>
      <c r="B224" s="573">
        <v>3</v>
      </c>
      <c r="C224" s="573">
        <v>12</v>
      </c>
      <c r="D224" s="563">
        <v>5</v>
      </c>
      <c r="E224" s="563">
        <v>3</v>
      </c>
      <c r="F224" s="563">
        <v>5</v>
      </c>
      <c r="G224" s="563">
        <v>3</v>
      </c>
      <c r="H224" s="564" t="s">
        <v>751</v>
      </c>
      <c r="I224" s="2588"/>
      <c r="J224" s="564"/>
      <c r="K224" s="567">
        <v>39550000</v>
      </c>
      <c r="L224" s="564">
        <f>'2.1 PAMSIMAS (2)'!H24</f>
        <v>4695000</v>
      </c>
      <c r="M224" s="2584">
        <f t="shared" si="19"/>
        <v>-34855000</v>
      </c>
      <c r="N224" s="567"/>
      <c r="O224" s="567"/>
    </row>
    <row r="225" spans="1:19">
      <c r="A225" s="2447"/>
      <c r="B225" s="2434"/>
      <c r="C225" s="2434"/>
      <c r="D225" s="2401"/>
      <c r="E225" s="2401"/>
      <c r="F225" s="2401"/>
      <c r="G225" s="2401"/>
      <c r="H225" s="2402"/>
      <c r="I225" s="2401"/>
      <c r="J225" s="2402"/>
      <c r="K225" s="2405"/>
      <c r="L225" s="2405"/>
      <c r="M225" s="2405"/>
      <c r="N225" s="2402"/>
      <c r="P225" s="567"/>
      <c r="Q225" s="567"/>
    </row>
    <row r="226" spans="1:19" ht="29.25" customHeight="1">
      <c r="A226" s="2416">
        <v>3</v>
      </c>
      <c r="B226" s="2445"/>
      <c r="C226" s="2445"/>
      <c r="D226" s="2446"/>
      <c r="E226" s="2416"/>
      <c r="F226" s="2416"/>
      <c r="G226" s="2416"/>
      <c r="H226" s="2417" t="s">
        <v>662</v>
      </c>
      <c r="I226" s="2416"/>
      <c r="J226" s="2417"/>
      <c r="K226" s="2418">
        <f>K227+K232+K250+K260+K255+K265+K269</f>
        <v>270759386</v>
      </c>
      <c r="L226" s="2418">
        <f>L227+L232+L250+L260+L255+L265+L269</f>
        <v>216340886</v>
      </c>
      <c r="M226" s="2418">
        <f t="shared" si="17"/>
        <v>-54418500</v>
      </c>
      <c r="N226" s="2417"/>
      <c r="P226" s="816">
        <v>5850000</v>
      </c>
      <c r="Q226" s="816">
        <f t="shared" si="18"/>
        <v>-264909386</v>
      </c>
      <c r="R226" s="973">
        <f>L226-216340386</f>
        <v>500</v>
      </c>
    </row>
    <row r="227" spans="1:19" s="556" customFormat="1" ht="20.25" customHeight="1">
      <c r="A227" s="2398">
        <v>3</v>
      </c>
      <c r="B227" s="2419">
        <v>1</v>
      </c>
      <c r="C227" s="2419"/>
      <c r="D227" s="2401"/>
      <c r="E227" s="2398"/>
      <c r="F227" s="2398"/>
      <c r="G227" s="2398"/>
      <c r="H227" s="2399" t="s">
        <v>663</v>
      </c>
      <c r="I227" s="2398"/>
      <c r="J227" s="2399"/>
      <c r="K227" s="2404">
        <f t="shared" ref="K227:L229" si="20">K228</f>
        <v>8700000</v>
      </c>
      <c r="L227" s="2404">
        <f t="shared" si="20"/>
        <v>8700000</v>
      </c>
      <c r="M227" s="2404">
        <f t="shared" si="17"/>
        <v>0</v>
      </c>
      <c r="N227" s="2399"/>
      <c r="P227" s="802">
        <v>54250000</v>
      </c>
      <c r="Q227" s="802">
        <f t="shared" si="18"/>
        <v>45550000</v>
      </c>
    </row>
    <row r="228" spans="1:19" ht="19.5" customHeight="1">
      <c r="A228" s="2447">
        <v>3</v>
      </c>
      <c r="B228" s="2434">
        <v>1</v>
      </c>
      <c r="C228" s="2434" t="s">
        <v>594</v>
      </c>
      <c r="D228" s="2401">
        <v>5</v>
      </c>
      <c r="E228" s="2401"/>
      <c r="F228" s="2401"/>
      <c r="G228" s="2401"/>
      <c r="H228" s="2448" t="s">
        <v>479</v>
      </c>
      <c r="I228" s="2439"/>
      <c r="J228" s="2402"/>
      <c r="K228" s="2405">
        <f t="shared" si="20"/>
        <v>8700000</v>
      </c>
      <c r="L228" s="2405">
        <f t="shared" si="20"/>
        <v>8700000</v>
      </c>
      <c r="M228" s="2405">
        <f t="shared" si="17"/>
        <v>0</v>
      </c>
      <c r="N228" s="2402"/>
      <c r="P228" s="796">
        <v>194600000</v>
      </c>
      <c r="Q228" s="796">
        <f t="shared" si="18"/>
        <v>185900000</v>
      </c>
    </row>
    <row r="229" spans="1:19" ht="19.5" customHeight="1">
      <c r="A229" s="2447">
        <v>3</v>
      </c>
      <c r="B229" s="2434">
        <v>1</v>
      </c>
      <c r="C229" s="2434" t="s">
        <v>594</v>
      </c>
      <c r="D229" s="2401">
        <v>5</v>
      </c>
      <c r="E229" s="2401">
        <v>2</v>
      </c>
      <c r="F229" s="2401"/>
      <c r="G229" s="2401"/>
      <c r="H229" s="2402" t="s">
        <v>8</v>
      </c>
      <c r="I229" s="2401"/>
      <c r="J229" s="2402"/>
      <c r="K229" s="2405">
        <f t="shared" si="20"/>
        <v>8700000</v>
      </c>
      <c r="L229" s="2405">
        <f t="shared" si="20"/>
        <v>8700000</v>
      </c>
      <c r="M229" s="2405">
        <f t="shared" si="17"/>
        <v>0</v>
      </c>
      <c r="N229" s="2402"/>
      <c r="P229" s="567">
        <v>40000000</v>
      </c>
      <c r="Q229" s="567">
        <f t="shared" si="18"/>
        <v>31300000</v>
      </c>
    </row>
    <row r="230" spans="1:19" ht="19.5" customHeight="1">
      <c r="A230" s="2447">
        <v>3</v>
      </c>
      <c r="B230" s="2434">
        <v>1</v>
      </c>
      <c r="C230" s="2434" t="s">
        <v>594</v>
      </c>
      <c r="D230" s="2401">
        <v>5</v>
      </c>
      <c r="E230" s="2401">
        <v>2</v>
      </c>
      <c r="F230" s="2401">
        <v>2</v>
      </c>
      <c r="G230" s="2401"/>
      <c r="H230" s="2402" t="s">
        <v>736</v>
      </c>
      <c r="I230" s="2401"/>
      <c r="J230" s="2402"/>
      <c r="K230" s="2405">
        <f>SUM(K231:K231)</f>
        <v>8700000</v>
      </c>
      <c r="L230" s="2405">
        <f>SUM(L231:L231)</f>
        <v>8700000</v>
      </c>
      <c r="M230" s="2405">
        <f t="shared" si="17"/>
        <v>0</v>
      </c>
      <c r="N230" s="2402"/>
      <c r="P230" s="567">
        <v>40000000</v>
      </c>
      <c r="Q230" s="567">
        <f t="shared" si="18"/>
        <v>31300000</v>
      </c>
    </row>
    <row r="231" spans="1:19" s="553" customFormat="1">
      <c r="A231" s="2447">
        <v>3</v>
      </c>
      <c r="B231" s="2434">
        <v>1</v>
      </c>
      <c r="C231" s="2434" t="s">
        <v>594</v>
      </c>
      <c r="D231" s="2401">
        <v>5</v>
      </c>
      <c r="E231" s="2401">
        <v>2</v>
      </c>
      <c r="F231" s="2401">
        <v>2</v>
      </c>
      <c r="G231" s="2401">
        <v>5</v>
      </c>
      <c r="H231" s="2402" t="s">
        <v>738</v>
      </c>
      <c r="I231" s="2401">
        <v>1</v>
      </c>
      <c r="J231" s="2402" t="s">
        <v>164</v>
      </c>
      <c r="K231" s="2405">
        <f>'3.1 Linmas'!H20</f>
        <v>8700000</v>
      </c>
      <c r="L231" s="2405">
        <f>K231</f>
        <v>8700000</v>
      </c>
      <c r="M231" s="2405">
        <f t="shared" si="17"/>
        <v>0</v>
      </c>
      <c r="N231" s="2402" t="s">
        <v>240</v>
      </c>
      <c r="O231" s="554" t="s">
        <v>926</v>
      </c>
      <c r="P231" s="567">
        <v>40000000</v>
      </c>
      <c r="Q231" s="567">
        <f t="shared" si="18"/>
        <v>31300000</v>
      </c>
    </row>
    <row r="232" spans="1:19" s="553" customFormat="1">
      <c r="A232" s="2398">
        <v>3</v>
      </c>
      <c r="B232" s="2419">
        <v>2</v>
      </c>
      <c r="C232" s="2431"/>
      <c r="D232" s="2398"/>
      <c r="E232" s="2398"/>
      <c r="F232" s="2398"/>
      <c r="G232" s="2398"/>
      <c r="H232" s="2460" t="s">
        <v>665</v>
      </c>
      <c r="I232" s="2398"/>
      <c r="J232" s="2399"/>
      <c r="K232" s="2404">
        <f>K233+K237</f>
        <v>33270000</v>
      </c>
      <c r="L232" s="2404">
        <f>L233+L237</f>
        <v>21900000</v>
      </c>
      <c r="M232" s="2404">
        <f t="shared" si="17"/>
        <v>-11370000</v>
      </c>
      <c r="N232" s="2399"/>
      <c r="P232" s="555">
        <v>350000</v>
      </c>
      <c r="Q232" s="555">
        <f t="shared" si="18"/>
        <v>-32920000</v>
      </c>
    </row>
    <row r="233" spans="1:19" s="554" customFormat="1">
      <c r="A233" s="2401">
        <v>3</v>
      </c>
      <c r="B233" s="2420">
        <v>2</v>
      </c>
      <c r="C233" s="2434">
        <v>90</v>
      </c>
      <c r="D233" s="2401"/>
      <c r="E233" s="2401"/>
      <c r="F233" s="2401"/>
      <c r="G233" s="2401"/>
      <c r="H233" s="2452" t="s">
        <v>967</v>
      </c>
      <c r="I233" s="2433"/>
      <c r="J233" s="2402"/>
      <c r="K233" s="2405">
        <f>K234</f>
        <v>24300000</v>
      </c>
      <c r="L233" s="2405">
        <f>L234</f>
        <v>21900000</v>
      </c>
      <c r="M233" s="2405">
        <f t="shared" si="17"/>
        <v>-2400000</v>
      </c>
      <c r="N233" s="2402"/>
      <c r="P233" s="796">
        <v>39650000</v>
      </c>
      <c r="Q233" s="796">
        <f t="shared" si="18"/>
        <v>15350000</v>
      </c>
    </row>
    <row r="234" spans="1:19" s="554" customFormat="1">
      <c r="A234" s="2447">
        <v>3</v>
      </c>
      <c r="B234" s="2434">
        <v>2</v>
      </c>
      <c r="C234" s="2434">
        <v>90</v>
      </c>
      <c r="D234" s="2401">
        <v>5</v>
      </c>
      <c r="E234" s="2401">
        <v>2</v>
      </c>
      <c r="F234" s="2401"/>
      <c r="G234" s="2401"/>
      <c r="H234" s="2402" t="s">
        <v>8</v>
      </c>
      <c r="I234" s="2401"/>
      <c r="J234" s="2402"/>
      <c r="K234" s="2405">
        <f>K235</f>
        <v>24300000</v>
      </c>
      <c r="L234" s="2405">
        <f>L235</f>
        <v>21900000</v>
      </c>
      <c r="M234" s="2405">
        <f t="shared" si="17"/>
        <v>-2400000</v>
      </c>
      <c r="N234" s="2402"/>
      <c r="P234" s="567">
        <v>114010000</v>
      </c>
      <c r="Q234" s="567">
        <f t="shared" si="18"/>
        <v>89710000</v>
      </c>
    </row>
    <row r="235" spans="1:19" s="554" customFormat="1">
      <c r="A235" s="2447">
        <v>3</v>
      </c>
      <c r="B235" s="2420">
        <v>2</v>
      </c>
      <c r="C235" s="2434">
        <v>90</v>
      </c>
      <c r="D235" s="2401">
        <v>5</v>
      </c>
      <c r="E235" s="2401">
        <v>2</v>
      </c>
      <c r="F235" s="2401">
        <v>2</v>
      </c>
      <c r="G235" s="2401"/>
      <c r="H235" s="2402" t="s">
        <v>736</v>
      </c>
      <c r="I235" s="2401"/>
      <c r="J235" s="2402"/>
      <c r="K235" s="2405">
        <f>SUM(K236:K236)</f>
        <v>24300000</v>
      </c>
      <c r="L235" s="2405">
        <f>SUM(L236:L236)</f>
        <v>21900000</v>
      </c>
      <c r="M235" s="2405">
        <f t="shared" si="17"/>
        <v>-2400000</v>
      </c>
      <c r="N235" s="2402"/>
      <c r="P235" s="567">
        <v>8700000</v>
      </c>
      <c r="Q235" s="567">
        <f t="shared" si="18"/>
        <v>-15600000</v>
      </c>
    </row>
    <row r="236" spans="1:19" s="554" customFormat="1">
      <c r="A236" s="2447">
        <v>3</v>
      </c>
      <c r="B236" s="2420">
        <v>2</v>
      </c>
      <c r="C236" s="2434">
        <v>90</v>
      </c>
      <c r="D236" s="2401">
        <v>5</v>
      </c>
      <c r="E236" s="2401">
        <v>2</v>
      </c>
      <c r="F236" s="2401">
        <v>2</v>
      </c>
      <c r="G236" s="2401">
        <v>5</v>
      </c>
      <c r="H236" s="2402" t="s">
        <v>738</v>
      </c>
      <c r="I236" s="2401">
        <v>1</v>
      </c>
      <c r="J236" s="2402" t="s">
        <v>164</v>
      </c>
      <c r="K236" s="2405">
        <f>'3.2 Kagmaan SARA'!H21</f>
        <v>24300000</v>
      </c>
      <c r="L236" s="2405">
        <f>'3.2 Kagmaan SARA'!L22</f>
        <v>21900000</v>
      </c>
      <c r="M236" s="2405">
        <f t="shared" si="17"/>
        <v>-2400000</v>
      </c>
      <c r="N236" s="2402" t="s">
        <v>330</v>
      </c>
      <c r="O236" s="554" t="s">
        <v>926</v>
      </c>
      <c r="P236" s="567">
        <v>8700000</v>
      </c>
      <c r="Q236" s="567">
        <f t="shared" si="18"/>
        <v>-15600000</v>
      </c>
    </row>
    <row r="237" spans="1:19" s="554" customFormat="1" ht="47.25">
      <c r="A237" s="2401">
        <v>3</v>
      </c>
      <c r="B237" s="2420">
        <v>2</v>
      </c>
      <c r="C237" s="2434" t="s">
        <v>595</v>
      </c>
      <c r="D237" s="2401"/>
      <c r="E237" s="2401"/>
      <c r="F237" s="2401"/>
      <c r="G237" s="2401"/>
      <c r="H237" s="2448" t="s">
        <v>470</v>
      </c>
      <c r="I237" s="2439"/>
      <c r="J237" s="2402"/>
      <c r="K237" s="2405">
        <f>K238+K244+K247</f>
        <v>8970000</v>
      </c>
      <c r="L237" s="2405">
        <f>L238+L244+L247</f>
        <v>0</v>
      </c>
      <c r="M237" s="2405">
        <f t="shared" si="17"/>
        <v>-8970000</v>
      </c>
      <c r="N237" s="2402"/>
      <c r="P237" s="796">
        <v>8700000</v>
      </c>
      <c r="Q237" s="796">
        <f t="shared" si="18"/>
        <v>-270000</v>
      </c>
    </row>
    <row r="238" spans="1:19" s="554" customFormat="1">
      <c r="A238" s="2447">
        <v>3</v>
      </c>
      <c r="B238" s="2434">
        <v>2</v>
      </c>
      <c r="C238" s="2434" t="s">
        <v>595</v>
      </c>
      <c r="D238" s="2401">
        <v>5</v>
      </c>
      <c r="E238" s="2401">
        <v>2</v>
      </c>
      <c r="F238" s="2401"/>
      <c r="G238" s="2401"/>
      <c r="H238" s="2402" t="s">
        <v>8</v>
      </c>
      <c r="I238" s="2401"/>
      <c r="J238" s="2402"/>
      <c r="K238" s="2405">
        <f>SUM(K239:K243)</f>
        <v>7020000</v>
      </c>
      <c r="L238" s="2405">
        <f>SUM(L239:L243)</f>
        <v>0</v>
      </c>
      <c r="M238" s="2405">
        <f t="shared" si="17"/>
        <v>-7020000</v>
      </c>
      <c r="N238" s="2402"/>
      <c r="P238" s="567">
        <v>8700000</v>
      </c>
      <c r="Q238" s="567">
        <f t="shared" si="18"/>
        <v>1680000</v>
      </c>
      <c r="S238" s="1499"/>
    </row>
    <row r="239" spans="1:19" s="554" customFormat="1">
      <c r="A239" s="2447">
        <v>3</v>
      </c>
      <c r="B239" s="2420">
        <v>2</v>
      </c>
      <c r="C239" s="2434" t="s">
        <v>595</v>
      </c>
      <c r="D239" s="2401">
        <v>5</v>
      </c>
      <c r="E239" s="2401">
        <v>2</v>
      </c>
      <c r="F239" s="2401">
        <v>1</v>
      </c>
      <c r="G239" s="2401">
        <v>3</v>
      </c>
      <c r="H239" s="2402" t="s">
        <v>733</v>
      </c>
      <c r="I239" s="2401">
        <v>1</v>
      </c>
      <c r="J239" s="2402" t="s">
        <v>164</v>
      </c>
      <c r="K239" s="2405">
        <f>'3.3 HUT RI'!H27</f>
        <v>1200000</v>
      </c>
      <c r="L239" s="2405">
        <f>'3.3 HUT RI'!L27</f>
        <v>0</v>
      </c>
      <c r="M239" s="2405">
        <f t="shared" si="17"/>
        <v>-1200000</v>
      </c>
      <c r="N239" s="2402" t="s">
        <v>23</v>
      </c>
      <c r="O239" s="554" t="s">
        <v>926</v>
      </c>
      <c r="P239" s="567">
        <v>26460000</v>
      </c>
      <c r="Q239" s="567">
        <f t="shared" si="18"/>
        <v>25260000</v>
      </c>
    </row>
    <row r="240" spans="1:19" ht="31.5">
      <c r="A240" s="2447">
        <v>3</v>
      </c>
      <c r="B240" s="2420">
        <v>2</v>
      </c>
      <c r="C240" s="2434" t="s">
        <v>595</v>
      </c>
      <c r="D240" s="2401">
        <v>5</v>
      </c>
      <c r="E240" s="2401">
        <v>2</v>
      </c>
      <c r="F240" s="2420">
        <v>1</v>
      </c>
      <c r="G240" s="2420">
        <v>4</v>
      </c>
      <c r="H240" s="2402" t="s">
        <v>735</v>
      </c>
      <c r="I240" s="2401">
        <v>1</v>
      </c>
      <c r="J240" s="2402" t="s">
        <v>164</v>
      </c>
      <c r="K240" s="2405">
        <f>'3.3 HUT RI'!H20+'3.9 STQ - '!I21</f>
        <v>3425000</v>
      </c>
      <c r="L240" s="2405">
        <f>'3.3 HUT RI'!L20+'3.9 STQ - '!L21</f>
        <v>0</v>
      </c>
      <c r="M240" s="2405">
        <f t="shared" si="17"/>
        <v>-3425000</v>
      </c>
      <c r="N240" s="2402" t="s">
        <v>23</v>
      </c>
      <c r="O240" s="419" t="s">
        <v>926</v>
      </c>
      <c r="P240" s="567">
        <v>24300000</v>
      </c>
      <c r="Q240" s="567">
        <f t="shared" si="18"/>
        <v>20875000</v>
      </c>
    </row>
    <row r="241" spans="1:17">
      <c r="A241" s="2447">
        <v>4</v>
      </c>
      <c r="B241" s="2434">
        <v>3</v>
      </c>
      <c r="C241" s="2434" t="s">
        <v>595</v>
      </c>
      <c r="D241" s="2401">
        <v>5</v>
      </c>
      <c r="E241" s="2401">
        <v>2</v>
      </c>
      <c r="F241" s="2401">
        <v>1</v>
      </c>
      <c r="G241" s="2401">
        <v>1</v>
      </c>
      <c r="H241" s="2453" t="s">
        <v>1194</v>
      </c>
      <c r="I241" s="2401"/>
      <c r="J241" s="2402"/>
      <c r="K241" s="2405">
        <f>'3.9 STQ - '!I16</f>
        <v>315000</v>
      </c>
      <c r="L241" s="2405">
        <f>'3.9 STQ - '!L16</f>
        <v>0</v>
      </c>
      <c r="M241" s="2405">
        <f t="shared" si="17"/>
        <v>-315000</v>
      </c>
      <c r="N241" s="2402" t="s">
        <v>23</v>
      </c>
      <c r="O241" s="419" t="s">
        <v>926</v>
      </c>
      <c r="P241" s="567"/>
      <c r="Q241" s="567"/>
    </row>
    <row r="242" spans="1:17">
      <c r="A242" s="2447">
        <v>4</v>
      </c>
      <c r="B242" s="2434">
        <v>3</v>
      </c>
      <c r="C242" s="2434" t="s">
        <v>595</v>
      </c>
      <c r="D242" s="2401">
        <v>5</v>
      </c>
      <c r="E242" s="2401">
        <v>2</v>
      </c>
      <c r="F242" s="2401">
        <v>1</v>
      </c>
      <c r="G242" s="2401">
        <v>2</v>
      </c>
      <c r="H242" s="2453" t="s">
        <v>1121</v>
      </c>
      <c r="I242" s="2401"/>
      <c r="J242" s="2402"/>
      <c r="K242" s="2405">
        <f>'3.9 STQ - '!I38</f>
        <v>1725000</v>
      </c>
      <c r="L242" s="2405">
        <f>'3.9 STQ - '!L38</f>
        <v>0</v>
      </c>
      <c r="M242" s="2405">
        <f t="shared" si="17"/>
        <v>-1725000</v>
      </c>
      <c r="N242" s="2402" t="s">
        <v>23</v>
      </c>
      <c r="O242" s="419" t="s">
        <v>926</v>
      </c>
      <c r="P242" s="567"/>
      <c r="Q242" s="567"/>
    </row>
    <row r="243" spans="1:17">
      <c r="A243" s="2447">
        <v>4</v>
      </c>
      <c r="B243" s="2434">
        <v>3</v>
      </c>
      <c r="C243" s="2434" t="s">
        <v>595</v>
      </c>
      <c r="D243" s="2401">
        <v>5</v>
      </c>
      <c r="E243" s="2401">
        <v>2</v>
      </c>
      <c r="F243" s="2401">
        <v>1</v>
      </c>
      <c r="G243" s="2401">
        <v>4</v>
      </c>
      <c r="H243" s="2402" t="s">
        <v>1335</v>
      </c>
      <c r="I243" s="2401"/>
      <c r="J243" s="2402"/>
      <c r="K243" s="2405">
        <f>'3.9 STQ - '!I34</f>
        <v>355000</v>
      </c>
      <c r="L243" s="2405">
        <f>'3.9 STQ - '!L34</f>
        <v>0</v>
      </c>
      <c r="M243" s="2405">
        <f t="shared" si="17"/>
        <v>-355000</v>
      </c>
      <c r="N243" s="2402" t="s">
        <v>23</v>
      </c>
      <c r="O243" s="419" t="s">
        <v>926</v>
      </c>
      <c r="P243" s="567"/>
      <c r="Q243" s="567"/>
    </row>
    <row r="244" spans="1:17">
      <c r="A244" s="2447">
        <v>4</v>
      </c>
      <c r="B244" s="2434">
        <v>3</v>
      </c>
      <c r="C244" s="2434" t="s">
        <v>595</v>
      </c>
      <c r="D244" s="2401">
        <v>5</v>
      </c>
      <c r="E244" s="2401">
        <v>2</v>
      </c>
      <c r="F244" s="2401">
        <v>2</v>
      </c>
      <c r="G244" s="2401"/>
      <c r="H244" s="2453" t="s">
        <v>1128</v>
      </c>
      <c r="I244" s="2401"/>
      <c r="J244" s="2402"/>
      <c r="K244" s="2405">
        <f>K245</f>
        <v>1150000</v>
      </c>
      <c r="L244" s="2405">
        <f>L245</f>
        <v>0</v>
      </c>
      <c r="M244" s="2405">
        <f t="shared" si="17"/>
        <v>-1150000</v>
      </c>
      <c r="N244" s="2402"/>
      <c r="O244" s="554"/>
      <c r="P244" s="567"/>
      <c r="Q244" s="567"/>
    </row>
    <row r="245" spans="1:17">
      <c r="A245" s="2447">
        <v>4</v>
      </c>
      <c r="B245" s="2434">
        <v>3</v>
      </c>
      <c r="C245" s="2434" t="s">
        <v>595</v>
      </c>
      <c r="D245" s="2401">
        <v>5</v>
      </c>
      <c r="E245" s="2401">
        <v>2</v>
      </c>
      <c r="F245" s="2401">
        <v>2</v>
      </c>
      <c r="G245" s="2446">
        <v>90</v>
      </c>
      <c r="H245" s="2453" t="s">
        <v>1195</v>
      </c>
      <c r="I245" s="2401"/>
      <c r="J245" s="2402"/>
      <c r="K245" s="2405">
        <f>'3.9 STQ - '!I42</f>
        <v>1150000</v>
      </c>
      <c r="L245" s="2405">
        <f>'3.9 STQ - '!L42</f>
        <v>0</v>
      </c>
      <c r="M245" s="2405">
        <f t="shared" si="17"/>
        <v>-1150000</v>
      </c>
      <c r="N245" s="2402" t="s">
        <v>23</v>
      </c>
      <c r="O245" s="554" t="s">
        <v>926</v>
      </c>
      <c r="P245" s="567"/>
      <c r="Q245" s="567"/>
    </row>
    <row r="246" spans="1:17">
      <c r="A246" s="2447"/>
      <c r="B246" s="2420"/>
      <c r="C246" s="2434"/>
      <c r="D246" s="2401"/>
      <c r="E246" s="2401"/>
      <c r="F246" s="2420"/>
      <c r="G246" s="2420"/>
      <c r="H246" s="2402"/>
      <c r="I246" s="2401"/>
      <c r="J246" s="2402"/>
      <c r="K246" s="2405"/>
      <c r="L246" s="2405"/>
      <c r="M246" s="2405">
        <f t="shared" si="17"/>
        <v>0</v>
      </c>
      <c r="N246" s="2402"/>
      <c r="P246" s="567"/>
      <c r="Q246" s="567"/>
    </row>
    <row r="247" spans="1:17">
      <c r="A247" s="2447">
        <v>3</v>
      </c>
      <c r="B247" s="2420">
        <v>2</v>
      </c>
      <c r="C247" s="2434" t="s">
        <v>595</v>
      </c>
      <c r="D247" s="2401">
        <v>5</v>
      </c>
      <c r="E247" s="2401">
        <v>2</v>
      </c>
      <c r="F247" s="2401">
        <v>4</v>
      </c>
      <c r="G247" s="2401"/>
      <c r="H247" s="2402" t="s">
        <v>743</v>
      </c>
      <c r="I247" s="2401"/>
      <c r="J247" s="2402"/>
      <c r="K247" s="2405">
        <f>K248</f>
        <v>800000</v>
      </c>
      <c r="L247" s="2405">
        <f>L248</f>
        <v>0</v>
      </c>
      <c r="M247" s="2405">
        <f t="shared" si="17"/>
        <v>-800000</v>
      </c>
      <c r="N247" s="2402"/>
      <c r="P247" s="567">
        <v>24300000</v>
      </c>
      <c r="Q247" s="567">
        <f>P247-K247</f>
        <v>23500000</v>
      </c>
    </row>
    <row r="248" spans="1:17">
      <c r="A248" s="2447">
        <v>3</v>
      </c>
      <c r="B248" s="2420">
        <v>2</v>
      </c>
      <c r="C248" s="2434" t="s">
        <v>595</v>
      </c>
      <c r="D248" s="2401">
        <v>5</v>
      </c>
      <c r="E248" s="2401">
        <v>2</v>
      </c>
      <c r="F248" s="2401">
        <v>4</v>
      </c>
      <c r="G248" s="2401">
        <v>2</v>
      </c>
      <c r="H248" s="2402" t="s">
        <v>962</v>
      </c>
      <c r="I248" s="2401">
        <v>1</v>
      </c>
      <c r="J248" s="2402" t="s">
        <v>164</v>
      </c>
      <c r="K248" s="2405">
        <f>'3.3 HUT RI'!H24</f>
        <v>800000</v>
      </c>
      <c r="L248" s="2405">
        <f>'3.3 HUT RI'!L24</f>
        <v>0</v>
      </c>
      <c r="M248" s="2405">
        <f t="shared" si="17"/>
        <v>-800000</v>
      </c>
      <c r="N248" s="2402" t="s">
        <v>23</v>
      </c>
      <c r="O248" s="419" t="s">
        <v>926</v>
      </c>
      <c r="P248" s="567">
        <v>24300000</v>
      </c>
      <c r="Q248" s="567">
        <f>P248-K248</f>
        <v>23500000</v>
      </c>
    </row>
    <row r="249" spans="1:17">
      <c r="A249" s="2454"/>
      <c r="B249" s="2455"/>
      <c r="C249" s="2455"/>
      <c r="D249" s="2456"/>
      <c r="E249" s="2456"/>
      <c r="F249" s="2456"/>
      <c r="G249" s="2456"/>
      <c r="H249" s="2457"/>
      <c r="I249" s="2456"/>
      <c r="J249" s="2458"/>
      <c r="K249" s="2459">
        <f>'3.9 STQ - '!I29</f>
        <v>0</v>
      </c>
      <c r="L249" s="2459">
        <f>'3.9 STQ - '!J29</f>
        <v>0</v>
      </c>
      <c r="M249" s="2459">
        <f t="shared" si="17"/>
        <v>0</v>
      </c>
      <c r="N249" s="2402"/>
      <c r="P249" s="567"/>
      <c r="Q249" s="567"/>
    </row>
    <row r="250" spans="1:17" s="420" customFormat="1">
      <c r="A250" s="2449">
        <v>3</v>
      </c>
      <c r="B250" s="2419">
        <v>3</v>
      </c>
      <c r="C250" s="2431"/>
      <c r="D250" s="2398"/>
      <c r="E250" s="2398"/>
      <c r="F250" s="2398"/>
      <c r="G250" s="2398"/>
      <c r="H250" s="2399" t="s">
        <v>668</v>
      </c>
      <c r="I250" s="2398"/>
      <c r="J250" s="2399"/>
      <c r="K250" s="2404">
        <f t="shared" ref="K250:L252" si="21">K251</f>
        <v>1200000</v>
      </c>
      <c r="L250" s="2404">
        <f>L251</f>
        <v>0</v>
      </c>
      <c r="M250" s="2404">
        <f t="shared" si="17"/>
        <v>-1200000</v>
      </c>
      <c r="N250" s="2399"/>
      <c r="P250" s="802">
        <v>24300000</v>
      </c>
      <c r="Q250" s="802">
        <f>P250-K250</f>
        <v>23100000</v>
      </c>
    </row>
    <row r="251" spans="1:17">
      <c r="A251" s="2447">
        <v>3</v>
      </c>
      <c r="B251" s="2420">
        <v>3</v>
      </c>
      <c r="C251" s="2434" t="s">
        <v>598</v>
      </c>
      <c r="D251" s="2401">
        <v>5</v>
      </c>
      <c r="E251" s="2401"/>
      <c r="F251" s="2401"/>
      <c r="G251" s="2401"/>
      <c r="H251" s="2452" t="s">
        <v>464</v>
      </c>
      <c r="I251" s="2433"/>
      <c r="J251" s="2402"/>
      <c r="K251" s="2405">
        <f t="shared" si="21"/>
        <v>1200000</v>
      </c>
      <c r="L251" s="2405">
        <f t="shared" si="21"/>
        <v>0</v>
      </c>
      <c r="M251" s="2405">
        <f t="shared" si="17"/>
        <v>-1200000</v>
      </c>
      <c r="N251" s="2402"/>
      <c r="P251" s="567">
        <v>2160000</v>
      </c>
      <c r="Q251" s="567">
        <f>P251-K251</f>
        <v>960000</v>
      </c>
    </row>
    <row r="252" spans="1:17">
      <c r="A252" s="2447">
        <v>3</v>
      </c>
      <c r="B252" s="2420">
        <v>3</v>
      </c>
      <c r="C252" s="2434" t="s">
        <v>598</v>
      </c>
      <c r="D252" s="2401">
        <v>5</v>
      </c>
      <c r="E252" s="2401">
        <v>2</v>
      </c>
      <c r="F252" s="2401"/>
      <c r="G252" s="2401"/>
      <c r="H252" s="2402" t="s">
        <v>8</v>
      </c>
      <c r="I252" s="2401"/>
      <c r="J252" s="2402"/>
      <c r="K252" s="2405">
        <f t="shared" si="21"/>
        <v>1200000</v>
      </c>
      <c r="L252" s="2405">
        <f t="shared" si="21"/>
        <v>0</v>
      </c>
      <c r="M252" s="2405">
        <f t="shared" si="17"/>
        <v>-1200000</v>
      </c>
      <c r="N252" s="2402"/>
      <c r="P252" s="567">
        <v>2160000</v>
      </c>
      <c r="Q252" s="567">
        <f>P252-K252</f>
        <v>960000</v>
      </c>
    </row>
    <row r="253" spans="1:17">
      <c r="A253" s="2447">
        <v>3</v>
      </c>
      <c r="B253" s="2420">
        <v>3</v>
      </c>
      <c r="C253" s="2434" t="s">
        <v>598</v>
      </c>
      <c r="D253" s="2401">
        <v>5</v>
      </c>
      <c r="E253" s="2401">
        <v>2</v>
      </c>
      <c r="F253" s="2401">
        <v>2</v>
      </c>
      <c r="G253" s="2401"/>
      <c r="H253" s="2402" t="s">
        <v>736</v>
      </c>
      <c r="I253" s="2401"/>
      <c r="J253" s="2402"/>
      <c r="K253" s="2405">
        <f>SUM(K254:K254)</f>
        <v>1200000</v>
      </c>
      <c r="L253" s="2405">
        <f>SUM(L254:L254)</f>
        <v>0</v>
      </c>
      <c r="M253" s="2405">
        <f t="shared" si="17"/>
        <v>-1200000</v>
      </c>
      <c r="N253" s="2402"/>
      <c r="P253" s="567">
        <v>1360000</v>
      </c>
      <c r="Q253" s="567">
        <f>P253-K253</f>
        <v>160000</v>
      </c>
    </row>
    <row r="254" spans="1:17">
      <c r="A254" s="2447">
        <v>3</v>
      </c>
      <c r="B254" s="2420">
        <v>3</v>
      </c>
      <c r="C254" s="2434" t="s">
        <v>598</v>
      </c>
      <c r="D254" s="2401">
        <v>5</v>
      </c>
      <c r="E254" s="2401">
        <v>2</v>
      </c>
      <c r="F254" s="2401">
        <v>2</v>
      </c>
      <c r="G254" s="2401">
        <v>5</v>
      </c>
      <c r="H254" s="2402" t="s">
        <v>738</v>
      </c>
      <c r="I254" s="2401">
        <v>12</v>
      </c>
      <c r="J254" s="2402" t="s">
        <v>116</v>
      </c>
      <c r="K254" s="2405">
        <f>'3.4 KATARUNA'!H19</f>
        <v>1200000</v>
      </c>
      <c r="L254" s="2405">
        <f>'3.4 KATARUNA'!L19</f>
        <v>0</v>
      </c>
      <c r="M254" s="2405">
        <f t="shared" si="17"/>
        <v>-1200000</v>
      </c>
      <c r="N254" s="2402" t="s">
        <v>23</v>
      </c>
      <c r="O254" s="419" t="s">
        <v>926</v>
      </c>
      <c r="P254" s="567">
        <v>1200000</v>
      </c>
      <c r="Q254" s="567">
        <f>P254-K254</f>
        <v>0</v>
      </c>
    </row>
    <row r="255" spans="1:17" s="553" customFormat="1">
      <c r="A255" s="2449">
        <v>3</v>
      </c>
      <c r="B255" s="2431">
        <v>3</v>
      </c>
      <c r="C255" s="2431">
        <v>15</v>
      </c>
      <c r="D255" s="2398"/>
      <c r="E255" s="2398"/>
      <c r="F255" s="2398"/>
      <c r="G255" s="2398"/>
      <c r="H255" s="2399" t="s">
        <v>1429</v>
      </c>
      <c r="I255" s="2398"/>
      <c r="J255" s="2399"/>
      <c r="K255" s="2404">
        <f>K256</f>
        <v>203804386</v>
      </c>
      <c r="L255" s="2404">
        <f>L256</f>
        <v>167890386</v>
      </c>
      <c r="M255" s="2404">
        <f t="shared" si="17"/>
        <v>-35914000</v>
      </c>
      <c r="N255" s="2402"/>
      <c r="O255" s="554"/>
      <c r="P255" s="555"/>
      <c r="Q255" s="555"/>
    </row>
    <row r="256" spans="1:17" s="554" customFormat="1">
      <c r="A256" s="2447">
        <v>2</v>
      </c>
      <c r="B256" s="2434">
        <v>3</v>
      </c>
      <c r="C256" s="2434">
        <v>15</v>
      </c>
      <c r="D256" s="2401">
        <v>5</v>
      </c>
      <c r="E256" s="2401">
        <v>3</v>
      </c>
      <c r="F256" s="2401"/>
      <c r="G256" s="2401"/>
      <c r="H256" s="2402" t="s">
        <v>9</v>
      </c>
      <c r="I256" s="2401"/>
      <c r="J256" s="2402"/>
      <c r="K256" s="2405">
        <f>SUM(K257:K259)</f>
        <v>203804386</v>
      </c>
      <c r="L256" s="2405">
        <f>SUM(L257:L259)</f>
        <v>167890386</v>
      </c>
      <c r="M256" s="2405">
        <f t="shared" si="17"/>
        <v>-35914000</v>
      </c>
      <c r="N256" s="2402"/>
      <c r="P256" s="567"/>
      <c r="Q256" s="567"/>
    </row>
    <row r="257" spans="1:17" s="554" customFormat="1">
      <c r="A257" s="2447">
        <v>2</v>
      </c>
      <c r="B257" s="2434">
        <v>3</v>
      </c>
      <c r="C257" s="2434">
        <v>15</v>
      </c>
      <c r="D257" s="2401">
        <v>5</v>
      </c>
      <c r="E257" s="2401">
        <v>3</v>
      </c>
      <c r="F257" s="2401">
        <v>1</v>
      </c>
      <c r="G257" s="2401"/>
      <c r="H257" s="2402" t="s">
        <v>749</v>
      </c>
      <c r="I257" s="2401"/>
      <c r="J257" s="2402"/>
      <c r="K257" s="2405">
        <f>[22]RAB!$G$17</f>
        <v>825000</v>
      </c>
      <c r="L257" s="2405">
        <f>[23]RAB!$G$17</f>
        <v>825000</v>
      </c>
      <c r="M257" s="2405">
        <f t="shared" si="17"/>
        <v>0</v>
      </c>
      <c r="N257" s="2402" t="s">
        <v>22</v>
      </c>
      <c r="O257" s="554" t="s">
        <v>926</v>
      </c>
      <c r="P257" s="567"/>
      <c r="Q257" s="567"/>
    </row>
    <row r="258" spans="1:17" s="554" customFormat="1">
      <c r="A258" s="2447">
        <v>2</v>
      </c>
      <c r="B258" s="2434">
        <v>3</v>
      </c>
      <c r="C258" s="2434">
        <v>15</v>
      </c>
      <c r="D258" s="2401">
        <v>5</v>
      </c>
      <c r="E258" s="2401">
        <v>3</v>
      </c>
      <c r="F258" s="2401">
        <v>2</v>
      </c>
      <c r="G258" s="2401"/>
      <c r="H258" s="2402" t="s">
        <v>750</v>
      </c>
      <c r="I258" s="2401"/>
      <c r="J258" s="2402"/>
      <c r="K258" s="2405">
        <f>[22]RAB!$G$75</f>
        <v>41760000</v>
      </c>
      <c r="L258" s="2405">
        <f>[23]RAB!$G$75</f>
        <v>41760000</v>
      </c>
      <c r="M258" s="2405">
        <f t="shared" si="17"/>
        <v>0</v>
      </c>
      <c r="N258" s="2402" t="s">
        <v>22</v>
      </c>
      <c r="O258" s="554" t="s">
        <v>926</v>
      </c>
      <c r="P258" s="567"/>
      <c r="Q258" s="567"/>
    </row>
    <row r="259" spans="1:17" s="554" customFormat="1">
      <c r="A259" s="2447">
        <v>2</v>
      </c>
      <c r="B259" s="2434">
        <v>3</v>
      </c>
      <c r="C259" s="2434">
        <v>15</v>
      </c>
      <c r="D259" s="2401">
        <v>5</v>
      </c>
      <c r="E259" s="2401">
        <v>3</v>
      </c>
      <c r="F259" s="2401">
        <v>3</v>
      </c>
      <c r="G259" s="2401"/>
      <c r="H259" s="2402" t="s">
        <v>751</v>
      </c>
      <c r="I259" s="2401"/>
      <c r="J259" s="2402"/>
      <c r="K259" s="2405">
        <f>[22]RAB!$G$62</f>
        <v>161219386</v>
      </c>
      <c r="L259" s="2405">
        <f>[23]RAB!$G$62</f>
        <v>125305386</v>
      </c>
      <c r="M259" s="2405">
        <f t="shared" si="17"/>
        <v>-35914000</v>
      </c>
      <c r="N259" s="2402" t="s">
        <v>22</v>
      </c>
      <c r="O259" s="554" t="s">
        <v>926</v>
      </c>
      <c r="P259" s="567"/>
      <c r="Q259" s="567"/>
    </row>
    <row r="260" spans="1:17" s="420" customFormat="1">
      <c r="A260" s="2449">
        <v>3</v>
      </c>
      <c r="B260" s="2419">
        <v>4</v>
      </c>
      <c r="C260" s="2431"/>
      <c r="D260" s="2398"/>
      <c r="E260" s="2398"/>
      <c r="F260" s="2398"/>
      <c r="G260" s="2398"/>
      <c r="H260" s="2437" t="s">
        <v>671</v>
      </c>
      <c r="I260" s="2398"/>
      <c r="J260" s="2399"/>
      <c r="K260" s="2404">
        <f t="shared" ref="K260:L262" si="22">K261</f>
        <v>2400000</v>
      </c>
      <c r="L260" s="2404">
        <f t="shared" si="22"/>
        <v>2400000</v>
      </c>
      <c r="M260" s="2404">
        <f t="shared" si="17"/>
        <v>0</v>
      </c>
      <c r="N260" s="2399"/>
      <c r="P260" s="802">
        <v>160000</v>
      </c>
      <c r="Q260" s="802">
        <f t="shared" ref="Q260:Q282" si="23">P260-K260</f>
        <v>-2240000</v>
      </c>
    </row>
    <row r="261" spans="1:17">
      <c r="A261" s="2447">
        <v>3</v>
      </c>
      <c r="B261" s="2420">
        <v>4</v>
      </c>
      <c r="C261" s="2434" t="s">
        <v>593</v>
      </c>
      <c r="D261" s="2401">
        <v>5</v>
      </c>
      <c r="E261" s="2401"/>
      <c r="F261" s="2401"/>
      <c r="G261" s="2401"/>
      <c r="H261" s="2452" t="s">
        <v>463</v>
      </c>
      <c r="I261" s="2401"/>
      <c r="J261" s="2402"/>
      <c r="K261" s="2405">
        <f t="shared" si="22"/>
        <v>2400000</v>
      </c>
      <c r="L261" s="2405">
        <f t="shared" si="22"/>
        <v>2400000</v>
      </c>
      <c r="M261" s="2405">
        <f t="shared" si="17"/>
        <v>0</v>
      </c>
      <c r="N261" s="2402"/>
      <c r="P261" s="796">
        <v>800000</v>
      </c>
      <c r="Q261" s="796">
        <f t="shared" si="23"/>
        <v>-1600000</v>
      </c>
    </row>
    <row r="262" spans="1:17">
      <c r="A262" s="2447">
        <v>3</v>
      </c>
      <c r="B262" s="2420">
        <v>4</v>
      </c>
      <c r="C262" s="2434" t="s">
        <v>593</v>
      </c>
      <c r="D262" s="2401">
        <v>5</v>
      </c>
      <c r="E262" s="2401">
        <v>2</v>
      </c>
      <c r="F262" s="2401"/>
      <c r="G262" s="2401"/>
      <c r="H262" s="2402" t="s">
        <v>8</v>
      </c>
      <c r="I262" s="2401"/>
      <c r="J262" s="2402"/>
      <c r="K262" s="2405">
        <f t="shared" si="22"/>
        <v>2400000</v>
      </c>
      <c r="L262" s="2405">
        <f t="shared" si="22"/>
        <v>2400000</v>
      </c>
      <c r="M262" s="2405">
        <f t="shared" si="17"/>
        <v>0</v>
      </c>
      <c r="N262" s="2402"/>
      <c r="P262" s="567">
        <v>800000</v>
      </c>
      <c r="Q262" s="567">
        <f t="shared" si="23"/>
        <v>-1600000</v>
      </c>
    </row>
    <row r="263" spans="1:17">
      <c r="A263" s="2447">
        <v>3</v>
      </c>
      <c r="B263" s="2420">
        <v>4</v>
      </c>
      <c r="C263" s="2434" t="s">
        <v>593</v>
      </c>
      <c r="D263" s="2401">
        <v>5</v>
      </c>
      <c r="E263" s="2401">
        <v>2</v>
      </c>
      <c r="F263" s="2401">
        <v>2</v>
      </c>
      <c r="G263" s="2401"/>
      <c r="H263" s="2402" t="s">
        <v>736</v>
      </c>
      <c r="I263" s="2401"/>
      <c r="J263" s="2402"/>
      <c r="K263" s="2405">
        <f>SUM(K264:K264)</f>
        <v>2400000</v>
      </c>
      <c r="L263" s="2405">
        <f>SUM(L264:L264)</f>
        <v>2400000</v>
      </c>
      <c r="M263" s="2405">
        <f t="shared" si="17"/>
        <v>0</v>
      </c>
      <c r="N263" s="2402"/>
      <c r="P263" s="567">
        <v>1200000</v>
      </c>
      <c r="Q263" s="567">
        <f t="shared" si="23"/>
        <v>-1200000</v>
      </c>
    </row>
    <row r="264" spans="1:17">
      <c r="A264" s="2447">
        <v>3</v>
      </c>
      <c r="B264" s="2420">
        <v>4</v>
      </c>
      <c r="C264" s="2434" t="s">
        <v>593</v>
      </c>
      <c r="D264" s="2401">
        <v>5</v>
      </c>
      <c r="E264" s="2401">
        <v>2</v>
      </c>
      <c r="F264" s="2401">
        <v>2</v>
      </c>
      <c r="G264" s="2401">
        <v>5</v>
      </c>
      <c r="H264" s="2402" t="s">
        <v>738</v>
      </c>
      <c r="I264" s="2401">
        <v>12</v>
      </c>
      <c r="J264" s="2402" t="s">
        <v>116</v>
      </c>
      <c r="K264" s="2405">
        <f>'3.5 L.A'!H20</f>
        <v>2400000</v>
      </c>
      <c r="L264" s="2405">
        <f>K264</f>
        <v>2400000</v>
      </c>
      <c r="M264" s="2405">
        <f t="shared" si="17"/>
        <v>0</v>
      </c>
      <c r="N264" s="2402" t="s">
        <v>894</v>
      </c>
      <c r="O264" s="419" t="s">
        <v>926</v>
      </c>
      <c r="P264" s="567">
        <v>1200000</v>
      </c>
      <c r="Q264" s="567">
        <f t="shared" si="23"/>
        <v>-1200000</v>
      </c>
    </row>
    <row r="265" spans="1:17" s="420" customFormat="1">
      <c r="A265" s="2449">
        <v>3</v>
      </c>
      <c r="B265" s="2419">
        <v>4</v>
      </c>
      <c r="C265" s="2431" t="s">
        <v>594</v>
      </c>
      <c r="D265" s="2398">
        <v>5</v>
      </c>
      <c r="E265" s="2398"/>
      <c r="F265" s="2398"/>
      <c r="G265" s="2398"/>
      <c r="H265" s="2437" t="s">
        <v>462</v>
      </c>
      <c r="I265" s="2398"/>
      <c r="J265" s="2399"/>
      <c r="K265" s="2404">
        <f>K266</f>
        <v>3900000</v>
      </c>
      <c r="L265" s="2404">
        <f>L266</f>
        <v>3900000</v>
      </c>
      <c r="M265" s="2404">
        <f t="shared" si="17"/>
        <v>0</v>
      </c>
      <c r="N265" s="2399"/>
      <c r="O265" s="553"/>
      <c r="P265" s="797">
        <v>1200000</v>
      </c>
      <c r="Q265" s="797">
        <f t="shared" si="23"/>
        <v>-2700000</v>
      </c>
    </row>
    <row r="266" spans="1:17">
      <c r="A266" s="2447">
        <v>3</v>
      </c>
      <c r="B266" s="2420">
        <v>4</v>
      </c>
      <c r="C266" s="2434" t="s">
        <v>594</v>
      </c>
      <c r="D266" s="2401">
        <v>5</v>
      </c>
      <c r="E266" s="2401">
        <v>2</v>
      </c>
      <c r="F266" s="2401"/>
      <c r="G266" s="2401"/>
      <c r="H266" s="2402" t="s">
        <v>8</v>
      </c>
      <c r="I266" s="2401"/>
      <c r="J266" s="2402"/>
      <c r="K266" s="2405">
        <f>K267</f>
        <v>3900000</v>
      </c>
      <c r="L266" s="2405">
        <f>L267</f>
        <v>3900000</v>
      </c>
      <c r="M266" s="2405">
        <f t="shared" si="17"/>
        <v>0</v>
      </c>
      <c r="N266" s="2402"/>
      <c r="P266" s="567">
        <v>1200000</v>
      </c>
      <c r="Q266" s="567">
        <f t="shared" si="23"/>
        <v>-2700000</v>
      </c>
    </row>
    <row r="267" spans="1:17">
      <c r="A267" s="2447">
        <v>3</v>
      </c>
      <c r="B267" s="2420">
        <v>4</v>
      </c>
      <c r="C267" s="2434" t="s">
        <v>594</v>
      </c>
      <c r="D267" s="2401">
        <v>5</v>
      </c>
      <c r="E267" s="2401">
        <v>2</v>
      </c>
      <c r="F267" s="2401">
        <v>2</v>
      </c>
      <c r="G267" s="2401"/>
      <c r="H267" s="2402" t="s">
        <v>736</v>
      </c>
      <c r="I267" s="2401"/>
      <c r="J267" s="2402"/>
      <c r="K267" s="2405">
        <f>SUM(K268:K268)</f>
        <v>3900000</v>
      </c>
      <c r="L267" s="2405">
        <f>SUM(L268:L268)</f>
        <v>3900000</v>
      </c>
      <c r="M267" s="2405">
        <f t="shared" si="17"/>
        <v>0</v>
      </c>
      <c r="N267" s="2402"/>
      <c r="P267" s="567">
        <v>1200000</v>
      </c>
      <c r="Q267" s="567">
        <f t="shared" si="23"/>
        <v>-2700000</v>
      </c>
    </row>
    <row r="268" spans="1:17">
      <c r="A268" s="2447">
        <v>3</v>
      </c>
      <c r="B268" s="2420">
        <v>4</v>
      </c>
      <c r="C268" s="2434" t="s">
        <v>594</v>
      </c>
      <c r="D268" s="2401">
        <v>5</v>
      </c>
      <c r="E268" s="2401">
        <v>2</v>
      </c>
      <c r="F268" s="2401">
        <v>2</v>
      </c>
      <c r="G268" s="2401">
        <v>5</v>
      </c>
      <c r="H268" s="2402" t="s">
        <v>738</v>
      </c>
      <c r="I268" s="2401">
        <v>12</v>
      </c>
      <c r="J268" s="2402" t="s">
        <v>116</v>
      </c>
      <c r="K268" s="2405">
        <f>'3.6 LPM'!H21</f>
        <v>3900000</v>
      </c>
      <c r="L268" s="2405">
        <f>K268</f>
        <v>3900000</v>
      </c>
      <c r="M268" s="2405">
        <f t="shared" si="17"/>
        <v>0</v>
      </c>
      <c r="N268" s="2402" t="s">
        <v>23</v>
      </c>
      <c r="O268" s="419" t="s">
        <v>926</v>
      </c>
      <c r="P268" s="567">
        <v>77650000</v>
      </c>
      <c r="Q268" s="567">
        <f t="shared" si="23"/>
        <v>73750000</v>
      </c>
    </row>
    <row r="269" spans="1:17" s="420" customFormat="1" ht="19.5" customHeight="1">
      <c r="A269" s="2449">
        <v>3</v>
      </c>
      <c r="B269" s="2419">
        <v>4</v>
      </c>
      <c r="C269" s="2431" t="s">
        <v>595</v>
      </c>
      <c r="D269" s="2398"/>
      <c r="E269" s="2398"/>
      <c r="F269" s="2398"/>
      <c r="G269" s="2398"/>
      <c r="H269" s="2437" t="s">
        <v>461</v>
      </c>
      <c r="I269" s="2398"/>
      <c r="J269" s="2399"/>
      <c r="K269" s="2404">
        <f>K270</f>
        <v>17485000</v>
      </c>
      <c r="L269" s="2404">
        <f>L270</f>
        <v>11550500</v>
      </c>
      <c r="M269" s="2404">
        <f t="shared" si="17"/>
        <v>-5934500</v>
      </c>
      <c r="N269" s="2399"/>
      <c r="P269" s="797">
        <v>2400000</v>
      </c>
      <c r="Q269" s="797">
        <f t="shared" si="23"/>
        <v>-15085000</v>
      </c>
    </row>
    <row r="270" spans="1:17" ht="19.5" customHeight="1">
      <c r="A270" s="2447">
        <v>3</v>
      </c>
      <c r="B270" s="2420">
        <v>4</v>
      </c>
      <c r="C270" s="2434" t="s">
        <v>595</v>
      </c>
      <c r="D270" s="2401">
        <v>5</v>
      </c>
      <c r="E270" s="2401">
        <v>2</v>
      </c>
      <c r="F270" s="2401"/>
      <c r="G270" s="2401"/>
      <c r="H270" s="2402" t="s">
        <v>8</v>
      </c>
      <c r="I270" s="2401"/>
      <c r="J270" s="2402"/>
      <c r="K270" s="2405">
        <f>K271+K276+K279+K281+K283</f>
        <v>17485000</v>
      </c>
      <c r="L270" s="2405">
        <f>L271+L276+L279+L281+L283</f>
        <v>11550500</v>
      </c>
      <c r="M270" s="2405">
        <f t="shared" si="17"/>
        <v>-5934500</v>
      </c>
      <c r="N270" s="2402"/>
      <c r="P270" s="567">
        <v>2400000</v>
      </c>
      <c r="Q270" s="567">
        <f t="shared" si="23"/>
        <v>-15085000</v>
      </c>
    </row>
    <row r="271" spans="1:17" ht="19.5" customHeight="1">
      <c r="A271" s="2447">
        <v>3</v>
      </c>
      <c r="B271" s="2420">
        <v>4</v>
      </c>
      <c r="C271" s="2434" t="s">
        <v>595</v>
      </c>
      <c r="D271" s="2401">
        <v>5</v>
      </c>
      <c r="E271" s="2401">
        <v>2</v>
      </c>
      <c r="F271" s="2401">
        <v>1</v>
      </c>
      <c r="G271" s="2401"/>
      <c r="H271" s="2402" t="s">
        <v>731</v>
      </c>
      <c r="I271" s="2401"/>
      <c r="J271" s="2402"/>
      <c r="K271" s="2405">
        <f>SUM(K272:K275)</f>
        <v>4610000</v>
      </c>
      <c r="L271" s="2405">
        <f>SUM(L272:L275)</f>
        <v>510500</v>
      </c>
      <c r="M271" s="2405">
        <f t="shared" si="17"/>
        <v>-4099500</v>
      </c>
      <c r="N271" s="2402"/>
      <c r="P271" s="567">
        <v>2400000</v>
      </c>
      <c r="Q271" s="567">
        <f t="shared" si="23"/>
        <v>-2210000</v>
      </c>
    </row>
    <row r="272" spans="1:17" ht="19.5" customHeight="1">
      <c r="A272" s="2447">
        <v>3</v>
      </c>
      <c r="B272" s="2420">
        <v>4</v>
      </c>
      <c r="C272" s="2434" t="s">
        <v>595</v>
      </c>
      <c r="D272" s="2401">
        <v>5</v>
      </c>
      <c r="E272" s="2401">
        <v>2</v>
      </c>
      <c r="F272" s="2401">
        <v>1</v>
      </c>
      <c r="G272" s="2401">
        <v>1</v>
      </c>
      <c r="H272" s="2402" t="s">
        <v>1021</v>
      </c>
      <c r="I272" s="2401">
        <v>1</v>
      </c>
      <c r="J272" s="2402" t="s">
        <v>164</v>
      </c>
      <c r="K272" s="2405">
        <f>'3.7 PKK'!H30</f>
        <v>1600000</v>
      </c>
      <c r="L272" s="2405">
        <f>'3.7 PKK'!L30</f>
        <v>510500</v>
      </c>
      <c r="M272" s="2405">
        <f t="shared" si="17"/>
        <v>-1089500</v>
      </c>
      <c r="N272" s="2402" t="s">
        <v>23</v>
      </c>
      <c r="O272" s="419" t="s">
        <v>926</v>
      </c>
      <c r="P272" s="567">
        <v>2400000</v>
      </c>
      <c r="Q272" s="567">
        <f t="shared" si="23"/>
        <v>800000</v>
      </c>
    </row>
    <row r="273" spans="1:18" ht="19.5" customHeight="1">
      <c r="A273" s="2447">
        <v>3</v>
      </c>
      <c r="B273" s="2420">
        <v>4</v>
      </c>
      <c r="C273" s="2434" t="s">
        <v>595</v>
      </c>
      <c r="D273" s="2401">
        <v>5</v>
      </c>
      <c r="E273" s="2401">
        <v>2</v>
      </c>
      <c r="F273" s="2401">
        <v>1</v>
      </c>
      <c r="G273" s="2401">
        <v>5</v>
      </c>
      <c r="H273" s="2402" t="s">
        <v>1038</v>
      </c>
      <c r="I273" s="2401">
        <v>1</v>
      </c>
      <c r="J273" s="2402" t="s">
        <v>1039</v>
      </c>
      <c r="K273" s="2405">
        <f>'3.7 PKK'!H52</f>
        <v>140000</v>
      </c>
      <c r="L273" s="2405">
        <f>'3.7 PKK'!I52</f>
        <v>0</v>
      </c>
      <c r="M273" s="2405">
        <f t="shared" si="17"/>
        <v>-140000</v>
      </c>
      <c r="N273" s="2402" t="s">
        <v>23</v>
      </c>
      <c r="O273" s="419" t="s">
        <v>926</v>
      </c>
      <c r="P273" s="567">
        <v>3900000</v>
      </c>
      <c r="Q273" s="567">
        <f t="shared" si="23"/>
        <v>3760000</v>
      </c>
    </row>
    <row r="274" spans="1:18" ht="19.5" customHeight="1">
      <c r="A274" s="2447">
        <v>3</v>
      </c>
      <c r="B274" s="2420">
        <v>4</v>
      </c>
      <c r="C274" s="2434" t="s">
        <v>595</v>
      </c>
      <c r="D274" s="2401">
        <v>5</v>
      </c>
      <c r="E274" s="2401">
        <v>2</v>
      </c>
      <c r="F274" s="2401">
        <v>1</v>
      </c>
      <c r="G274" s="2401">
        <v>6</v>
      </c>
      <c r="H274" s="2402" t="s">
        <v>1035</v>
      </c>
      <c r="I274" s="2401">
        <v>1</v>
      </c>
      <c r="J274" s="2402" t="s">
        <v>164</v>
      </c>
      <c r="K274" s="2405">
        <f>'3.7 PKK'!H39</f>
        <v>1670000</v>
      </c>
      <c r="L274" s="2405">
        <f>'3.7 PKK'!I39</f>
        <v>0</v>
      </c>
      <c r="M274" s="2405">
        <f t="shared" si="17"/>
        <v>-1670000</v>
      </c>
      <c r="N274" s="2402" t="s">
        <v>23</v>
      </c>
      <c r="O274" s="419" t="s">
        <v>926</v>
      </c>
      <c r="P274" s="567">
        <v>3900000</v>
      </c>
      <c r="Q274" s="567">
        <f t="shared" si="23"/>
        <v>2230000</v>
      </c>
    </row>
    <row r="275" spans="1:18" ht="19.5" customHeight="1">
      <c r="A275" s="2447">
        <v>3</v>
      </c>
      <c r="B275" s="2420">
        <v>4</v>
      </c>
      <c r="C275" s="2434" t="s">
        <v>595</v>
      </c>
      <c r="D275" s="2401">
        <v>5</v>
      </c>
      <c r="E275" s="2401">
        <v>2</v>
      </c>
      <c r="F275" s="2401">
        <v>1</v>
      </c>
      <c r="G275" s="2401">
        <v>90</v>
      </c>
      <c r="H275" s="2402" t="s">
        <v>1036</v>
      </c>
      <c r="I275" s="2401">
        <v>1</v>
      </c>
      <c r="J275" s="2402" t="s">
        <v>1039</v>
      </c>
      <c r="K275" s="2405">
        <f>'3.7 PKK'!H43</f>
        <v>1200000</v>
      </c>
      <c r="L275" s="2405">
        <f>'3.7 PKK'!I43</f>
        <v>0</v>
      </c>
      <c r="M275" s="2405">
        <f t="shared" si="17"/>
        <v>-1200000</v>
      </c>
      <c r="N275" s="2402" t="s">
        <v>23</v>
      </c>
      <c r="O275" s="419" t="s">
        <v>926</v>
      </c>
      <c r="P275" s="567">
        <v>3900000</v>
      </c>
      <c r="Q275" s="567">
        <f t="shared" si="23"/>
        <v>2700000</v>
      </c>
    </row>
    <row r="276" spans="1:18" ht="19.5" customHeight="1">
      <c r="A276" s="2447">
        <v>3</v>
      </c>
      <c r="B276" s="2420">
        <v>4</v>
      </c>
      <c r="C276" s="2434" t="s">
        <v>595</v>
      </c>
      <c r="D276" s="2401">
        <v>5</v>
      </c>
      <c r="E276" s="2401">
        <v>2</v>
      </c>
      <c r="F276" s="2401">
        <v>2</v>
      </c>
      <c r="G276" s="2401"/>
      <c r="H276" s="2402" t="s">
        <v>736</v>
      </c>
      <c r="I276" s="2401"/>
      <c r="J276" s="2402"/>
      <c r="K276" s="2405">
        <f>SUM(K277:K278)</f>
        <v>11340000</v>
      </c>
      <c r="L276" s="2405">
        <f>SUM(L277:L278)</f>
        <v>11040000</v>
      </c>
      <c r="M276" s="2405">
        <f t="shared" si="17"/>
        <v>-300000</v>
      </c>
      <c r="N276" s="2402"/>
      <c r="P276" s="567">
        <v>3900000</v>
      </c>
      <c r="Q276" s="567">
        <f t="shared" si="23"/>
        <v>-7440000</v>
      </c>
    </row>
    <row r="277" spans="1:18" ht="19.5" customHeight="1">
      <c r="A277" s="2447">
        <v>3</v>
      </c>
      <c r="B277" s="2420">
        <v>4</v>
      </c>
      <c r="C277" s="2434" t="s">
        <v>595</v>
      </c>
      <c r="D277" s="2401">
        <v>5</v>
      </c>
      <c r="E277" s="2401">
        <v>2</v>
      </c>
      <c r="F277" s="2401">
        <v>2</v>
      </c>
      <c r="G277" s="2401">
        <v>4</v>
      </c>
      <c r="H277" s="2402" t="s">
        <v>1037</v>
      </c>
      <c r="I277" s="2401">
        <v>3</v>
      </c>
      <c r="J277" s="2402" t="s">
        <v>301</v>
      </c>
      <c r="K277" s="2405">
        <f>'3.7 PKK'!H49</f>
        <v>300000</v>
      </c>
      <c r="L277" s="2405">
        <f>'3.7 PKK'!L49</f>
        <v>0</v>
      </c>
      <c r="M277" s="2405">
        <f t="shared" si="17"/>
        <v>-300000</v>
      </c>
      <c r="N277" s="2402" t="s">
        <v>23</v>
      </c>
      <c r="O277" s="419" t="s">
        <v>926</v>
      </c>
      <c r="P277" s="567">
        <v>13750000</v>
      </c>
      <c r="Q277" s="567">
        <f t="shared" si="23"/>
        <v>13450000</v>
      </c>
    </row>
    <row r="278" spans="1:18" ht="19.5" customHeight="1">
      <c r="A278" s="2447">
        <v>3</v>
      </c>
      <c r="B278" s="2420">
        <v>4</v>
      </c>
      <c r="C278" s="2434" t="s">
        <v>595</v>
      </c>
      <c r="D278" s="2401">
        <v>5</v>
      </c>
      <c r="E278" s="2401">
        <v>2</v>
      </c>
      <c r="F278" s="2401">
        <v>2</v>
      </c>
      <c r="G278" s="2401">
        <v>5</v>
      </c>
      <c r="H278" s="2402" t="s">
        <v>738</v>
      </c>
      <c r="I278" s="2401">
        <v>1</v>
      </c>
      <c r="J278" s="2402" t="s">
        <v>164</v>
      </c>
      <c r="K278" s="2405">
        <f>'3.7 PKK'!H22</f>
        <v>11040000</v>
      </c>
      <c r="L278" s="2405">
        <f>'3.7 PKK'!L22</f>
        <v>11040000</v>
      </c>
      <c r="M278" s="2405">
        <f t="shared" si="17"/>
        <v>0</v>
      </c>
      <c r="N278" s="2402" t="s">
        <v>23</v>
      </c>
      <c r="O278" s="419" t="s">
        <v>926</v>
      </c>
      <c r="P278" s="567">
        <v>13750000</v>
      </c>
      <c r="Q278" s="567">
        <f t="shared" si="23"/>
        <v>2710000</v>
      </c>
    </row>
    <row r="279" spans="1:18" ht="19.5" customHeight="1">
      <c r="A279" s="2447">
        <v>3</v>
      </c>
      <c r="B279" s="2420">
        <v>4</v>
      </c>
      <c r="C279" s="2434" t="s">
        <v>595</v>
      </c>
      <c r="D279" s="2401">
        <v>5</v>
      </c>
      <c r="E279" s="2401">
        <v>2</v>
      </c>
      <c r="F279" s="2401">
        <v>3</v>
      </c>
      <c r="G279" s="2401"/>
      <c r="H279" s="2402" t="s">
        <v>963</v>
      </c>
      <c r="I279" s="2401"/>
      <c r="J279" s="2402"/>
      <c r="K279" s="2405">
        <f>K280</f>
        <v>510000</v>
      </c>
      <c r="L279" s="2405">
        <f>L280</f>
        <v>0</v>
      </c>
      <c r="M279" s="2405">
        <f t="shared" si="17"/>
        <v>-510000</v>
      </c>
      <c r="N279" s="2402"/>
      <c r="P279" s="567">
        <v>1750000</v>
      </c>
      <c r="Q279" s="567">
        <f t="shared" si="23"/>
        <v>1240000</v>
      </c>
    </row>
    <row r="280" spans="1:18" ht="19.5" customHeight="1">
      <c r="A280" s="2447">
        <v>3</v>
      </c>
      <c r="B280" s="2420">
        <v>4</v>
      </c>
      <c r="C280" s="2434" t="s">
        <v>595</v>
      </c>
      <c r="D280" s="2401">
        <v>5</v>
      </c>
      <c r="E280" s="2401">
        <v>2</v>
      </c>
      <c r="F280" s="2401">
        <v>3</v>
      </c>
      <c r="G280" s="2401">
        <v>1</v>
      </c>
      <c r="H280" s="2402" t="s">
        <v>964</v>
      </c>
      <c r="I280" s="2401">
        <v>1</v>
      </c>
      <c r="J280" s="2402" t="s">
        <v>164</v>
      </c>
      <c r="K280" s="2405">
        <f>'3.7 PKK'!H34</f>
        <v>510000</v>
      </c>
      <c r="L280" s="2405">
        <f>'3.7 PKK'!L34</f>
        <v>0</v>
      </c>
      <c r="M280" s="2405">
        <f t="shared" si="17"/>
        <v>-510000</v>
      </c>
      <c r="N280" s="2402" t="s">
        <v>23</v>
      </c>
      <c r="O280" s="419" t="s">
        <v>926</v>
      </c>
      <c r="P280" s="567">
        <v>300000</v>
      </c>
      <c r="Q280" s="567">
        <f t="shared" si="23"/>
        <v>-210000</v>
      </c>
    </row>
    <row r="281" spans="1:18" ht="19.5" customHeight="1">
      <c r="A281" s="2447">
        <v>3</v>
      </c>
      <c r="B281" s="2420">
        <v>4</v>
      </c>
      <c r="C281" s="2434" t="s">
        <v>595</v>
      </c>
      <c r="D281" s="2401">
        <v>5</v>
      </c>
      <c r="E281" s="2401">
        <v>2</v>
      </c>
      <c r="F281" s="2401">
        <v>4</v>
      </c>
      <c r="G281" s="2401"/>
      <c r="H281" s="2402" t="s">
        <v>743</v>
      </c>
      <c r="I281" s="2401" t="s">
        <v>21</v>
      </c>
      <c r="J281" s="2402"/>
      <c r="K281" s="2405">
        <f>K282</f>
        <v>150000</v>
      </c>
      <c r="L281" s="2405">
        <f>L282</f>
        <v>0</v>
      </c>
      <c r="M281" s="2405">
        <f t="shared" ref="M281:M332" si="24">L281-K281</f>
        <v>-150000</v>
      </c>
      <c r="N281" s="2402"/>
      <c r="P281" s="567">
        <v>140000</v>
      </c>
      <c r="Q281" s="567">
        <f t="shared" si="23"/>
        <v>-10000</v>
      </c>
    </row>
    <row r="282" spans="1:18" ht="19.5" customHeight="1">
      <c r="A282" s="2447">
        <v>3</v>
      </c>
      <c r="B282" s="2420">
        <v>4</v>
      </c>
      <c r="C282" s="2434" t="s">
        <v>595</v>
      </c>
      <c r="D282" s="2401">
        <v>5</v>
      </c>
      <c r="E282" s="2401">
        <v>2</v>
      </c>
      <c r="F282" s="2401">
        <v>4</v>
      </c>
      <c r="G282" s="2401">
        <v>2</v>
      </c>
      <c r="H282" s="2402" t="s">
        <v>962</v>
      </c>
      <c r="I282" s="2401">
        <v>1</v>
      </c>
      <c r="J282" s="2402" t="s">
        <v>164</v>
      </c>
      <c r="K282" s="2405">
        <f>'3.7 PKK'!H46</f>
        <v>150000</v>
      </c>
      <c r="L282" s="2405">
        <f>'3.7 PKK'!L46</f>
        <v>0</v>
      </c>
      <c r="M282" s="2405">
        <f t="shared" si="24"/>
        <v>-150000</v>
      </c>
      <c r="N282" s="2402" t="s">
        <v>23</v>
      </c>
      <c r="O282" s="419" t="s">
        <v>926</v>
      </c>
      <c r="P282" s="567">
        <v>910000</v>
      </c>
      <c r="Q282" s="567">
        <f t="shared" si="23"/>
        <v>760000</v>
      </c>
    </row>
    <row r="283" spans="1:18" ht="19.5" customHeight="1">
      <c r="A283" s="2447">
        <v>3</v>
      </c>
      <c r="B283" s="2420">
        <v>4</v>
      </c>
      <c r="C283" s="2434">
        <v>3</v>
      </c>
      <c r="D283" s="2401">
        <v>5</v>
      </c>
      <c r="E283" s="2401">
        <v>2</v>
      </c>
      <c r="F283" s="2401">
        <v>90</v>
      </c>
      <c r="G283" s="2401"/>
      <c r="H283" s="2402" t="s">
        <v>1424</v>
      </c>
      <c r="I283" s="2401"/>
      <c r="J283" s="2402"/>
      <c r="K283" s="2405">
        <f>K284</f>
        <v>875000</v>
      </c>
      <c r="L283" s="2405">
        <f>L284</f>
        <v>0</v>
      </c>
      <c r="M283" s="2405">
        <f t="shared" si="24"/>
        <v>-875000</v>
      </c>
      <c r="N283" s="2402"/>
      <c r="P283" s="567"/>
      <c r="Q283" s="567"/>
    </row>
    <row r="284" spans="1:18" ht="19.5" customHeight="1">
      <c r="A284" s="2447">
        <v>3</v>
      </c>
      <c r="B284" s="2420">
        <v>4</v>
      </c>
      <c r="C284" s="2434">
        <v>3</v>
      </c>
      <c r="D284" s="2401">
        <v>5</v>
      </c>
      <c r="E284" s="2401">
        <v>2</v>
      </c>
      <c r="F284" s="2401">
        <v>90</v>
      </c>
      <c r="G284" s="2401">
        <v>1</v>
      </c>
      <c r="H284" s="2402" t="s">
        <v>1425</v>
      </c>
      <c r="I284" s="2401">
        <f>'3.7 PKK'!D54</f>
        <v>25</v>
      </c>
      <c r="J284" s="2402" t="s">
        <v>1099</v>
      </c>
      <c r="K284" s="2405">
        <f>'3.7 PKK'!G54</f>
        <v>875000</v>
      </c>
      <c r="L284" s="2405">
        <f>'3.7 PKK'!L54</f>
        <v>0</v>
      </c>
      <c r="M284" s="2405">
        <f t="shared" si="24"/>
        <v>-875000</v>
      </c>
      <c r="N284" s="2402" t="s">
        <v>23</v>
      </c>
      <c r="O284" s="419" t="s">
        <v>926</v>
      </c>
      <c r="P284" s="567"/>
      <c r="Q284" s="567"/>
    </row>
    <row r="285" spans="1:18" ht="29.25" customHeight="1">
      <c r="A285" s="2416">
        <v>4</v>
      </c>
      <c r="B285" s="2445"/>
      <c r="C285" s="2445"/>
      <c r="D285" s="2446"/>
      <c r="E285" s="2416"/>
      <c r="F285" s="2416"/>
      <c r="G285" s="2416"/>
      <c r="H285" s="2417" t="s">
        <v>672</v>
      </c>
      <c r="I285" s="2416"/>
      <c r="J285" s="2417"/>
      <c r="K285" s="2418">
        <f>K286+K302+K303+K304</f>
        <v>39804564</v>
      </c>
      <c r="L285" s="2418">
        <f t="shared" ref="K285:L287" si="25">L286</f>
        <v>17600000</v>
      </c>
      <c r="M285" s="2418">
        <f t="shared" si="24"/>
        <v>-22204564</v>
      </c>
      <c r="N285" s="2417"/>
      <c r="P285" s="816">
        <v>510000</v>
      </c>
      <c r="Q285" s="816">
        <f t="shared" ref="Q285:Q300" si="26">P285-K285</f>
        <v>-39294564</v>
      </c>
      <c r="R285" s="973">
        <f>K285-RKP!I40</f>
        <v>22204564</v>
      </c>
    </row>
    <row r="286" spans="1:18" s="420" customFormat="1" ht="19.5" customHeight="1">
      <c r="A286" s="2398">
        <v>4</v>
      </c>
      <c r="B286" s="2419">
        <v>4</v>
      </c>
      <c r="C286" s="2419"/>
      <c r="D286" s="2398"/>
      <c r="E286" s="2398"/>
      <c r="F286" s="2398"/>
      <c r="G286" s="2398"/>
      <c r="H286" s="2460" t="s">
        <v>1462</v>
      </c>
      <c r="I286" s="2398"/>
      <c r="J286" s="2399"/>
      <c r="K286" s="2404">
        <f t="shared" si="25"/>
        <v>17600000</v>
      </c>
      <c r="L286" s="2404">
        <f t="shared" si="25"/>
        <v>17600000</v>
      </c>
      <c r="M286" s="2404">
        <f t="shared" si="24"/>
        <v>0</v>
      </c>
      <c r="N286" s="2417"/>
      <c r="P286" s="802">
        <v>10000000</v>
      </c>
      <c r="Q286" s="802">
        <f t="shared" si="26"/>
        <v>-7600000</v>
      </c>
    </row>
    <row r="287" spans="1:18" s="420" customFormat="1" ht="31.5">
      <c r="A287" s="2398">
        <v>4</v>
      </c>
      <c r="B287" s="2419">
        <v>4</v>
      </c>
      <c r="C287" s="2419" t="s">
        <v>593</v>
      </c>
      <c r="D287" s="2398">
        <v>5</v>
      </c>
      <c r="E287" s="2398"/>
      <c r="F287" s="2398"/>
      <c r="G287" s="2398"/>
      <c r="H287" s="2460" t="s">
        <v>1461</v>
      </c>
      <c r="I287" s="2398"/>
      <c r="J287" s="2399"/>
      <c r="K287" s="2404">
        <f t="shared" si="25"/>
        <v>17600000</v>
      </c>
      <c r="L287" s="2404">
        <f t="shared" si="25"/>
        <v>17600000</v>
      </c>
      <c r="M287" s="2404">
        <f t="shared" si="24"/>
        <v>0</v>
      </c>
      <c r="N287" s="2399"/>
      <c r="P287" s="797">
        <v>10000000</v>
      </c>
      <c r="Q287" s="797">
        <f t="shared" si="26"/>
        <v>-7600000</v>
      </c>
    </row>
    <row r="288" spans="1:18">
      <c r="A288" s="2447">
        <v>4</v>
      </c>
      <c r="B288" s="2420">
        <v>4</v>
      </c>
      <c r="C288" s="2420" t="s">
        <v>593</v>
      </c>
      <c r="D288" s="2401">
        <v>5</v>
      </c>
      <c r="E288" s="2401">
        <v>2</v>
      </c>
      <c r="F288" s="2401"/>
      <c r="G288" s="2401"/>
      <c r="H288" s="2402" t="s">
        <v>8</v>
      </c>
      <c r="I288" s="2401"/>
      <c r="J288" s="2402"/>
      <c r="K288" s="2405">
        <f>K289+K295+K299</f>
        <v>17600000</v>
      </c>
      <c r="L288" s="2405">
        <f>L289+L295+L299</f>
        <v>17600000</v>
      </c>
      <c r="M288" s="2405">
        <f t="shared" si="24"/>
        <v>0</v>
      </c>
      <c r="N288" s="2402" t="s">
        <v>894</v>
      </c>
      <c r="O288" s="419" t="s">
        <v>966</v>
      </c>
      <c r="P288" s="567">
        <v>10000000</v>
      </c>
      <c r="Q288" s="567">
        <f t="shared" si="26"/>
        <v>-7600000</v>
      </c>
    </row>
    <row r="289" spans="1:17">
      <c r="A289" s="2447">
        <v>4</v>
      </c>
      <c r="B289" s="2420">
        <v>4</v>
      </c>
      <c r="C289" s="2420" t="s">
        <v>593</v>
      </c>
      <c r="D289" s="2401">
        <v>5</v>
      </c>
      <c r="E289" s="2401">
        <v>2</v>
      </c>
      <c r="F289" s="2401">
        <v>1</v>
      </c>
      <c r="G289" s="2401"/>
      <c r="H289" s="2402" t="s">
        <v>731</v>
      </c>
      <c r="I289" s="2401"/>
      <c r="J289" s="2402"/>
      <c r="K289" s="2405">
        <f>SUM(K290:K294)</f>
        <v>6820000</v>
      </c>
      <c r="L289" s="2405">
        <f>SUM(L290:L294)</f>
        <v>6820000</v>
      </c>
      <c r="M289" s="2405">
        <f t="shared" si="24"/>
        <v>0</v>
      </c>
      <c r="N289" s="2402"/>
      <c r="P289" s="567">
        <v>10000000</v>
      </c>
      <c r="Q289" s="567">
        <f t="shared" si="26"/>
        <v>3180000</v>
      </c>
    </row>
    <row r="290" spans="1:17" ht="29.25" customHeight="1">
      <c r="A290" s="2447">
        <v>4</v>
      </c>
      <c r="B290" s="2420">
        <v>4</v>
      </c>
      <c r="C290" s="2420" t="s">
        <v>593</v>
      </c>
      <c r="D290" s="2401">
        <v>5</v>
      </c>
      <c r="E290" s="2401">
        <v>2</v>
      </c>
      <c r="F290" s="2401">
        <v>1</v>
      </c>
      <c r="G290" s="2401">
        <v>1</v>
      </c>
      <c r="H290" s="2461" t="s">
        <v>732</v>
      </c>
      <c r="I290" s="2401"/>
      <c r="J290" s="2402"/>
      <c r="K290" s="2405">
        <f>'4.4 Bintek Perikanan'!H31</f>
        <v>1053000</v>
      </c>
      <c r="L290" s="2405">
        <f>K290</f>
        <v>1053000</v>
      </c>
      <c r="M290" s="2405">
        <f t="shared" si="24"/>
        <v>0</v>
      </c>
      <c r="N290" s="2402"/>
      <c r="P290" s="567">
        <v>5000000</v>
      </c>
      <c r="Q290" s="567">
        <f t="shared" si="26"/>
        <v>3947000</v>
      </c>
    </row>
    <row r="291" spans="1:17" ht="31.5">
      <c r="A291" s="2447">
        <v>4</v>
      </c>
      <c r="B291" s="2420">
        <v>4</v>
      </c>
      <c r="C291" s="2420" t="s">
        <v>593</v>
      </c>
      <c r="D291" s="2401">
        <v>5</v>
      </c>
      <c r="E291" s="2401">
        <v>2</v>
      </c>
      <c r="F291" s="2401">
        <v>1</v>
      </c>
      <c r="G291" s="2401">
        <v>3</v>
      </c>
      <c r="H291" s="2402" t="s">
        <v>734</v>
      </c>
      <c r="I291" s="2401"/>
      <c r="J291" s="2402"/>
      <c r="K291" s="2405">
        <f>'4.4 Bintek Perikanan'!H58</f>
        <v>683000</v>
      </c>
      <c r="L291" s="2405">
        <f>K291</f>
        <v>683000</v>
      </c>
      <c r="M291" s="2405">
        <f t="shared" si="24"/>
        <v>0</v>
      </c>
      <c r="N291" s="2402"/>
      <c r="P291" s="567">
        <v>5000000</v>
      </c>
      <c r="Q291" s="567">
        <f t="shared" si="26"/>
        <v>4317000</v>
      </c>
    </row>
    <row r="292" spans="1:17" ht="31.5">
      <c r="A292" s="2447">
        <v>4</v>
      </c>
      <c r="B292" s="2420">
        <v>4</v>
      </c>
      <c r="C292" s="2420" t="s">
        <v>593</v>
      </c>
      <c r="D292" s="2401">
        <v>5</v>
      </c>
      <c r="E292" s="2401">
        <v>2</v>
      </c>
      <c r="F292" s="2401">
        <v>1</v>
      </c>
      <c r="G292" s="2401">
        <v>4</v>
      </c>
      <c r="H292" s="2402" t="s">
        <v>735</v>
      </c>
      <c r="I292" s="2401"/>
      <c r="J292" s="2402"/>
      <c r="K292" s="2405">
        <f>'4.4 Bintek Perikanan'!H63</f>
        <v>2604000</v>
      </c>
      <c r="L292" s="2405">
        <f>K292</f>
        <v>2604000</v>
      </c>
      <c r="M292" s="2405">
        <f t="shared" si="24"/>
        <v>0</v>
      </c>
      <c r="N292" s="2402"/>
      <c r="P292" s="567">
        <v>5000000</v>
      </c>
      <c r="Q292" s="567">
        <f t="shared" si="26"/>
        <v>2396000</v>
      </c>
    </row>
    <row r="293" spans="1:17">
      <c r="A293" s="2447">
        <v>4</v>
      </c>
      <c r="B293" s="2420">
        <v>4</v>
      </c>
      <c r="C293" s="2420" t="s">
        <v>593</v>
      </c>
      <c r="D293" s="2401">
        <v>5</v>
      </c>
      <c r="E293" s="2401">
        <v>2</v>
      </c>
      <c r="F293" s="2401">
        <v>1</v>
      </c>
      <c r="G293" s="2401">
        <v>5</v>
      </c>
      <c r="H293" s="2402" t="s">
        <v>826</v>
      </c>
      <c r="I293" s="2401"/>
      <c r="J293" s="2402"/>
      <c r="K293" s="2405">
        <f>'4.4 Bintek Perikanan'!H45</f>
        <v>2480000</v>
      </c>
      <c r="L293" s="2405">
        <f>K293</f>
        <v>2480000</v>
      </c>
      <c r="M293" s="2405">
        <f t="shared" si="24"/>
        <v>0</v>
      </c>
      <c r="N293" s="2402"/>
      <c r="P293" s="567">
        <v>5000000</v>
      </c>
      <c r="Q293" s="567">
        <f t="shared" si="26"/>
        <v>2520000</v>
      </c>
    </row>
    <row r="294" spans="1:17">
      <c r="A294" s="2447">
        <v>4</v>
      </c>
      <c r="B294" s="2420">
        <v>4</v>
      </c>
      <c r="C294" s="2420" t="s">
        <v>593</v>
      </c>
      <c r="D294" s="2401">
        <v>5</v>
      </c>
      <c r="E294" s="2401">
        <v>2</v>
      </c>
      <c r="F294" s="2401">
        <v>1</v>
      </c>
      <c r="G294" s="2401">
        <v>9</v>
      </c>
      <c r="H294" s="2402" t="s">
        <v>746</v>
      </c>
      <c r="I294" s="2401"/>
      <c r="J294" s="2402"/>
      <c r="K294" s="2405"/>
      <c r="L294" s="2405"/>
      <c r="M294" s="2405">
        <f t="shared" si="24"/>
        <v>0</v>
      </c>
      <c r="N294" s="2402"/>
      <c r="P294" s="567">
        <v>20000000</v>
      </c>
      <c r="Q294" s="567">
        <f t="shared" si="26"/>
        <v>20000000</v>
      </c>
    </row>
    <row r="295" spans="1:17">
      <c r="A295" s="2447">
        <v>4</v>
      </c>
      <c r="B295" s="2420">
        <v>4</v>
      </c>
      <c r="C295" s="2420" t="s">
        <v>593</v>
      </c>
      <c r="D295" s="2401">
        <v>5</v>
      </c>
      <c r="E295" s="2401">
        <v>2</v>
      </c>
      <c r="F295" s="2401">
        <v>2</v>
      </c>
      <c r="G295" s="2401"/>
      <c r="H295" s="2402" t="s">
        <v>736</v>
      </c>
      <c r="I295" s="2401"/>
      <c r="J295" s="2402"/>
      <c r="K295" s="2405">
        <f>SUM(K296:K298)</f>
        <v>8520000</v>
      </c>
      <c r="L295" s="2405">
        <f>SUM(L296:L298)</f>
        <v>8520000</v>
      </c>
      <c r="M295" s="2405">
        <f t="shared" si="24"/>
        <v>0</v>
      </c>
      <c r="N295" s="2402"/>
      <c r="P295" s="567">
        <v>20000000</v>
      </c>
      <c r="Q295" s="567">
        <f t="shared" si="26"/>
        <v>11480000</v>
      </c>
    </row>
    <row r="296" spans="1:17">
      <c r="A296" s="2447">
        <v>4</v>
      </c>
      <c r="B296" s="2420">
        <v>4</v>
      </c>
      <c r="C296" s="2420" t="s">
        <v>593</v>
      </c>
      <c r="D296" s="2401">
        <v>5</v>
      </c>
      <c r="E296" s="2401">
        <v>2</v>
      </c>
      <c r="F296" s="2401">
        <v>2</v>
      </c>
      <c r="G296" s="2401">
        <v>1</v>
      </c>
      <c r="H296" s="2402" t="s">
        <v>737</v>
      </c>
      <c r="I296" s="2401"/>
      <c r="J296" s="2402"/>
      <c r="K296" s="2405">
        <f>'4.4 Bintek Perikanan'!H51</f>
        <v>1540000</v>
      </c>
      <c r="L296" s="2405">
        <f>K296</f>
        <v>1540000</v>
      </c>
      <c r="M296" s="2405">
        <f t="shared" si="24"/>
        <v>0</v>
      </c>
      <c r="N296" s="2402"/>
      <c r="P296" s="567">
        <v>20000000</v>
      </c>
      <c r="Q296" s="567">
        <f t="shared" si="26"/>
        <v>18460000</v>
      </c>
    </row>
    <row r="297" spans="1:17">
      <c r="A297" s="2447">
        <v>4</v>
      </c>
      <c r="B297" s="2420">
        <v>4</v>
      </c>
      <c r="C297" s="2420" t="s">
        <v>593</v>
      </c>
      <c r="D297" s="2401">
        <v>5</v>
      </c>
      <c r="E297" s="2401">
        <v>2</v>
      </c>
      <c r="F297" s="2401">
        <v>2</v>
      </c>
      <c r="G297" s="2401">
        <v>4</v>
      </c>
      <c r="H297" s="2402" t="s">
        <v>753</v>
      </c>
      <c r="I297" s="2401"/>
      <c r="J297" s="2402"/>
      <c r="K297" s="2405">
        <f>'4.4 Bintek Perikanan'!H20</f>
        <v>4900000</v>
      </c>
      <c r="L297" s="2405">
        <f>K297</f>
        <v>4900000</v>
      </c>
      <c r="M297" s="2405">
        <f t="shared" si="24"/>
        <v>0</v>
      </c>
      <c r="N297" s="2402"/>
      <c r="P297" s="567">
        <v>11300000</v>
      </c>
      <c r="Q297" s="567">
        <f t="shared" si="26"/>
        <v>6400000</v>
      </c>
    </row>
    <row r="298" spans="1:17">
      <c r="A298" s="2447">
        <v>4</v>
      </c>
      <c r="B298" s="2420">
        <v>4</v>
      </c>
      <c r="C298" s="2420" t="s">
        <v>593</v>
      </c>
      <c r="D298" s="2401">
        <v>5</v>
      </c>
      <c r="E298" s="2401">
        <v>2</v>
      </c>
      <c r="F298" s="2401">
        <v>2</v>
      </c>
      <c r="G298" s="2401">
        <v>9</v>
      </c>
      <c r="H298" s="2402" t="s">
        <v>739</v>
      </c>
      <c r="I298" s="2401"/>
      <c r="J298" s="2402"/>
      <c r="K298" s="2405">
        <f>'4.4 Bintek Perikanan'!H54</f>
        <v>2080000</v>
      </c>
      <c r="L298" s="2405">
        <f>K298</f>
        <v>2080000</v>
      </c>
      <c r="M298" s="2405">
        <f t="shared" si="24"/>
        <v>0</v>
      </c>
      <c r="N298" s="2402"/>
      <c r="P298" s="567">
        <v>2307000</v>
      </c>
      <c r="Q298" s="567">
        <f t="shared" si="26"/>
        <v>227000</v>
      </c>
    </row>
    <row r="299" spans="1:17">
      <c r="A299" s="2447">
        <v>4</v>
      </c>
      <c r="B299" s="2434">
        <v>4</v>
      </c>
      <c r="C299" s="2434" t="s">
        <v>593</v>
      </c>
      <c r="D299" s="2401">
        <v>5</v>
      </c>
      <c r="E299" s="2401">
        <v>2</v>
      </c>
      <c r="F299" s="2401">
        <v>4</v>
      </c>
      <c r="G299" s="2401"/>
      <c r="H299" s="2402" t="s">
        <v>1215</v>
      </c>
      <c r="I299" s="2401"/>
      <c r="J299" s="2402"/>
      <c r="K299" s="2405">
        <f>SUM(K300:K300)</f>
        <v>2260000</v>
      </c>
      <c r="L299" s="2405">
        <f>SUM(L300:L300)</f>
        <v>2260000</v>
      </c>
      <c r="M299" s="2405">
        <f t="shared" si="24"/>
        <v>0</v>
      </c>
      <c r="N299" s="2402"/>
      <c r="P299" s="567">
        <v>653000</v>
      </c>
      <c r="Q299" s="567">
        <f t="shared" si="26"/>
        <v>-1607000</v>
      </c>
    </row>
    <row r="300" spans="1:17">
      <c r="A300" s="2447">
        <v>4</v>
      </c>
      <c r="B300" s="2434">
        <v>4</v>
      </c>
      <c r="C300" s="2420" t="s">
        <v>593</v>
      </c>
      <c r="D300" s="2401">
        <v>5</v>
      </c>
      <c r="E300" s="2401">
        <v>2</v>
      </c>
      <c r="F300" s="2401">
        <v>4</v>
      </c>
      <c r="G300" s="2401">
        <v>2</v>
      </c>
      <c r="H300" s="2402" t="s">
        <v>1216</v>
      </c>
      <c r="I300" s="2401"/>
      <c r="J300" s="2402"/>
      <c r="K300" s="2405">
        <f>'4.4 Bintek Perikanan'!H42</f>
        <v>2260000</v>
      </c>
      <c r="L300" s="2405">
        <f>K300</f>
        <v>2260000</v>
      </c>
      <c r="M300" s="2405">
        <f t="shared" si="24"/>
        <v>0</v>
      </c>
      <c r="N300" s="2402"/>
      <c r="P300" s="567">
        <v>2840000</v>
      </c>
      <c r="Q300" s="567">
        <f t="shared" si="26"/>
        <v>580000</v>
      </c>
    </row>
    <row r="301" spans="1:17">
      <c r="A301" s="2447"/>
      <c r="B301" s="2434"/>
      <c r="C301" s="2420"/>
      <c r="D301" s="2401"/>
      <c r="E301" s="2401"/>
      <c r="F301" s="2401"/>
      <c r="G301" s="2401"/>
      <c r="H301" s="2402"/>
      <c r="I301" s="2401"/>
      <c r="J301" s="2402"/>
      <c r="K301" s="2405"/>
      <c r="L301" s="2405"/>
      <c r="M301" s="2405">
        <f t="shared" si="24"/>
        <v>0</v>
      </c>
      <c r="N301" s="2402"/>
      <c r="P301" s="567"/>
      <c r="Q301" s="567"/>
    </row>
    <row r="302" spans="1:17" s="420" customFormat="1">
      <c r="A302" s="2449"/>
      <c r="B302" s="2431"/>
      <c r="C302" s="2419"/>
      <c r="D302" s="2398"/>
      <c r="E302" s="2398"/>
      <c r="F302" s="2398"/>
      <c r="G302" s="2398"/>
      <c r="H302" s="2399" t="s">
        <v>1589</v>
      </c>
      <c r="I302" s="2398"/>
      <c r="J302" s="2399"/>
      <c r="K302" s="2404">
        <v>5000000</v>
      </c>
      <c r="L302" s="2404">
        <v>0</v>
      </c>
      <c r="M302" s="2404"/>
      <c r="N302" s="2399"/>
      <c r="P302" s="555"/>
      <c r="Q302" s="555"/>
    </row>
    <row r="303" spans="1:17" s="420" customFormat="1">
      <c r="A303" s="2449"/>
      <c r="B303" s="2431"/>
      <c r="C303" s="2419"/>
      <c r="D303" s="2398"/>
      <c r="E303" s="2398"/>
      <c r="F303" s="2398"/>
      <c r="G303" s="2398"/>
      <c r="H303" s="2399" t="s">
        <v>1590</v>
      </c>
      <c r="I303" s="2398"/>
      <c r="J303" s="2399"/>
      <c r="K303" s="2404">
        <v>10000000</v>
      </c>
      <c r="L303" s="2404">
        <v>0</v>
      </c>
      <c r="M303" s="2404"/>
      <c r="N303" s="2399"/>
      <c r="P303" s="555"/>
      <c r="Q303" s="555"/>
    </row>
    <row r="304" spans="1:17" s="420" customFormat="1">
      <c r="A304" s="2449"/>
      <c r="B304" s="2431"/>
      <c r="C304" s="2419"/>
      <c r="D304" s="2398"/>
      <c r="E304" s="2398"/>
      <c r="F304" s="2398"/>
      <c r="G304" s="2398"/>
      <c r="H304" s="2399" t="s">
        <v>1591</v>
      </c>
      <c r="I304" s="2398"/>
      <c r="J304" s="2399"/>
      <c r="K304" s="2404">
        <v>7204564</v>
      </c>
      <c r="L304" s="2404">
        <v>0</v>
      </c>
      <c r="M304" s="2404"/>
      <c r="N304" s="2399"/>
      <c r="P304" s="555"/>
      <c r="Q304" s="555"/>
    </row>
    <row r="305" spans="1:19">
      <c r="A305" s="2447"/>
      <c r="B305" s="2434"/>
      <c r="C305" s="2420"/>
      <c r="D305" s="2401"/>
      <c r="E305" s="2401"/>
      <c r="F305" s="2401"/>
      <c r="G305" s="2401"/>
      <c r="H305" s="2402"/>
      <c r="I305" s="2401"/>
      <c r="J305" s="2402"/>
      <c r="K305" s="2405"/>
      <c r="L305" s="2405"/>
      <c r="M305" s="2405"/>
      <c r="N305" s="2402"/>
      <c r="P305" s="567"/>
      <c r="Q305" s="567"/>
    </row>
    <row r="306" spans="1:19" s="421" customFormat="1" ht="31.5">
      <c r="A306" s="2416">
        <v>5</v>
      </c>
      <c r="B306" s="2445"/>
      <c r="C306" s="2445"/>
      <c r="D306" s="2416"/>
      <c r="E306" s="2416"/>
      <c r="F306" s="2416"/>
      <c r="G306" s="2416"/>
      <c r="H306" s="2417" t="s">
        <v>694</v>
      </c>
      <c r="I306" s="2416"/>
      <c r="J306" s="2417"/>
      <c r="K306" s="2418">
        <f>K307+K309</f>
        <v>0</v>
      </c>
      <c r="L306" s="2418">
        <f>L308+L310</f>
        <v>275809000</v>
      </c>
      <c r="M306" s="2418">
        <f t="shared" si="24"/>
        <v>275809000</v>
      </c>
      <c r="N306" s="2417"/>
      <c r="O306" s="419"/>
      <c r="P306" s="816">
        <v>8300000</v>
      </c>
      <c r="Q306" s="816">
        <f t="shared" ref="Q306:Q331" si="27">P306-K306</f>
        <v>8300000</v>
      </c>
    </row>
    <row r="307" spans="1:19" s="556" customFormat="1">
      <c r="A307" s="2401">
        <v>5</v>
      </c>
      <c r="B307" s="2420">
        <v>1</v>
      </c>
      <c r="C307" s="2401"/>
      <c r="D307" s="2401"/>
      <c r="E307" s="2401"/>
      <c r="F307" s="2401"/>
      <c r="G307" s="2401"/>
      <c r="H307" s="2402" t="s">
        <v>435</v>
      </c>
      <c r="I307" s="2401"/>
      <c r="J307" s="2402"/>
      <c r="K307" s="2405"/>
      <c r="L307" s="2530">
        <f>L308</f>
        <v>34855000</v>
      </c>
      <c r="M307" s="2405"/>
      <c r="N307" s="2402" t="s">
        <v>894</v>
      </c>
      <c r="O307" s="556" t="s">
        <v>1520</v>
      </c>
      <c r="P307" s="567">
        <v>700000</v>
      </c>
      <c r="Q307" s="567">
        <f t="shared" si="27"/>
        <v>700000</v>
      </c>
      <c r="R307" s="2530">
        <f>M308-30755000</f>
        <v>4100000</v>
      </c>
    </row>
    <row r="308" spans="1:19" s="556" customFormat="1">
      <c r="A308" s="2401"/>
      <c r="B308" s="2420"/>
      <c r="C308" s="2401"/>
      <c r="D308" s="2401"/>
      <c r="E308" s="2401"/>
      <c r="F308" s="2401"/>
      <c r="G308" s="2401"/>
      <c r="H308" s="2402" t="s">
        <v>1600</v>
      </c>
      <c r="I308" s="2401"/>
      <c r="J308" s="2402"/>
      <c r="K308" s="2405"/>
      <c r="L308" s="2405">
        <v>34855000</v>
      </c>
      <c r="M308" s="2405">
        <f>L308-K307</f>
        <v>34855000</v>
      </c>
      <c r="N308" s="2402"/>
      <c r="P308" s="567"/>
      <c r="Q308" s="567"/>
      <c r="R308" s="2530"/>
    </row>
    <row r="309" spans="1:19">
      <c r="A309" s="2401">
        <v>5</v>
      </c>
      <c r="B309" s="2420">
        <v>2</v>
      </c>
      <c r="C309" s="2401"/>
      <c r="D309" s="2401"/>
      <c r="E309" s="2401"/>
      <c r="F309" s="2401"/>
      <c r="G309" s="2401"/>
      <c r="H309" s="2402" t="s">
        <v>1601</v>
      </c>
      <c r="I309" s="2401"/>
      <c r="J309" s="2402"/>
      <c r="K309" s="2405"/>
      <c r="L309" s="973">
        <f>L310</f>
        <v>240954000</v>
      </c>
      <c r="M309" s="2405"/>
      <c r="N309" s="2402" t="s">
        <v>22</v>
      </c>
      <c r="O309" s="419" t="s">
        <v>1520</v>
      </c>
      <c r="P309" s="567">
        <v>5200000</v>
      </c>
      <c r="Q309" s="567">
        <f t="shared" si="27"/>
        <v>5200000</v>
      </c>
      <c r="S309" s="973">
        <f>K309+K312</f>
        <v>0</v>
      </c>
    </row>
    <row r="310" spans="1:19">
      <c r="A310" s="2401"/>
      <c r="B310" s="2401"/>
      <c r="C310" s="2401"/>
      <c r="D310" s="2401"/>
      <c r="E310" s="2401"/>
      <c r="F310" s="2401"/>
      <c r="G310" s="2401"/>
      <c r="H310" s="2402" t="s">
        <v>1600</v>
      </c>
      <c r="I310" s="2401"/>
      <c r="J310" s="2402"/>
      <c r="K310" s="2405"/>
      <c r="L310" s="2405">
        <f>30%*U12</f>
        <v>240954000</v>
      </c>
      <c r="M310" s="2405">
        <f>L310-K310</f>
        <v>240954000</v>
      </c>
      <c r="N310" s="2402"/>
      <c r="P310" s="567">
        <v>400000</v>
      </c>
      <c r="Q310" s="567">
        <f t="shared" si="27"/>
        <v>400000</v>
      </c>
    </row>
    <row r="311" spans="1:19">
      <c r="A311" s="2462"/>
      <c r="B311" s="2462"/>
      <c r="C311" s="2462"/>
      <c r="D311" s="2462"/>
      <c r="E311" s="2462"/>
      <c r="F311" s="2462"/>
      <c r="G311" s="2462"/>
      <c r="H311" s="2463" t="s">
        <v>10</v>
      </c>
      <c r="I311" s="2462"/>
      <c r="J311" s="2464"/>
      <c r="K311" s="2465">
        <f>K66</f>
        <v>1536094000</v>
      </c>
      <c r="L311" s="2465">
        <f>L66</f>
        <v>1473343651</v>
      </c>
      <c r="M311" s="2465">
        <f>L311-K311</f>
        <v>-62750349</v>
      </c>
      <c r="N311" s="2402"/>
      <c r="P311" s="984">
        <v>400000</v>
      </c>
      <c r="Q311" s="984">
        <f t="shared" si="27"/>
        <v>-1535694000</v>
      </c>
      <c r="R311" s="973">
        <f>L311-1474484651</f>
        <v>-1141000</v>
      </c>
      <c r="S311" s="973">
        <f>R311+M312</f>
        <v>-32595651</v>
      </c>
    </row>
    <row r="312" spans="1:19">
      <c r="A312" s="2401"/>
      <c r="B312" s="2401"/>
      <c r="C312" s="2401"/>
      <c r="D312" s="2401"/>
      <c r="E312" s="2401"/>
      <c r="F312" s="2401"/>
      <c r="G312" s="2401"/>
      <c r="H312" s="2399" t="s">
        <v>698</v>
      </c>
      <c r="I312" s="2401"/>
      <c r="J312" s="2402"/>
      <c r="K312" s="2466">
        <f>K64-K311</f>
        <v>0</v>
      </c>
      <c r="L312" s="2466">
        <f>L64-L311</f>
        <v>-31454651</v>
      </c>
      <c r="M312" s="2466">
        <f t="shared" si="24"/>
        <v>-31454651</v>
      </c>
      <c r="N312" s="2402"/>
      <c r="P312" s="985"/>
      <c r="Q312" s="985">
        <f t="shared" si="27"/>
        <v>0</v>
      </c>
      <c r="R312" s="973">
        <f>L312+32604651</f>
        <v>1150000</v>
      </c>
    </row>
    <row r="313" spans="1:19">
      <c r="A313" s="2401"/>
      <c r="B313" s="2401"/>
      <c r="C313" s="2401"/>
      <c r="D313" s="2401"/>
      <c r="E313" s="2401"/>
      <c r="F313" s="2401"/>
      <c r="G313" s="2401"/>
      <c r="H313" s="2402"/>
      <c r="I313" s="2401"/>
      <c r="J313" s="2402"/>
      <c r="K313" s="2405"/>
      <c r="L313" s="2405"/>
      <c r="M313" s="2405">
        <f t="shared" si="24"/>
        <v>0</v>
      </c>
      <c r="N313" s="2402"/>
      <c r="P313" s="567"/>
      <c r="Q313" s="567">
        <f t="shared" si="27"/>
        <v>0</v>
      </c>
    </row>
    <row r="314" spans="1:19">
      <c r="A314" s="2401"/>
      <c r="B314" s="2401"/>
      <c r="C314" s="2401"/>
      <c r="D314" s="2401">
        <v>6</v>
      </c>
      <c r="E314" s="2401"/>
      <c r="F314" s="2401"/>
      <c r="G314" s="2401"/>
      <c r="H314" s="2399" t="s">
        <v>11</v>
      </c>
      <c r="I314" s="2401"/>
      <c r="J314" s="2402"/>
      <c r="K314" s="2467">
        <f>K315-K324</f>
        <v>149845905.84</v>
      </c>
      <c r="L314" s="2467">
        <f>L315-L324</f>
        <v>149845905.84</v>
      </c>
      <c r="M314" s="2467">
        <f t="shared" si="24"/>
        <v>0</v>
      </c>
      <c r="N314" s="2402"/>
      <c r="P314" s="567">
        <v>0</v>
      </c>
      <c r="Q314" s="567">
        <f t="shared" si="27"/>
        <v>-149845905.84</v>
      </c>
    </row>
    <row r="315" spans="1:19">
      <c r="A315" s="2401"/>
      <c r="B315" s="2401"/>
      <c r="C315" s="2401"/>
      <c r="D315" s="2401">
        <v>6</v>
      </c>
      <c r="E315" s="2401">
        <v>1</v>
      </c>
      <c r="F315" s="2401"/>
      <c r="G315" s="2401"/>
      <c r="H315" s="2399" t="s">
        <v>16</v>
      </c>
      <c r="I315" s="2401"/>
      <c r="J315" s="2402"/>
      <c r="K315" s="2467">
        <f>K316</f>
        <v>149845905.84</v>
      </c>
      <c r="L315" s="2467">
        <f>L316</f>
        <v>149845905.84</v>
      </c>
      <c r="M315" s="2467">
        <f t="shared" si="24"/>
        <v>0</v>
      </c>
      <c r="N315" s="2402"/>
      <c r="P315" s="567">
        <v>0</v>
      </c>
      <c r="Q315" s="567">
        <f t="shared" si="27"/>
        <v>-149845905.84</v>
      </c>
    </row>
    <row r="316" spans="1:19">
      <c r="A316" s="2401"/>
      <c r="B316" s="2401"/>
      <c r="C316" s="2401"/>
      <c r="D316" s="2401">
        <v>6</v>
      </c>
      <c r="E316" s="2401">
        <v>1</v>
      </c>
      <c r="F316" s="2401">
        <v>1</v>
      </c>
      <c r="G316" s="2401"/>
      <c r="H316" s="2402" t="s">
        <v>756</v>
      </c>
      <c r="I316" s="2401"/>
      <c r="J316" s="2402"/>
      <c r="K316" s="2467">
        <f>K317</f>
        <v>149845905.84</v>
      </c>
      <c r="L316" s="2467">
        <f>L317</f>
        <v>149845905.84</v>
      </c>
      <c r="M316" s="2467">
        <f t="shared" si="24"/>
        <v>0</v>
      </c>
      <c r="N316" s="2402"/>
      <c r="P316" s="567">
        <v>0</v>
      </c>
      <c r="Q316" s="567">
        <f t="shared" si="27"/>
        <v>-149845905.84</v>
      </c>
    </row>
    <row r="317" spans="1:19">
      <c r="A317" s="2401"/>
      <c r="B317" s="2401"/>
      <c r="C317" s="2401"/>
      <c r="D317" s="2401">
        <v>6</v>
      </c>
      <c r="E317" s="2401">
        <v>1</v>
      </c>
      <c r="F317" s="2401">
        <v>1</v>
      </c>
      <c r="G317" s="2401">
        <v>1</v>
      </c>
      <c r="H317" s="2402" t="s">
        <v>756</v>
      </c>
      <c r="I317" s="2401"/>
      <c r="J317" s="2402"/>
      <c r="K317" s="2467">
        <v>149845905.84</v>
      </c>
      <c r="L317" s="2467">
        <v>149845905.84</v>
      </c>
      <c r="M317" s="2467">
        <f t="shared" si="24"/>
        <v>0</v>
      </c>
      <c r="N317" s="2402"/>
      <c r="P317" s="567">
        <v>0</v>
      </c>
      <c r="Q317" s="567">
        <f t="shared" si="27"/>
        <v>-149845905.84</v>
      </c>
    </row>
    <row r="318" spans="1:19">
      <c r="A318" s="2401"/>
      <c r="B318" s="2401"/>
      <c r="C318" s="2401"/>
      <c r="D318" s="2401">
        <v>6</v>
      </c>
      <c r="E318" s="2401">
        <v>1</v>
      </c>
      <c r="F318" s="2401">
        <v>2</v>
      </c>
      <c r="G318" s="2401"/>
      <c r="H318" s="2468" t="s">
        <v>17</v>
      </c>
      <c r="I318" s="2401"/>
      <c r="J318" s="2402"/>
      <c r="K318" s="2467">
        <f>K319</f>
        <v>0</v>
      </c>
      <c r="L318" s="2467">
        <f>L319</f>
        <v>0</v>
      </c>
      <c r="M318" s="2467">
        <f t="shared" si="24"/>
        <v>0</v>
      </c>
      <c r="N318" s="2402"/>
      <c r="P318" s="567"/>
      <c r="Q318" s="567">
        <f t="shared" si="27"/>
        <v>0</v>
      </c>
      <c r="S318" s="987"/>
    </row>
    <row r="319" spans="1:19">
      <c r="A319" s="2401"/>
      <c r="B319" s="2401"/>
      <c r="C319" s="2401"/>
      <c r="D319" s="2401">
        <v>6</v>
      </c>
      <c r="E319" s="2401">
        <v>1</v>
      </c>
      <c r="F319" s="2401">
        <v>2</v>
      </c>
      <c r="G319" s="2401">
        <v>1</v>
      </c>
      <c r="H319" s="2468" t="s">
        <v>17</v>
      </c>
      <c r="I319" s="2401"/>
      <c r="J319" s="2402"/>
      <c r="K319" s="2467"/>
      <c r="L319" s="2467"/>
      <c r="M319" s="2467">
        <f t="shared" si="24"/>
        <v>0</v>
      </c>
      <c r="N319" s="2402"/>
      <c r="P319" s="567">
        <v>1465948000</v>
      </c>
      <c r="Q319" s="567">
        <f t="shared" si="27"/>
        <v>1465948000</v>
      </c>
    </row>
    <row r="320" spans="1:19">
      <c r="A320" s="2401"/>
      <c r="B320" s="2401"/>
      <c r="C320" s="2401"/>
      <c r="D320" s="2401">
        <v>6</v>
      </c>
      <c r="E320" s="2401">
        <v>1</v>
      </c>
      <c r="F320" s="2401">
        <v>3</v>
      </c>
      <c r="G320" s="2401"/>
      <c r="H320" s="2402" t="s">
        <v>757</v>
      </c>
      <c r="I320" s="2401"/>
      <c r="J320" s="2402"/>
      <c r="K320" s="2467">
        <f>K321</f>
        <v>0</v>
      </c>
      <c r="L320" s="2467">
        <f>L321</f>
        <v>0</v>
      </c>
      <c r="M320" s="2467">
        <f t="shared" si="24"/>
        <v>0</v>
      </c>
      <c r="N320" s="2402"/>
      <c r="P320" s="567">
        <v>0</v>
      </c>
      <c r="Q320" s="567">
        <f t="shared" si="27"/>
        <v>0</v>
      </c>
    </row>
    <row r="321" spans="1:17">
      <c r="A321" s="2401"/>
      <c r="B321" s="2401"/>
      <c r="C321" s="2401"/>
      <c r="D321" s="2401">
        <v>6</v>
      </c>
      <c r="E321" s="2401">
        <v>1</v>
      </c>
      <c r="F321" s="2401">
        <v>3</v>
      </c>
      <c r="G321" s="2401">
        <v>1</v>
      </c>
      <c r="H321" s="2402" t="s">
        <v>757</v>
      </c>
      <c r="I321" s="2401"/>
      <c r="J321" s="2402"/>
      <c r="K321" s="2467"/>
      <c r="L321" s="2467"/>
      <c r="M321" s="2467">
        <f t="shared" si="24"/>
        <v>0</v>
      </c>
      <c r="N321" s="2402"/>
      <c r="P321" s="567"/>
      <c r="Q321" s="567">
        <f t="shared" si="27"/>
        <v>0</v>
      </c>
    </row>
    <row r="322" spans="1:17">
      <c r="A322" s="2401"/>
      <c r="B322" s="2401"/>
      <c r="C322" s="2401"/>
      <c r="D322" s="2401">
        <v>6</v>
      </c>
      <c r="E322" s="2401">
        <v>1</v>
      </c>
      <c r="F322" s="2401">
        <v>9</v>
      </c>
      <c r="G322" s="2401"/>
      <c r="H322" s="2402" t="s">
        <v>758</v>
      </c>
      <c r="I322" s="2401"/>
      <c r="J322" s="2402"/>
      <c r="K322" s="2467">
        <f>K323</f>
        <v>0</v>
      </c>
      <c r="L322" s="2467">
        <f>L323</f>
        <v>0</v>
      </c>
      <c r="M322" s="2467">
        <f t="shared" si="24"/>
        <v>0</v>
      </c>
      <c r="N322" s="2402"/>
      <c r="P322" s="567">
        <v>0</v>
      </c>
      <c r="Q322" s="567">
        <f t="shared" si="27"/>
        <v>0</v>
      </c>
    </row>
    <row r="323" spans="1:17">
      <c r="A323" s="2401"/>
      <c r="B323" s="2401"/>
      <c r="C323" s="2401"/>
      <c r="D323" s="2401">
        <v>6</v>
      </c>
      <c r="E323" s="2401">
        <v>1</v>
      </c>
      <c r="F323" s="2401">
        <v>9</v>
      </c>
      <c r="G323" s="2401">
        <v>1</v>
      </c>
      <c r="H323" s="2402" t="s">
        <v>758</v>
      </c>
      <c r="I323" s="2401"/>
      <c r="J323" s="2402"/>
      <c r="K323" s="2467"/>
      <c r="L323" s="2467"/>
      <c r="M323" s="2467">
        <f t="shared" si="24"/>
        <v>0</v>
      </c>
      <c r="N323" s="2402"/>
      <c r="P323" s="567">
        <v>0</v>
      </c>
      <c r="Q323" s="567">
        <f t="shared" si="27"/>
        <v>0</v>
      </c>
    </row>
    <row r="324" spans="1:17">
      <c r="A324" s="2401"/>
      <c r="B324" s="2401"/>
      <c r="C324" s="2401"/>
      <c r="D324" s="2401">
        <v>6</v>
      </c>
      <c r="E324" s="2401">
        <v>2</v>
      </c>
      <c r="F324" s="2401"/>
      <c r="G324" s="2401"/>
      <c r="H324" s="2399" t="s">
        <v>18</v>
      </c>
      <c r="I324" s="2401"/>
      <c r="J324" s="2402"/>
      <c r="K324" s="2467">
        <f>K325+K327</f>
        <v>0</v>
      </c>
      <c r="L324" s="2467">
        <f>L325+L327</f>
        <v>0</v>
      </c>
      <c r="M324" s="2467">
        <f t="shared" si="24"/>
        <v>0</v>
      </c>
      <c r="N324" s="2402"/>
      <c r="P324" s="567">
        <v>0</v>
      </c>
      <c r="Q324" s="567">
        <f t="shared" si="27"/>
        <v>0</v>
      </c>
    </row>
    <row r="325" spans="1:17">
      <c r="A325" s="2401"/>
      <c r="B325" s="2401"/>
      <c r="C325" s="2401"/>
      <c r="D325" s="2401">
        <v>6</v>
      </c>
      <c r="E325" s="2401">
        <v>2</v>
      </c>
      <c r="F325" s="2401">
        <v>1</v>
      </c>
      <c r="G325" s="2401"/>
      <c r="H325" s="2402" t="s">
        <v>19</v>
      </c>
      <c r="I325" s="2401"/>
      <c r="J325" s="2402"/>
      <c r="K325" s="2467">
        <f>K326</f>
        <v>0</v>
      </c>
      <c r="L325" s="2467">
        <f>L326</f>
        <v>0</v>
      </c>
      <c r="M325" s="2467">
        <f t="shared" si="24"/>
        <v>0</v>
      </c>
      <c r="N325" s="2402"/>
      <c r="P325" s="567"/>
      <c r="Q325" s="567">
        <f t="shared" si="27"/>
        <v>0</v>
      </c>
    </row>
    <row r="326" spans="1:17">
      <c r="A326" s="2401"/>
      <c r="B326" s="2401"/>
      <c r="C326" s="2401"/>
      <c r="D326" s="2401">
        <v>6</v>
      </c>
      <c r="E326" s="2401">
        <v>2</v>
      </c>
      <c r="F326" s="2401">
        <v>1</v>
      </c>
      <c r="G326" s="2401">
        <v>1</v>
      </c>
      <c r="H326" s="2402" t="s">
        <v>19</v>
      </c>
      <c r="I326" s="2401"/>
      <c r="J326" s="2402"/>
      <c r="K326" s="2467"/>
      <c r="L326" s="2467"/>
      <c r="M326" s="2467">
        <f t="shared" si="24"/>
        <v>0</v>
      </c>
      <c r="N326" s="2402"/>
      <c r="P326" s="567">
        <v>0</v>
      </c>
      <c r="Q326" s="567">
        <f t="shared" si="27"/>
        <v>0</v>
      </c>
    </row>
    <row r="327" spans="1:17">
      <c r="A327" s="2401"/>
      <c r="B327" s="2401"/>
      <c r="C327" s="2401"/>
      <c r="D327" s="2401">
        <v>6</v>
      </c>
      <c r="E327" s="2401">
        <v>2</v>
      </c>
      <c r="F327" s="2401">
        <v>2</v>
      </c>
      <c r="G327" s="2401"/>
      <c r="H327" s="2402" t="s">
        <v>20</v>
      </c>
      <c r="I327" s="2401"/>
      <c r="J327" s="2402"/>
      <c r="K327" s="2467">
        <f>K328</f>
        <v>0</v>
      </c>
      <c r="L327" s="2467">
        <f>L328</f>
        <v>0</v>
      </c>
      <c r="M327" s="2467">
        <f t="shared" si="24"/>
        <v>0</v>
      </c>
      <c r="N327" s="2402"/>
      <c r="P327" s="567"/>
      <c r="Q327" s="567">
        <f t="shared" si="27"/>
        <v>0</v>
      </c>
    </row>
    <row r="328" spans="1:17">
      <c r="A328" s="2401"/>
      <c r="B328" s="2401"/>
      <c r="C328" s="2401"/>
      <c r="D328" s="2401">
        <v>6</v>
      </c>
      <c r="E328" s="2401">
        <v>2</v>
      </c>
      <c r="F328" s="2401">
        <v>2</v>
      </c>
      <c r="G328" s="2401">
        <v>1</v>
      </c>
      <c r="H328" s="2402" t="s">
        <v>1097</v>
      </c>
      <c r="I328" s="2401"/>
      <c r="J328" s="2402"/>
      <c r="K328" s="2467"/>
      <c r="L328" s="2467"/>
      <c r="M328" s="2467">
        <f t="shared" si="24"/>
        <v>0</v>
      </c>
      <c r="N328" s="2402" t="s">
        <v>894</v>
      </c>
      <c r="O328" s="419" t="s">
        <v>1199</v>
      </c>
      <c r="P328" s="567">
        <v>0</v>
      </c>
      <c r="Q328" s="567">
        <f t="shared" si="27"/>
        <v>0</v>
      </c>
    </row>
    <row r="329" spans="1:17">
      <c r="A329" s="2401"/>
      <c r="B329" s="2401"/>
      <c r="C329" s="2401"/>
      <c r="D329" s="2401">
        <v>6</v>
      </c>
      <c r="E329" s="2401">
        <v>2</v>
      </c>
      <c r="F329" s="2401">
        <v>3</v>
      </c>
      <c r="G329" s="2401"/>
      <c r="H329" s="2402" t="s">
        <v>759</v>
      </c>
      <c r="I329" s="2401"/>
      <c r="J329" s="2402"/>
      <c r="K329" s="2467">
        <f>K330</f>
        <v>0</v>
      </c>
      <c r="L329" s="2467">
        <f>L330</f>
        <v>0</v>
      </c>
      <c r="M329" s="2467">
        <f t="shared" si="24"/>
        <v>0</v>
      </c>
      <c r="N329" s="2402"/>
      <c r="P329" s="567"/>
      <c r="Q329" s="567">
        <f t="shared" si="27"/>
        <v>0</v>
      </c>
    </row>
    <row r="330" spans="1:17">
      <c r="A330" s="2401"/>
      <c r="B330" s="2401"/>
      <c r="C330" s="2401"/>
      <c r="D330" s="2401">
        <v>6</v>
      </c>
      <c r="E330" s="2401">
        <v>2</v>
      </c>
      <c r="F330" s="2401">
        <v>3</v>
      </c>
      <c r="G330" s="2401">
        <v>1</v>
      </c>
      <c r="H330" s="2402" t="s">
        <v>759</v>
      </c>
      <c r="I330" s="2401"/>
      <c r="J330" s="2402"/>
      <c r="K330" s="2467"/>
      <c r="L330" s="2467"/>
      <c r="M330" s="2467">
        <f t="shared" si="24"/>
        <v>0</v>
      </c>
      <c r="N330" s="2402"/>
      <c r="P330" s="567">
        <v>0</v>
      </c>
      <c r="Q330" s="567">
        <f t="shared" si="27"/>
        <v>0</v>
      </c>
    </row>
    <row r="331" spans="1:17">
      <c r="A331" s="2401"/>
      <c r="B331" s="2401"/>
      <c r="C331" s="2401"/>
      <c r="D331" s="2401"/>
      <c r="E331" s="2401"/>
      <c r="F331" s="2401"/>
      <c r="G331" s="2401"/>
      <c r="H331" s="2402"/>
      <c r="I331" s="2401"/>
      <c r="J331" s="2402"/>
      <c r="K331" s="2467"/>
      <c r="L331" s="2467"/>
      <c r="M331" s="2467">
        <f t="shared" si="24"/>
        <v>0</v>
      </c>
      <c r="N331" s="2402"/>
      <c r="P331" s="579"/>
      <c r="Q331" s="579">
        <f t="shared" si="27"/>
        <v>0</v>
      </c>
    </row>
    <row r="332" spans="1:17">
      <c r="A332" s="2406"/>
      <c r="B332" s="2406"/>
      <c r="C332" s="2406"/>
      <c r="D332" s="2406"/>
      <c r="E332" s="2406"/>
      <c r="F332" s="2406"/>
      <c r="G332" s="2406"/>
      <c r="H332" s="2469" t="s">
        <v>760</v>
      </c>
      <c r="I332" s="2406"/>
      <c r="J332" s="2407"/>
      <c r="K332" s="2470">
        <f>K312+K314</f>
        <v>149845905.84</v>
      </c>
      <c r="L332" s="2470">
        <f>L312+L314</f>
        <v>118391254.84</v>
      </c>
      <c r="M332" s="2470">
        <f t="shared" si="24"/>
        <v>-31454651</v>
      </c>
      <c r="N332" s="2407"/>
      <c r="P332" s="583">
        <v>0</v>
      </c>
      <c r="Q332" s="583"/>
    </row>
    <row r="333" spans="1:17">
      <c r="A333" s="584"/>
      <c r="B333" s="585"/>
      <c r="C333" s="585"/>
      <c r="D333" s="585"/>
      <c r="E333" s="585"/>
      <c r="F333" s="585"/>
      <c r="G333" s="585"/>
      <c r="H333" s="585"/>
      <c r="I333" s="1475"/>
      <c r="J333" s="585"/>
      <c r="K333" s="585"/>
      <c r="L333" s="2133"/>
      <c r="M333" s="2162"/>
      <c r="N333" s="585"/>
      <c r="P333" s="585">
        <v>0</v>
      </c>
      <c r="Q333" s="585"/>
    </row>
    <row r="334" spans="1:17" ht="23.25" customHeight="1">
      <c r="A334" s="584"/>
      <c r="B334" s="585"/>
      <c r="C334" s="585"/>
      <c r="D334" s="585"/>
      <c r="E334" s="585"/>
      <c r="F334" s="585"/>
      <c r="G334" s="585"/>
      <c r="H334" s="585"/>
      <c r="I334" s="1475"/>
      <c r="J334" s="2803" t="s">
        <v>1602</v>
      </c>
      <c r="K334" s="2803"/>
      <c r="L334" s="2803"/>
      <c r="M334" s="2803"/>
      <c r="N334" s="2803"/>
    </row>
    <row r="335" spans="1:17" ht="23.25">
      <c r="A335" s="584"/>
      <c r="B335" s="585"/>
      <c r="C335" s="585"/>
      <c r="D335" s="585"/>
      <c r="E335" s="585"/>
      <c r="F335" s="585"/>
      <c r="G335" s="585"/>
      <c r="H335" s="585"/>
      <c r="I335" s="1475"/>
      <c r="J335" s="2803" t="s">
        <v>1341</v>
      </c>
      <c r="K335" s="2803"/>
      <c r="L335" s="2803"/>
      <c r="M335" s="2803"/>
      <c r="N335" s="2803"/>
      <c r="P335" s="419">
        <v>0</v>
      </c>
    </row>
    <row r="336" spans="1:17" ht="15.75" customHeight="1">
      <c r="A336" s="584"/>
      <c r="B336" s="585"/>
      <c r="C336" s="585"/>
      <c r="D336" s="585"/>
      <c r="E336" s="585"/>
      <c r="F336" s="585"/>
      <c r="G336" s="585"/>
      <c r="H336" s="585"/>
      <c r="I336" s="1475"/>
      <c r="J336" s="2659"/>
      <c r="K336" s="2660"/>
      <c r="L336" s="2660"/>
      <c r="M336" s="2660"/>
      <c r="N336" s="2660"/>
      <c r="P336" s="1252"/>
      <c r="Q336" s="1252"/>
    </row>
    <row r="337" spans="1:17" ht="23.25">
      <c r="A337" s="584"/>
      <c r="B337" s="585"/>
      <c r="C337" s="585"/>
      <c r="D337" s="585"/>
      <c r="E337" s="585"/>
      <c r="F337" s="585"/>
      <c r="G337" s="585"/>
      <c r="H337" s="585"/>
      <c r="I337" s="1475"/>
      <c r="J337" s="2659"/>
      <c r="K337" s="2660"/>
      <c r="L337" s="2660"/>
      <c r="M337" s="2660"/>
      <c r="N337" s="2660"/>
      <c r="P337" s="1252">
        <v>0</v>
      </c>
      <c r="Q337" s="1252"/>
    </row>
    <row r="338" spans="1:17" ht="23.25">
      <c r="A338" s="584"/>
      <c r="B338" s="585"/>
      <c r="C338" s="585"/>
      <c r="D338" s="585"/>
      <c r="E338" s="585"/>
      <c r="F338" s="585"/>
      <c r="G338" s="585"/>
      <c r="H338" s="585"/>
      <c r="I338" s="1475"/>
      <c r="J338" s="2659"/>
      <c r="K338" s="2660"/>
      <c r="L338" s="2660"/>
      <c r="M338" s="2660"/>
      <c r="N338" s="2660"/>
      <c r="P338" s="1252"/>
      <c r="Q338" s="1252"/>
    </row>
    <row r="339" spans="1:17" ht="23.25">
      <c r="J339" s="2661"/>
      <c r="K339" s="2661"/>
      <c r="L339" s="2661"/>
      <c r="M339" s="2661"/>
      <c r="N339" s="2661"/>
    </row>
    <row r="340" spans="1:17" ht="15.75" customHeight="1">
      <c r="J340" s="2661"/>
      <c r="K340" s="2660"/>
      <c r="L340" s="2660"/>
      <c r="M340" s="2660"/>
      <c r="N340" s="2660"/>
      <c r="P340" s="1252">
        <v>0</v>
      </c>
      <c r="Q340" s="1252"/>
    </row>
    <row r="341" spans="1:17" ht="23.25">
      <c r="J341" s="2803" t="s">
        <v>878</v>
      </c>
      <c r="K341" s="2803"/>
      <c r="L341" s="2803"/>
      <c r="M341" s="2803"/>
      <c r="N341" s="2803"/>
      <c r="P341" s="1252"/>
      <c r="Q341" s="1252"/>
    </row>
    <row r="343" spans="1:17">
      <c r="A343" s="2802" t="s">
        <v>761</v>
      </c>
      <c r="B343" s="2802"/>
      <c r="C343" s="2802"/>
      <c r="D343" s="2802"/>
      <c r="E343" s="2802"/>
      <c r="F343" s="2802"/>
      <c r="G343" s="2802"/>
      <c r="H343" s="2802"/>
      <c r="I343" s="2802"/>
      <c r="J343" s="2802"/>
      <c r="K343" s="2802"/>
      <c r="L343" s="2802"/>
      <c r="M343" s="2802"/>
      <c r="N343" s="2802"/>
    </row>
    <row r="344" spans="1:17">
      <c r="A344" s="1476" t="s">
        <v>762</v>
      </c>
      <c r="B344" s="1112"/>
      <c r="C344" s="1113" t="s">
        <v>46</v>
      </c>
      <c r="D344" s="1476" t="s">
        <v>763</v>
      </c>
      <c r="E344" s="1112"/>
      <c r="F344" s="1112"/>
      <c r="G344" s="1112"/>
      <c r="H344" s="1112"/>
      <c r="I344" s="1113"/>
      <c r="J344" s="1112"/>
      <c r="K344" s="1112"/>
      <c r="L344" s="2131"/>
      <c r="M344" s="2161"/>
      <c r="N344" s="1112"/>
      <c r="P344" s="1251"/>
      <c r="Q344" s="1251"/>
    </row>
    <row r="345" spans="1:17">
      <c r="A345" s="1112"/>
      <c r="B345" s="1112"/>
      <c r="C345" s="1112"/>
      <c r="D345" s="1476" t="s">
        <v>764</v>
      </c>
      <c r="E345" s="1112"/>
      <c r="F345" s="1112"/>
      <c r="G345" s="1112"/>
      <c r="H345" s="1112"/>
      <c r="I345" s="1113"/>
      <c r="J345" s="1112"/>
      <c r="K345" s="1112"/>
      <c r="L345" s="2131"/>
      <c r="M345" s="2161"/>
      <c r="N345" s="1112"/>
      <c r="P345" s="1251"/>
      <c r="Q345" s="1251"/>
    </row>
    <row r="346" spans="1:17">
      <c r="A346" s="1112"/>
      <c r="B346" s="1112"/>
      <c r="C346" s="1112"/>
      <c r="D346" s="1476" t="s">
        <v>765</v>
      </c>
      <c r="E346" s="1112"/>
      <c r="F346" s="1112"/>
      <c r="G346" s="1112"/>
      <c r="H346" s="1112"/>
      <c r="I346" s="1113"/>
      <c r="J346" s="1112"/>
      <c r="K346" s="1112"/>
      <c r="L346" s="2131"/>
      <c r="M346" s="2161"/>
      <c r="N346" s="1112"/>
      <c r="P346" s="1251"/>
      <c r="Q346" s="1251"/>
    </row>
    <row r="347" spans="1:17">
      <c r="A347" s="1112"/>
      <c r="B347" s="1112"/>
      <c r="C347" s="1112"/>
      <c r="D347" s="1476" t="s">
        <v>766</v>
      </c>
      <c r="E347" s="1112"/>
      <c r="F347" s="1112"/>
      <c r="G347" s="1112"/>
      <c r="H347" s="1112"/>
      <c r="I347" s="1113"/>
      <c r="J347" s="1112"/>
      <c r="K347" s="1112"/>
      <c r="L347" s="2131"/>
      <c r="M347" s="2161"/>
      <c r="N347" s="1112"/>
      <c r="P347" s="1251"/>
      <c r="Q347" s="1251"/>
    </row>
    <row r="348" spans="1:17">
      <c r="A348" s="1476" t="s">
        <v>767</v>
      </c>
      <c r="B348" s="1112"/>
      <c r="C348" s="1113" t="s">
        <v>46</v>
      </c>
      <c r="D348" s="1476" t="s">
        <v>768</v>
      </c>
      <c r="E348" s="1112"/>
      <c r="F348" s="1112"/>
      <c r="G348" s="1112"/>
      <c r="H348" s="1112"/>
      <c r="I348" s="1113"/>
      <c r="J348" s="1112"/>
      <c r="K348" s="1112"/>
      <c r="L348" s="2131"/>
      <c r="M348" s="2161"/>
      <c r="N348" s="1112"/>
      <c r="P348" s="1251"/>
      <c r="Q348" s="1251"/>
    </row>
    <row r="349" spans="1:17">
      <c r="A349" s="1476"/>
      <c r="B349" s="1112"/>
      <c r="C349" s="1113"/>
      <c r="D349" s="1476" t="s">
        <v>769</v>
      </c>
      <c r="E349" s="1112"/>
      <c r="F349" s="1112"/>
      <c r="G349" s="1112"/>
      <c r="H349" s="1112"/>
      <c r="I349" s="1113"/>
      <c r="J349" s="1112"/>
      <c r="K349" s="1112"/>
      <c r="L349" s="2131"/>
      <c r="M349" s="2161"/>
      <c r="N349" s="1112"/>
      <c r="P349" s="1251"/>
      <c r="Q349" s="1251"/>
    </row>
    <row r="350" spans="1:17">
      <c r="A350" s="1476"/>
      <c r="B350" s="1112"/>
      <c r="C350" s="1113"/>
      <c r="D350" s="1477" t="s">
        <v>313</v>
      </c>
      <c r="E350" s="1476" t="s">
        <v>770</v>
      </c>
      <c r="F350" s="1112"/>
      <c r="G350" s="1112"/>
      <c r="H350" s="1112"/>
      <c r="I350" s="1113"/>
      <c r="J350" s="1112"/>
      <c r="K350" s="1112"/>
      <c r="L350" s="2131"/>
      <c r="M350" s="2161"/>
      <c r="N350" s="1112"/>
      <c r="P350" s="1251"/>
      <c r="Q350" s="1251"/>
    </row>
    <row r="351" spans="1:17">
      <c r="A351" s="1112"/>
      <c r="B351" s="1112"/>
      <c r="C351" s="1112"/>
      <c r="E351" s="1476" t="s">
        <v>771</v>
      </c>
      <c r="F351" s="1112"/>
      <c r="G351" s="1112"/>
      <c r="H351" s="1112"/>
      <c r="I351" s="1113"/>
      <c r="J351" s="1112"/>
      <c r="K351" s="1112"/>
      <c r="L351" s="2131"/>
      <c r="M351" s="2161"/>
      <c r="N351" s="1112"/>
      <c r="P351" s="1251"/>
      <c r="Q351" s="1251"/>
    </row>
    <row r="352" spans="1:17" ht="15.75" customHeight="1">
      <c r="A352" s="1112"/>
      <c r="B352" s="1112"/>
      <c r="C352" s="1112"/>
      <c r="E352" s="1476" t="s">
        <v>772</v>
      </c>
      <c r="F352" s="1112"/>
      <c r="G352" s="1112"/>
      <c r="H352" s="1112"/>
      <c r="I352" s="1113"/>
      <c r="J352" s="1112"/>
      <c r="K352" s="1112"/>
      <c r="L352" s="2131"/>
      <c r="M352" s="2161"/>
      <c r="N352" s="1112"/>
      <c r="P352" s="1251"/>
      <c r="Q352" s="1251"/>
    </row>
    <row r="353" spans="1:28">
      <c r="A353" s="1112"/>
      <c r="B353" s="1112"/>
      <c r="C353" s="1112"/>
      <c r="E353" s="1476" t="s">
        <v>773</v>
      </c>
      <c r="F353" s="1112"/>
      <c r="G353" s="1112"/>
      <c r="H353" s="1112"/>
      <c r="I353" s="1113"/>
      <c r="J353" s="1112"/>
      <c r="K353" s="1112"/>
      <c r="L353" s="2131"/>
      <c r="M353" s="2161"/>
      <c r="N353" s="1112"/>
      <c r="P353" s="1251"/>
      <c r="Q353" s="1251"/>
    </row>
    <row r="354" spans="1:28" ht="18">
      <c r="A354" s="1112"/>
      <c r="B354" s="1112"/>
      <c r="C354" s="1112"/>
      <c r="E354" s="1476" t="s">
        <v>774</v>
      </c>
      <c r="F354" s="1112"/>
      <c r="G354" s="1112"/>
      <c r="H354" s="1112"/>
      <c r="I354" s="1113"/>
      <c r="J354" s="1112"/>
      <c r="K354" s="1112"/>
      <c r="L354" s="2131"/>
      <c r="M354" s="2161"/>
      <c r="N354" s="1112"/>
      <c r="P354" s="1251"/>
      <c r="Q354" s="1251"/>
      <c r="U354" s="1220" t="s">
        <v>1061</v>
      </c>
      <c r="V354" s="1220" t="s">
        <v>1062</v>
      </c>
      <c r="W354" s="1231">
        <f>U33</f>
        <v>0</v>
      </c>
      <c r="X354" s="1221"/>
      <c r="Y354" s="1221"/>
      <c r="Z354" s="1221"/>
      <c r="AA354" s="1221"/>
    </row>
    <row r="355" spans="1:28" ht="18">
      <c r="A355" s="1112"/>
      <c r="B355" s="1112"/>
      <c r="C355" s="1112"/>
      <c r="D355" s="1477" t="s">
        <v>313</v>
      </c>
      <c r="E355" s="1476" t="s">
        <v>775</v>
      </c>
      <c r="F355" s="1112"/>
      <c r="G355" s="1112"/>
      <c r="H355" s="1112"/>
      <c r="I355" s="1113"/>
      <c r="J355" s="1112"/>
      <c r="K355" s="1112"/>
      <c r="L355" s="2131"/>
      <c r="M355" s="2161"/>
      <c r="N355" s="1112"/>
      <c r="P355" s="1251"/>
      <c r="Q355" s="1251"/>
      <c r="U355" s="1222">
        <f>SUM(U356:U358)</f>
        <v>12776500</v>
      </c>
      <c r="V355" s="1222">
        <f>SUM(V356:V358)</f>
        <v>5223500</v>
      </c>
      <c r="W355" s="1221"/>
      <c r="X355" s="1221"/>
      <c r="Y355" s="1221"/>
      <c r="Z355" s="1221"/>
      <c r="AA355" s="1221"/>
    </row>
    <row r="356" spans="1:28" ht="18">
      <c r="A356" s="1112"/>
      <c r="B356" s="1112"/>
      <c r="C356" s="1112"/>
      <c r="D356" s="1112"/>
      <c r="E356" s="1476" t="s">
        <v>776</v>
      </c>
      <c r="F356" s="1112"/>
      <c r="G356" s="1112"/>
      <c r="H356" s="1112"/>
      <c r="I356" s="1113"/>
      <c r="J356" s="1112"/>
      <c r="K356" s="1112"/>
      <c r="L356" s="2131"/>
      <c r="M356" s="2161"/>
      <c r="N356" s="1112"/>
      <c r="P356" s="1251"/>
      <c r="Q356" s="1251"/>
      <c r="T356" s="973">
        <f>V356+U356</f>
        <v>450000</v>
      </c>
      <c r="U356" s="1223">
        <v>450000</v>
      </c>
      <c r="V356" s="1223"/>
      <c r="W356" s="1221"/>
      <c r="X356" s="1221"/>
      <c r="Y356" s="1221"/>
      <c r="Z356" s="1221"/>
      <c r="AA356" s="1221"/>
    </row>
    <row r="357" spans="1:28" ht="18">
      <c r="A357" s="1112"/>
      <c r="B357" s="1112"/>
      <c r="C357" s="1112"/>
      <c r="E357" s="1476" t="s">
        <v>777</v>
      </c>
      <c r="F357" s="1112"/>
      <c r="G357" s="1112"/>
      <c r="H357" s="1112"/>
      <c r="I357" s="1113"/>
      <c r="J357" s="1112"/>
      <c r="K357" s="1112"/>
      <c r="L357" s="2131"/>
      <c r="M357" s="2161"/>
      <c r="N357" s="1112"/>
      <c r="P357" s="1251"/>
      <c r="Q357" s="1251"/>
      <c r="T357" s="973">
        <f>V357+U357</f>
        <v>3800000</v>
      </c>
      <c r="U357" s="1223">
        <v>3000000</v>
      </c>
      <c r="V357" s="1223">
        <v>800000</v>
      </c>
      <c r="W357" s="1221"/>
      <c r="X357" s="1221"/>
      <c r="Y357" s="1221"/>
      <c r="Z357" s="1221"/>
      <c r="AA357" s="1221"/>
    </row>
    <row r="358" spans="1:28" ht="18">
      <c r="A358" s="1112"/>
      <c r="B358" s="1112"/>
      <c r="C358" s="1112"/>
      <c r="D358" s="1112"/>
      <c r="E358" s="1476" t="s">
        <v>778</v>
      </c>
      <c r="F358" s="1112"/>
      <c r="G358" s="1112"/>
      <c r="H358" s="1112"/>
      <c r="I358" s="1113"/>
      <c r="J358" s="1112"/>
      <c r="K358" s="1112"/>
      <c r="L358" s="2131"/>
      <c r="M358" s="2161"/>
      <c r="N358" s="1112"/>
      <c r="P358" s="1251"/>
      <c r="Q358" s="1251"/>
      <c r="T358" s="973">
        <f>V358+U358</f>
        <v>13750000</v>
      </c>
      <c r="U358" s="1223">
        <v>9326500</v>
      </c>
      <c r="V358" s="1223">
        <v>4423500</v>
      </c>
      <c r="W358" s="1221"/>
      <c r="X358" s="1221"/>
      <c r="Y358" s="1221"/>
      <c r="Z358" s="1221"/>
      <c r="AA358" s="1221"/>
    </row>
    <row r="359" spans="1:28" ht="18">
      <c r="A359" s="1112"/>
      <c r="B359" s="1112"/>
      <c r="C359" s="1112"/>
      <c r="D359" s="1112"/>
      <c r="E359" s="1476" t="s">
        <v>779</v>
      </c>
      <c r="F359" s="1112"/>
      <c r="G359" s="1112"/>
      <c r="H359" s="1112"/>
      <c r="I359" s="1113"/>
      <c r="J359" s="1112"/>
      <c r="K359" s="1112"/>
      <c r="L359" s="2131"/>
      <c r="M359" s="2161"/>
      <c r="N359" s="1112"/>
      <c r="P359" s="1251"/>
      <c r="Q359" s="1251"/>
      <c r="U359" s="1232" t="s">
        <v>1068</v>
      </c>
      <c r="V359" s="1238" t="s">
        <v>60</v>
      </c>
      <c r="W359" s="1235" t="s">
        <v>59</v>
      </c>
      <c r="X359" s="1224" t="s">
        <v>1069</v>
      </c>
      <c r="Y359" s="1224" t="s">
        <v>1070</v>
      </c>
      <c r="Z359" s="1224" t="s">
        <v>416</v>
      </c>
      <c r="AA359" s="1224" t="s">
        <v>1071</v>
      </c>
      <c r="AB359" s="1225" t="s">
        <v>1072</v>
      </c>
    </row>
    <row r="360" spans="1:28" ht="18">
      <c r="A360" s="1112"/>
      <c r="B360" s="1112"/>
      <c r="C360" s="1112"/>
      <c r="D360" s="1477" t="s">
        <v>313</v>
      </c>
      <c r="E360" s="1476" t="s">
        <v>780</v>
      </c>
      <c r="F360" s="1112"/>
      <c r="G360" s="1112"/>
      <c r="H360" s="1112"/>
      <c r="I360" s="1113"/>
      <c r="J360" s="1112"/>
      <c r="K360" s="1112"/>
      <c r="L360" s="2131"/>
      <c r="M360" s="2161"/>
      <c r="N360" s="1112"/>
      <c r="P360" s="1251"/>
      <c r="Q360" s="1251"/>
      <c r="T360" s="420"/>
      <c r="U360" s="1487" t="s">
        <v>418</v>
      </c>
      <c r="V360" s="1488">
        <v>50</v>
      </c>
      <c r="W360" s="1489" t="s">
        <v>1063</v>
      </c>
      <c r="X360" s="1490">
        <v>36946000</v>
      </c>
      <c r="Y360" s="1490">
        <v>1000000</v>
      </c>
      <c r="Z360" s="1490">
        <v>13480000</v>
      </c>
      <c r="AA360" s="1490">
        <v>825000</v>
      </c>
      <c r="AB360" s="1490">
        <f t="shared" ref="AB360:AB366" si="28">SUM(X360:AA360)</f>
        <v>52251000</v>
      </c>
    </row>
    <row r="361" spans="1:28" ht="18">
      <c r="A361" s="1112"/>
      <c r="B361" s="1112"/>
      <c r="C361" s="1112"/>
      <c r="D361" s="1112"/>
      <c r="E361" s="1476" t="s">
        <v>781</v>
      </c>
      <c r="F361" s="1112"/>
      <c r="G361" s="1112"/>
      <c r="H361" s="1112"/>
      <c r="I361" s="1113"/>
      <c r="J361" s="1112"/>
      <c r="K361" s="1112"/>
      <c r="L361" s="2131"/>
      <c r="M361" s="2161"/>
      <c r="N361" s="1112"/>
      <c r="P361" s="1251"/>
      <c r="Q361" s="1251"/>
      <c r="T361" s="554"/>
      <c r="U361" s="1233" t="s">
        <v>419</v>
      </c>
      <c r="V361" s="966">
        <v>60</v>
      </c>
      <c r="W361" s="1236" t="s">
        <v>1064</v>
      </c>
      <c r="X361" s="1226">
        <v>44178000</v>
      </c>
      <c r="Y361" s="1226">
        <v>1000000</v>
      </c>
      <c r="Z361" s="1226">
        <v>16300000</v>
      </c>
      <c r="AA361" s="1226">
        <v>825000</v>
      </c>
      <c r="AB361" s="1226">
        <f t="shared" si="28"/>
        <v>62303000</v>
      </c>
    </row>
    <row r="362" spans="1:28" ht="18">
      <c r="A362" s="1112"/>
      <c r="B362" s="1112"/>
      <c r="C362" s="1112"/>
      <c r="D362" s="1112"/>
      <c r="E362" s="1476" t="s">
        <v>782</v>
      </c>
      <c r="F362" s="1112"/>
      <c r="G362" s="1112"/>
      <c r="H362" s="1112"/>
      <c r="I362" s="1113"/>
      <c r="J362" s="1112"/>
      <c r="K362" s="1112"/>
      <c r="L362" s="2131"/>
      <c r="M362" s="2161"/>
      <c r="N362" s="1112"/>
      <c r="P362" s="1251"/>
      <c r="Q362" s="1251"/>
      <c r="U362" s="1233" t="s">
        <v>420</v>
      </c>
      <c r="V362" s="966">
        <v>70</v>
      </c>
      <c r="W362" s="1236" t="s">
        <v>582</v>
      </c>
      <c r="X362" s="1226">
        <v>51640000</v>
      </c>
      <c r="Y362" s="1226">
        <v>1000000</v>
      </c>
      <c r="Z362" s="1226">
        <v>20040000</v>
      </c>
      <c r="AA362" s="1226">
        <v>825000</v>
      </c>
      <c r="AB362" s="1226">
        <f t="shared" si="28"/>
        <v>73505000</v>
      </c>
    </row>
    <row r="363" spans="1:28" ht="18">
      <c r="A363" s="1112"/>
      <c r="B363" s="1112"/>
      <c r="C363" s="1112"/>
      <c r="D363" s="1112"/>
      <c r="E363" s="1476" t="s">
        <v>783</v>
      </c>
      <c r="F363" s="1112"/>
      <c r="G363" s="1112"/>
      <c r="H363" s="1112"/>
      <c r="I363" s="1113"/>
      <c r="J363" s="1112"/>
      <c r="K363" s="1112"/>
      <c r="L363" s="2131"/>
      <c r="M363" s="2161"/>
      <c r="N363" s="1112"/>
      <c r="P363" s="1251"/>
      <c r="Q363" s="1251"/>
      <c r="U363" s="1233" t="s">
        <v>421</v>
      </c>
      <c r="V363" s="966">
        <v>55</v>
      </c>
      <c r="W363" s="1236" t="s">
        <v>1051</v>
      </c>
      <c r="X363" s="1226">
        <v>37678000</v>
      </c>
      <c r="Y363" s="1226">
        <v>1000000</v>
      </c>
      <c r="Z363" s="1226">
        <v>14220000</v>
      </c>
      <c r="AA363" s="1226">
        <v>825000</v>
      </c>
      <c r="AB363" s="1226">
        <f t="shared" si="28"/>
        <v>53723000</v>
      </c>
    </row>
    <row r="364" spans="1:28" ht="18">
      <c r="A364" s="1476" t="s">
        <v>784</v>
      </c>
      <c r="B364" s="1112"/>
      <c r="C364" s="1113" t="s">
        <v>46</v>
      </c>
      <c r="D364" s="1476" t="s">
        <v>785</v>
      </c>
      <c r="E364" s="1112"/>
      <c r="F364" s="1112"/>
      <c r="G364" s="1112"/>
      <c r="H364" s="1112"/>
      <c r="I364" s="1113"/>
      <c r="J364" s="1112"/>
      <c r="K364" s="1112"/>
      <c r="L364" s="2131"/>
      <c r="M364" s="2161"/>
      <c r="N364" s="1112"/>
      <c r="P364" s="1251"/>
      <c r="Q364" s="1251"/>
      <c r="T364" s="420"/>
      <c r="U364" s="1233" t="s">
        <v>1065</v>
      </c>
      <c r="V364" s="967" t="s">
        <v>993</v>
      </c>
      <c r="W364" s="1236" t="s">
        <v>583</v>
      </c>
      <c r="X364" s="1226">
        <v>47943000</v>
      </c>
      <c r="Y364" s="1226">
        <v>1000000</v>
      </c>
      <c r="Z364" s="1226">
        <v>17680000</v>
      </c>
      <c r="AA364" s="1226">
        <v>825000</v>
      </c>
      <c r="AB364" s="1226">
        <f t="shared" si="28"/>
        <v>67448000</v>
      </c>
    </row>
    <row r="365" spans="1:28" ht="18">
      <c r="A365" s="1476" t="s">
        <v>786</v>
      </c>
      <c r="B365" s="1476"/>
      <c r="C365" s="1477" t="s">
        <v>46</v>
      </c>
      <c r="D365" s="1476" t="s">
        <v>787</v>
      </c>
      <c r="E365" s="1476"/>
      <c r="F365" s="1476"/>
      <c r="G365" s="1476"/>
      <c r="H365" s="1476"/>
      <c r="I365" s="1477"/>
      <c r="J365" s="1476"/>
      <c r="K365" s="1112"/>
      <c r="L365" s="2131"/>
      <c r="M365" s="2161"/>
      <c r="N365" s="1112"/>
      <c r="P365" s="1251"/>
      <c r="Q365" s="1251"/>
      <c r="U365" s="1233" t="s">
        <v>1066</v>
      </c>
      <c r="V365" s="966" t="s">
        <v>995</v>
      </c>
      <c r="W365" s="1236" t="s">
        <v>1052</v>
      </c>
      <c r="X365" s="1226">
        <v>36946000</v>
      </c>
      <c r="Y365" s="1226">
        <v>1000000</v>
      </c>
      <c r="Z365" s="1226">
        <v>13620000</v>
      </c>
      <c r="AA365" s="1226">
        <v>825000</v>
      </c>
      <c r="AB365" s="1226">
        <f t="shared" si="28"/>
        <v>52391000</v>
      </c>
    </row>
    <row r="366" spans="1:28" ht="18">
      <c r="A366" s="1476"/>
      <c r="B366" s="1476"/>
      <c r="C366" s="1476"/>
      <c r="D366" s="1476" t="s">
        <v>788</v>
      </c>
      <c r="E366" s="1476"/>
      <c r="F366" s="1476"/>
      <c r="G366" s="1476"/>
      <c r="H366" s="1476"/>
      <c r="I366" s="1477"/>
      <c r="J366" s="1476"/>
      <c r="K366" s="1112"/>
      <c r="L366" s="2131"/>
      <c r="M366" s="2161"/>
      <c r="N366" s="1112"/>
      <c r="P366" s="1251"/>
      <c r="Q366" s="1251"/>
      <c r="U366" s="1233" t="s">
        <v>1067</v>
      </c>
      <c r="V366" s="966" t="s">
        <v>997</v>
      </c>
      <c r="W366" s="1236" t="s">
        <v>332</v>
      </c>
      <c r="X366" s="1226">
        <v>11793000</v>
      </c>
      <c r="Y366" s="1226"/>
      <c r="Z366" s="1226">
        <v>20000000</v>
      </c>
      <c r="AA366" s="1226">
        <v>450000</v>
      </c>
      <c r="AB366" s="1226">
        <f t="shared" si="28"/>
        <v>32243000</v>
      </c>
    </row>
    <row r="367" spans="1:28" ht="18">
      <c r="A367" s="1478" t="s">
        <v>789</v>
      </c>
      <c r="B367" s="1478"/>
      <c r="C367" s="1479" t="s">
        <v>46</v>
      </c>
      <c r="D367" s="1478" t="s">
        <v>790</v>
      </c>
      <c r="E367" s="1478"/>
      <c r="F367" s="1478"/>
      <c r="G367" s="1478"/>
      <c r="H367" s="1478"/>
      <c r="I367" s="1479"/>
      <c r="J367" s="1478"/>
      <c r="K367" s="1478"/>
      <c r="L367" s="1478"/>
      <c r="M367" s="1478"/>
      <c r="N367" s="1478"/>
      <c r="P367" s="426"/>
      <c r="Q367" s="426"/>
      <c r="T367" s="420"/>
      <c r="U367" s="1487"/>
      <c r="V367" s="1491"/>
      <c r="W367" s="1489"/>
      <c r="X367" s="1490"/>
      <c r="Y367" s="1490"/>
      <c r="Z367" s="1490"/>
      <c r="AA367" s="1490"/>
      <c r="AB367" s="1490"/>
    </row>
    <row r="368" spans="1:28" ht="18">
      <c r="A368" s="1478"/>
      <c r="B368" s="1478"/>
      <c r="C368" s="1479"/>
      <c r="D368" s="1478" t="s">
        <v>791</v>
      </c>
      <c r="E368" s="1478"/>
      <c r="F368" s="1478"/>
      <c r="G368" s="1478"/>
      <c r="H368" s="1478"/>
      <c r="I368" s="1479"/>
      <c r="J368" s="1478"/>
      <c r="K368" s="1478"/>
      <c r="L368" s="1478"/>
      <c r="M368" s="1478"/>
      <c r="N368" s="1478"/>
      <c r="P368" s="426"/>
      <c r="Q368" s="426"/>
      <c r="U368" s="1233"/>
      <c r="V368" s="966"/>
      <c r="W368" s="1236"/>
      <c r="X368" s="1226"/>
      <c r="Y368" s="1226"/>
      <c r="Z368" s="1226"/>
      <c r="AA368" s="1226"/>
      <c r="AB368" s="1226"/>
    </row>
    <row r="369" spans="1:28" ht="18">
      <c r="A369" s="1478" t="s">
        <v>792</v>
      </c>
      <c r="B369" s="1480"/>
      <c r="C369" s="1475" t="s">
        <v>46</v>
      </c>
      <c r="D369" s="1478" t="s">
        <v>793</v>
      </c>
      <c r="E369" s="1480"/>
      <c r="F369" s="1480"/>
      <c r="G369" s="1480"/>
      <c r="H369" s="1480"/>
      <c r="I369" s="1475"/>
      <c r="J369" s="1480"/>
      <c r="K369" s="1480"/>
      <c r="L369" s="1480"/>
      <c r="M369" s="1480"/>
      <c r="N369" s="1480"/>
      <c r="P369" s="428"/>
      <c r="Q369" s="428"/>
      <c r="U369" s="1233"/>
      <c r="V369" s="966"/>
      <c r="W369" s="1236"/>
      <c r="X369" s="1226"/>
      <c r="Y369" s="1226"/>
      <c r="Z369" s="1226"/>
      <c r="AA369" s="1226"/>
      <c r="AB369" s="1226"/>
    </row>
    <row r="370" spans="1:28" ht="18">
      <c r="A370" s="1481" t="s">
        <v>794</v>
      </c>
      <c r="B370" s="1478"/>
      <c r="C370" s="1479" t="s">
        <v>46</v>
      </c>
      <c r="D370" s="1478" t="s">
        <v>795</v>
      </c>
      <c r="E370" s="1478"/>
      <c r="F370" s="1478"/>
      <c r="G370" s="1478"/>
      <c r="H370" s="1478"/>
      <c r="I370" s="1479"/>
      <c r="J370" s="1478"/>
      <c r="K370" s="1478"/>
      <c r="L370" s="1478"/>
      <c r="M370" s="1478"/>
      <c r="N370" s="1478"/>
      <c r="P370" s="426"/>
      <c r="Q370" s="426"/>
      <c r="U370" s="1233"/>
      <c r="V370" s="966"/>
      <c r="W370" s="1236"/>
      <c r="X370" s="1226"/>
      <c r="Y370" s="1226"/>
      <c r="Z370" s="1226"/>
      <c r="AA370" s="1226"/>
      <c r="AB370" s="1226"/>
    </row>
    <row r="371" spans="1:28" ht="18">
      <c r="U371" s="1233"/>
      <c r="V371" s="966"/>
      <c r="W371" s="1236"/>
      <c r="X371" s="1226"/>
      <c r="Y371" s="1226"/>
      <c r="Z371" s="1226"/>
      <c r="AA371" s="1226"/>
      <c r="AB371" s="1226"/>
    </row>
    <row r="372" spans="1:28" ht="18">
      <c r="T372" s="420"/>
      <c r="U372" s="1487"/>
      <c r="V372" s="1492"/>
      <c r="W372" s="1489"/>
      <c r="X372" s="1490"/>
      <c r="Y372" s="1490"/>
      <c r="Z372" s="1490"/>
      <c r="AA372" s="1490"/>
      <c r="AB372" s="1490"/>
    </row>
    <row r="373" spans="1:28" ht="18">
      <c r="T373" s="554"/>
      <c r="U373" s="1441"/>
      <c r="V373" s="1442"/>
      <c r="W373" s="1443"/>
      <c r="X373" s="1444"/>
      <c r="Y373" s="1444"/>
      <c r="Z373" s="1444"/>
      <c r="AA373" s="1444"/>
      <c r="AB373" s="1444"/>
    </row>
    <row r="374" spans="1:28" ht="18">
      <c r="T374" s="554"/>
      <c r="U374" s="1441"/>
      <c r="V374" s="1442"/>
      <c r="W374" s="1443"/>
      <c r="X374" s="1444"/>
      <c r="Y374" s="1444"/>
      <c r="Z374" s="1444"/>
      <c r="AA374" s="1444"/>
      <c r="AB374" s="1444"/>
    </row>
    <row r="375" spans="1:28" ht="18">
      <c r="O375" s="422"/>
      <c r="T375" s="554"/>
      <c r="U375" s="1441"/>
      <c r="V375" s="1442"/>
      <c r="W375" s="1443"/>
      <c r="X375" s="1444"/>
      <c r="Y375" s="1444"/>
      <c r="Z375" s="1444"/>
      <c r="AA375" s="1444"/>
      <c r="AB375" s="1444"/>
    </row>
    <row r="376" spans="1:28" ht="18">
      <c r="T376" s="554"/>
      <c r="U376" s="1441"/>
      <c r="V376" s="1442"/>
      <c r="W376" s="1443"/>
      <c r="X376" s="1444"/>
      <c r="Y376" s="1444"/>
      <c r="Z376" s="1444"/>
      <c r="AA376" s="1444"/>
      <c r="AB376" s="1444"/>
    </row>
    <row r="377" spans="1:28" ht="18">
      <c r="A377" s="419"/>
      <c r="B377" s="419"/>
      <c r="C377" s="419"/>
      <c r="D377" s="419"/>
      <c r="E377" s="419"/>
      <c r="F377" s="419"/>
      <c r="G377" s="419"/>
      <c r="H377" s="419"/>
      <c r="I377" s="419"/>
      <c r="J377" s="419"/>
      <c r="K377" s="419"/>
      <c r="L377" s="419"/>
      <c r="M377" s="419"/>
      <c r="N377" s="419"/>
      <c r="T377" s="554"/>
      <c r="U377" s="1441"/>
      <c r="V377" s="1442"/>
      <c r="W377" s="1443"/>
      <c r="X377" s="1444"/>
      <c r="Y377" s="1444"/>
      <c r="Z377" s="1444"/>
      <c r="AA377" s="1444"/>
      <c r="AB377" s="1444"/>
    </row>
    <row r="378" spans="1:28" ht="18">
      <c r="A378" s="419"/>
      <c r="B378" s="419"/>
      <c r="C378" s="419"/>
      <c r="D378" s="419"/>
      <c r="E378" s="419"/>
      <c r="F378" s="419"/>
      <c r="G378" s="419"/>
      <c r="H378" s="419"/>
      <c r="I378" s="419"/>
      <c r="J378" s="419"/>
      <c r="K378" s="419"/>
      <c r="L378" s="419"/>
      <c r="M378" s="419"/>
      <c r="N378" s="419"/>
      <c r="T378" s="973">
        <f>K226-RKP!I38</f>
        <v>54418500</v>
      </c>
      <c r="U378" s="1233" t="s">
        <v>1079</v>
      </c>
      <c r="V378" s="968" t="s">
        <v>1040</v>
      </c>
      <c r="W378" s="1236" t="s">
        <v>1041</v>
      </c>
      <c r="X378" s="1226">
        <v>13610000</v>
      </c>
      <c r="Y378" s="1226"/>
      <c r="Z378" s="1226">
        <v>3120000</v>
      </c>
      <c r="AA378" s="1226">
        <v>450000</v>
      </c>
      <c r="AB378" s="1226">
        <f>SUM(X378:AA378)</f>
        <v>17180000</v>
      </c>
    </row>
    <row r="379" spans="1:28" ht="18">
      <c r="A379" s="419"/>
      <c r="B379" s="419"/>
      <c r="C379" s="419"/>
      <c r="D379" s="419"/>
      <c r="E379" s="419"/>
      <c r="F379" s="419"/>
      <c r="G379" s="419"/>
      <c r="H379" s="419"/>
      <c r="I379" s="419"/>
      <c r="J379" s="419"/>
      <c r="K379" s="419"/>
      <c r="L379" s="419"/>
      <c r="M379" s="419"/>
      <c r="N379" s="419"/>
      <c r="T379" s="556"/>
      <c r="U379" s="1233" t="s">
        <v>1080</v>
      </c>
      <c r="V379" s="968" t="s">
        <v>1040</v>
      </c>
      <c r="W379" s="1236" t="s">
        <v>1041</v>
      </c>
      <c r="X379" s="1226">
        <v>4082000</v>
      </c>
      <c r="Y379" s="1226"/>
      <c r="Z379" s="1226">
        <v>3280000</v>
      </c>
      <c r="AA379" s="1226">
        <v>450000</v>
      </c>
      <c r="AB379" s="1226">
        <f>SUM(X379:AA379)</f>
        <v>7812000</v>
      </c>
    </row>
    <row r="380" spans="1:28" ht="18">
      <c r="A380" s="419"/>
      <c r="B380" s="419"/>
      <c r="C380" s="419"/>
      <c r="D380" s="419"/>
      <c r="E380" s="419"/>
      <c r="F380" s="419"/>
      <c r="G380" s="419"/>
      <c r="H380" s="419"/>
      <c r="I380" s="419"/>
      <c r="J380" s="419"/>
      <c r="K380" s="419"/>
      <c r="L380" s="419"/>
      <c r="M380" s="419"/>
      <c r="N380" s="419"/>
      <c r="U380" s="1233" t="s">
        <v>1081</v>
      </c>
      <c r="V380" s="968" t="s">
        <v>998</v>
      </c>
      <c r="W380" s="1236" t="s">
        <v>1042</v>
      </c>
      <c r="X380" s="1226">
        <v>22414000</v>
      </c>
      <c r="Y380" s="1226"/>
      <c r="Z380" s="1226">
        <v>5040000</v>
      </c>
      <c r="AA380" s="1226">
        <v>450000</v>
      </c>
      <c r="AB380" s="1226">
        <f>SUM(X380:AA380)</f>
        <v>27904000</v>
      </c>
    </row>
    <row r="381" spans="1:28" ht="18">
      <c r="A381" s="419"/>
      <c r="B381" s="419"/>
      <c r="C381" s="419"/>
      <c r="D381" s="419"/>
      <c r="E381" s="419"/>
      <c r="F381" s="419"/>
      <c r="G381" s="419"/>
      <c r="H381" s="419"/>
      <c r="I381" s="419"/>
      <c r="J381" s="419"/>
      <c r="K381" s="419"/>
      <c r="L381" s="419"/>
      <c r="M381" s="419"/>
      <c r="N381" s="419"/>
      <c r="U381" s="1233" t="s">
        <v>1082</v>
      </c>
      <c r="V381" s="968" t="s">
        <v>998</v>
      </c>
      <c r="W381" s="1236" t="s">
        <v>1043</v>
      </c>
      <c r="X381" s="1226">
        <v>14885000</v>
      </c>
      <c r="Y381" s="1226"/>
      <c r="Z381" s="1226">
        <v>3480000</v>
      </c>
      <c r="AA381" s="1226">
        <v>450000</v>
      </c>
      <c r="AB381" s="1226">
        <f>SUM(X381:AA381)</f>
        <v>18815000</v>
      </c>
    </row>
    <row r="382" spans="1:28">
      <c r="A382" s="419"/>
      <c r="B382" s="419"/>
      <c r="C382" s="419"/>
      <c r="D382" s="419"/>
      <c r="E382" s="419"/>
      <c r="F382" s="419"/>
      <c r="G382" s="419"/>
      <c r="H382" s="419"/>
      <c r="I382" s="419"/>
      <c r="J382" s="419"/>
      <c r="K382" s="419"/>
      <c r="L382" s="419"/>
      <c r="M382" s="419"/>
      <c r="N382" s="419"/>
      <c r="U382" s="540"/>
      <c r="V382" s="540" t="s">
        <v>1151</v>
      </c>
      <c r="W382" s="540"/>
      <c r="X382" s="540"/>
      <c r="Y382" s="540"/>
      <c r="Z382" s="540"/>
      <c r="AA382" s="540"/>
      <c r="AB382" s="540"/>
    </row>
    <row r="383" spans="1:28" ht="18">
      <c r="A383" s="419"/>
      <c r="B383" s="419"/>
      <c r="C383" s="419"/>
      <c r="D383" s="419"/>
      <c r="E383" s="419"/>
      <c r="F383" s="419"/>
      <c r="G383" s="419"/>
      <c r="H383" s="419"/>
      <c r="I383" s="419"/>
      <c r="J383" s="419"/>
      <c r="K383" s="419"/>
      <c r="L383" s="419"/>
      <c r="M383" s="419"/>
      <c r="N383" s="419"/>
      <c r="T383" s="553"/>
      <c r="U383" s="1233" t="s">
        <v>1083</v>
      </c>
      <c r="V383" s="963" t="s">
        <v>984</v>
      </c>
      <c r="W383" s="1236" t="s">
        <v>1050</v>
      </c>
      <c r="X383" s="1226">
        <v>40354000</v>
      </c>
      <c r="Y383" s="1226"/>
      <c r="Z383" s="1226">
        <v>13730000</v>
      </c>
      <c r="AA383" s="1226">
        <v>450000</v>
      </c>
      <c r="AB383" s="1226">
        <f>SUM(X383:AA383)</f>
        <v>54534000</v>
      </c>
    </row>
    <row r="384" spans="1:28" ht="18">
      <c r="A384" s="419"/>
      <c r="B384" s="419"/>
      <c r="C384" s="419"/>
      <c r="D384" s="419"/>
      <c r="E384" s="419"/>
      <c r="F384" s="419"/>
      <c r="G384" s="419"/>
      <c r="H384" s="419"/>
      <c r="I384" s="419"/>
      <c r="J384" s="419"/>
      <c r="K384" s="419"/>
      <c r="L384" s="419"/>
      <c r="M384" s="419"/>
      <c r="N384" s="419"/>
      <c r="O384" s="422"/>
      <c r="T384" s="553"/>
      <c r="U384" s="1487" t="s">
        <v>1084</v>
      </c>
      <c r="V384" s="1493" t="s">
        <v>986</v>
      </c>
      <c r="W384" s="1489" t="s">
        <v>332</v>
      </c>
      <c r="X384" s="1490">
        <v>8756000</v>
      </c>
      <c r="Y384" s="1490"/>
      <c r="Z384" s="1490">
        <v>2880000</v>
      </c>
      <c r="AA384" s="1490">
        <v>450000</v>
      </c>
      <c r="AB384" s="1490">
        <f>SUM(X384:AA384)</f>
        <v>12086000</v>
      </c>
    </row>
    <row r="385" spans="1:28" ht="18">
      <c r="A385" s="419"/>
      <c r="B385" s="419"/>
      <c r="C385" s="419"/>
      <c r="D385" s="419"/>
      <c r="E385" s="419"/>
      <c r="F385" s="419"/>
      <c r="G385" s="419"/>
      <c r="H385" s="419"/>
      <c r="I385" s="419"/>
      <c r="J385" s="419"/>
      <c r="K385" s="419"/>
      <c r="L385" s="419"/>
      <c r="M385" s="419"/>
      <c r="N385" s="419"/>
      <c r="T385" s="554"/>
      <c r="U385" s="1233" t="s">
        <v>1146</v>
      </c>
      <c r="V385" s="1241" t="s">
        <v>995</v>
      </c>
      <c r="W385" s="1236" t="s">
        <v>332</v>
      </c>
      <c r="X385" s="1226">
        <v>10103000</v>
      </c>
      <c r="Y385" s="1226"/>
      <c r="Z385" s="1226">
        <v>1460000</v>
      </c>
      <c r="AA385" s="1226">
        <v>450000</v>
      </c>
      <c r="AB385" s="1226">
        <f>SUM(X385:AA385)</f>
        <v>12013000</v>
      </c>
    </row>
    <row r="386" spans="1:28" ht="18">
      <c r="A386" s="419"/>
      <c r="B386" s="419"/>
      <c r="C386" s="419"/>
      <c r="D386" s="419"/>
      <c r="E386" s="419"/>
      <c r="F386" s="419"/>
      <c r="G386" s="419"/>
      <c r="H386" s="419"/>
      <c r="I386" s="419"/>
      <c r="J386" s="419"/>
      <c r="K386" s="419"/>
      <c r="L386" s="419"/>
      <c r="M386" s="419"/>
      <c r="N386" s="419"/>
      <c r="T386" s="554"/>
      <c r="U386" s="1234"/>
      <c r="V386" s="1240" t="s">
        <v>1152</v>
      </c>
      <c r="W386" s="1237"/>
      <c r="X386" s="1227">
        <f>SUM(X372:X385)</f>
        <v>114204000</v>
      </c>
      <c r="Y386" s="1227">
        <f>SUM(Y372:Y385)</f>
        <v>0</v>
      </c>
      <c r="Z386" s="1227">
        <f>SUM(Z372:Z385)</f>
        <v>32990000</v>
      </c>
      <c r="AA386" s="1227">
        <f>SUM(AA372:AA385)</f>
        <v>3150000</v>
      </c>
      <c r="AB386" s="1227">
        <f>SUM(AB372:AB385)</f>
        <v>150344000</v>
      </c>
    </row>
    <row r="387" spans="1:28" ht="18">
      <c r="A387" s="419"/>
      <c r="B387" s="419"/>
      <c r="C387" s="419"/>
      <c r="D387" s="419"/>
      <c r="E387" s="419"/>
      <c r="F387" s="419"/>
      <c r="G387" s="419"/>
      <c r="H387" s="419"/>
      <c r="I387" s="419"/>
      <c r="J387" s="419"/>
      <c r="K387" s="419"/>
      <c r="L387" s="419"/>
      <c r="M387" s="419"/>
      <c r="N387" s="419"/>
      <c r="T387" s="554"/>
      <c r="U387" s="1228"/>
      <c r="V387" s="1239"/>
      <c r="W387" s="1228"/>
      <c r="X387" s="1228"/>
      <c r="Y387" s="1228"/>
      <c r="Z387" s="1228"/>
      <c r="AA387" s="1228"/>
      <c r="AB387" s="1228"/>
    </row>
    <row r="388" spans="1:28" ht="18">
      <c r="A388" s="419"/>
      <c r="B388" s="419"/>
      <c r="C388" s="419"/>
      <c r="D388" s="419"/>
      <c r="E388" s="419"/>
      <c r="F388" s="419"/>
      <c r="G388" s="419"/>
      <c r="H388" s="419"/>
      <c r="I388" s="419"/>
      <c r="J388" s="419"/>
      <c r="K388" s="419"/>
      <c r="L388" s="419"/>
      <c r="M388" s="419"/>
      <c r="N388" s="419"/>
      <c r="T388" s="554"/>
      <c r="U388" s="1229" t="s">
        <v>1148</v>
      </c>
      <c r="V388" s="1239" t="s">
        <v>1153</v>
      </c>
      <c r="W388" s="1229" t="s">
        <v>1149</v>
      </c>
      <c r="X388" s="1230"/>
      <c r="Y388" s="1230">
        <v>39650000</v>
      </c>
      <c r="Z388" s="1230"/>
      <c r="AA388" s="1230">
        <v>350000</v>
      </c>
      <c r="AB388" s="1230">
        <f>X388+Y388+Z388+AA388</f>
        <v>40000000</v>
      </c>
    </row>
    <row r="389" spans="1:28" ht="18">
      <c r="A389" s="419"/>
      <c r="B389" s="419"/>
      <c r="C389" s="419"/>
      <c r="D389" s="419"/>
      <c r="E389" s="419"/>
      <c r="F389" s="419"/>
      <c r="G389" s="419"/>
      <c r="H389" s="419"/>
      <c r="I389" s="419"/>
      <c r="J389" s="419"/>
      <c r="K389" s="419"/>
      <c r="L389" s="419"/>
      <c r="M389" s="419"/>
      <c r="N389" s="419"/>
      <c r="T389" s="553"/>
      <c r="U389" s="1494"/>
      <c r="V389" s="1495"/>
      <c r="W389" s="1494"/>
      <c r="X389" s="1496"/>
      <c r="Y389" s="1496"/>
      <c r="Z389" s="1496"/>
      <c r="AA389" s="1496"/>
      <c r="AB389" s="1496"/>
    </row>
    <row r="390" spans="1:28" ht="18">
      <c r="A390" s="419"/>
      <c r="B390" s="419"/>
      <c r="C390" s="419"/>
      <c r="D390" s="419"/>
      <c r="E390" s="419"/>
      <c r="F390" s="419"/>
      <c r="G390" s="419"/>
      <c r="H390" s="419"/>
      <c r="I390" s="419"/>
      <c r="J390" s="419"/>
      <c r="K390" s="419"/>
      <c r="L390" s="419"/>
      <c r="M390" s="419"/>
      <c r="N390" s="419"/>
      <c r="T390" s="554"/>
      <c r="U390" s="1228"/>
      <c r="V390" s="1265"/>
      <c r="W390" s="1228"/>
      <c r="X390" s="1449"/>
      <c r="Y390" s="1449"/>
      <c r="Z390" s="1449"/>
      <c r="AA390" s="1449"/>
      <c r="AB390" s="1449"/>
    </row>
    <row r="391" spans="1:28" ht="18">
      <c r="A391" s="419"/>
      <c r="B391" s="419"/>
      <c r="C391" s="419"/>
      <c r="D391" s="419"/>
      <c r="E391" s="419"/>
      <c r="F391" s="419"/>
      <c r="G391" s="419"/>
      <c r="H391" s="419"/>
      <c r="I391" s="419"/>
      <c r="J391" s="419"/>
      <c r="K391" s="419"/>
      <c r="L391" s="419"/>
      <c r="M391" s="419"/>
      <c r="N391" s="419"/>
      <c r="T391" s="554"/>
      <c r="U391" s="1228"/>
      <c r="V391" s="1265"/>
      <c r="W391" s="1228"/>
      <c r="X391" s="1449"/>
      <c r="Y391" s="1449"/>
      <c r="Z391" s="1449"/>
      <c r="AA391" s="1449"/>
      <c r="AB391" s="1449"/>
    </row>
    <row r="392" spans="1:28" ht="18">
      <c r="A392" s="419"/>
      <c r="B392" s="419"/>
      <c r="C392" s="419"/>
      <c r="D392" s="419"/>
      <c r="E392" s="419"/>
      <c r="F392" s="419"/>
      <c r="G392" s="419"/>
      <c r="H392" s="419"/>
      <c r="I392" s="419"/>
      <c r="J392" s="419"/>
      <c r="K392" s="419"/>
      <c r="L392" s="419"/>
      <c r="M392" s="419"/>
      <c r="N392" s="419"/>
      <c r="T392" s="554"/>
      <c r="U392" s="1228"/>
      <c r="V392" s="1265"/>
      <c r="W392" s="1228"/>
      <c r="X392" s="1449"/>
      <c r="Y392" s="1449"/>
      <c r="Z392" s="1449"/>
      <c r="AA392" s="1449"/>
      <c r="AB392" s="1449"/>
    </row>
    <row r="393" spans="1:28" ht="18">
      <c r="O393" s="422"/>
      <c r="T393" s="554"/>
      <c r="U393" s="1228"/>
      <c r="V393" s="1265"/>
      <c r="W393" s="1228"/>
      <c r="X393" s="1449"/>
      <c r="Y393" s="1449"/>
      <c r="Z393" s="1449"/>
      <c r="AA393" s="1449"/>
      <c r="AB393" s="1449"/>
    </row>
    <row r="394" spans="1:28" ht="18">
      <c r="T394" s="554"/>
      <c r="U394" s="1228"/>
      <c r="V394" s="1265"/>
      <c r="W394" s="1228"/>
      <c r="X394" s="1449"/>
      <c r="Y394" s="1449"/>
      <c r="Z394" s="1449"/>
      <c r="AA394" s="1449"/>
      <c r="AB394" s="1449"/>
    </row>
    <row r="396" spans="1:28" ht="18">
      <c r="T396" s="554"/>
      <c r="U396" s="1228"/>
      <c r="V396" s="1265"/>
      <c r="W396" s="1228"/>
      <c r="X396" s="1449"/>
      <c r="Y396" s="1449"/>
      <c r="Z396" s="1449"/>
      <c r="AA396" s="1449"/>
      <c r="AB396" s="1449"/>
    </row>
    <row r="397" spans="1:28" ht="18">
      <c r="T397" s="554"/>
      <c r="U397" s="1228"/>
      <c r="V397" s="1265"/>
      <c r="W397" s="1228"/>
      <c r="X397" s="1449"/>
      <c r="Y397" s="1449"/>
      <c r="Z397" s="1449"/>
      <c r="AA397" s="1449"/>
      <c r="AB397" s="1449"/>
    </row>
    <row r="398" spans="1:28" ht="18">
      <c r="T398" s="553"/>
      <c r="U398" s="1498"/>
      <c r="V398" s="1497"/>
      <c r="W398" s="1497"/>
      <c r="X398" s="1497"/>
      <c r="Y398" s="1497"/>
      <c r="Z398" s="1497"/>
      <c r="AA398" s="1497"/>
      <c r="AB398" s="553"/>
    </row>
    <row r="400" spans="1:28" s="422" customFormat="1">
      <c r="A400" s="554"/>
      <c r="B400" s="554"/>
      <c r="C400" s="554"/>
      <c r="D400" s="554"/>
      <c r="E400" s="554"/>
      <c r="F400" s="554"/>
      <c r="G400" s="554"/>
      <c r="H400" s="554"/>
      <c r="I400" s="1181"/>
      <c r="J400" s="554"/>
      <c r="K400" s="554"/>
      <c r="L400" s="554"/>
      <c r="M400" s="554"/>
      <c r="N400" s="554"/>
      <c r="O400" s="419"/>
      <c r="P400" s="419"/>
      <c r="Q400" s="419"/>
    </row>
    <row r="401" spans="1:17" s="422" customFormat="1">
      <c r="A401" s="554"/>
      <c r="B401" s="554"/>
      <c r="C401" s="554"/>
      <c r="D401" s="554"/>
      <c r="E401" s="554"/>
      <c r="F401" s="554"/>
      <c r="G401" s="554"/>
      <c r="H401" s="554"/>
      <c r="I401" s="1181"/>
      <c r="J401" s="554"/>
      <c r="K401" s="554"/>
      <c r="L401" s="554"/>
      <c r="M401" s="554"/>
      <c r="N401" s="554"/>
      <c r="O401" s="419"/>
      <c r="P401" s="419"/>
      <c r="Q401" s="419"/>
    </row>
    <row r="402" spans="1:17" s="422" customFormat="1">
      <c r="A402" s="554"/>
      <c r="B402" s="554"/>
      <c r="C402" s="554"/>
      <c r="D402" s="554"/>
      <c r="E402" s="554"/>
      <c r="F402" s="554"/>
      <c r="G402" s="554"/>
      <c r="H402" s="554"/>
      <c r="I402" s="1181"/>
      <c r="J402" s="554"/>
      <c r="K402" s="554"/>
      <c r="L402" s="554"/>
      <c r="M402" s="554"/>
      <c r="N402" s="554"/>
      <c r="O402" s="419"/>
      <c r="P402" s="419"/>
      <c r="Q402" s="419"/>
    </row>
    <row r="405" spans="1:17">
      <c r="O405" s="422"/>
    </row>
    <row r="411" spans="1:17" s="422" customFormat="1">
      <c r="A411" s="554"/>
      <c r="B411" s="554"/>
      <c r="C411" s="554"/>
      <c r="D411" s="554"/>
      <c r="E411" s="554"/>
      <c r="F411" s="554"/>
      <c r="G411" s="554"/>
      <c r="H411" s="554"/>
      <c r="I411" s="1181"/>
      <c r="J411" s="554"/>
      <c r="K411" s="554"/>
      <c r="L411" s="554"/>
      <c r="M411" s="554"/>
      <c r="N411" s="554"/>
      <c r="O411" s="419"/>
      <c r="P411" s="419"/>
      <c r="Q411" s="419"/>
    </row>
    <row r="417" spans="1:17">
      <c r="O417" s="422"/>
    </row>
    <row r="418" spans="1:17">
      <c r="O418" s="422"/>
    </row>
    <row r="420" spans="1:17" s="422" customFormat="1">
      <c r="A420" s="554"/>
      <c r="B420" s="554"/>
      <c r="C420" s="554"/>
      <c r="D420" s="554"/>
      <c r="E420" s="554"/>
      <c r="F420" s="554"/>
      <c r="G420" s="554"/>
      <c r="H420" s="554"/>
      <c r="I420" s="1181"/>
      <c r="J420" s="554"/>
      <c r="K420" s="554"/>
      <c r="L420" s="554"/>
      <c r="M420" s="554"/>
      <c r="N420" s="554"/>
      <c r="O420" s="419"/>
      <c r="P420" s="419"/>
      <c r="Q420" s="419"/>
    </row>
    <row r="422" spans="1:17">
      <c r="O422" s="422"/>
    </row>
    <row r="429" spans="1:17">
      <c r="O429" s="422"/>
    </row>
    <row r="432" spans="1:17" s="422" customFormat="1">
      <c r="A432" s="554"/>
      <c r="B432" s="554"/>
      <c r="C432" s="554"/>
      <c r="D432" s="554"/>
      <c r="E432" s="554"/>
      <c r="F432" s="554"/>
      <c r="G432" s="554"/>
      <c r="H432" s="554"/>
      <c r="I432" s="1181"/>
      <c r="J432" s="554"/>
      <c r="K432" s="554"/>
      <c r="L432" s="554"/>
      <c r="M432" s="554"/>
      <c r="N432" s="554"/>
      <c r="O432" s="419"/>
      <c r="P432" s="419"/>
      <c r="Q432" s="419"/>
    </row>
    <row r="444" spans="1:17" s="422" customFormat="1">
      <c r="A444" s="554"/>
      <c r="B444" s="554"/>
      <c r="C444" s="554"/>
      <c r="D444" s="554"/>
      <c r="E444" s="554"/>
      <c r="F444" s="554"/>
      <c r="G444" s="554"/>
      <c r="H444" s="554"/>
      <c r="I444" s="1181"/>
      <c r="J444" s="554"/>
      <c r="K444" s="554"/>
      <c r="L444" s="554"/>
      <c r="M444" s="554"/>
      <c r="N444" s="554"/>
      <c r="O444" s="419"/>
      <c r="P444" s="419"/>
      <c r="Q444" s="419"/>
    </row>
    <row r="445" spans="1:17" s="422" customFormat="1">
      <c r="A445" s="554"/>
      <c r="B445" s="554"/>
      <c r="C445" s="554"/>
      <c r="D445" s="554"/>
      <c r="E445" s="554"/>
      <c r="F445" s="554"/>
      <c r="G445" s="554"/>
      <c r="H445" s="554"/>
      <c r="I445" s="1181"/>
      <c r="J445" s="554"/>
      <c r="K445" s="554"/>
      <c r="L445" s="554"/>
      <c r="M445" s="554"/>
      <c r="N445" s="554"/>
      <c r="O445" s="419"/>
      <c r="P445" s="419"/>
      <c r="Q445" s="419"/>
    </row>
    <row r="446" spans="1:17">
      <c r="O446" s="422"/>
    </row>
    <row r="449" spans="1:17" s="422" customFormat="1">
      <c r="A449" s="554"/>
      <c r="B449" s="554"/>
      <c r="C449" s="554"/>
      <c r="D449" s="554"/>
      <c r="E449" s="554"/>
      <c r="F449" s="554"/>
      <c r="G449" s="554"/>
      <c r="H449" s="554"/>
      <c r="I449" s="1181"/>
      <c r="J449" s="554"/>
      <c r="K449" s="554"/>
      <c r="L449" s="554"/>
      <c r="M449" s="554"/>
      <c r="N449" s="554"/>
      <c r="O449" s="419"/>
      <c r="P449" s="419"/>
      <c r="Q449" s="419"/>
    </row>
    <row r="456" spans="1:17" s="422" customFormat="1">
      <c r="A456" s="554"/>
      <c r="B456" s="554"/>
      <c r="C456" s="554"/>
      <c r="D456" s="554"/>
      <c r="E456" s="554"/>
      <c r="F456" s="554"/>
      <c r="G456" s="554"/>
      <c r="H456" s="554"/>
      <c r="I456" s="1181"/>
      <c r="J456" s="554"/>
      <c r="K456" s="554"/>
      <c r="L456" s="554"/>
      <c r="M456" s="554"/>
      <c r="N456" s="554"/>
      <c r="O456" s="419"/>
      <c r="P456" s="419"/>
      <c r="Q456" s="419"/>
    </row>
    <row r="473" spans="1:17" s="422" customFormat="1">
      <c r="A473" s="554"/>
      <c r="B473" s="554"/>
      <c r="C473" s="554"/>
      <c r="D473" s="554"/>
      <c r="E473" s="554"/>
      <c r="F473" s="554"/>
      <c r="G473" s="554"/>
      <c r="H473" s="554"/>
      <c r="I473" s="1181"/>
      <c r="J473" s="554"/>
      <c r="K473" s="554"/>
      <c r="L473" s="554"/>
      <c r="M473" s="554"/>
      <c r="N473" s="554"/>
      <c r="O473" s="419"/>
      <c r="P473" s="419"/>
      <c r="Q473" s="419"/>
    </row>
    <row r="527" spans="1:15">
      <c r="A527" s="419"/>
      <c r="B527" s="419"/>
      <c r="C527" s="419"/>
      <c r="D527" s="419"/>
      <c r="E527" s="419"/>
      <c r="F527" s="419"/>
      <c r="G527" s="419"/>
      <c r="H527" s="419"/>
      <c r="I527" s="419"/>
      <c r="J527" s="419"/>
      <c r="K527" s="419"/>
      <c r="L527" s="419"/>
      <c r="M527" s="419"/>
      <c r="N527" s="419"/>
      <c r="O527" s="422"/>
    </row>
    <row r="542" spans="1:15">
      <c r="A542" s="419"/>
      <c r="B542" s="419"/>
      <c r="C542" s="419"/>
      <c r="D542" s="419"/>
      <c r="E542" s="419"/>
      <c r="F542" s="419"/>
      <c r="G542" s="419"/>
      <c r="H542" s="419"/>
      <c r="I542" s="419"/>
      <c r="J542" s="419"/>
      <c r="K542" s="419"/>
      <c r="L542" s="419"/>
      <c r="M542" s="419"/>
      <c r="N542" s="419"/>
      <c r="O542" s="422"/>
    </row>
    <row r="543" spans="1:15">
      <c r="A543" s="419"/>
      <c r="B543" s="419"/>
      <c r="C543" s="419"/>
      <c r="D543" s="419"/>
      <c r="E543" s="419"/>
      <c r="F543" s="419"/>
      <c r="G543" s="419"/>
      <c r="H543" s="419"/>
      <c r="I543" s="419"/>
      <c r="J543" s="419"/>
      <c r="K543" s="419"/>
      <c r="L543" s="419"/>
      <c r="M543" s="419"/>
      <c r="N543" s="419"/>
      <c r="O543" s="544"/>
    </row>
    <row r="544" spans="1:15">
      <c r="A544" s="419"/>
      <c r="B544" s="419"/>
      <c r="C544" s="419"/>
      <c r="D544" s="419"/>
      <c r="E544" s="419"/>
      <c r="F544" s="419"/>
      <c r="G544" s="419"/>
      <c r="H544" s="419"/>
      <c r="I544" s="419"/>
      <c r="J544" s="419"/>
      <c r="K544" s="419"/>
      <c r="L544" s="419"/>
      <c r="M544" s="419"/>
      <c r="N544" s="419"/>
      <c r="O544" s="420"/>
    </row>
    <row r="554" spans="1:17" s="422" customFormat="1">
      <c r="A554" s="554"/>
      <c r="B554" s="554"/>
      <c r="C554" s="554"/>
      <c r="D554" s="554"/>
      <c r="E554" s="554"/>
      <c r="F554" s="554"/>
      <c r="G554" s="554"/>
      <c r="H554" s="554"/>
      <c r="I554" s="1181"/>
      <c r="J554" s="554"/>
      <c r="K554" s="554"/>
      <c r="L554" s="554"/>
      <c r="M554" s="554"/>
      <c r="N554" s="554"/>
      <c r="O554" s="419"/>
      <c r="P554" s="419"/>
      <c r="Q554" s="419"/>
    </row>
    <row r="563" spans="1:21">
      <c r="O563" s="540"/>
    </row>
    <row r="569" spans="1:21" s="422" customFormat="1">
      <c r="A569" s="554"/>
      <c r="B569" s="554"/>
      <c r="C569" s="554"/>
      <c r="D569" s="554"/>
      <c r="E569" s="554"/>
      <c r="F569" s="554"/>
      <c r="G569" s="554"/>
      <c r="H569" s="554"/>
      <c r="I569" s="1181"/>
      <c r="J569" s="554"/>
      <c r="K569" s="554"/>
      <c r="L569" s="554"/>
      <c r="M569" s="554"/>
      <c r="N569" s="554"/>
      <c r="O569" s="419"/>
      <c r="P569" s="419"/>
      <c r="Q569" s="419"/>
    </row>
    <row r="570" spans="1:21" s="544" customFormat="1">
      <c r="A570" s="554"/>
      <c r="B570" s="554"/>
      <c r="C570" s="554"/>
      <c r="D570" s="554"/>
      <c r="E570" s="554"/>
      <c r="F570" s="554"/>
      <c r="G570" s="554"/>
      <c r="H570" s="554"/>
      <c r="I570" s="1181"/>
      <c r="J570" s="554"/>
      <c r="K570" s="554"/>
      <c r="L570" s="554"/>
      <c r="M570" s="554"/>
      <c r="N570" s="554"/>
      <c r="O570" s="419"/>
      <c r="P570" s="419"/>
      <c r="Q570" s="419"/>
      <c r="T570" s="544">
        <v>111823000</v>
      </c>
      <c r="U570" s="547">
        <f>T570-K226</f>
        <v>-158936386</v>
      </c>
    </row>
    <row r="571" spans="1:21" s="420" customFormat="1">
      <c r="A571" s="554"/>
      <c r="B571" s="554"/>
      <c r="C571" s="554"/>
      <c r="D571" s="554"/>
      <c r="E571" s="554"/>
      <c r="F571" s="554"/>
      <c r="G571" s="554"/>
      <c r="H571" s="554"/>
      <c r="I571" s="1181"/>
      <c r="J571" s="554"/>
      <c r="K571" s="554"/>
      <c r="L571" s="554"/>
      <c r="M571" s="554"/>
      <c r="N571" s="554"/>
      <c r="O571" s="419"/>
      <c r="P571" s="419"/>
      <c r="Q571" s="419"/>
    </row>
    <row r="590" spans="1:17" s="540" customFormat="1">
      <c r="A590" s="554"/>
      <c r="B590" s="554"/>
      <c r="C590" s="554"/>
      <c r="D590" s="554"/>
      <c r="E590" s="554"/>
      <c r="F590" s="554"/>
      <c r="G590" s="554"/>
      <c r="H590" s="554"/>
      <c r="I590" s="1181"/>
      <c r="J590" s="554"/>
      <c r="K590" s="554"/>
      <c r="L590" s="554"/>
      <c r="M590" s="554"/>
      <c r="N590" s="554"/>
      <c r="O590" s="419"/>
      <c r="P590" s="419"/>
      <c r="Q590" s="419"/>
    </row>
    <row r="646" spans="1:15">
      <c r="A646" s="419"/>
      <c r="B646" s="419"/>
      <c r="C646" s="419"/>
      <c r="D646" s="419"/>
      <c r="E646" s="419"/>
      <c r="F646" s="419"/>
      <c r="G646" s="419"/>
      <c r="H646" s="419"/>
      <c r="I646" s="419"/>
      <c r="J646" s="419"/>
      <c r="K646" s="419"/>
      <c r="L646" s="419"/>
      <c r="M646" s="419"/>
      <c r="N646" s="419"/>
      <c r="O646" s="540"/>
    </row>
    <row r="652" spans="1:15">
      <c r="A652" s="419"/>
      <c r="B652" s="419"/>
      <c r="C652" s="419"/>
      <c r="D652" s="419"/>
      <c r="E652" s="419"/>
      <c r="F652" s="419"/>
      <c r="G652" s="419"/>
      <c r="H652" s="419"/>
      <c r="I652" s="419"/>
      <c r="J652" s="419"/>
      <c r="K652" s="419"/>
      <c r="L652" s="419"/>
      <c r="M652" s="419"/>
      <c r="N652" s="419"/>
      <c r="O652" s="419" t="s">
        <v>809</v>
      </c>
    </row>
    <row r="653" spans="1:15">
      <c r="A653" s="419"/>
      <c r="B653" s="419"/>
      <c r="C653" s="419"/>
      <c r="D653" s="419"/>
      <c r="E653" s="419"/>
      <c r="F653" s="419"/>
      <c r="G653" s="419"/>
      <c r="H653" s="419"/>
      <c r="I653" s="419"/>
      <c r="J653" s="419"/>
      <c r="K653" s="419"/>
      <c r="L653" s="419"/>
      <c r="M653" s="419"/>
      <c r="N653" s="419"/>
      <c r="O653" s="419" t="s">
        <v>809</v>
      </c>
    </row>
    <row r="656" spans="1:15">
      <c r="A656" s="419"/>
      <c r="B656" s="419"/>
      <c r="C656" s="419"/>
      <c r="D656" s="419"/>
      <c r="E656" s="419"/>
      <c r="F656" s="419"/>
      <c r="G656" s="419"/>
      <c r="H656" s="419"/>
      <c r="I656" s="419"/>
      <c r="J656" s="419"/>
      <c r="K656" s="419"/>
      <c r="L656" s="419"/>
      <c r="M656" s="419"/>
      <c r="N656" s="419"/>
      <c r="O656" s="419" t="s">
        <v>809</v>
      </c>
    </row>
    <row r="658" spans="1:15">
      <c r="A658" s="419"/>
      <c r="B658" s="419"/>
      <c r="C658" s="419"/>
      <c r="D658" s="419"/>
      <c r="E658" s="419"/>
      <c r="F658" s="419"/>
      <c r="G658" s="419"/>
      <c r="H658" s="419"/>
      <c r="I658" s="419"/>
      <c r="J658" s="419"/>
      <c r="K658" s="419"/>
      <c r="L658" s="419"/>
      <c r="M658" s="419"/>
      <c r="N658" s="419"/>
      <c r="O658" s="419" t="s">
        <v>824</v>
      </c>
    </row>
    <row r="659" spans="1:15">
      <c r="A659" s="419"/>
      <c r="B659" s="419"/>
      <c r="C659" s="419"/>
      <c r="D659" s="419"/>
      <c r="E659" s="419"/>
      <c r="F659" s="419"/>
      <c r="G659" s="419"/>
      <c r="H659" s="419"/>
      <c r="I659" s="419"/>
      <c r="J659" s="419"/>
      <c r="K659" s="419"/>
      <c r="L659" s="419"/>
      <c r="M659" s="419"/>
      <c r="N659" s="419"/>
      <c r="O659" s="419" t="s">
        <v>809</v>
      </c>
    </row>
    <row r="662" spans="1:15">
      <c r="A662" s="419"/>
      <c r="B662" s="419"/>
      <c r="C662" s="419"/>
      <c r="D662" s="419"/>
      <c r="E662" s="419"/>
      <c r="F662" s="419"/>
      <c r="G662" s="419"/>
      <c r="H662" s="419"/>
      <c r="I662" s="419"/>
      <c r="J662" s="419"/>
      <c r="K662" s="419"/>
      <c r="L662" s="419"/>
      <c r="M662" s="419"/>
      <c r="N662" s="419"/>
      <c r="O662" s="422"/>
    </row>
    <row r="663" spans="1:15">
      <c r="A663" s="419"/>
      <c r="B663" s="419"/>
      <c r="C663" s="419"/>
      <c r="D663" s="419"/>
      <c r="E663" s="419"/>
      <c r="F663" s="419"/>
      <c r="G663" s="419"/>
      <c r="H663" s="419"/>
      <c r="I663" s="419"/>
      <c r="J663" s="419"/>
      <c r="K663" s="419"/>
      <c r="L663" s="419"/>
      <c r="M663" s="419"/>
      <c r="N663" s="419"/>
      <c r="O663" s="540"/>
    </row>
    <row r="671" spans="1:15">
      <c r="O671" s="540" t="s">
        <v>806</v>
      </c>
    </row>
    <row r="673" spans="1:18" s="540" customFormat="1">
      <c r="A673" s="554"/>
      <c r="B673" s="554"/>
      <c r="C673" s="554"/>
      <c r="D673" s="554"/>
      <c r="E673" s="554"/>
      <c r="F673" s="554"/>
      <c r="G673" s="554"/>
      <c r="H673" s="554"/>
      <c r="I673" s="1181"/>
      <c r="J673" s="554"/>
      <c r="K673" s="554"/>
      <c r="L673" s="554"/>
      <c r="M673" s="554"/>
      <c r="N673" s="554"/>
      <c r="O673" s="419"/>
      <c r="P673" s="419"/>
      <c r="Q673" s="419"/>
    </row>
    <row r="680" spans="1:18">
      <c r="R680" s="541"/>
    </row>
    <row r="689" spans="1:18" s="422" customFormat="1">
      <c r="A689" s="554"/>
      <c r="B689" s="554"/>
      <c r="C689" s="554"/>
      <c r="D689" s="554"/>
      <c r="E689" s="554"/>
      <c r="F689" s="554"/>
      <c r="G689" s="554"/>
      <c r="H689" s="554"/>
      <c r="I689" s="1181"/>
      <c r="J689" s="554"/>
      <c r="K689" s="554"/>
      <c r="L689" s="554"/>
      <c r="M689" s="554"/>
      <c r="N689" s="554"/>
      <c r="O689" s="419"/>
      <c r="P689" s="419"/>
      <c r="Q689" s="419"/>
    </row>
    <row r="690" spans="1:18" s="540" customFormat="1">
      <c r="A690" s="554"/>
      <c r="B690" s="554"/>
      <c r="C690" s="554"/>
      <c r="D690" s="554"/>
      <c r="E690" s="554"/>
      <c r="F690" s="554"/>
      <c r="G690" s="554"/>
      <c r="H690" s="554"/>
      <c r="I690" s="1181"/>
      <c r="J690" s="554"/>
      <c r="K690" s="554"/>
      <c r="L690" s="554"/>
      <c r="M690" s="554"/>
      <c r="N690" s="554"/>
      <c r="O690" s="419"/>
      <c r="P690" s="419"/>
      <c r="Q690" s="419"/>
    </row>
    <row r="698" spans="1:18" s="540" customFormat="1">
      <c r="A698" s="554"/>
      <c r="B698" s="554"/>
      <c r="C698" s="554"/>
      <c r="D698" s="554"/>
      <c r="E698" s="554"/>
      <c r="F698" s="554"/>
      <c r="G698" s="554"/>
      <c r="H698" s="554"/>
      <c r="I698" s="1181"/>
      <c r="J698" s="554"/>
      <c r="K698" s="554"/>
      <c r="L698" s="554"/>
      <c r="M698" s="554"/>
      <c r="N698" s="554"/>
      <c r="O698" s="419"/>
      <c r="P698" s="419"/>
      <c r="Q698" s="419"/>
    </row>
    <row r="704" spans="1:18">
      <c r="R704" s="541"/>
    </row>
    <row r="729" spans="1:15">
      <c r="A729" s="419"/>
      <c r="B729" s="419"/>
      <c r="C729" s="419"/>
      <c r="D729" s="419"/>
      <c r="E729" s="419"/>
      <c r="F729" s="419"/>
      <c r="G729" s="419"/>
      <c r="H729" s="419"/>
      <c r="I729" s="419"/>
      <c r="J729" s="419"/>
      <c r="K729" s="419"/>
      <c r="L729" s="419"/>
      <c r="M729" s="419"/>
      <c r="N729" s="419"/>
      <c r="O729" s="540"/>
    </row>
    <row r="756" spans="1:17" s="540" customFormat="1">
      <c r="A756" s="554"/>
      <c r="B756" s="554"/>
      <c r="C756" s="554"/>
      <c r="D756" s="554"/>
      <c r="E756" s="554"/>
      <c r="F756" s="554"/>
      <c r="G756" s="554"/>
      <c r="H756" s="554"/>
      <c r="I756" s="1181"/>
      <c r="J756" s="554"/>
      <c r="K756" s="554"/>
      <c r="L756" s="554"/>
      <c r="M756" s="554"/>
      <c r="N756" s="554"/>
      <c r="O756" s="419"/>
      <c r="P756" s="419"/>
      <c r="Q756" s="419"/>
    </row>
    <row r="776" spans="1:15">
      <c r="A776" s="419"/>
      <c r="B776" s="419"/>
      <c r="C776" s="419"/>
      <c r="D776" s="419"/>
      <c r="E776" s="419"/>
      <c r="F776" s="419"/>
      <c r="G776" s="419"/>
      <c r="H776" s="419"/>
      <c r="I776" s="419"/>
      <c r="J776" s="419"/>
      <c r="K776" s="419"/>
      <c r="L776" s="419"/>
      <c r="M776" s="419"/>
      <c r="N776" s="419"/>
      <c r="O776" s="540"/>
    </row>
    <row r="794" spans="15:15">
      <c r="O794" s="422"/>
    </row>
    <row r="803" spans="1:17" s="540" customFormat="1">
      <c r="A803" s="554"/>
      <c r="B803" s="554"/>
      <c r="C803" s="554"/>
      <c r="D803" s="554"/>
      <c r="E803" s="554"/>
      <c r="F803" s="554"/>
      <c r="G803" s="554"/>
      <c r="H803" s="554"/>
      <c r="I803" s="1181"/>
      <c r="J803" s="554"/>
      <c r="K803" s="554"/>
      <c r="L803" s="554"/>
      <c r="M803" s="554"/>
      <c r="N803" s="554"/>
      <c r="P803" s="419"/>
      <c r="Q803" s="419"/>
    </row>
    <row r="817" spans="1:17">
      <c r="O817" s="540"/>
    </row>
    <row r="821" spans="1:17" s="422" customFormat="1">
      <c r="A821" s="554"/>
      <c r="B821" s="554"/>
      <c r="C821" s="554"/>
      <c r="D821" s="554"/>
      <c r="E821" s="554"/>
      <c r="F821" s="554"/>
      <c r="G821" s="554"/>
      <c r="H821" s="554"/>
      <c r="I821" s="1181"/>
      <c r="J821" s="554"/>
      <c r="K821" s="554"/>
      <c r="L821" s="554"/>
      <c r="M821" s="554"/>
      <c r="N821" s="554"/>
      <c r="O821" s="419"/>
      <c r="P821" s="419"/>
      <c r="Q821" s="419"/>
    </row>
    <row r="830" spans="1:17" s="540" customFormat="1">
      <c r="A830" s="554"/>
      <c r="B830" s="554"/>
      <c r="C830" s="554"/>
      <c r="D830" s="554"/>
      <c r="E830" s="554"/>
      <c r="F830" s="554"/>
      <c r="G830" s="554"/>
      <c r="H830" s="554"/>
      <c r="I830" s="1181"/>
      <c r="J830" s="554"/>
      <c r="K830" s="554"/>
      <c r="L830" s="554"/>
      <c r="M830" s="554"/>
      <c r="N830" s="554"/>
      <c r="O830" s="419"/>
      <c r="P830" s="419"/>
      <c r="Q830" s="419"/>
    </row>
    <row r="831" spans="1:17">
      <c r="O831" s="540"/>
    </row>
    <row r="844" spans="1:17" s="540" customFormat="1">
      <c r="A844" s="554"/>
      <c r="B844" s="554"/>
      <c r="C844" s="554"/>
      <c r="D844" s="554"/>
      <c r="E844" s="554"/>
      <c r="F844" s="554"/>
      <c r="G844" s="554"/>
      <c r="H844" s="554"/>
      <c r="I844" s="1181"/>
      <c r="J844" s="554"/>
      <c r="K844" s="554"/>
      <c r="L844" s="554"/>
      <c r="M844" s="554"/>
      <c r="N844" s="554"/>
      <c r="O844" s="419"/>
      <c r="P844" s="419"/>
      <c r="Q844" s="419"/>
    </row>
    <row r="845" spans="1:17">
      <c r="O845" s="540"/>
    </row>
    <row r="858" spans="1:17" s="540" customFormat="1">
      <c r="A858" s="554"/>
      <c r="B858" s="554"/>
      <c r="C858" s="554"/>
      <c r="D858" s="554"/>
      <c r="E858" s="554"/>
      <c r="F858" s="554"/>
      <c r="G858" s="554"/>
      <c r="H858" s="554"/>
      <c r="I858" s="1181"/>
      <c r="J858" s="554"/>
      <c r="K858" s="554"/>
      <c r="L858" s="554"/>
      <c r="M858" s="554"/>
      <c r="N858" s="554"/>
      <c r="O858" s="419"/>
      <c r="P858" s="419"/>
      <c r="Q858" s="419"/>
    </row>
    <row r="865" spans="1:19">
      <c r="O865" s="540"/>
    </row>
    <row r="872" spans="1:19" s="540" customFormat="1">
      <c r="A872" s="554"/>
      <c r="B872" s="554"/>
      <c r="C872" s="554"/>
      <c r="D872" s="554"/>
      <c r="E872" s="554"/>
      <c r="F872" s="554"/>
      <c r="G872" s="554"/>
      <c r="H872" s="554"/>
      <c r="I872" s="1181"/>
      <c r="J872" s="554"/>
      <c r="K872" s="554"/>
      <c r="L872" s="554"/>
      <c r="M872" s="554"/>
      <c r="N872" s="554"/>
      <c r="O872" s="419"/>
      <c r="P872" s="419"/>
      <c r="Q872" s="419"/>
      <c r="S872" s="540" t="s">
        <v>825</v>
      </c>
    </row>
    <row r="883" spans="1:17">
      <c r="A883" s="419"/>
      <c r="B883" s="419"/>
      <c r="C883" s="419"/>
      <c r="D883" s="419"/>
      <c r="E883" s="419"/>
      <c r="F883" s="419"/>
      <c r="G883" s="419"/>
      <c r="H883" s="419"/>
      <c r="I883" s="419"/>
      <c r="J883" s="419"/>
      <c r="K883" s="419"/>
      <c r="L883" s="419"/>
      <c r="M883" s="419"/>
      <c r="N883" s="419"/>
      <c r="O883" s="420"/>
    </row>
    <row r="884" spans="1:17">
      <c r="A884" s="419"/>
      <c r="B884" s="419"/>
      <c r="C884" s="419"/>
      <c r="D884" s="419"/>
      <c r="E884" s="419"/>
      <c r="F884" s="419"/>
      <c r="G884" s="419"/>
      <c r="H884" s="419"/>
      <c r="I884" s="419"/>
      <c r="J884" s="419"/>
      <c r="K884" s="419"/>
      <c r="L884" s="419"/>
      <c r="M884" s="419"/>
      <c r="N884" s="419"/>
      <c r="O884" s="544"/>
    </row>
    <row r="889" spans="1:17">
      <c r="O889" s="422"/>
    </row>
    <row r="892" spans="1:17" s="540" customFormat="1">
      <c r="A892" s="554"/>
      <c r="B892" s="554"/>
      <c r="C892" s="554"/>
      <c r="D892" s="554"/>
      <c r="E892" s="554"/>
      <c r="F892" s="554"/>
      <c r="G892" s="554"/>
      <c r="H892" s="554"/>
      <c r="I892" s="1181"/>
      <c r="J892" s="554"/>
      <c r="K892" s="554"/>
      <c r="L892" s="554"/>
      <c r="M892" s="554"/>
      <c r="N892" s="554"/>
      <c r="O892" s="422"/>
      <c r="P892" s="419"/>
      <c r="Q892" s="419"/>
    </row>
    <row r="910" spans="1:17" s="420" customFormat="1">
      <c r="A910" s="554"/>
      <c r="B910" s="554"/>
      <c r="C910" s="554"/>
      <c r="D910" s="554"/>
      <c r="E910" s="554"/>
      <c r="F910" s="554"/>
      <c r="G910" s="554"/>
      <c r="H910" s="554"/>
      <c r="I910" s="1181"/>
      <c r="J910" s="554"/>
      <c r="K910" s="554"/>
      <c r="L910" s="554"/>
      <c r="M910" s="554"/>
      <c r="N910" s="554"/>
      <c r="O910" s="419"/>
      <c r="P910" s="419"/>
      <c r="Q910" s="419"/>
    </row>
    <row r="911" spans="1:17" s="544" customFormat="1">
      <c r="A911" s="554"/>
      <c r="B911" s="554"/>
      <c r="C911" s="554"/>
      <c r="D911" s="554"/>
      <c r="E911" s="554"/>
      <c r="F911" s="554"/>
      <c r="G911" s="554"/>
      <c r="H911" s="554"/>
      <c r="I911" s="1181"/>
      <c r="J911" s="554"/>
      <c r="K911" s="554"/>
      <c r="L911" s="554"/>
      <c r="M911" s="554"/>
      <c r="N911" s="554"/>
      <c r="O911" s="419"/>
      <c r="P911" s="419"/>
      <c r="Q911" s="419"/>
    </row>
    <row r="916" spans="1:17" s="422" customFormat="1">
      <c r="A916" s="554"/>
      <c r="B916" s="554"/>
      <c r="C916" s="554"/>
      <c r="D916" s="554"/>
      <c r="E916" s="554"/>
      <c r="F916" s="554"/>
      <c r="G916" s="554"/>
      <c r="H916" s="554"/>
      <c r="I916" s="1181"/>
      <c r="J916" s="554"/>
      <c r="K916" s="554"/>
      <c r="L916" s="554"/>
      <c r="M916" s="554"/>
      <c r="N916" s="554"/>
      <c r="O916" s="419"/>
      <c r="P916" s="419"/>
      <c r="Q916" s="419"/>
    </row>
    <row r="919" spans="1:17" s="422" customFormat="1">
      <c r="A919" s="554"/>
      <c r="B919" s="554"/>
      <c r="C919" s="554"/>
      <c r="D919" s="554"/>
      <c r="E919" s="554"/>
      <c r="F919" s="554"/>
      <c r="G919" s="554"/>
      <c r="H919" s="554"/>
      <c r="I919" s="1181"/>
      <c r="J919" s="554"/>
      <c r="K919" s="554"/>
      <c r="L919" s="554"/>
      <c r="M919" s="554"/>
      <c r="N919" s="554"/>
      <c r="O919" s="419"/>
      <c r="P919" s="419"/>
      <c r="Q919" s="419"/>
    </row>
    <row r="956" spans="1:15">
      <c r="A956" s="419"/>
      <c r="B956" s="419"/>
      <c r="C956" s="419"/>
      <c r="D956" s="419"/>
      <c r="E956" s="419"/>
      <c r="F956" s="419"/>
      <c r="G956" s="419"/>
      <c r="H956" s="419"/>
      <c r="I956" s="419"/>
      <c r="J956" s="419"/>
      <c r="K956" s="419"/>
      <c r="L956" s="419"/>
      <c r="M956" s="419"/>
      <c r="N956" s="419"/>
      <c r="O956" s="420"/>
    </row>
    <row r="961" spans="1:15">
      <c r="A961" s="419"/>
      <c r="B961" s="419"/>
      <c r="C961" s="419"/>
      <c r="D961" s="419"/>
      <c r="E961" s="419"/>
      <c r="F961" s="419"/>
      <c r="G961" s="419"/>
      <c r="H961" s="419"/>
      <c r="I961" s="419"/>
      <c r="J961" s="419"/>
      <c r="K961" s="419"/>
      <c r="L961" s="419"/>
      <c r="M961" s="419"/>
      <c r="N961" s="419"/>
      <c r="O961" s="422"/>
    </row>
    <row r="970" spans="1:15">
      <c r="O970" s="422"/>
    </row>
    <row r="983" spans="1:17" s="420" customFormat="1">
      <c r="A983" s="554"/>
      <c r="B983" s="554"/>
      <c r="C983" s="554"/>
      <c r="D983" s="554"/>
      <c r="E983" s="554"/>
      <c r="F983" s="554"/>
      <c r="G983" s="554"/>
      <c r="H983" s="554"/>
      <c r="I983" s="1181"/>
      <c r="J983" s="554"/>
      <c r="K983" s="554"/>
      <c r="L983" s="554"/>
      <c r="M983" s="554"/>
      <c r="N983" s="554"/>
      <c r="O983" s="419"/>
      <c r="P983" s="419"/>
      <c r="Q983" s="419"/>
    </row>
    <row r="988" spans="1:17" s="422" customFormat="1">
      <c r="A988" s="554"/>
      <c r="B988" s="554"/>
      <c r="C988" s="554"/>
      <c r="D988" s="554"/>
      <c r="E988" s="554"/>
      <c r="F988" s="554"/>
      <c r="G988" s="554"/>
      <c r="H988" s="554"/>
      <c r="I988" s="1181"/>
      <c r="J988" s="554"/>
      <c r="K988" s="554"/>
      <c r="L988" s="554"/>
      <c r="M988" s="554"/>
      <c r="N988" s="554"/>
      <c r="O988" s="419"/>
      <c r="P988" s="419"/>
      <c r="Q988" s="419"/>
    </row>
    <row r="997" spans="1:17" s="422" customFormat="1">
      <c r="A997" s="554"/>
      <c r="B997" s="554"/>
      <c r="C997" s="554"/>
      <c r="D997" s="554"/>
      <c r="E997" s="554"/>
      <c r="F997" s="554"/>
      <c r="G997" s="554"/>
      <c r="H997" s="554"/>
      <c r="I997" s="1181"/>
      <c r="J997" s="554"/>
      <c r="K997" s="554"/>
      <c r="L997" s="554"/>
      <c r="M997" s="554"/>
      <c r="N997" s="554"/>
      <c r="O997" s="419"/>
      <c r="P997" s="419"/>
      <c r="Q997" s="419"/>
    </row>
    <row r="1011" spans="1:15">
      <c r="A1011" s="419"/>
      <c r="B1011" s="419"/>
      <c r="C1011" s="419"/>
      <c r="D1011" s="419"/>
      <c r="E1011" s="419"/>
      <c r="F1011" s="419"/>
      <c r="G1011" s="419"/>
      <c r="H1011" s="419"/>
      <c r="I1011" s="419"/>
      <c r="J1011" s="419"/>
      <c r="K1011" s="419"/>
      <c r="L1011" s="419"/>
      <c r="M1011" s="419"/>
      <c r="N1011" s="419"/>
      <c r="O1011" s="420"/>
    </row>
    <row r="1012" spans="1:15">
      <c r="A1012" s="419"/>
      <c r="B1012" s="419"/>
      <c r="C1012" s="419"/>
      <c r="D1012" s="419"/>
      <c r="E1012" s="419"/>
      <c r="F1012" s="419"/>
      <c r="G1012" s="419"/>
      <c r="H1012" s="419"/>
      <c r="I1012" s="419"/>
      <c r="J1012" s="419"/>
      <c r="K1012" s="419"/>
      <c r="L1012" s="419"/>
      <c r="M1012" s="419"/>
      <c r="N1012" s="419"/>
      <c r="O1012" s="540"/>
    </row>
    <row r="1037" spans="1:17">
      <c r="O1037" s="540" t="s">
        <v>827</v>
      </c>
    </row>
    <row r="1038" spans="1:17" s="420" customFormat="1">
      <c r="A1038" s="554"/>
      <c r="B1038" s="554"/>
      <c r="C1038" s="554"/>
      <c r="D1038" s="554"/>
      <c r="E1038" s="554"/>
      <c r="F1038" s="554"/>
      <c r="G1038" s="554"/>
      <c r="H1038" s="554"/>
      <c r="I1038" s="1181"/>
      <c r="J1038" s="554"/>
      <c r="K1038" s="554"/>
      <c r="L1038" s="554"/>
      <c r="M1038" s="554"/>
      <c r="N1038" s="554"/>
      <c r="O1038" s="419"/>
      <c r="P1038" s="419"/>
      <c r="Q1038" s="419"/>
    </row>
    <row r="1039" spans="1:17" s="540" customFormat="1">
      <c r="A1039" s="554"/>
      <c r="B1039" s="554"/>
      <c r="C1039" s="554"/>
      <c r="D1039" s="554"/>
      <c r="E1039" s="554"/>
      <c r="F1039" s="554"/>
      <c r="G1039" s="554"/>
      <c r="H1039" s="554"/>
      <c r="I1039" s="1181"/>
      <c r="J1039" s="554"/>
      <c r="K1039" s="554"/>
      <c r="L1039" s="554"/>
      <c r="M1039" s="554"/>
      <c r="N1039" s="554"/>
      <c r="O1039" s="419"/>
      <c r="P1039" s="419"/>
      <c r="Q1039" s="419"/>
    </row>
    <row r="1064" spans="1:17" s="540" customFormat="1">
      <c r="A1064" s="554"/>
      <c r="B1064" s="554"/>
      <c r="C1064" s="554"/>
      <c r="D1064" s="554"/>
      <c r="E1064" s="554"/>
      <c r="F1064" s="554"/>
      <c r="G1064" s="554"/>
      <c r="H1064" s="554"/>
      <c r="I1064" s="1181"/>
      <c r="J1064" s="554"/>
      <c r="K1064" s="554"/>
      <c r="L1064" s="554"/>
      <c r="M1064" s="554"/>
      <c r="N1064" s="554"/>
      <c r="O1064" s="419"/>
      <c r="P1064" s="419"/>
      <c r="Q1064" s="419"/>
    </row>
    <row r="1088" spans="1:15">
      <c r="A1088" s="419"/>
      <c r="B1088" s="419"/>
      <c r="C1088" s="419"/>
      <c r="D1088" s="419"/>
      <c r="E1088" s="419"/>
      <c r="F1088" s="419"/>
      <c r="G1088" s="419"/>
      <c r="H1088" s="419"/>
      <c r="I1088" s="419"/>
      <c r="J1088" s="419"/>
      <c r="K1088" s="419"/>
      <c r="L1088" s="419"/>
      <c r="M1088" s="419"/>
      <c r="N1088" s="419"/>
      <c r="O1088" s="422"/>
    </row>
    <row r="1115" spans="1:17" s="422" customFormat="1">
      <c r="A1115" s="554"/>
      <c r="B1115" s="554"/>
      <c r="C1115" s="554"/>
      <c r="D1115" s="554"/>
      <c r="E1115" s="554"/>
      <c r="F1115" s="554"/>
      <c r="G1115" s="554"/>
      <c r="H1115" s="554"/>
      <c r="I1115" s="1181"/>
      <c r="J1115" s="554"/>
      <c r="K1115" s="554"/>
      <c r="L1115" s="554"/>
      <c r="M1115" s="554"/>
      <c r="N1115" s="554"/>
      <c r="O1115" s="419"/>
      <c r="P1115" s="419"/>
      <c r="Q1115" s="419"/>
    </row>
    <row r="1120" spans="1:17">
      <c r="O1120" s="422"/>
    </row>
    <row r="1135" spans="1:15">
      <c r="A1135" s="419"/>
      <c r="B1135" s="419"/>
      <c r="C1135" s="419"/>
      <c r="D1135" s="419"/>
      <c r="E1135" s="419"/>
      <c r="F1135" s="419"/>
      <c r="G1135" s="419"/>
      <c r="H1135" s="419"/>
      <c r="I1135" s="419"/>
      <c r="J1135" s="419"/>
      <c r="K1135" s="419"/>
      <c r="L1135" s="419"/>
      <c r="M1135" s="419"/>
      <c r="N1135" s="419"/>
      <c r="O1135" s="422"/>
    </row>
    <row r="1140" spans="1:17">
      <c r="A1140" s="419"/>
      <c r="B1140" s="419"/>
      <c r="C1140" s="419"/>
      <c r="D1140" s="419"/>
      <c r="E1140" s="419"/>
      <c r="F1140" s="419"/>
      <c r="G1140" s="419"/>
      <c r="H1140" s="419"/>
      <c r="I1140" s="419"/>
      <c r="J1140" s="419"/>
      <c r="K1140" s="419"/>
      <c r="L1140" s="419"/>
      <c r="M1140" s="419"/>
      <c r="N1140" s="419"/>
      <c r="O1140" s="422"/>
    </row>
    <row r="1147" spans="1:17" s="422" customFormat="1">
      <c r="A1147" s="554"/>
      <c r="B1147" s="554"/>
      <c r="C1147" s="554"/>
      <c r="D1147" s="554"/>
      <c r="E1147" s="554"/>
      <c r="F1147" s="554"/>
      <c r="G1147" s="554"/>
      <c r="H1147" s="554"/>
      <c r="I1147" s="1181"/>
      <c r="J1147" s="554"/>
      <c r="K1147" s="554"/>
      <c r="L1147" s="554"/>
      <c r="M1147" s="554"/>
      <c r="N1147" s="554"/>
      <c r="O1147" s="419"/>
      <c r="P1147" s="419"/>
      <c r="Q1147" s="419"/>
    </row>
    <row r="1155" spans="1:17">
      <c r="O1155" s="422"/>
    </row>
    <row r="1162" spans="1:17" s="422" customFormat="1">
      <c r="A1162" s="554"/>
      <c r="B1162" s="554"/>
      <c r="C1162" s="554"/>
      <c r="D1162" s="554"/>
      <c r="E1162" s="554"/>
      <c r="F1162" s="554"/>
      <c r="G1162" s="554"/>
      <c r="H1162" s="554"/>
      <c r="I1162" s="1181"/>
      <c r="J1162" s="554"/>
      <c r="K1162" s="554"/>
      <c r="L1162" s="554"/>
      <c r="M1162" s="554"/>
      <c r="N1162" s="554"/>
      <c r="O1162" s="419"/>
      <c r="P1162" s="419"/>
      <c r="Q1162" s="419"/>
    </row>
    <row r="1167" spans="1:17" s="422" customFormat="1">
      <c r="A1167" s="554"/>
      <c r="B1167" s="554"/>
      <c r="C1167" s="554"/>
      <c r="D1167" s="554"/>
      <c r="E1167" s="554"/>
      <c r="F1167" s="554"/>
      <c r="G1167" s="554"/>
      <c r="H1167" s="554"/>
      <c r="I1167" s="1181"/>
      <c r="J1167" s="554"/>
      <c r="K1167" s="554"/>
      <c r="L1167" s="554"/>
      <c r="M1167" s="554"/>
      <c r="N1167" s="554"/>
      <c r="O1167" s="419"/>
      <c r="P1167" s="419"/>
      <c r="Q1167" s="419"/>
    </row>
    <row r="1182" spans="1:17" s="422" customFormat="1">
      <c r="A1182" s="554"/>
      <c r="B1182" s="554"/>
      <c r="C1182" s="554"/>
      <c r="D1182" s="554"/>
      <c r="E1182" s="554"/>
      <c r="F1182" s="554"/>
      <c r="G1182" s="554"/>
      <c r="H1182" s="554"/>
      <c r="I1182" s="1181"/>
      <c r="J1182" s="554"/>
      <c r="K1182" s="554"/>
      <c r="L1182" s="554"/>
      <c r="M1182" s="554"/>
      <c r="N1182" s="554"/>
      <c r="O1182" s="419"/>
      <c r="P1182" s="419"/>
      <c r="Q1182" s="419"/>
    </row>
    <row r="1218" spans="1:15">
      <c r="A1218" s="419"/>
      <c r="B1218" s="419"/>
      <c r="C1218" s="419"/>
      <c r="D1218" s="419"/>
      <c r="E1218" s="419"/>
      <c r="F1218" s="419"/>
      <c r="G1218" s="419"/>
      <c r="H1218" s="419"/>
      <c r="I1218" s="419"/>
      <c r="J1218" s="419"/>
      <c r="K1218" s="419"/>
      <c r="L1218" s="419"/>
      <c r="M1218" s="419"/>
      <c r="N1218" s="419"/>
      <c r="O1218" s="422"/>
    </row>
    <row r="1243" spans="1:17">
      <c r="O1243" s="422"/>
    </row>
    <row r="1245" spans="1:17" s="422" customFormat="1">
      <c r="A1245" s="554"/>
      <c r="B1245" s="554"/>
      <c r="C1245" s="554"/>
      <c r="D1245" s="554"/>
      <c r="E1245" s="554"/>
      <c r="F1245" s="554"/>
      <c r="G1245" s="554"/>
      <c r="H1245" s="554"/>
      <c r="I1245" s="1181"/>
      <c r="J1245" s="554"/>
      <c r="K1245" s="554"/>
      <c r="L1245" s="554"/>
      <c r="M1245" s="554"/>
      <c r="N1245" s="554"/>
      <c r="O1245" s="419"/>
      <c r="P1245" s="419"/>
      <c r="Q1245" s="419"/>
    </row>
    <row r="1258" spans="15:15">
      <c r="O1258" s="422"/>
    </row>
    <row r="1259" spans="15:15">
      <c r="O1259" s="420"/>
    </row>
    <row r="1260" spans="15:15">
      <c r="O1260" s="420"/>
    </row>
    <row r="1261" spans="15:15">
      <c r="O1261" s="420"/>
    </row>
    <row r="1265" spans="1:17">
      <c r="O1265" s="420"/>
    </row>
    <row r="1266" spans="1:17">
      <c r="O1266" s="420"/>
    </row>
    <row r="1270" spans="1:17" s="422" customFormat="1">
      <c r="A1270" s="554"/>
      <c r="B1270" s="554"/>
      <c r="C1270" s="554"/>
      <c r="D1270" s="554"/>
      <c r="E1270" s="554"/>
      <c r="F1270" s="554"/>
      <c r="G1270" s="554"/>
      <c r="H1270" s="554"/>
      <c r="I1270" s="1181"/>
      <c r="J1270" s="554"/>
      <c r="K1270" s="554"/>
      <c r="L1270" s="554"/>
      <c r="M1270" s="554"/>
      <c r="N1270" s="554"/>
      <c r="O1270" s="420"/>
      <c r="P1270" s="419"/>
      <c r="Q1270" s="419"/>
    </row>
    <row r="1271" spans="1:17">
      <c r="O1271" s="420"/>
    </row>
    <row r="1285" spans="1:17" s="422" customFormat="1">
      <c r="A1285" s="554"/>
      <c r="B1285" s="554"/>
      <c r="C1285" s="554"/>
      <c r="D1285" s="554"/>
      <c r="E1285" s="554"/>
      <c r="F1285" s="554"/>
      <c r="G1285" s="554"/>
      <c r="H1285" s="554"/>
      <c r="I1285" s="1181"/>
      <c r="J1285" s="554"/>
      <c r="K1285" s="554"/>
      <c r="L1285" s="554"/>
      <c r="M1285" s="554"/>
      <c r="N1285" s="554"/>
      <c r="O1285" s="419"/>
      <c r="P1285" s="419"/>
      <c r="Q1285" s="419"/>
    </row>
    <row r="1286" spans="1:17" s="420" customFormat="1">
      <c r="A1286" s="554"/>
      <c r="B1286" s="554"/>
      <c r="C1286" s="554"/>
      <c r="D1286" s="554"/>
      <c r="E1286" s="554"/>
      <c r="F1286" s="554"/>
      <c r="G1286" s="554"/>
      <c r="H1286" s="554"/>
      <c r="I1286" s="1181"/>
      <c r="J1286" s="554"/>
      <c r="K1286" s="554"/>
      <c r="L1286" s="554"/>
      <c r="M1286" s="554"/>
      <c r="N1286" s="554"/>
      <c r="O1286" s="419"/>
      <c r="P1286" s="419"/>
      <c r="Q1286" s="419"/>
    </row>
    <row r="1287" spans="1:17" s="420" customFormat="1">
      <c r="A1287" s="554"/>
      <c r="B1287" s="554"/>
      <c r="C1287" s="554"/>
      <c r="D1287" s="554"/>
      <c r="E1287" s="554"/>
      <c r="F1287" s="554"/>
      <c r="G1287" s="554"/>
      <c r="H1287" s="554"/>
      <c r="I1287" s="1181"/>
      <c r="J1287" s="554"/>
      <c r="K1287" s="554"/>
      <c r="L1287" s="554"/>
      <c r="M1287" s="554"/>
      <c r="N1287" s="554"/>
      <c r="O1287" s="419"/>
      <c r="P1287" s="419"/>
      <c r="Q1287" s="419"/>
    </row>
    <row r="1288" spans="1:17" s="420" customFormat="1">
      <c r="A1288" s="554"/>
      <c r="B1288" s="554"/>
      <c r="C1288" s="554"/>
      <c r="D1288" s="554"/>
      <c r="E1288" s="554"/>
      <c r="F1288" s="554"/>
      <c r="G1288" s="554"/>
      <c r="H1288" s="554"/>
      <c r="I1288" s="1181"/>
      <c r="J1288" s="554"/>
      <c r="K1288" s="554"/>
      <c r="L1288" s="554"/>
      <c r="M1288" s="554"/>
      <c r="N1288" s="554"/>
      <c r="O1288" s="419"/>
      <c r="P1288" s="419"/>
      <c r="Q1288" s="419"/>
    </row>
    <row r="1292" spans="1:17" s="420" customFormat="1">
      <c r="A1292" s="554"/>
      <c r="B1292" s="554"/>
      <c r="C1292" s="554"/>
      <c r="D1292" s="554"/>
      <c r="E1292" s="554"/>
      <c r="F1292" s="554"/>
      <c r="G1292" s="554"/>
      <c r="H1292" s="554"/>
      <c r="I1292" s="1181"/>
      <c r="J1292" s="554"/>
      <c r="K1292" s="554"/>
      <c r="L1292" s="554"/>
      <c r="M1292" s="554"/>
      <c r="N1292" s="554"/>
      <c r="O1292" s="419"/>
      <c r="P1292" s="419"/>
      <c r="Q1292" s="419"/>
    </row>
    <row r="1293" spans="1:17" s="420" customFormat="1">
      <c r="A1293" s="554"/>
      <c r="B1293" s="554"/>
      <c r="C1293" s="554"/>
      <c r="D1293" s="554"/>
      <c r="E1293" s="554"/>
      <c r="F1293" s="554"/>
      <c r="G1293" s="554"/>
      <c r="H1293" s="554"/>
      <c r="I1293" s="1181"/>
      <c r="J1293" s="554"/>
      <c r="K1293" s="554"/>
      <c r="L1293" s="554"/>
      <c r="M1293" s="554"/>
      <c r="N1293" s="554"/>
      <c r="O1293" s="419"/>
      <c r="P1293" s="419"/>
      <c r="Q1293" s="419"/>
    </row>
    <row r="1297" spans="1:17" s="420" customFormat="1">
      <c r="A1297" s="554"/>
      <c r="B1297" s="554"/>
      <c r="C1297" s="554"/>
      <c r="D1297" s="554"/>
      <c r="E1297" s="554"/>
      <c r="F1297" s="554"/>
      <c r="G1297" s="554"/>
      <c r="H1297" s="554"/>
      <c r="I1297" s="1181"/>
      <c r="J1297" s="554"/>
      <c r="K1297" s="554"/>
      <c r="L1297" s="554"/>
      <c r="M1297" s="554"/>
      <c r="N1297" s="554"/>
      <c r="O1297" s="419"/>
      <c r="P1297" s="419"/>
      <c r="Q1297" s="419"/>
    </row>
    <row r="1298" spans="1:17" s="420" customFormat="1">
      <c r="A1298" s="554"/>
      <c r="B1298" s="554"/>
      <c r="C1298" s="554"/>
      <c r="D1298" s="554"/>
      <c r="E1298" s="554"/>
      <c r="F1298" s="554"/>
      <c r="G1298" s="554"/>
      <c r="H1298" s="554"/>
      <c r="I1298" s="1181"/>
      <c r="J1298" s="554"/>
      <c r="K1298" s="554"/>
      <c r="L1298" s="554"/>
      <c r="M1298" s="554"/>
      <c r="N1298" s="554"/>
      <c r="O1298" s="419"/>
      <c r="P1298" s="419"/>
      <c r="Q1298" s="419"/>
    </row>
  </sheetData>
  <customSheetViews>
    <customSheetView guid="{0F09EDAE-127A-4543-88A5-04139BD32AD8}" scale="70" showPageBreaks="1" fitToPage="1" printArea="1" hiddenRows="1" hiddenColumns="1" topLeftCell="I1">
      <selection activeCell="V32" sqref="V32"/>
      <rowBreaks count="10" manualBreakCount="10">
        <brk id="437" max="24" man="1"/>
        <brk id="528" max="24" man="1"/>
        <brk id="623" max="24" man="1"/>
        <brk id="716" max="24" man="1"/>
        <brk id="809" max="24" man="1"/>
        <brk id="904" max="24" man="1"/>
        <brk id="1014" max="24" man="1"/>
        <brk id="1113" max="23" man="1"/>
        <brk id="1206" max="23" man="1"/>
        <brk id="1303" max="23" man="1"/>
      </rowBreaks>
      <pageMargins left="0.23622047244094491" right="0.23622047244094491" top="0.39370078740157483" bottom="1.1811023622047245" header="0.31496062992125984" footer="0.31496062992125984"/>
      <printOptions horizontalCentered="1"/>
      <pageSetup paperSize="5" scale="60" fitToHeight="0" orientation="portrait" horizontalDpi="360" verticalDpi="360" r:id="rId1"/>
    </customSheetView>
    <customSheetView guid="{C05430D3-5A25-4A4C-823C-7D6EA772E5F0}" scale="70" showPageBreaks="1" fitToPage="1" printArea="1" hiddenRows="1" hiddenColumns="1" topLeftCell="I1">
      <selection activeCell="V32" sqref="V32"/>
      <rowBreaks count="10" manualBreakCount="10">
        <brk id="437" max="24" man="1"/>
        <brk id="528" max="24" man="1"/>
        <brk id="623" max="24" man="1"/>
        <brk id="716" max="24" man="1"/>
        <brk id="809" max="24" man="1"/>
        <brk id="904" max="24" man="1"/>
        <brk id="1014" max="24" man="1"/>
        <brk id="1113" max="23" man="1"/>
        <brk id="1206" max="23" man="1"/>
        <brk id="1303" max="23" man="1"/>
      </rowBreaks>
      <pageMargins left="0.23622047244094491" right="0.23622047244094491" top="0.39370078740157483" bottom="1.1811023622047245" header="0.31496062992125984" footer="0.31496062992125984"/>
      <printOptions horizontalCentered="1"/>
      <pageSetup paperSize="5" scale="61" fitToHeight="0" orientation="portrait" horizontalDpi="360" verticalDpi="360" r:id="rId2"/>
    </customSheetView>
  </customSheetViews>
  <mergeCells count="21">
    <mergeCell ref="S108:T108"/>
    <mergeCell ref="J5:N5"/>
    <mergeCell ref="A8:N8"/>
    <mergeCell ref="A9:N9"/>
    <mergeCell ref="A10:N10"/>
    <mergeCell ref="A14:G15"/>
    <mergeCell ref="H14:H15"/>
    <mergeCell ref="I14:J14"/>
    <mergeCell ref="N14:N15"/>
    <mergeCell ref="P14:P15"/>
    <mergeCell ref="Q14:Q15"/>
    <mergeCell ref="R20:T20"/>
    <mergeCell ref="R23:S23"/>
    <mergeCell ref="K14:L14"/>
    <mergeCell ref="M14:M15"/>
    <mergeCell ref="A343:N343"/>
    <mergeCell ref="J334:N334"/>
    <mergeCell ref="J335:N335"/>
    <mergeCell ref="J341:N341"/>
    <mergeCell ref="A16:C16"/>
    <mergeCell ref="D16:G16"/>
  </mergeCells>
  <printOptions horizontalCentered="1"/>
  <pageMargins left="0.23622047244094491" right="0.23622047244094491" top="0.39370078740157483" bottom="1.1811023622047245" header="0.31496062992125984" footer="0.31496062992125984"/>
  <pageSetup paperSize="5" scale="54" fitToHeight="0" orientation="portrait" horizontalDpi="360" verticalDpi="360" r:id="rId3"/>
  <rowBreaks count="10" manualBreakCount="10">
    <brk id="409" max="24" man="1"/>
    <brk id="500" max="24" man="1"/>
    <brk id="595" max="24" man="1"/>
    <brk id="688" max="24" man="1"/>
    <brk id="781" max="24" man="1"/>
    <brk id="876" max="24" man="1"/>
    <brk id="986" max="24" man="1"/>
    <brk id="1085" max="23" man="1"/>
    <brk id="1178" max="23" man="1"/>
    <brk id="1275" max="23" man="1"/>
  </rowBreaks>
  <cellWatches>
    <cellWatch r="T34"/>
  </cellWatches>
  <drawing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  <pageSetUpPr fitToPage="1"/>
  </sheetPr>
  <dimension ref="A1:AC65"/>
  <sheetViews>
    <sheetView topLeftCell="A13" workbookViewId="0">
      <selection sqref="A1:N1"/>
    </sheetView>
  </sheetViews>
  <sheetFormatPr defaultColWidth="9.140625" defaultRowHeight="18"/>
  <cols>
    <col min="1" max="1" width="4.5703125" style="1243" customWidth="1"/>
    <col min="2" max="2" width="17" style="1243" customWidth="1"/>
    <col min="3" max="3" width="7" style="1242" customWidth="1"/>
    <col min="4" max="4" width="69.28515625" style="1243" customWidth="1"/>
    <col min="5" max="5" width="18.42578125" style="2526" customWidth="1"/>
    <col min="6" max="6" width="13" style="1243" customWidth="1"/>
    <col min="7" max="7" width="59" style="1243" hidden="1" customWidth="1"/>
    <col min="8" max="8" width="11.140625" style="1243" hidden="1" customWidth="1"/>
    <col min="9" max="9" width="21.7109375" style="1243" bestFit="1" customWidth="1"/>
    <col min="10" max="10" width="11.28515625" style="2526" customWidth="1"/>
    <col min="11" max="11" width="7.28515625" style="1243" hidden="1" customWidth="1"/>
    <col min="12" max="13" width="7" style="1243" hidden="1" customWidth="1"/>
    <col min="14" max="14" width="16.5703125" style="1244" hidden="1" customWidth="1"/>
    <col min="15" max="15" width="2.140625" style="1243" customWidth="1"/>
    <col min="16" max="16" width="2.5703125" style="1243" customWidth="1"/>
    <col min="17" max="17" width="23" style="1243" bestFit="1" customWidth="1"/>
    <col min="18" max="18" width="21.85546875" style="1349" customWidth="1"/>
    <col min="19" max="19" width="25.140625" style="1349" customWidth="1"/>
    <col min="20" max="22" width="22.5703125" style="1243" bestFit="1" customWidth="1"/>
    <col min="23" max="23" width="23" style="1243" bestFit="1" customWidth="1"/>
    <col min="24" max="258" width="9.140625" style="1243"/>
    <col min="259" max="259" width="4.5703125" style="1243" customWidth="1"/>
    <col min="260" max="260" width="21.85546875" style="1243" customWidth="1"/>
    <col min="261" max="261" width="22.140625" style="1243" customWidth="1"/>
    <col min="262" max="262" width="11.5703125" style="1243" customWidth="1"/>
    <col min="263" max="265" width="3.5703125" style="1243" customWidth="1"/>
    <col min="266" max="266" width="9.5703125" style="1243" customWidth="1"/>
    <col min="267" max="267" width="18.85546875" style="1243" customWidth="1"/>
    <col min="268" max="268" width="11.5703125" style="1243" customWidth="1"/>
    <col min="269" max="269" width="16.42578125" style="1243" customWidth="1"/>
    <col min="270" max="270" width="17.5703125" style="1243" customWidth="1"/>
    <col min="271" max="271" width="10.5703125" style="1243" customWidth="1"/>
    <col min="272" max="514" width="9.140625" style="1243"/>
    <col min="515" max="515" width="4.5703125" style="1243" customWidth="1"/>
    <col min="516" max="516" width="21.85546875" style="1243" customWidth="1"/>
    <col min="517" max="517" width="22.140625" style="1243" customWidth="1"/>
    <col min="518" max="518" width="11.5703125" style="1243" customWidth="1"/>
    <col min="519" max="521" width="3.5703125" style="1243" customWidth="1"/>
    <col min="522" max="522" width="9.5703125" style="1243" customWidth="1"/>
    <col min="523" max="523" width="18.85546875" style="1243" customWidth="1"/>
    <col min="524" max="524" width="11.5703125" style="1243" customWidth="1"/>
    <col min="525" max="525" width="16.42578125" style="1243" customWidth="1"/>
    <col min="526" max="526" width="17.5703125" style="1243" customWidth="1"/>
    <col min="527" max="527" width="10.5703125" style="1243" customWidth="1"/>
    <col min="528" max="770" width="9.140625" style="1243"/>
    <col min="771" max="771" width="4.5703125" style="1243" customWidth="1"/>
    <col min="772" max="772" width="21.85546875" style="1243" customWidth="1"/>
    <col min="773" max="773" width="22.140625" style="1243" customWidth="1"/>
    <col min="774" max="774" width="11.5703125" style="1243" customWidth="1"/>
    <col min="775" max="777" width="3.5703125" style="1243" customWidth="1"/>
    <col min="778" max="778" width="9.5703125" style="1243" customWidth="1"/>
    <col min="779" max="779" width="18.85546875" style="1243" customWidth="1"/>
    <col min="780" max="780" width="11.5703125" style="1243" customWidth="1"/>
    <col min="781" max="781" width="16.42578125" style="1243" customWidth="1"/>
    <col min="782" max="782" width="17.5703125" style="1243" customWidth="1"/>
    <col min="783" max="783" width="10.5703125" style="1243" customWidth="1"/>
    <col min="784" max="1026" width="9.140625" style="1243"/>
    <col min="1027" max="1027" width="4.5703125" style="1243" customWidth="1"/>
    <col min="1028" max="1028" width="21.85546875" style="1243" customWidth="1"/>
    <col min="1029" max="1029" width="22.140625" style="1243" customWidth="1"/>
    <col min="1030" max="1030" width="11.5703125" style="1243" customWidth="1"/>
    <col min="1031" max="1033" width="3.5703125" style="1243" customWidth="1"/>
    <col min="1034" max="1034" width="9.5703125" style="1243" customWidth="1"/>
    <col min="1035" max="1035" width="18.85546875" style="1243" customWidth="1"/>
    <col min="1036" max="1036" width="11.5703125" style="1243" customWidth="1"/>
    <col min="1037" max="1037" width="16.42578125" style="1243" customWidth="1"/>
    <col min="1038" max="1038" width="17.5703125" style="1243" customWidth="1"/>
    <col min="1039" max="1039" width="10.5703125" style="1243" customWidth="1"/>
    <col min="1040" max="1282" width="9.140625" style="1243"/>
    <col min="1283" max="1283" width="4.5703125" style="1243" customWidth="1"/>
    <col min="1284" max="1284" width="21.85546875" style="1243" customWidth="1"/>
    <col min="1285" max="1285" width="22.140625" style="1243" customWidth="1"/>
    <col min="1286" max="1286" width="11.5703125" style="1243" customWidth="1"/>
    <col min="1287" max="1289" width="3.5703125" style="1243" customWidth="1"/>
    <col min="1290" max="1290" width="9.5703125" style="1243" customWidth="1"/>
    <col min="1291" max="1291" width="18.85546875" style="1243" customWidth="1"/>
    <col min="1292" max="1292" width="11.5703125" style="1243" customWidth="1"/>
    <col min="1293" max="1293" width="16.42578125" style="1243" customWidth="1"/>
    <col min="1294" max="1294" width="17.5703125" style="1243" customWidth="1"/>
    <col min="1295" max="1295" width="10.5703125" style="1243" customWidth="1"/>
    <col min="1296" max="1538" width="9.140625" style="1243"/>
    <col min="1539" max="1539" width="4.5703125" style="1243" customWidth="1"/>
    <col min="1540" max="1540" width="21.85546875" style="1243" customWidth="1"/>
    <col min="1541" max="1541" width="22.140625" style="1243" customWidth="1"/>
    <col min="1542" max="1542" width="11.5703125" style="1243" customWidth="1"/>
    <col min="1543" max="1545" width="3.5703125" style="1243" customWidth="1"/>
    <col min="1546" max="1546" width="9.5703125" style="1243" customWidth="1"/>
    <col min="1547" max="1547" width="18.85546875" style="1243" customWidth="1"/>
    <col min="1548" max="1548" width="11.5703125" style="1243" customWidth="1"/>
    <col min="1549" max="1549" width="16.42578125" style="1243" customWidth="1"/>
    <col min="1550" max="1550" width="17.5703125" style="1243" customWidth="1"/>
    <col min="1551" max="1551" width="10.5703125" style="1243" customWidth="1"/>
    <col min="1552" max="1794" width="9.140625" style="1243"/>
    <col min="1795" max="1795" width="4.5703125" style="1243" customWidth="1"/>
    <col min="1796" max="1796" width="21.85546875" style="1243" customWidth="1"/>
    <col min="1797" max="1797" width="22.140625" style="1243" customWidth="1"/>
    <col min="1798" max="1798" width="11.5703125" style="1243" customWidth="1"/>
    <col min="1799" max="1801" width="3.5703125" style="1243" customWidth="1"/>
    <col min="1802" max="1802" width="9.5703125" style="1243" customWidth="1"/>
    <col min="1803" max="1803" width="18.85546875" style="1243" customWidth="1"/>
    <col min="1804" max="1804" width="11.5703125" style="1243" customWidth="1"/>
    <col min="1805" max="1805" width="16.42578125" style="1243" customWidth="1"/>
    <col min="1806" max="1806" width="17.5703125" style="1243" customWidth="1"/>
    <col min="1807" max="1807" width="10.5703125" style="1243" customWidth="1"/>
    <col min="1808" max="2050" width="9.140625" style="1243"/>
    <col min="2051" max="2051" width="4.5703125" style="1243" customWidth="1"/>
    <col min="2052" max="2052" width="21.85546875" style="1243" customWidth="1"/>
    <col min="2053" max="2053" width="22.140625" style="1243" customWidth="1"/>
    <col min="2054" max="2054" width="11.5703125" style="1243" customWidth="1"/>
    <col min="2055" max="2057" width="3.5703125" style="1243" customWidth="1"/>
    <col min="2058" max="2058" width="9.5703125" style="1243" customWidth="1"/>
    <col min="2059" max="2059" width="18.85546875" style="1243" customWidth="1"/>
    <col min="2060" max="2060" width="11.5703125" style="1243" customWidth="1"/>
    <col min="2061" max="2061" width="16.42578125" style="1243" customWidth="1"/>
    <col min="2062" max="2062" width="17.5703125" style="1243" customWidth="1"/>
    <col min="2063" max="2063" width="10.5703125" style="1243" customWidth="1"/>
    <col min="2064" max="2306" width="9.140625" style="1243"/>
    <col min="2307" max="2307" width="4.5703125" style="1243" customWidth="1"/>
    <col min="2308" max="2308" width="21.85546875" style="1243" customWidth="1"/>
    <col min="2309" max="2309" width="22.140625" style="1243" customWidth="1"/>
    <col min="2310" max="2310" width="11.5703125" style="1243" customWidth="1"/>
    <col min="2311" max="2313" width="3.5703125" style="1243" customWidth="1"/>
    <col min="2314" max="2314" width="9.5703125" style="1243" customWidth="1"/>
    <col min="2315" max="2315" width="18.85546875" style="1243" customWidth="1"/>
    <col min="2316" max="2316" width="11.5703125" style="1243" customWidth="1"/>
    <col min="2317" max="2317" width="16.42578125" style="1243" customWidth="1"/>
    <col min="2318" max="2318" width="17.5703125" style="1243" customWidth="1"/>
    <col min="2319" max="2319" width="10.5703125" style="1243" customWidth="1"/>
    <col min="2320" max="2562" width="9.140625" style="1243"/>
    <col min="2563" max="2563" width="4.5703125" style="1243" customWidth="1"/>
    <col min="2564" max="2564" width="21.85546875" style="1243" customWidth="1"/>
    <col min="2565" max="2565" width="22.140625" style="1243" customWidth="1"/>
    <col min="2566" max="2566" width="11.5703125" style="1243" customWidth="1"/>
    <col min="2567" max="2569" width="3.5703125" style="1243" customWidth="1"/>
    <col min="2570" max="2570" width="9.5703125" style="1243" customWidth="1"/>
    <col min="2571" max="2571" width="18.85546875" style="1243" customWidth="1"/>
    <col min="2572" max="2572" width="11.5703125" style="1243" customWidth="1"/>
    <col min="2573" max="2573" width="16.42578125" style="1243" customWidth="1"/>
    <col min="2574" max="2574" width="17.5703125" style="1243" customWidth="1"/>
    <col min="2575" max="2575" width="10.5703125" style="1243" customWidth="1"/>
    <col min="2576" max="2818" width="9.140625" style="1243"/>
    <col min="2819" max="2819" width="4.5703125" style="1243" customWidth="1"/>
    <col min="2820" max="2820" width="21.85546875" style="1243" customWidth="1"/>
    <col min="2821" max="2821" width="22.140625" style="1243" customWidth="1"/>
    <col min="2822" max="2822" width="11.5703125" style="1243" customWidth="1"/>
    <col min="2823" max="2825" width="3.5703125" style="1243" customWidth="1"/>
    <col min="2826" max="2826" width="9.5703125" style="1243" customWidth="1"/>
    <col min="2827" max="2827" width="18.85546875" style="1243" customWidth="1"/>
    <col min="2828" max="2828" width="11.5703125" style="1243" customWidth="1"/>
    <col min="2829" max="2829" width="16.42578125" style="1243" customWidth="1"/>
    <col min="2830" max="2830" width="17.5703125" style="1243" customWidth="1"/>
    <col min="2831" max="2831" width="10.5703125" style="1243" customWidth="1"/>
    <col min="2832" max="3074" width="9.140625" style="1243"/>
    <col min="3075" max="3075" width="4.5703125" style="1243" customWidth="1"/>
    <col min="3076" max="3076" width="21.85546875" style="1243" customWidth="1"/>
    <col min="3077" max="3077" width="22.140625" style="1243" customWidth="1"/>
    <col min="3078" max="3078" width="11.5703125" style="1243" customWidth="1"/>
    <col min="3079" max="3081" width="3.5703125" style="1243" customWidth="1"/>
    <col min="3082" max="3082" width="9.5703125" style="1243" customWidth="1"/>
    <col min="3083" max="3083" width="18.85546875" style="1243" customWidth="1"/>
    <col min="3084" max="3084" width="11.5703125" style="1243" customWidth="1"/>
    <col min="3085" max="3085" width="16.42578125" style="1243" customWidth="1"/>
    <col min="3086" max="3086" width="17.5703125" style="1243" customWidth="1"/>
    <col min="3087" max="3087" width="10.5703125" style="1243" customWidth="1"/>
    <col min="3088" max="3330" width="9.140625" style="1243"/>
    <col min="3331" max="3331" width="4.5703125" style="1243" customWidth="1"/>
    <col min="3332" max="3332" width="21.85546875" style="1243" customWidth="1"/>
    <col min="3333" max="3333" width="22.140625" style="1243" customWidth="1"/>
    <col min="3334" max="3334" width="11.5703125" style="1243" customWidth="1"/>
    <col min="3335" max="3337" width="3.5703125" style="1243" customWidth="1"/>
    <col min="3338" max="3338" width="9.5703125" style="1243" customWidth="1"/>
    <col min="3339" max="3339" width="18.85546875" style="1243" customWidth="1"/>
    <col min="3340" max="3340" width="11.5703125" style="1243" customWidth="1"/>
    <col min="3341" max="3341" width="16.42578125" style="1243" customWidth="1"/>
    <col min="3342" max="3342" width="17.5703125" style="1243" customWidth="1"/>
    <col min="3343" max="3343" width="10.5703125" style="1243" customWidth="1"/>
    <col min="3344" max="3586" width="9.140625" style="1243"/>
    <col min="3587" max="3587" width="4.5703125" style="1243" customWidth="1"/>
    <col min="3588" max="3588" width="21.85546875" style="1243" customWidth="1"/>
    <col min="3589" max="3589" width="22.140625" style="1243" customWidth="1"/>
    <col min="3590" max="3590" width="11.5703125" style="1243" customWidth="1"/>
    <col min="3591" max="3593" width="3.5703125" style="1243" customWidth="1"/>
    <col min="3594" max="3594" width="9.5703125" style="1243" customWidth="1"/>
    <col min="3595" max="3595" width="18.85546875" style="1243" customWidth="1"/>
    <col min="3596" max="3596" width="11.5703125" style="1243" customWidth="1"/>
    <col min="3597" max="3597" width="16.42578125" style="1243" customWidth="1"/>
    <col min="3598" max="3598" width="17.5703125" style="1243" customWidth="1"/>
    <col min="3599" max="3599" width="10.5703125" style="1243" customWidth="1"/>
    <col min="3600" max="3842" width="9.140625" style="1243"/>
    <col min="3843" max="3843" width="4.5703125" style="1243" customWidth="1"/>
    <col min="3844" max="3844" width="21.85546875" style="1243" customWidth="1"/>
    <col min="3845" max="3845" width="22.140625" style="1243" customWidth="1"/>
    <col min="3846" max="3846" width="11.5703125" style="1243" customWidth="1"/>
    <col min="3847" max="3849" width="3.5703125" style="1243" customWidth="1"/>
    <col min="3850" max="3850" width="9.5703125" style="1243" customWidth="1"/>
    <col min="3851" max="3851" width="18.85546875" style="1243" customWidth="1"/>
    <col min="3852" max="3852" width="11.5703125" style="1243" customWidth="1"/>
    <col min="3853" max="3853" width="16.42578125" style="1243" customWidth="1"/>
    <col min="3854" max="3854" width="17.5703125" style="1243" customWidth="1"/>
    <col min="3855" max="3855" width="10.5703125" style="1243" customWidth="1"/>
    <col min="3856" max="4098" width="9.140625" style="1243"/>
    <col min="4099" max="4099" width="4.5703125" style="1243" customWidth="1"/>
    <col min="4100" max="4100" width="21.85546875" style="1243" customWidth="1"/>
    <col min="4101" max="4101" width="22.140625" style="1243" customWidth="1"/>
    <col min="4102" max="4102" width="11.5703125" style="1243" customWidth="1"/>
    <col min="4103" max="4105" width="3.5703125" style="1243" customWidth="1"/>
    <col min="4106" max="4106" width="9.5703125" style="1243" customWidth="1"/>
    <col min="4107" max="4107" width="18.85546875" style="1243" customWidth="1"/>
    <col min="4108" max="4108" width="11.5703125" style="1243" customWidth="1"/>
    <col min="4109" max="4109" width="16.42578125" style="1243" customWidth="1"/>
    <col min="4110" max="4110" width="17.5703125" style="1243" customWidth="1"/>
    <col min="4111" max="4111" width="10.5703125" style="1243" customWidth="1"/>
    <col min="4112" max="4354" width="9.140625" style="1243"/>
    <col min="4355" max="4355" width="4.5703125" style="1243" customWidth="1"/>
    <col min="4356" max="4356" width="21.85546875" style="1243" customWidth="1"/>
    <col min="4357" max="4357" width="22.140625" style="1243" customWidth="1"/>
    <col min="4358" max="4358" width="11.5703125" style="1243" customWidth="1"/>
    <col min="4359" max="4361" width="3.5703125" style="1243" customWidth="1"/>
    <col min="4362" max="4362" width="9.5703125" style="1243" customWidth="1"/>
    <col min="4363" max="4363" width="18.85546875" style="1243" customWidth="1"/>
    <col min="4364" max="4364" width="11.5703125" style="1243" customWidth="1"/>
    <col min="4365" max="4365" width="16.42578125" style="1243" customWidth="1"/>
    <col min="4366" max="4366" width="17.5703125" style="1243" customWidth="1"/>
    <col min="4367" max="4367" width="10.5703125" style="1243" customWidth="1"/>
    <col min="4368" max="4610" width="9.140625" style="1243"/>
    <col min="4611" max="4611" width="4.5703125" style="1243" customWidth="1"/>
    <col min="4612" max="4612" width="21.85546875" style="1243" customWidth="1"/>
    <col min="4613" max="4613" width="22.140625" style="1243" customWidth="1"/>
    <col min="4614" max="4614" width="11.5703125" style="1243" customWidth="1"/>
    <col min="4615" max="4617" width="3.5703125" style="1243" customWidth="1"/>
    <col min="4618" max="4618" width="9.5703125" style="1243" customWidth="1"/>
    <col min="4619" max="4619" width="18.85546875" style="1243" customWidth="1"/>
    <col min="4620" max="4620" width="11.5703125" style="1243" customWidth="1"/>
    <col min="4621" max="4621" width="16.42578125" style="1243" customWidth="1"/>
    <col min="4622" max="4622" width="17.5703125" style="1243" customWidth="1"/>
    <col min="4623" max="4623" width="10.5703125" style="1243" customWidth="1"/>
    <col min="4624" max="4866" width="9.140625" style="1243"/>
    <col min="4867" max="4867" width="4.5703125" style="1243" customWidth="1"/>
    <col min="4868" max="4868" width="21.85546875" style="1243" customWidth="1"/>
    <col min="4869" max="4869" width="22.140625" style="1243" customWidth="1"/>
    <col min="4870" max="4870" width="11.5703125" style="1243" customWidth="1"/>
    <col min="4871" max="4873" width="3.5703125" style="1243" customWidth="1"/>
    <col min="4874" max="4874" width="9.5703125" style="1243" customWidth="1"/>
    <col min="4875" max="4875" width="18.85546875" style="1243" customWidth="1"/>
    <col min="4876" max="4876" width="11.5703125" style="1243" customWidth="1"/>
    <col min="4877" max="4877" width="16.42578125" style="1243" customWidth="1"/>
    <col min="4878" max="4878" width="17.5703125" style="1243" customWidth="1"/>
    <col min="4879" max="4879" width="10.5703125" style="1243" customWidth="1"/>
    <col min="4880" max="5122" width="9.140625" style="1243"/>
    <col min="5123" max="5123" width="4.5703125" style="1243" customWidth="1"/>
    <col min="5124" max="5124" width="21.85546875" style="1243" customWidth="1"/>
    <col min="5125" max="5125" width="22.140625" style="1243" customWidth="1"/>
    <col min="5126" max="5126" width="11.5703125" style="1243" customWidth="1"/>
    <col min="5127" max="5129" width="3.5703125" style="1243" customWidth="1"/>
    <col min="5130" max="5130" width="9.5703125" style="1243" customWidth="1"/>
    <col min="5131" max="5131" width="18.85546875" style="1243" customWidth="1"/>
    <col min="5132" max="5132" width="11.5703125" style="1243" customWidth="1"/>
    <col min="5133" max="5133" width="16.42578125" style="1243" customWidth="1"/>
    <col min="5134" max="5134" width="17.5703125" style="1243" customWidth="1"/>
    <col min="5135" max="5135" width="10.5703125" style="1243" customWidth="1"/>
    <col min="5136" max="5378" width="9.140625" style="1243"/>
    <col min="5379" max="5379" width="4.5703125" style="1243" customWidth="1"/>
    <col min="5380" max="5380" width="21.85546875" style="1243" customWidth="1"/>
    <col min="5381" max="5381" width="22.140625" style="1243" customWidth="1"/>
    <col min="5382" max="5382" width="11.5703125" style="1243" customWidth="1"/>
    <col min="5383" max="5385" width="3.5703125" style="1243" customWidth="1"/>
    <col min="5386" max="5386" width="9.5703125" style="1243" customWidth="1"/>
    <col min="5387" max="5387" width="18.85546875" style="1243" customWidth="1"/>
    <col min="5388" max="5388" width="11.5703125" style="1243" customWidth="1"/>
    <col min="5389" max="5389" width="16.42578125" style="1243" customWidth="1"/>
    <col min="5390" max="5390" width="17.5703125" style="1243" customWidth="1"/>
    <col min="5391" max="5391" width="10.5703125" style="1243" customWidth="1"/>
    <col min="5392" max="5634" width="9.140625" style="1243"/>
    <col min="5635" max="5635" width="4.5703125" style="1243" customWidth="1"/>
    <col min="5636" max="5636" width="21.85546875" style="1243" customWidth="1"/>
    <col min="5637" max="5637" width="22.140625" style="1243" customWidth="1"/>
    <col min="5638" max="5638" width="11.5703125" style="1243" customWidth="1"/>
    <col min="5639" max="5641" width="3.5703125" style="1243" customWidth="1"/>
    <col min="5642" max="5642" width="9.5703125" style="1243" customWidth="1"/>
    <col min="5643" max="5643" width="18.85546875" style="1243" customWidth="1"/>
    <col min="5644" max="5644" width="11.5703125" style="1243" customWidth="1"/>
    <col min="5645" max="5645" width="16.42578125" style="1243" customWidth="1"/>
    <col min="5646" max="5646" width="17.5703125" style="1243" customWidth="1"/>
    <col min="5647" max="5647" width="10.5703125" style="1243" customWidth="1"/>
    <col min="5648" max="5890" width="9.140625" style="1243"/>
    <col min="5891" max="5891" width="4.5703125" style="1243" customWidth="1"/>
    <col min="5892" max="5892" width="21.85546875" style="1243" customWidth="1"/>
    <col min="5893" max="5893" width="22.140625" style="1243" customWidth="1"/>
    <col min="5894" max="5894" width="11.5703125" style="1243" customWidth="1"/>
    <col min="5895" max="5897" width="3.5703125" style="1243" customWidth="1"/>
    <col min="5898" max="5898" width="9.5703125" style="1243" customWidth="1"/>
    <col min="5899" max="5899" width="18.85546875" style="1243" customWidth="1"/>
    <col min="5900" max="5900" width="11.5703125" style="1243" customWidth="1"/>
    <col min="5901" max="5901" width="16.42578125" style="1243" customWidth="1"/>
    <col min="5902" max="5902" width="17.5703125" style="1243" customWidth="1"/>
    <col min="5903" max="5903" width="10.5703125" style="1243" customWidth="1"/>
    <col min="5904" max="6146" width="9.140625" style="1243"/>
    <col min="6147" max="6147" width="4.5703125" style="1243" customWidth="1"/>
    <col min="6148" max="6148" width="21.85546875" style="1243" customWidth="1"/>
    <col min="6149" max="6149" width="22.140625" style="1243" customWidth="1"/>
    <col min="6150" max="6150" width="11.5703125" style="1243" customWidth="1"/>
    <col min="6151" max="6153" width="3.5703125" style="1243" customWidth="1"/>
    <col min="6154" max="6154" width="9.5703125" style="1243" customWidth="1"/>
    <col min="6155" max="6155" width="18.85546875" style="1243" customWidth="1"/>
    <col min="6156" max="6156" width="11.5703125" style="1243" customWidth="1"/>
    <col min="6157" max="6157" width="16.42578125" style="1243" customWidth="1"/>
    <col min="6158" max="6158" width="17.5703125" style="1243" customWidth="1"/>
    <col min="6159" max="6159" width="10.5703125" style="1243" customWidth="1"/>
    <col min="6160" max="6402" width="9.140625" style="1243"/>
    <col min="6403" max="6403" width="4.5703125" style="1243" customWidth="1"/>
    <col min="6404" max="6404" width="21.85546875" style="1243" customWidth="1"/>
    <col min="6405" max="6405" width="22.140625" style="1243" customWidth="1"/>
    <col min="6406" max="6406" width="11.5703125" style="1243" customWidth="1"/>
    <col min="6407" max="6409" width="3.5703125" style="1243" customWidth="1"/>
    <col min="6410" max="6410" width="9.5703125" style="1243" customWidth="1"/>
    <col min="6411" max="6411" width="18.85546875" style="1243" customWidth="1"/>
    <col min="6412" max="6412" width="11.5703125" style="1243" customWidth="1"/>
    <col min="6413" max="6413" width="16.42578125" style="1243" customWidth="1"/>
    <col min="6414" max="6414" width="17.5703125" style="1243" customWidth="1"/>
    <col min="6415" max="6415" width="10.5703125" style="1243" customWidth="1"/>
    <col min="6416" max="6658" width="9.140625" style="1243"/>
    <col min="6659" max="6659" width="4.5703125" style="1243" customWidth="1"/>
    <col min="6660" max="6660" width="21.85546875" style="1243" customWidth="1"/>
    <col min="6661" max="6661" width="22.140625" style="1243" customWidth="1"/>
    <col min="6662" max="6662" width="11.5703125" style="1243" customWidth="1"/>
    <col min="6663" max="6665" width="3.5703125" style="1243" customWidth="1"/>
    <col min="6666" max="6666" width="9.5703125" style="1243" customWidth="1"/>
    <col min="6667" max="6667" width="18.85546875" style="1243" customWidth="1"/>
    <col min="6668" max="6668" width="11.5703125" style="1243" customWidth="1"/>
    <col min="6669" max="6669" width="16.42578125" style="1243" customWidth="1"/>
    <col min="6670" max="6670" width="17.5703125" style="1243" customWidth="1"/>
    <col min="6671" max="6671" width="10.5703125" style="1243" customWidth="1"/>
    <col min="6672" max="6914" width="9.140625" style="1243"/>
    <col min="6915" max="6915" width="4.5703125" style="1243" customWidth="1"/>
    <col min="6916" max="6916" width="21.85546875" style="1243" customWidth="1"/>
    <col min="6917" max="6917" width="22.140625" style="1243" customWidth="1"/>
    <col min="6918" max="6918" width="11.5703125" style="1243" customWidth="1"/>
    <col min="6919" max="6921" width="3.5703125" style="1243" customWidth="1"/>
    <col min="6922" max="6922" width="9.5703125" style="1243" customWidth="1"/>
    <col min="6923" max="6923" width="18.85546875" style="1243" customWidth="1"/>
    <col min="6924" max="6924" width="11.5703125" style="1243" customWidth="1"/>
    <col min="6925" max="6925" width="16.42578125" style="1243" customWidth="1"/>
    <col min="6926" max="6926" width="17.5703125" style="1243" customWidth="1"/>
    <col min="6927" max="6927" width="10.5703125" style="1243" customWidth="1"/>
    <col min="6928" max="7170" width="9.140625" style="1243"/>
    <col min="7171" max="7171" width="4.5703125" style="1243" customWidth="1"/>
    <col min="7172" max="7172" width="21.85546875" style="1243" customWidth="1"/>
    <col min="7173" max="7173" width="22.140625" style="1243" customWidth="1"/>
    <col min="7174" max="7174" width="11.5703125" style="1243" customWidth="1"/>
    <col min="7175" max="7177" width="3.5703125" style="1243" customWidth="1"/>
    <col min="7178" max="7178" width="9.5703125" style="1243" customWidth="1"/>
    <col min="7179" max="7179" width="18.85546875" style="1243" customWidth="1"/>
    <col min="7180" max="7180" width="11.5703125" style="1243" customWidth="1"/>
    <col min="7181" max="7181" width="16.42578125" style="1243" customWidth="1"/>
    <col min="7182" max="7182" width="17.5703125" style="1243" customWidth="1"/>
    <col min="7183" max="7183" width="10.5703125" style="1243" customWidth="1"/>
    <col min="7184" max="7426" width="9.140625" style="1243"/>
    <col min="7427" max="7427" width="4.5703125" style="1243" customWidth="1"/>
    <col min="7428" max="7428" width="21.85546875" style="1243" customWidth="1"/>
    <col min="7429" max="7429" width="22.140625" style="1243" customWidth="1"/>
    <col min="7430" max="7430" width="11.5703125" style="1243" customWidth="1"/>
    <col min="7431" max="7433" width="3.5703125" style="1243" customWidth="1"/>
    <col min="7434" max="7434" width="9.5703125" style="1243" customWidth="1"/>
    <col min="7435" max="7435" width="18.85546875" style="1243" customWidth="1"/>
    <col min="7436" max="7436" width="11.5703125" style="1243" customWidth="1"/>
    <col min="7437" max="7437" width="16.42578125" style="1243" customWidth="1"/>
    <col min="7438" max="7438" width="17.5703125" style="1243" customWidth="1"/>
    <col min="7439" max="7439" width="10.5703125" style="1243" customWidth="1"/>
    <col min="7440" max="7682" width="9.140625" style="1243"/>
    <col min="7683" max="7683" width="4.5703125" style="1243" customWidth="1"/>
    <col min="7684" max="7684" width="21.85546875" style="1243" customWidth="1"/>
    <col min="7685" max="7685" width="22.140625" style="1243" customWidth="1"/>
    <col min="7686" max="7686" width="11.5703125" style="1243" customWidth="1"/>
    <col min="7687" max="7689" width="3.5703125" style="1243" customWidth="1"/>
    <col min="7690" max="7690" width="9.5703125" style="1243" customWidth="1"/>
    <col min="7691" max="7691" width="18.85546875" style="1243" customWidth="1"/>
    <col min="7692" max="7692" width="11.5703125" style="1243" customWidth="1"/>
    <col min="7693" max="7693" width="16.42578125" style="1243" customWidth="1"/>
    <col min="7694" max="7694" width="17.5703125" style="1243" customWidth="1"/>
    <col min="7695" max="7695" width="10.5703125" style="1243" customWidth="1"/>
    <col min="7696" max="7938" width="9.140625" style="1243"/>
    <col min="7939" max="7939" width="4.5703125" style="1243" customWidth="1"/>
    <col min="7940" max="7940" width="21.85546875" style="1243" customWidth="1"/>
    <col min="7941" max="7941" width="22.140625" style="1243" customWidth="1"/>
    <col min="7942" max="7942" width="11.5703125" style="1243" customWidth="1"/>
    <col min="7943" max="7945" width="3.5703125" style="1243" customWidth="1"/>
    <col min="7946" max="7946" width="9.5703125" style="1243" customWidth="1"/>
    <col min="7947" max="7947" width="18.85546875" style="1243" customWidth="1"/>
    <col min="7948" max="7948" width="11.5703125" style="1243" customWidth="1"/>
    <col min="7949" max="7949" width="16.42578125" style="1243" customWidth="1"/>
    <col min="7950" max="7950" width="17.5703125" style="1243" customWidth="1"/>
    <col min="7951" max="7951" width="10.5703125" style="1243" customWidth="1"/>
    <col min="7952" max="8194" width="9.140625" style="1243"/>
    <col min="8195" max="8195" width="4.5703125" style="1243" customWidth="1"/>
    <col min="8196" max="8196" width="21.85546875" style="1243" customWidth="1"/>
    <col min="8197" max="8197" width="22.140625" style="1243" customWidth="1"/>
    <col min="8198" max="8198" width="11.5703125" style="1243" customWidth="1"/>
    <col min="8199" max="8201" width="3.5703125" style="1243" customWidth="1"/>
    <col min="8202" max="8202" width="9.5703125" style="1243" customWidth="1"/>
    <col min="8203" max="8203" width="18.85546875" style="1243" customWidth="1"/>
    <col min="8204" max="8204" width="11.5703125" style="1243" customWidth="1"/>
    <col min="8205" max="8205" width="16.42578125" style="1243" customWidth="1"/>
    <col min="8206" max="8206" width="17.5703125" style="1243" customWidth="1"/>
    <col min="8207" max="8207" width="10.5703125" style="1243" customWidth="1"/>
    <col min="8208" max="8450" width="9.140625" style="1243"/>
    <col min="8451" max="8451" width="4.5703125" style="1243" customWidth="1"/>
    <col min="8452" max="8452" width="21.85546875" style="1243" customWidth="1"/>
    <col min="8453" max="8453" width="22.140625" style="1243" customWidth="1"/>
    <col min="8454" max="8454" width="11.5703125" style="1243" customWidth="1"/>
    <col min="8455" max="8457" width="3.5703125" style="1243" customWidth="1"/>
    <col min="8458" max="8458" width="9.5703125" style="1243" customWidth="1"/>
    <col min="8459" max="8459" width="18.85546875" style="1243" customWidth="1"/>
    <col min="8460" max="8460" width="11.5703125" style="1243" customWidth="1"/>
    <col min="8461" max="8461" width="16.42578125" style="1243" customWidth="1"/>
    <col min="8462" max="8462" width="17.5703125" style="1243" customWidth="1"/>
    <col min="8463" max="8463" width="10.5703125" style="1243" customWidth="1"/>
    <col min="8464" max="8706" width="9.140625" style="1243"/>
    <col min="8707" max="8707" width="4.5703125" style="1243" customWidth="1"/>
    <col min="8708" max="8708" width="21.85546875" style="1243" customWidth="1"/>
    <col min="8709" max="8709" width="22.140625" style="1243" customWidth="1"/>
    <col min="8710" max="8710" width="11.5703125" style="1243" customWidth="1"/>
    <col min="8711" max="8713" width="3.5703125" style="1243" customWidth="1"/>
    <col min="8714" max="8714" width="9.5703125" style="1243" customWidth="1"/>
    <col min="8715" max="8715" width="18.85546875" style="1243" customWidth="1"/>
    <col min="8716" max="8716" width="11.5703125" style="1243" customWidth="1"/>
    <col min="8717" max="8717" width="16.42578125" style="1243" customWidth="1"/>
    <col min="8718" max="8718" width="17.5703125" style="1243" customWidth="1"/>
    <col min="8719" max="8719" width="10.5703125" style="1243" customWidth="1"/>
    <col min="8720" max="8962" width="9.140625" style="1243"/>
    <col min="8963" max="8963" width="4.5703125" style="1243" customWidth="1"/>
    <col min="8964" max="8964" width="21.85546875" style="1243" customWidth="1"/>
    <col min="8965" max="8965" width="22.140625" style="1243" customWidth="1"/>
    <col min="8966" max="8966" width="11.5703125" style="1243" customWidth="1"/>
    <col min="8967" max="8969" width="3.5703125" style="1243" customWidth="1"/>
    <col min="8970" max="8970" width="9.5703125" style="1243" customWidth="1"/>
    <col min="8971" max="8971" width="18.85546875" style="1243" customWidth="1"/>
    <col min="8972" max="8972" width="11.5703125" style="1243" customWidth="1"/>
    <col min="8973" max="8973" width="16.42578125" style="1243" customWidth="1"/>
    <col min="8974" max="8974" width="17.5703125" style="1243" customWidth="1"/>
    <col min="8975" max="8975" width="10.5703125" style="1243" customWidth="1"/>
    <col min="8976" max="9218" width="9.140625" style="1243"/>
    <col min="9219" max="9219" width="4.5703125" style="1243" customWidth="1"/>
    <col min="9220" max="9220" width="21.85546875" style="1243" customWidth="1"/>
    <col min="9221" max="9221" width="22.140625" style="1243" customWidth="1"/>
    <col min="9222" max="9222" width="11.5703125" style="1243" customWidth="1"/>
    <col min="9223" max="9225" width="3.5703125" style="1243" customWidth="1"/>
    <col min="9226" max="9226" width="9.5703125" style="1243" customWidth="1"/>
    <col min="9227" max="9227" width="18.85546875" style="1243" customWidth="1"/>
    <col min="9228" max="9228" width="11.5703125" style="1243" customWidth="1"/>
    <col min="9229" max="9229" width="16.42578125" style="1243" customWidth="1"/>
    <col min="9230" max="9230" width="17.5703125" style="1243" customWidth="1"/>
    <col min="9231" max="9231" width="10.5703125" style="1243" customWidth="1"/>
    <col min="9232" max="9474" width="9.140625" style="1243"/>
    <col min="9475" max="9475" width="4.5703125" style="1243" customWidth="1"/>
    <col min="9476" max="9476" width="21.85546875" style="1243" customWidth="1"/>
    <col min="9477" max="9477" width="22.140625" style="1243" customWidth="1"/>
    <col min="9478" max="9478" width="11.5703125" style="1243" customWidth="1"/>
    <col min="9479" max="9481" width="3.5703125" style="1243" customWidth="1"/>
    <col min="9482" max="9482" width="9.5703125" style="1243" customWidth="1"/>
    <col min="9483" max="9483" width="18.85546875" style="1243" customWidth="1"/>
    <col min="9484" max="9484" width="11.5703125" style="1243" customWidth="1"/>
    <col min="9485" max="9485" width="16.42578125" style="1243" customWidth="1"/>
    <col min="9486" max="9486" width="17.5703125" style="1243" customWidth="1"/>
    <col min="9487" max="9487" width="10.5703125" style="1243" customWidth="1"/>
    <col min="9488" max="9730" width="9.140625" style="1243"/>
    <col min="9731" max="9731" width="4.5703125" style="1243" customWidth="1"/>
    <col min="9732" max="9732" width="21.85546875" style="1243" customWidth="1"/>
    <col min="9733" max="9733" width="22.140625" style="1243" customWidth="1"/>
    <col min="9734" max="9734" width="11.5703125" style="1243" customWidth="1"/>
    <col min="9735" max="9737" width="3.5703125" style="1243" customWidth="1"/>
    <col min="9738" max="9738" width="9.5703125" style="1243" customWidth="1"/>
    <col min="9739" max="9739" width="18.85546875" style="1243" customWidth="1"/>
    <col min="9740" max="9740" width="11.5703125" style="1243" customWidth="1"/>
    <col min="9741" max="9741" width="16.42578125" style="1243" customWidth="1"/>
    <col min="9742" max="9742" width="17.5703125" style="1243" customWidth="1"/>
    <col min="9743" max="9743" width="10.5703125" style="1243" customWidth="1"/>
    <col min="9744" max="9986" width="9.140625" style="1243"/>
    <col min="9987" max="9987" width="4.5703125" style="1243" customWidth="1"/>
    <col min="9988" max="9988" width="21.85546875" style="1243" customWidth="1"/>
    <col min="9989" max="9989" width="22.140625" style="1243" customWidth="1"/>
    <col min="9990" max="9990" width="11.5703125" style="1243" customWidth="1"/>
    <col min="9991" max="9993" width="3.5703125" style="1243" customWidth="1"/>
    <col min="9994" max="9994" width="9.5703125" style="1243" customWidth="1"/>
    <col min="9995" max="9995" width="18.85546875" style="1243" customWidth="1"/>
    <col min="9996" max="9996" width="11.5703125" style="1243" customWidth="1"/>
    <col min="9997" max="9997" width="16.42578125" style="1243" customWidth="1"/>
    <col min="9998" max="9998" width="17.5703125" style="1243" customWidth="1"/>
    <col min="9999" max="9999" width="10.5703125" style="1243" customWidth="1"/>
    <col min="10000" max="10242" width="9.140625" style="1243"/>
    <col min="10243" max="10243" width="4.5703125" style="1243" customWidth="1"/>
    <col min="10244" max="10244" width="21.85546875" style="1243" customWidth="1"/>
    <col min="10245" max="10245" width="22.140625" style="1243" customWidth="1"/>
    <col min="10246" max="10246" width="11.5703125" style="1243" customWidth="1"/>
    <col min="10247" max="10249" width="3.5703125" style="1243" customWidth="1"/>
    <col min="10250" max="10250" width="9.5703125" style="1243" customWidth="1"/>
    <col min="10251" max="10251" width="18.85546875" style="1243" customWidth="1"/>
    <col min="10252" max="10252" width="11.5703125" style="1243" customWidth="1"/>
    <col min="10253" max="10253" width="16.42578125" style="1243" customWidth="1"/>
    <col min="10254" max="10254" width="17.5703125" style="1243" customWidth="1"/>
    <col min="10255" max="10255" width="10.5703125" style="1243" customWidth="1"/>
    <col min="10256" max="10498" width="9.140625" style="1243"/>
    <col min="10499" max="10499" width="4.5703125" style="1243" customWidth="1"/>
    <col min="10500" max="10500" width="21.85546875" style="1243" customWidth="1"/>
    <col min="10501" max="10501" width="22.140625" style="1243" customWidth="1"/>
    <col min="10502" max="10502" width="11.5703125" style="1243" customWidth="1"/>
    <col min="10503" max="10505" width="3.5703125" style="1243" customWidth="1"/>
    <col min="10506" max="10506" width="9.5703125" style="1243" customWidth="1"/>
    <col min="10507" max="10507" width="18.85546875" style="1243" customWidth="1"/>
    <col min="10508" max="10508" width="11.5703125" style="1243" customWidth="1"/>
    <col min="10509" max="10509" width="16.42578125" style="1243" customWidth="1"/>
    <col min="10510" max="10510" width="17.5703125" style="1243" customWidth="1"/>
    <col min="10511" max="10511" width="10.5703125" style="1243" customWidth="1"/>
    <col min="10512" max="10754" width="9.140625" style="1243"/>
    <col min="10755" max="10755" width="4.5703125" style="1243" customWidth="1"/>
    <col min="10756" max="10756" width="21.85546875" style="1243" customWidth="1"/>
    <col min="10757" max="10757" width="22.140625" style="1243" customWidth="1"/>
    <col min="10758" max="10758" width="11.5703125" style="1243" customWidth="1"/>
    <col min="10759" max="10761" width="3.5703125" style="1243" customWidth="1"/>
    <col min="10762" max="10762" width="9.5703125" style="1243" customWidth="1"/>
    <col min="10763" max="10763" width="18.85546875" style="1243" customWidth="1"/>
    <col min="10764" max="10764" width="11.5703125" style="1243" customWidth="1"/>
    <col min="10765" max="10765" width="16.42578125" style="1243" customWidth="1"/>
    <col min="10766" max="10766" width="17.5703125" style="1243" customWidth="1"/>
    <col min="10767" max="10767" width="10.5703125" style="1243" customWidth="1"/>
    <col min="10768" max="11010" width="9.140625" style="1243"/>
    <col min="11011" max="11011" width="4.5703125" style="1243" customWidth="1"/>
    <col min="11012" max="11012" width="21.85546875" style="1243" customWidth="1"/>
    <col min="11013" max="11013" width="22.140625" style="1243" customWidth="1"/>
    <col min="11014" max="11014" width="11.5703125" style="1243" customWidth="1"/>
    <col min="11015" max="11017" width="3.5703125" style="1243" customWidth="1"/>
    <col min="11018" max="11018" width="9.5703125" style="1243" customWidth="1"/>
    <col min="11019" max="11019" width="18.85546875" style="1243" customWidth="1"/>
    <col min="11020" max="11020" width="11.5703125" style="1243" customWidth="1"/>
    <col min="11021" max="11021" width="16.42578125" style="1243" customWidth="1"/>
    <col min="11022" max="11022" width="17.5703125" style="1243" customWidth="1"/>
    <col min="11023" max="11023" width="10.5703125" style="1243" customWidth="1"/>
    <col min="11024" max="11266" width="9.140625" style="1243"/>
    <col min="11267" max="11267" width="4.5703125" style="1243" customWidth="1"/>
    <col min="11268" max="11268" width="21.85546875" style="1243" customWidth="1"/>
    <col min="11269" max="11269" width="22.140625" style="1243" customWidth="1"/>
    <col min="11270" max="11270" width="11.5703125" style="1243" customWidth="1"/>
    <col min="11271" max="11273" width="3.5703125" style="1243" customWidth="1"/>
    <col min="11274" max="11274" width="9.5703125" style="1243" customWidth="1"/>
    <col min="11275" max="11275" width="18.85546875" style="1243" customWidth="1"/>
    <col min="11276" max="11276" width="11.5703125" style="1243" customWidth="1"/>
    <col min="11277" max="11277" width="16.42578125" style="1243" customWidth="1"/>
    <col min="11278" max="11278" width="17.5703125" style="1243" customWidth="1"/>
    <col min="11279" max="11279" width="10.5703125" style="1243" customWidth="1"/>
    <col min="11280" max="11522" width="9.140625" style="1243"/>
    <col min="11523" max="11523" width="4.5703125" style="1243" customWidth="1"/>
    <col min="11524" max="11524" width="21.85546875" style="1243" customWidth="1"/>
    <col min="11525" max="11525" width="22.140625" style="1243" customWidth="1"/>
    <col min="11526" max="11526" width="11.5703125" style="1243" customWidth="1"/>
    <col min="11527" max="11529" width="3.5703125" style="1243" customWidth="1"/>
    <col min="11530" max="11530" width="9.5703125" style="1243" customWidth="1"/>
    <col min="11531" max="11531" width="18.85546875" style="1243" customWidth="1"/>
    <col min="11532" max="11532" width="11.5703125" style="1243" customWidth="1"/>
    <col min="11533" max="11533" width="16.42578125" style="1243" customWidth="1"/>
    <col min="11534" max="11534" width="17.5703125" style="1243" customWidth="1"/>
    <col min="11535" max="11535" width="10.5703125" style="1243" customWidth="1"/>
    <col min="11536" max="11778" width="9.140625" style="1243"/>
    <col min="11779" max="11779" width="4.5703125" style="1243" customWidth="1"/>
    <col min="11780" max="11780" width="21.85546875" style="1243" customWidth="1"/>
    <col min="11781" max="11781" width="22.140625" style="1243" customWidth="1"/>
    <col min="11782" max="11782" width="11.5703125" style="1243" customWidth="1"/>
    <col min="11783" max="11785" width="3.5703125" style="1243" customWidth="1"/>
    <col min="11786" max="11786" width="9.5703125" style="1243" customWidth="1"/>
    <col min="11787" max="11787" width="18.85546875" style="1243" customWidth="1"/>
    <col min="11788" max="11788" width="11.5703125" style="1243" customWidth="1"/>
    <col min="11789" max="11789" width="16.42578125" style="1243" customWidth="1"/>
    <col min="11790" max="11790" width="17.5703125" style="1243" customWidth="1"/>
    <col min="11791" max="11791" width="10.5703125" style="1243" customWidth="1"/>
    <col min="11792" max="12034" width="9.140625" style="1243"/>
    <col min="12035" max="12035" width="4.5703125" style="1243" customWidth="1"/>
    <col min="12036" max="12036" width="21.85546875" style="1243" customWidth="1"/>
    <col min="12037" max="12037" width="22.140625" style="1243" customWidth="1"/>
    <col min="12038" max="12038" width="11.5703125" style="1243" customWidth="1"/>
    <col min="12039" max="12041" width="3.5703125" style="1243" customWidth="1"/>
    <col min="12042" max="12042" width="9.5703125" style="1243" customWidth="1"/>
    <col min="12043" max="12043" width="18.85546875" style="1243" customWidth="1"/>
    <col min="12044" max="12044" width="11.5703125" style="1243" customWidth="1"/>
    <col min="12045" max="12045" width="16.42578125" style="1243" customWidth="1"/>
    <col min="12046" max="12046" width="17.5703125" style="1243" customWidth="1"/>
    <col min="12047" max="12047" width="10.5703125" style="1243" customWidth="1"/>
    <col min="12048" max="12290" width="9.140625" style="1243"/>
    <col min="12291" max="12291" width="4.5703125" style="1243" customWidth="1"/>
    <col min="12292" max="12292" width="21.85546875" style="1243" customWidth="1"/>
    <col min="12293" max="12293" width="22.140625" style="1243" customWidth="1"/>
    <col min="12294" max="12294" width="11.5703125" style="1243" customWidth="1"/>
    <col min="12295" max="12297" width="3.5703125" style="1243" customWidth="1"/>
    <col min="12298" max="12298" width="9.5703125" style="1243" customWidth="1"/>
    <col min="12299" max="12299" width="18.85546875" style="1243" customWidth="1"/>
    <col min="12300" max="12300" width="11.5703125" style="1243" customWidth="1"/>
    <col min="12301" max="12301" width="16.42578125" style="1243" customWidth="1"/>
    <col min="12302" max="12302" width="17.5703125" style="1243" customWidth="1"/>
    <col min="12303" max="12303" width="10.5703125" style="1243" customWidth="1"/>
    <col min="12304" max="12546" width="9.140625" style="1243"/>
    <col min="12547" max="12547" width="4.5703125" style="1243" customWidth="1"/>
    <col min="12548" max="12548" width="21.85546875" style="1243" customWidth="1"/>
    <col min="12549" max="12549" width="22.140625" style="1243" customWidth="1"/>
    <col min="12550" max="12550" width="11.5703125" style="1243" customWidth="1"/>
    <col min="12551" max="12553" width="3.5703125" style="1243" customWidth="1"/>
    <col min="12554" max="12554" width="9.5703125" style="1243" customWidth="1"/>
    <col min="12555" max="12555" width="18.85546875" style="1243" customWidth="1"/>
    <col min="12556" max="12556" width="11.5703125" style="1243" customWidth="1"/>
    <col min="12557" max="12557" width="16.42578125" style="1243" customWidth="1"/>
    <col min="12558" max="12558" width="17.5703125" style="1243" customWidth="1"/>
    <col min="12559" max="12559" width="10.5703125" style="1243" customWidth="1"/>
    <col min="12560" max="12802" width="9.140625" style="1243"/>
    <col min="12803" max="12803" width="4.5703125" style="1243" customWidth="1"/>
    <col min="12804" max="12804" width="21.85546875" style="1243" customWidth="1"/>
    <col min="12805" max="12805" width="22.140625" style="1243" customWidth="1"/>
    <col min="12806" max="12806" width="11.5703125" style="1243" customWidth="1"/>
    <col min="12807" max="12809" width="3.5703125" style="1243" customWidth="1"/>
    <col min="12810" max="12810" width="9.5703125" style="1243" customWidth="1"/>
    <col min="12811" max="12811" width="18.85546875" style="1243" customWidth="1"/>
    <col min="12812" max="12812" width="11.5703125" style="1243" customWidth="1"/>
    <col min="12813" max="12813" width="16.42578125" style="1243" customWidth="1"/>
    <col min="12814" max="12814" width="17.5703125" style="1243" customWidth="1"/>
    <col min="12815" max="12815" width="10.5703125" style="1243" customWidth="1"/>
    <col min="12816" max="13058" width="9.140625" style="1243"/>
    <col min="13059" max="13059" width="4.5703125" style="1243" customWidth="1"/>
    <col min="13060" max="13060" width="21.85546875" style="1243" customWidth="1"/>
    <col min="13061" max="13061" width="22.140625" style="1243" customWidth="1"/>
    <col min="13062" max="13062" width="11.5703125" style="1243" customWidth="1"/>
    <col min="13063" max="13065" width="3.5703125" style="1243" customWidth="1"/>
    <col min="13066" max="13066" width="9.5703125" style="1243" customWidth="1"/>
    <col min="13067" max="13067" width="18.85546875" style="1243" customWidth="1"/>
    <col min="13068" max="13068" width="11.5703125" style="1243" customWidth="1"/>
    <col min="13069" max="13069" width="16.42578125" style="1243" customWidth="1"/>
    <col min="13070" max="13070" width="17.5703125" style="1243" customWidth="1"/>
    <col min="13071" max="13071" width="10.5703125" style="1243" customWidth="1"/>
    <col min="13072" max="13314" width="9.140625" style="1243"/>
    <col min="13315" max="13315" width="4.5703125" style="1243" customWidth="1"/>
    <col min="13316" max="13316" width="21.85546875" style="1243" customWidth="1"/>
    <col min="13317" max="13317" width="22.140625" style="1243" customWidth="1"/>
    <col min="13318" max="13318" width="11.5703125" style="1243" customWidth="1"/>
    <col min="13319" max="13321" width="3.5703125" style="1243" customWidth="1"/>
    <col min="13322" max="13322" width="9.5703125" style="1243" customWidth="1"/>
    <col min="13323" max="13323" width="18.85546875" style="1243" customWidth="1"/>
    <col min="13324" max="13324" width="11.5703125" style="1243" customWidth="1"/>
    <col min="13325" max="13325" width="16.42578125" style="1243" customWidth="1"/>
    <col min="13326" max="13326" width="17.5703125" style="1243" customWidth="1"/>
    <col min="13327" max="13327" width="10.5703125" style="1243" customWidth="1"/>
    <col min="13328" max="13570" width="9.140625" style="1243"/>
    <col min="13571" max="13571" width="4.5703125" style="1243" customWidth="1"/>
    <col min="13572" max="13572" width="21.85546875" style="1243" customWidth="1"/>
    <col min="13573" max="13573" width="22.140625" style="1243" customWidth="1"/>
    <col min="13574" max="13574" width="11.5703125" style="1243" customWidth="1"/>
    <col min="13575" max="13577" width="3.5703125" style="1243" customWidth="1"/>
    <col min="13578" max="13578" width="9.5703125" style="1243" customWidth="1"/>
    <col min="13579" max="13579" width="18.85546875" style="1243" customWidth="1"/>
    <col min="13580" max="13580" width="11.5703125" style="1243" customWidth="1"/>
    <col min="13581" max="13581" width="16.42578125" style="1243" customWidth="1"/>
    <col min="13582" max="13582" width="17.5703125" style="1243" customWidth="1"/>
    <col min="13583" max="13583" width="10.5703125" style="1243" customWidth="1"/>
    <col min="13584" max="13826" width="9.140625" style="1243"/>
    <col min="13827" max="13827" width="4.5703125" style="1243" customWidth="1"/>
    <col min="13828" max="13828" width="21.85546875" style="1243" customWidth="1"/>
    <col min="13829" max="13829" width="22.140625" style="1243" customWidth="1"/>
    <col min="13830" max="13830" width="11.5703125" style="1243" customWidth="1"/>
    <col min="13831" max="13833" width="3.5703125" style="1243" customWidth="1"/>
    <col min="13834" max="13834" width="9.5703125" style="1243" customWidth="1"/>
    <col min="13835" max="13835" width="18.85546875" style="1243" customWidth="1"/>
    <col min="13836" max="13836" width="11.5703125" style="1243" customWidth="1"/>
    <col min="13837" max="13837" width="16.42578125" style="1243" customWidth="1"/>
    <col min="13838" max="13838" width="17.5703125" style="1243" customWidth="1"/>
    <col min="13839" max="13839" width="10.5703125" style="1243" customWidth="1"/>
    <col min="13840" max="14082" width="9.140625" style="1243"/>
    <col min="14083" max="14083" width="4.5703125" style="1243" customWidth="1"/>
    <col min="14084" max="14084" width="21.85546875" style="1243" customWidth="1"/>
    <col min="14085" max="14085" width="22.140625" style="1243" customWidth="1"/>
    <col min="14086" max="14086" width="11.5703125" style="1243" customWidth="1"/>
    <col min="14087" max="14089" width="3.5703125" style="1243" customWidth="1"/>
    <col min="14090" max="14090" width="9.5703125" style="1243" customWidth="1"/>
    <col min="14091" max="14091" width="18.85546875" style="1243" customWidth="1"/>
    <col min="14092" max="14092" width="11.5703125" style="1243" customWidth="1"/>
    <col min="14093" max="14093" width="16.42578125" style="1243" customWidth="1"/>
    <col min="14094" max="14094" width="17.5703125" style="1243" customWidth="1"/>
    <col min="14095" max="14095" width="10.5703125" style="1243" customWidth="1"/>
    <col min="14096" max="14338" width="9.140625" style="1243"/>
    <col min="14339" max="14339" width="4.5703125" style="1243" customWidth="1"/>
    <col min="14340" max="14340" width="21.85546875" style="1243" customWidth="1"/>
    <col min="14341" max="14341" width="22.140625" style="1243" customWidth="1"/>
    <col min="14342" max="14342" width="11.5703125" style="1243" customWidth="1"/>
    <col min="14343" max="14345" width="3.5703125" style="1243" customWidth="1"/>
    <col min="14346" max="14346" width="9.5703125" style="1243" customWidth="1"/>
    <col min="14347" max="14347" width="18.85546875" style="1243" customWidth="1"/>
    <col min="14348" max="14348" width="11.5703125" style="1243" customWidth="1"/>
    <col min="14349" max="14349" width="16.42578125" style="1243" customWidth="1"/>
    <col min="14350" max="14350" width="17.5703125" style="1243" customWidth="1"/>
    <col min="14351" max="14351" width="10.5703125" style="1243" customWidth="1"/>
    <col min="14352" max="14594" width="9.140625" style="1243"/>
    <col min="14595" max="14595" width="4.5703125" style="1243" customWidth="1"/>
    <col min="14596" max="14596" width="21.85546875" style="1243" customWidth="1"/>
    <col min="14597" max="14597" width="22.140625" style="1243" customWidth="1"/>
    <col min="14598" max="14598" width="11.5703125" style="1243" customWidth="1"/>
    <col min="14599" max="14601" width="3.5703125" style="1243" customWidth="1"/>
    <col min="14602" max="14602" width="9.5703125" style="1243" customWidth="1"/>
    <col min="14603" max="14603" width="18.85546875" style="1243" customWidth="1"/>
    <col min="14604" max="14604" width="11.5703125" style="1243" customWidth="1"/>
    <col min="14605" max="14605" width="16.42578125" style="1243" customWidth="1"/>
    <col min="14606" max="14606" width="17.5703125" style="1243" customWidth="1"/>
    <col min="14607" max="14607" width="10.5703125" style="1243" customWidth="1"/>
    <col min="14608" max="14850" width="9.140625" style="1243"/>
    <col min="14851" max="14851" width="4.5703125" style="1243" customWidth="1"/>
    <col min="14852" max="14852" width="21.85546875" style="1243" customWidth="1"/>
    <col min="14853" max="14853" width="22.140625" style="1243" customWidth="1"/>
    <col min="14854" max="14854" width="11.5703125" style="1243" customWidth="1"/>
    <col min="14855" max="14857" width="3.5703125" style="1243" customWidth="1"/>
    <col min="14858" max="14858" width="9.5703125" style="1243" customWidth="1"/>
    <col min="14859" max="14859" width="18.85546875" style="1243" customWidth="1"/>
    <col min="14860" max="14860" width="11.5703125" style="1243" customWidth="1"/>
    <col min="14861" max="14861" width="16.42578125" style="1243" customWidth="1"/>
    <col min="14862" max="14862" width="17.5703125" style="1243" customWidth="1"/>
    <col min="14863" max="14863" width="10.5703125" style="1243" customWidth="1"/>
    <col min="14864" max="15106" width="9.140625" style="1243"/>
    <col min="15107" max="15107" width="4.5703125" style="1243" customWidth="1"/>
    <col min="15108" max="15108" width="21.85546875" style="1243" customWidth="1"/>
    <col min="15109" max="15109" width="22.140625" style="1243" customWidth="1"/>
    <col min="15110" max="15110" width="11.5703125" style="1243" customWidth="1"/>
    <col min="15111" max="15113" width="3.5703125" style="1243" customWidth="1"/>
    <col min="15114" max="15114" width="9.5703125" style="1243" customWidth="1"/>
    <col min="15115" max="15115" width="18.85546875" style="1243" customWidth="1"/>
    <col min="15116" max="15116" width="11.5703125" style="1243" customWidth="1"/>
    <col min="15117" max="15117" width="16.42578125" style="1243" customWidth="1"/>
    <col min="15118" max="15118" width="17.5703125" style="1243" customWidth="1"/>
    <col min="15119" max="15119" width="10.5703125" style="1243" customWidth="1"/>
    <col min="15120" max="15362" width="9.140625" style="1243"/>
    <col min="15363" max="15363" width="4.5703125" style="1243" customWidth="1"/>
    <col min="15364" max="15364" width="21.85546875" style="1243" customWidth="1"/>
    <col min="15365" max="15365" width="22.140625" style="1243" customWidth="1"/>
    <col min="15366" max="15366" width="11.5703125" style="1243" customWidth="1"/>
    <col min="15367" max="15369" width="3.5703125" style="1243" customWidth="1"/>
    <col min="15370" max="15370" width="9.5703125" style="1243" customWidth="1"/>
    <col min="15371" max="15371" width="18.85546875" style="1243" customWidth="1"/>
    <col min="15372" max="15372" width="11.5703125" style="1243" customWidth="1"/>
    <col min="15373" max="15373" width="16.42578125" style="1243" customWidth="1"/>
    <col min="15374" max="15374" width="17.5703125" style="1243" customWidth="1"/>
    <col min="15375" max="15375" width="10.5703125" style="1243" customWidth="1"/>
    <col min="15376" max="15618" width="9.140625" style="1243"/>
    <col min="15619" max="15619" width="4.5703125" style="1243" customWidth="1"/>
    <col min="15620" max="15620" width="21.85546875" style="1243" customWidth="1"/>
    <col min="15621" max="15621" width="22.140625" style="1243" customWidth="1"/>
    <col min="15622" max="15622" width="11.5703125" style="1243" customWidth="1"/>
    <col min="15623" max="15625" width="3.5703125" style="1243" customWidth="1"/>
    <col min="15626" max="15626" width="9.5703125" style="1243" customWidth="1"/>
    <col min="15627" max="15627" width="18.85546875" style="1243" customWidth="1"/>
    <col min="15628" max="15628" width="11.5703125" style="1243" customWidth="1"/>
    <col min="15629" max="15629" width="16.42578125" style="1243" customWidth="1"/>
    <col min="15630" max="15630" width="17.5703125" style="1243" customWidth="1"/>
    <col min="15631" max="15631" width="10.5703125" style="1243" customWidth="1"/>
    <col min="15632" max="15874" width="9.140625" style="1243"/>
    <col min="15875" max="15875" width="4.5703125" style="1243" customWidth="1"/>
    <col min="15876" max="15876" width="21.85546875" style="1243" customWidth="1"/>
    <col min="15877" max="15877" width="22.140625" style="1243" customWidth="1"/>
    <col min="15878" max="15878" width="11.5703125" style="1243" customWidth="1"/>
    <col min="15879" max="15881" width="3.5703125" style="1243" customWidth="1"/>
    <col min="15882" max="15882" width="9.5703125" style="1243" customWidth="1"/>
    <col min="15883" max="15883" width="18.85546875" style="1243" customWidth="1"/>
    <col min="15884" max="15884" width="11.5703125" style="1243" customWidth="1"/>
    <col min="15885" max="15885" width="16.42578125" style="1243" customWidth="1"/>
    <col min="15886" max="15886" width="17.5703125" style="1243" customWidth="1"/>
    <col min="15887" max="15887" width="10.5703125" style="1243" customWidth="1"/>
    <col min="15888" max="16130" width="9.140625" style="1243"/>
    <col min="16131" max="16131" width="4.5703125" style="1243" customWidth="1"/>
    <col min="16132" max="16132" width="21.85546875" style="1243" customWidth="1"/>
    <col min="16133" max="16133" width="22.140625" style="1243" customWidth="1"/>
    <col min="16134" max="16134" width="11.5703125" style="1243" customWidth="1"/>
    <col min="16135" max="16137" width="3.5703125" style="1243" customWidth="1"/>
    <col min="16138" max="16138" width="9.5703125" style="1243" customWidth="1"/>
    <col min="16139" max="16139" width="18.85546875" style="1243" customWidth="1"/>
    <col min="16140" max="16140" width="11.5703125" style="1243" customWidth="1"/>
    <col min="16141" max="16141" width="16.42578125" style="1243" customWidth="1"/>
    <col min="16142" max="16142" width="17.5703125" style="1243" customWidth="1"/>
    <col min="16143" max="16143" width="10.5703125" style="1243" customWidth="1"/>
    <col min="16144" max="16384" width="9.140625" style="1243"/>
  </cols>
  <sheetData>
    <row r="1" spans="1:29" s="1270" customFormat="1">
      <c r="A1" s="2841" t="s">
        <v>1592</v>
      </c>
      <c r="B1" s="2841"/>
      <c r="C1" s="2841"/>
      <c r="D1" s="2841"/>
      <c r="E1" s="2841"/>
      <c r="F1" s="2841"/>
      <c r="G1" s="2841"/>
      <c r="H1" s="2841"/>
      <c r="I1" s="2841"/>
      <c r="J1" s="2841"/>
      <c r="K1" s="2841"/>
      <c r="L1" s="2841"/>
      <c r="M1" s="2841"/>
      <c r="N1" s="2841"/>
      <c r="O1" s="1264"/>
      <c r="P1" s="1264"/>
      <c r="Q1" s="1266"/>
      <c r="R1" s="1267"/>
      <c r="S1" s="1268"/>
      <c r="T1" s="1269"/>
      <c r="U1" s="1269"/>
      <c r="V1" s="1269"/>
      <c r="W1" s="1269"/>
      <c r="X1" s="1269"/>
      <c r="Y1" s="1269"/>
      <c r="Z1" s="1269"/>
      <c r="AA1" s="1269"/>
      <c r="AB1" s="1269"/>
      <c r="AC1" s="1269"/>
    </row>
    <row r="2" spans="1:29" s="1270" customFormat="1">
      <c r="A2" s="2841" t="s">
        <v>1204</v>
      </c>
      <c r="B2" s="2841"/>
      <c r="C2" s="2841"/>
      <c r="D2" s="2841"/>
      <c r="E2" s="2841"/>
      <c r="F2" s="2841"/>
      <c r="G2" s="2841"/>
      <c r="H2" s="2841"/>
      <c r="I2" s="2841"/>
      <c r="J2" s="2841"/>
      <c r="K2" s="2841"/>
      <c r="L2" s="2841"/>
      <c r="M2" s="2841"/>
      <c r="N2" s="2841"/>
      <c r="O2" s="1264"/>
      <c r="P2" s="1264"/>
      <c r="Q2" s="1266"/>
      <c r="R2" s="1267"/>
      <c r="S2" s="1268"/>
      <c r="T2" s="1269"/>
      <c r="U2" s="1269"/>
      <c r="V2" s="1269"/>
      <c r="W2" s="1269"/>
      <c r="X2" s="1269"/>
      <c r="Y2" s="1269"/>
      <c r="Z2" s="1269"/>
      <c r="AA2" s="1269"/>
      <c r="AB2" s="1269"/>
      <c r="AC2" s="1269"/>
    </row>
    <row r="3" spans="1:29">
      <c r="A3" s="1271" t="s">
        <v>51</v>
      </c>
      <c r="C3" s="1242" t="s">
        <v>46</v>
      </c>
      <c r="D3" s="1243" t="s">
        <v>1205</v>
      </c>
      <c r="Q3" s="1266"/>
      <c r="R3" s="1267"/>
      <c r="S3" s="1266"/>
      <c r="T3" s="1272"/>
      <c r="U3" s="1272"/>
      <c r="V3" s="1272"/>
      <c r="W3" s="1272"/>
      <c r="X3" s="1272"/>
      <c r="Y3" s="1272"/>
      <c r="Z3" s="1272"/>
      <c r="AA3" s="1272"/>
      <c r="AB3" s="1272"/>
      <c r="AC3" s="1272"/>
    </row>
    <row r="4" spans="1:29">
      <c r="A4" s="1273" t="s">
        <v>52</v>
      </c>
      <c r="B4" s="1274"/>
      <c r="C4" s="1242" t="s">
        <v>46</v>
      </c>
      <c r="D4" s="1243" t="s">
        <v>203</v>
      </c>
      <c r="Q4" s="1266"/>
      <c r="R4" s="1267"/>
      <c r="S4" s="1266"/>
      <c r="T4" s="1272"/>
      <c r="U4" s="1272"/>
      <c r="V4" s="1272"/>
      <c r="W4" s="1272"/>
      <c r="X4" s="1272"/>
      <c r="Y4" s="1272"/>
      <c r="Z4" s="1272"/>
      <c r="AA4" s="1272"/>
      <c r="AB4" s="1272"/>
      <c r="AC4" s="1272"/>
    </row>
    <row r="5" spans="1:29">
      <c r="A5" s="1273" t="s">
        <v>53</v>
      </c>
      <c r="B5" s="1274"/>
      <c r="C5" s="1242" t="s">
        <v>46</v>
      </c>
      <c r="D5" s="1243" t="s">
        <v>54</v>
      </c>
      <c r="I5" s="1273"/>
      <c r="Q5" s="1266"/>
      <c r="R5" s="1267"/>
      <c r="S5" s="1266"/>
      <c r="T5" s="1272"/>
      <c r="U5" s="1272"/>
      <c r="V5" s="1272"/>
      <c r="W5" s="1272"/>
      <c r="X5" s="1272"/>
      <c r="Y5" s="1272"/>
      <c r="Z5" s="1272"/>
      <c r="AA5" s="1272"/>
      <c r="AB5" s="1272"/>
      <c r="AC5" s="1272"/>
    </row>
    <row r="6" spans="1:29">
      <c r="A6" s="1273" t="s">
        <v>55</v>
      </c>
      <c r="B6" s="1274"/>
      <c r="C6" s="1242" t="s">
        <v>46</v>
      </c>
      <c r="D6" s="1243" t="s">
        <v>56</v>
      </c>
      <c r="I6" s="1273"/>
      <c r="Q6" s="1266"/>
      <c r="R6" s="1267"/>
      <c r="S6" s="1266"/>
      <c r="T6" s="1272"/>
      <c r="U6" s="1272"/>
      <c r="V6" s="1272"/>
      <c r="W6" s="1272"/>
      <c r="X6" s="1272"/>
      <c r="Y6" s="1272"/>
      <c r="Z6" s="1272"/>
      <c r="AA6" s="1272"/>
      <c r="AB6" s="1272"/>
      <c r="AC6" s="1272"/>
    </row>
    <row r="7" spans="1:29" ht="18.75" thickBot="1">
      <c r="Q7" s="1266"/>
      <c r="R7" s="1266"/>
      <c r="S7" s="1266"/>
      <c r="T7" s="1275"/>
      <c r="U7" s="1275"/>
      <c r="V7" s="1275"/>
      <c r="W7" s="1266"/>
      <c r="X7" s="1272"/>
      <c r="Y7" s="1272"/>
      <c r="Z7" s="1272"/>
      <c r="AA7" s="1272"/>
      <c r="AB7" s="1272"/>
      <c r="AC7" s="1272"/>
    </row>
    <row r="8" spans="1:29">
      <c r="A8" s="2842" t="s">
        <v>57</v>
      </c>
      <c r="B8" s="2845" t="s">
        <v>58</v>
      </c>
      <c r="C8" s="2846"/>
      <c r="D8" s="2847"/>
      <c r="E8" s="2851" t="s">
        <v>59</v>
      </c>
      <c r="F8" s="2854" t="s">
        <v>60</v>
      </c>
      <c r="G8" s="2854" t="s">
        <v>61</v>
      </c>
      <c r="H8" s="2851" t="s">
        <v>62</v>
      </c>
      <c r="I8" s="2845" t="s">
        <v>63</v>
      </c>
      <c r="J8" s="2847"/>
      <c r="K8" s="2845" t="s">
        <v>64</v>
      </c>
      <c r="L8" s="2846"/>
      <c r="M8" s="2846"/>
      <c r="N8" s="2857" t="s">
        <v>65</v>
      </c>
      <c r="O8" s="1276"/>
      <c r="P8" s="1276"/>
      <c r="Q8" s="1272"/>
      <c r="R8" s="1266"/>
      <c r="S8" s="1266"/>
      <c r="T8" s="1266"/>
      <c r="U8" s="1266"/>
      <c r="V8" s="1266"/>
      <c r="W8" s="1266"/>
      <c r="X8" s="1272"/>
      <c r="Y8" s="1272"/>
      <c r="Z8" s="1272"/>
      <c r="AA8" s="1272"/>
      <c r="AB8" s="1272"/>
      <c r="AC8" s="1272"/>
    </row>
    <row r="9" spans="1:29">
      <c r="A9" s="2843"/>
      <c r="B9" s="2848"/>
      <c r="C9" s="2849"/>
      <c r="D9" s="2850"/>
      <c r="E9" s="2852"/>
      <c r="F9" s="2855"/>
      <c r="G9" s="2855"/>
      <c r="H9" s="2852"/>
      <c r="I9" s="2848"/>
      <c r="J9" s="2850"/>
      <c r="K9" s="2848"/>
      <c r="L9" s="2849"/>
      <c r="M9" s="2849"/>
      <c r="N9" s="2858"/>
      <c r="O9" s="1276"/>
      <c r="P9" s="1276"/>
      <c r="Q9" s="1272"/>
      <c r="R9" s="1266"/>
      <c r="S9" s="1266"/>
      <c r="T9" s="1266"/>
      <c r="U9" s="1266"/>
      <c r="V9" s="1266"/>
      <c r="W9" s="1266"/>
      <c r="X9" s="1272"/>
      <c r="Y9" s="1272"/>
      <c r="Z9" s="1272"/>
      <c r="AA9" s="1272"/>
      <c r="AB9" s="1272"/>
      <c r="AC9" s="1272"/>
    </row>
    <row r="10" spans="1:29" ht="126.75" thickBot="1">
      <c r="A10" s="2844"/>
      <c r="B10" s="1277" t="s">
        <v>66</v>
      </c>
      <c r="C10" s="2527"/>
      <c r="D10" s="1277" t="s">
        <v>67</v>
      </c>
      <c r="E10" s="2853"/>
      <c r="F10" s="2856"/>
      <c r="G10" s="2856"/>
      <c r="H10" s="2853"/>
      <c r="I10" s="1278" t="s">
        <v>68</v>
      </c>
      <c r="J10" s="2528" t="s">
        <v>47</v>
      </c>
      <c r="K10" s="1279" t="s">
        <v>69</v>
      </c>
      <c r="L10" s="1279" t="s">
        <v>70</v>
      </c>
      <c r="M10" s="1279" t="s">
        <v>71</v>
      </c>
      <c r="N10" s="2859"/>
      <c r="O10" s="1276"/>
      <c r="P10" s="1276"/>
      <c r="Q10" s="1272"/>
      <c r="R10" s="1280"/>
      <c r="S10" s="1280"/>
      <c r="T10" s="1281"/>
      <c r="U10" s="1281"/>
      <c r="V10" s="1281"/>
      <c r="W10" s="1272"/>
      <c r="X10" s="1272"/>
      <c r="Y10" s="1272"/>
      <c r="Z10" s="1272"/>
      <c r="AA10" s="1272"/>
      <c r="AB10" s="1272"/>
      <c r="AC10" s="1272"/>
    </row>
    <row r="11" spans="1:29" s="1289" customFormat="1" ht="19.5" thickBot="1">
      <c r="A11" s="1282" t="s">
        <v>72</v>
      </c>
      <c r="B11" s="1283" t="s">
        <v>73</v>
      </c>
      <c r="C11" s="1283" t="s">
        <v>74</v>
      </c>
      <c r="D11" s="1283" t="s">
        <v>75</v>
      </c>
      <c r="E11" s="1283" t="s">
        <v>76</v>
      </c>
      <c r="F11" s="1283" t="s">
        <v>77</v>
      </c>
      <c r="G11" s="1283" t="s">
        <v>78</v>
      </c>
      <c r="H11" s="1283" t="s">
        <v>79</v>
      </c>
      <c r="I11" s="1283" t="s">
        <v>80</v>
      </c>
      <c r="J11" s="1283" t="s">
        <v>81</v>
      </c>
      <c r="K11" s="1284" t="s">
        <v>82</v>
      </c>
      <c r="L11" s="1284" t="s">
        <v>83</v>
      </c>
      <c r="M11" s="1284" t="s">
        <v>84</v>
      </c>
      <c r="N11" s="1285" t="s">
        <v>85</v>
      </c>
      <c r="O11" s="1286"/>
      <c r="P11" s="1286"/>
      <c r="Q11" s="1287"/>
      <c r="R11" s="1288"/>
      <c r="S11" s="1288"/>
      <c r="T11" s="1287"/>
      <c r="U11" s="1287"/>
      <c r="V11" s="1287"/>
      <c r="W11" s="1287"/>
      <c r="X11" s="1287"/>
      <c r="Y11" s="1287"/>
      <c r="Z11" s="1287"/>
      <c r="AA11" s="1287"/>
      <c r="AB11" s="1287"/>
      <c r="AC11" s="1287"/>
    </row>
    <row r="12" spans="1:29" ht="30.75" customHeight="1">
      <c r="A12" s="2824">
        <v>1</v>
      </c>
      <c r="B12" s="2860" t="s">
        <v>86</v>
      </c>
      <c r="C12" s="2544" t="s">
        <v>115</v>
      </c>
      <c r="D12" s="2545" t="s">
        <v>548</v>
      </c>
      <c r="E12" s="2546" t="s">
        <v>1206</v>
      </c>
      <c r="F12" s="2547" t="s">
        <v>235</v>
      </c>
      <c r="G12" s="2548" t="s">
        <v>552</v>
      </c>
      <c r="H12" s="2547">
        <v>2020</v>
      </c>
      <c r="I12" s="2549">
        <f>'Pnj APBDES'!L69</f>
        <v>43250000</v>
      </c>
      <c r="J12" s="2546" t="s">
        <v>23</v>
      </c>
      <c r="K12" s="1290" t="s">
        <v>246</v>
      </c>
      <c r="L12" s="1291"/>
      <c r="M12" s="1291"/>
      <c r="N12" s="1292" t="s">
        <v>369</v>
      </c>
      <c r="O12" s="1293"/>
      <c r="P12" s="1293"/>
      <c r="Q12" s="1272"/>
      <c r="R12" s="1266"/>
      <c r="S12" s="1266"/>
      <c r="T12" s="1266"/>
      <c r="U12" s="1266"/>
      <c r="V12" s="1266"/>
      <c r="W12" s="1272"/>
      <c r="X12" s="1272"/>
      <c r="Y12" s="1272"/>
      <c r="Z12" s="1272"/>
      <c r="AA12" s="1272"/>
      <c r="AB12" s="1272"/>
      <c r="AC12" s="1272"/>
    </row>
    <row r="13" spans="1:29" ht="30.75" customHeight="1">
      <c r="A13" s="2825"/>
      <c r="B13" s="2829"/>
      <c r="C13" s="2550" t="s">
        <v>117</v>
      </c>
      <c r="D13" s="2551" t="s">
        <v>547</v>
      </c>
      <c r="E13" s="2552" t="s">
        <v>1206</v>
      </c>
      <c r="F13" s="2552" t="s">
        <v>235</v>
      </c>
      <c r="G13" s="2553" t="s">
        <v>88</v>
      </c>
      <c r="H13" s="2554">
        <v>2020</v>
      </c>
      <c r="I13" s="2555">
        <f>'1.2 Siltun Prngkt '!G33</f>
        <v>280110000</v>
      </c>
      <c r="J13" s="2552" t="s">
        <v>23</v>
      </c>
      <c r="K13" s="1297" t="s">
        <v>246</v>
      </c>
      <c r="L13" s="1298"/>
      <c r="M13" s="1298"/>
      <c r="N13" s="1299" t="s">
        <v>369</v>
      </c>
      <c r="O13" s="1293"/>
      <c r="P13" s="1293"/>
      <c r="Q13" s="1272"/>
      <c r="R13" s="1266"/>
      <c r="S13" s="1266" t="s">
        <v>23</v>
      </c>
      <c r="T13" s="2035">
        <v>0.4</v>
      </c>
      <c r="U13" s="2035">
        <v>0.4</v>
      </c>
      <c r="V13" s="2035">
        <v>0.2</v>
      </c>
      <c r="W13" s="1272"/>
      <c r="X13" s="1272"/>
      <c r="Y13" s="1272"/>
      <c r="Z13" s="1272"/>
      <c r="AA13" s="1272"/>
      <c r="AB13" s="1272"/>
      <c r="AC13" s="1272"/>
    </row>
    <row r="14" spans="1:29" ht="30.75" customHeight="1">
      <c r="A14" s="2825"/>
      <c r="B14" s="2829"/>
      <c r="C14" s="2550" t="s">
        <v>118</v>
      </c>
      <c r="D14" s="2551" t="s">
        <v>546</v>
      </c>
      <c r="E14" s="2552" t="s">
        <v>1206</v>
      </c>
      <c r="F14" s="2552" t="s">
        <v>235</v>
      </c>
      <c r="G14" s="2553" t="s">
        <v>553</v>
      </c>
      <c r="H14" s="2554">
        <v>2020</v>
      </c>
      <c r="I14" s="2555">
        <f>'1.3 Bpjs '!D11</f>
        <v>29676000</v>
      </c>
      <c r="J14" s="2552" t="s">
        <v>23</v>
      </c>
      <c r="K14" s="1297" t="s">
        <v>246</v>
      </c>
      <c r="L14" s="1298"/>
      <c r="M14" s="1298"/>
      <c r="N14" s="1299" t="s">
        <v>369</v>
      </c>
      <c r="O14" s="1293"/>
      <c r="P14" s="1293"/>
      <c r="Q14" s="1272"/>
      <c r="R14" s="1266"/>
      <c r="S14" s="1266">
        <f>'Pnj APBDES'!T13</f>
        <v>597993000</v>
      </c>
      <c r="T14" s="1266">
        <f>$S14*T13</f>
        <v>239197200</v>
      </c>
      <c r="U14" s="1266">
        <f t="shared" ref="U14:V14" si="0">$S14*U13</f>
        <v>239197200</v>
      </c>
      <c r="V14" s="1266">
        <f t="shared" si="0"/>
        <v>119598600</v>
      </c>
      <c r="W14" s="1272"/>
      <c r="X14" s="1272"/>
      <c r="Y14" s="1272"/>
      <c r="Z14" s="1272"/>
      <c r="AA14" s="1272"/>
      <c r="AB14" s="1272"/>
      <c r="AC14" s="1272"/>
    </row>
    <row r="15" spans="1:29" ht="46.5" customHeight="1">
      <c r="A15" s="2825"/>
      <c r="B15" s="2829"/>
      <c r="C15" s="2550" t="s">
        <v>119</v>
      </c>
      <c r="D15" s="2551" t="s">
        <v>1455</v>
      </c>
      <c r="E15" s="2552" t="s">
        <v>1206</v>
      </c>
      <c r="F15" s="2552" t="s">
        <v>235</v>
      </c>
      <c r="G15" s="2553" t="s">
        <v>554</v>
      </c>
      <c r="H15" s="2554">
        <v>2020</v>
      </c>
      <c r="I15" s="2555">
        <f>'Pnj APBDES'!L90</f>
        <v>57143151</v>
      </c>
      <c r="J15" s="2552" t="s">
        <v>23</v>
      </c>
      <c r="K15" s="1297" t="s">
        <v>246</v>
      </c>
      <c r="L15" s="1298"/>
      <c r="M15" s="1298"/>
      <c r="N15" s="1300" t="s">
        <v>562</v>
      </c>
      <c r="O15" s="1293"/>
      <c r="P15" s="1293"/>
      <c r="Q15" s="1275"/>
      <c r="R15" s="1266"/>
      <c r="T15" s="1266"/>
      <c r="U15" s="1266"/>
      <c r="V15" s="1266"/>
      <c r="W15" s="1272"/>
      <c r="X15" s="1272"/>
      <c r="Y15" s="1272"/>
      <c r="Z15" s="1272"/>
      <c r="AA15" s="1272"/>
      <c r="AB15" s="1272"/>
      <c r="AC15" s="1272"/>
    </row>
    <row r="16" spans="1:29">
      <c r="A16" s="2825"/>
      <c r="B16" s="2829"/>
      <c r="C16" s="2550" t="s">
        <v>120</v>
      </c>
      <c r="D16" s="2551" t="s">
        <v>545</v>
      </c>
      <c r="E16" s="2552" t="s">
        <v>1206</v>
      </c>
      <c r="F16" s="2552" t="s">
        <v>235</v>
      </c>
      <c r="G16" s="2556" t="s">
        <v>89</v>
      </c>
      <c r="H16" s="2554">
        <v>2020</v>
      </c>
      <c r="I16" s="2555">
        <f>'1.5 BPD'!D9</f>
        <v>58800000</v>
      </c>
      <c r="J16" s="2552" t="s">
        <v>23</v>
      </c>
      <c r="K16" s="1297" t="s">
        <v>246</v>
      </c>
      <c r="L16" s="1298"/>
      <c r="M16" s="1298"/>
      <c r="N16" s="1299" t="s">
        <v>369</v>
      </c>
      <c r="O16" s="1293"/>
      <c r="P16" s="1293"/>
      <c r="Q16" s="1272"/>
      <c r="R16" s="1266"/>
      <c r="S16" s="1266" t="s">
        <v>1465</v>
      </c>
      <c r="T16" s="2035">
        <v>0.6</v>
      </c>
      <c r="U16" s="2035">
        <v>0.4</v>
      </c>
      <c r="V16" s="1266"/>
      <c r="W16" s="1272"/>
      <c r="X16" s="1272"/>
      <c r="Y16" s="1272"/>
      <c r="Z16" s="1272"/>
      <c r="AA16" s="1272"/>
      <c r="AB16" s="1272"/>
      <c r="AC16" s="1272"/>
    </row>
    <row r="17" spans="1:29" ht="30.75" customHeight="1">
      <c r="A17" s="2825"/>
      <c r="B17" s="2829"/>
      <c r="C17" s="2550" t="s">
        <v>134</v>
      </c>
      <c r="D17" s="2551" t="s">
        <v>601</v>
      </c>
      <c r="E17" s="2552" t="s">
        <v>1206</v>
      </c>
      <c r="F17" s="2552" t="s">
        <v>235</v>
      </c>
      <c r="G17" s="2556" t="s">
        <v>555</v>
      </c>
      <c r="H17" s="2554">
        <v>2020</v>
      </c>
      <c r="I17" s="2555">
        <f>'1.7 RT'!D10</f>
        <v>76800000</v>
      </c>
      <c r="J17" s="2552" t="s">
        <v>23</v>
      </c>
      <c r="K17" s="1297" t="s">
        <v>246</v>
      </c>
      <c r="L17" s="1298"/>
      <c r="M17" s="1298"/>
      <c r="N17" s="1299" t="s">
        <v>369</v>
      </c>
      <c r="O17" s="1293"/>
      <c r="P17" s="1293"/>
      <c r="Q17" s="1272"/>
      <c r="R17" s="1266"/>
      <c r="S17" s="1266"/>
      <c r="T17" s="1266"/>
      <c r="U17" s="1266"/>
      <c r="V17" s="1266"/>
      <c r="W17" s="1272"/>
      <c r="X17" s="1272"/>
      <c r="Y17" s="1272"/>
      <c r="Z17" s="1272"/>
      <c r="AA17" s="1272"/>
      <c r="AB17" s="1272"/>
      <c r="AC17" s="1272"/>
    </row>
    <row r="18" spans="1:29" ht="36">
      <c r="A18" s="2825"/>
      <c r="B18" s="2829"/>
      <c r="C18" s="2550" t="s">
        <v>137</v>
      </c>
      <c r="D18" s="2551" t="s">
        <v>539</v>
      </c>
      <c r="E18" s="2552" t="s">
        <v>1206</v>
      </c>
      <c r="F18" s="2552" t="s">
        <v>235</v>
      </c>
      <c r="G18" s="2556" t="s">
        <v>561</v>
      </c>
      <c r="H18" s="2554">
        <v>2020</v>
      </c>
      <c r="I18" s="2555">
        <f>'1.11 Aset'!D11</f>
        <v>2700000</v>
      </c>
      <c r="J18" s="2552" t="s">
        <v>240</v>
      </c>
      <c r="K18" s="1297" t="s">
        <v>246</v>
      </c>
      <c r="L18" s="1298"/>
      <c r="M18" s="1298"/>
      <c r="N18" s="1302" t="s">
        <v>562</v>
      </c>
      <c r="O18" s="1293"/>
      <c r="P18" s="1293"/>
      <c r="Q18" s="1272"/>
      <c r="R18" s="1266"/>
      <c r="S18" s="1266"/>
      <c r="T18" s="1266"/>
      <c r="U18" s="1266"/>
      <c r="V18" s="1266"/>
      <c r="W18" s="1272"/>
      <c r="X18" s="1272"/>
      <c r="Y18" s="1272"/>
      <c r="Z18" s="1272"/>
      <c r="AA18" s="1272"/>
      <c r="AB18" s="1272"/>
      <c r="AC18" s="1272"/>
    </row>
    <row r="19" spans="1:29" ht="36">
      <c r="A19" s="2825"/>
      <c r="B19" s="2829"/>
      <c r="C19" s="2550" t="s">
        <v>139</v>
      </c>
      <c r="D19" s="2551" t="s">
        <v>1203</v>
      </c>
      <c r="E19" s="2552" t="s">
        <v>1206</v>
      </c>
      <c r="F19" s="2552" t="s">
        <v>235</v>
      </c>
      <c r="G19" s="2556" t="s">
        <v>1202</v>
      </c>
      <c r="H19" s="2554">
        <v>2020</v>
      </c>
      <c r="I19" s="2555">
        <f>'Pnj APBDES'!K154</f>
        <v>5649000</v>
      </c>
      <c r="J19" s="2552" t="s">
        <v>23</v>
      </c>
      <c r="K19" s="1297" t="s">
        <v>246</v>
      </c>
      <c r="L19" s="1298"/>
      <c r="M19" s="1298"/>
      <c r="N19" s="1302" t="s">
        <v>562</v>
      </c>
      <c r="O19" s="1293"/>
      <c r="P19" s="1293"/>
      <c r="Q19" s="1272"/>
      <c r="R19" s="1266"/>
      <c r="S19" s="1266"/>
      <c r="T19" s="1266"/>
      <c r="U19" s="1266"/>
      <c r="V19" s="1266"/>
      <c r="W19" s="1272"/>
      <c r="X19" s="1272"/>
      <c r="Y19" s="1272"/>
      <c r="Z19" s="1272"/>
      <c r="AA19" s="1272"/>
      <c r="AB19" s="1272"/>
      <c r="AC19" s="1272"/>
    </row>
    <row r="20" spans="1:29" ht="36">
      <c r="A20" s="2825"/>
      <c r="B20" s="2829"/>
      <c r="C20" s="2550" t="s">
        <v>140</v>
      </c>
      <c r="D20" s="2551" t="s">
        <v>530</v>
      </c>
      <c r="E20" s="2552" t="s">
        <v>1206</v>
      </c>
      <c r="F20" s="2552" t="s">
        <v>235</v>
      </c>
      <c r="G20" s="2556" t="s">
        <v>567</v>
      </c>
      <c r="H20" s="2554">
        <v>2020</v>
      </c>
      <c r="I20" s="2555">
        <f>'Pnj APBDES'!L182</f>
        <v>1385000</v>
      </c>
      <c r="J20" s="2552" t="s">
        <v>330</v>
      </c>
      <c r="K20" s="1297" t="s">
        <v>246</v>
      </c>
      <c r="L20" s="1298"/>
      <c r="M20" s="1298"/>
      <c r="N20" s="1302" t="s">
        <v>562</v>
      </c>
      <c r="O20" s="1293"/>
      <c r="P20" s="1293"/>
      <c r="Q20" s="1272"/>
      <c r="R20" s="1266"/>
      <c r="S20" s="1266"/>
      <c r="T20" s="1266"/>
      <c r="U20" s="1266"/>
      <c r="V20" s="1266"/>
      <c r="W20" s="1272"/>
      <c r="X20" s="1272"/>
      <c r="Y20" s="1272"/>
      <c r="Z20" s="1272"/>
      <c r="AA20" s="1272"/>
      <c r="AB20" s="1272"/>
      <c r="AC20" s="1272"/>
    </row>
    <row r="21" spans="1:29" ht="30.75" customHeight="1">
      <c r="A21" s="2825"/>
      <c r="B21" s="2861"/>
      <c r="C21" s="2557" t="s">
        <v>142</v>
      </c>
      <c r="D21" s="2558" t="s">
        <v>1456</v>
      </c>
      <c r="E21" s="2541" t="s">
        <v>1206</v>
      </c>
      <c r="F21" s="2541" t="s">
        <v>235</v>
      </c>
      <c r="G21" s="2559" t="s">
        <v>1045</v>
      </c>
      <c r="H21" s="2560">
        <v>2020</v>
      </c>
      <c r="I21" s="2561">
        <f>'1.14 TKD'!H22</f>
        <v>8600000</v>
      </c>
      <c r="J21" s="2541" t="s">
        <v>240</v>
      </c>
      <c r="K21" s="1297" t="s">
        <v>246</v>
      </c>
      <c r="L21" s="1298"/>
      <c r="M21" s="1298"/>
      <c r="N21" s="1302" t="s">
        <v>1022</v>
      </c>
      <c r="O21" s="1293"/>
      <c r="P21" s="1293"/>
      <c r="Q21" s="1272"/>
      <c r="R21" s="1266"/>
      <c r="S21" s="1266"/>
      <c r="T21" s="1266"/>
      <c r="U21" s="1266"/>
      <c r="V21" s="1266"/>
      <c r="W21" s="1272"/>
      <c r="X21" s="1272"/>
      <c r="Y21" s="1272"/>
      <c r="Z21" s="1272"/>
      <c r="AA21" s="1272"/>
      <c r="AB21" s="1272"/>
      <c r="AC21" s="1272"/>
    </row>
    <row r="22" spans="1:29" ht="30.75" customHeight="1">
      <c r="A22" s="2818" t="s">
        <v>231</v>
      </c>
      <c r="B22" s="2819"/>
      <c r="C22" s="2819"/>
      <c r="D22" s="2819"/>
      <c r="E22" s="2819"/>
      <c r="F22" s="2819"/>
      <c r="G22" s="2819"/>
      <c r="H22" s="2819"/>
      <c r="I22" s="1303">
        <f>SUM(I12:I21)</f>
        <v>564113151</v>
      </c>
      <c r="J22" s="2542"/>
      <c r="K22" s="1304"/>
      <c r="L22" s="1305"/>
      <c r="M22" s="1305"/>
      <c r="N22" s="1306"/>
      <c r="O22" s="1293"/>
      <c r="P22" s="1293"/>
      <c r="Q22" s="1272" t="b">
        <f>I22='Pnj APBDES'!K67</f>
        <v>0</v>
      </c>
      <c r="R22" s="1266">
        <f>I22-'Pnj APBDES'!L67</f>
        <v>0</v>
      </c>
      <c r="S22" s="1266"/>
      <c r="T22" s="1266"/>
      <c r="U22" s="1266"/>
      <c r="V22" s="1266"/>
      <c r="W22" s="1272"/>
      <c r="X22" s="1272"/>
      <c r="Y22" s="1272"/>
      <c r="Z22" s="1272"/>
      <c r="AA22" s="1272"/>
      <c r="AB22" s="1272"/>
      <c r="AC22" s="1272"/>
    </row>
    <row r="23" spans="1:29" ht="54">
      <c r="A23" s="2830">
        <v>2</v>
      </c>
      <c r="B23" s="2828" t="s">
        <v>91</v>
      </c>
      <c r="C23" s="2538">
        <v>2.1</v>
      </c>
      <c r="D23" s="2562" t="s">
        <v>1457</v>
      </c>
      <c r="E23" s="2563" t="s">
        <v>1206</v>
      </c>
      <c r="F23" s="2563" t="s">
        <v>235</v>
      </c>
      <c r="G23" s="2564" t="s">
        <v>982</v>
      </c>
      <c r="H23" s="2565">
        <v>2020</v>
      </c>
      <c r="I23" s="2566">
        <f>'Pnj APBDES'!K196</f>
        <v>22800000</v>
      </c>
      <c r="J23" s="2563" t="s">
        <v>22</v>
      </c>
      <c r="K23" s="1309" t="s">
        <v>246</v>
      </c>
      <c r="L23" s="1310"/>
      <c r="M23" s="1310"/>
      <c r="N23" s="1311" t="s">
        <v>1022</v>
      </c>
      <c r="O23" s="1293"/>
      <c r="P23" s="1293"/>
      <c r="Q23" s="1272"/>
      <c r="R23" s="1266"/>
      <c r="S23" s="1266"/>
      <c r="T23" s="1266"/>
      <c r="U23" s="1266"/>
      <c r="V23" s="1266"/>
      <c r="W23" s="1272"/>
      <c r="X23" s="1272"/>
      <c r="Y23" s="1272"/>
      <c r="Z23" s="1272"/>
      <c r="AA23" s="1272"/>
      <c r="AB23" s="1272"/>
      <c r="AC23" s="1272"/>
    </row>
    <row r="24" spans="1:29" ht="54">
      <c r="A24" s="2825"/>
      <c r="B24" s="2829"/>
      <c r="C24" s="2539">
        <v>2.2000000000000002</v>
      </c>
      <c r="D24" s="2567" t="s">
        <v>1458</v>
      </c>
      <c r="E24" s="2552" t="s">
        <v>1206</v>
      </c>
      <c r="F24" s="2552" t="s">
        <v>235</v>
      </c>
      <c r="G24" s="2568" t="s">
        <v>983</v>
      </c>
      <c r="H24" s="2569">
        <v>2020</v>
      </c>
      <c r="I24" s="2555">
        <f>'Pnj APBDES'!L203</f>
        <v>16254614</v>
      </c>
      <c r="J24" s="2570" t="s">
        <v>22</v>
      </c>
      <c r="K24" s="1309" t="s">
        <v>246</v>
      </c>
      <c r="L24" s="1317"/>
      <c r="M24" s="1317"/>
      <c r="N24" s="1311" t="s">
        <v>1022</v>
      </c>
      <c r="O24" s="1293"/>
      <c r="P24" s="1293"/>
      <c r="Q24" s="1272"/>
      <c r="R24" s="1266"/>
      <c r="S24" s="1266"/>
      <c r="T24" s="1266"/>
      <c r="U24" s="1266"/>
      <c r="V24" s="1266"/>
      <c r="W24" s="1272"/>
      <c r="X24" s="1272"/>
      <c r="Y24" s="1272"/>
      <c r="Z24" s="1272"/>
      <c r="AA24" s="1272"/>
      <c r="AB24" s="1272"/>
      <c r="AC24" s="1272"/>
    </row>
    <row r="25" spans="1:29" ht="45.75" customHeight="1">
      <c r="A25" s="2825"/>
      <c r="B25" s="2829"/>
      <c r="C25" s="2539">
        <v>2.2999999999999998</v>
      </c>
      <c r="D25" s="1312" t="s">
        <v>988</v>
      </c>
      <c r="E25" s="1313" t="s">
        <v>1200</v>
      </c>
      <c r="F25" s="2571">
        <v>75</v>
      </c>
      <c r="G25" s="1314" t="s">
        <v>990</v>
      </c>
      <c r="H25" s="2554">
        <v>2020</v>
      </c>
      <c r="I25" s="2555">
        <v>95045000</v>
      </c>
      <c r="J25" s="2572" t="s">
        <v>22</v>
      </c>
      <c r="K25" s="1309" t="s">
        <v>246</v>
      </c>
      <c r="L25" s="1298"/>
      <c r="M25" s="1298"/>
      <c r="N25" s="1316" t="s">
        <v>371</v>
      </c>
      <c r="O25" s="1293"/>
      <c r="P25" s="1293"/>
      <c r="Q25" s="1272"/>
      <c r="R25" s="1266"/>
      <c r="S25" s="1266"/>
      <c r="T25" s="1266"/>
      <c r="U25" s="1266"/>
      <c r="V25" s="1266"/>
      <c r="W25" s="1272"/>
      <c r="X25" s="1272"/>
      <c r="Y25" s="1272"/>
      <c r="Z25" s="1272"/>
      <c r="AA25" s="1272"/>
      <c r="AB25" s="1272"/>
      <c r="AC25" s="1272"/>
    </row>
    <row r="26" spans="1:29" ht="30.75" customHeight="1">
      <c r="A26" s="2825"/>
      <c r="B26" s="2829"/>
      <c r="C26" s="2539">
        <v>2.4</v>
      </c>
      <c r="D26" s="1312" t="s">
        <v>991</v>
      </c>
      <c r="E26" s="1318" t="s">
        <v>1333</v>
      </c>
      <c r="F26" s="2571">
        <v>50</v>
      </c>
      <c r="G26" s="1314" t="s">
        <v>990</v>
      </c>
      <c r="H26" s="2554">
        <v>2020</v>
      </c>
      <c r="I26" s="2555">
        <v>64021000</v>
      </c>
      <c r="J26" s="2572" t="s">
        <v>22</v>
      </c>
      <c r="K26" s="1309"/>
      <c r="L26" s="1298"/>
      <c r="M26" s="1298"/>
      <c r="N26" s="1316"/>
      <c r="O26" s="1293"/>
      <c r="P26" s="1293"/>
      <c r="Q26" s="1272"/>
      <c r="R26" s="1266"/>
      <c r="S26" s="1266"/>
      <c r="T26" s="1266"/>
      <c r="U26" s="1266"/>
      <c r="V26" s="1266"/>
      <c r="W26" s="1272"/>
      <c r="X26" s="1272"/>
      <c r="Y26" s="1272"/>
      <c r="Z26" s="1272"/>
      <c r="AA26" s="1272"/>
      <c r="AB26" s="1272"/>
      <c r="AC26" s="1272"/>
    </row>
    <row r="27" spans="1:29" ht="30.75" customHeight="1">
      <c r="A27" s="2825"/>
      <c r="B27" s="2829"/>
      <c r="C27" s="2539">
        <v>2.5</v>
      </c>
      <c r="D27" s="1312" t="s">
        <v>992</v>
      </c>
      <c r="E27" s="1313" t="s">
        <v>1201</v>
      </c>
      <c r="F27" s="2571">
        <v>40</v>
      </c>
      <c r="G27" s="1314" t="s">
        <v>990</v>
      </c>
      <c r="H27" s="2554">
        <v>2020</v>
      </c>
      <c r="I27" s="2555">
        <v>38079000</v>
      </c>
      <c r="J27" s="2572" t="s">
        <v>22</v>
      </c>
      <c r="K27" s="1309" t="s">
        <v>246</v>
      </c>
      <c r="L27" s="1298"/>
      <c r="M27" s="1298"/>
      <c r="N27" s="1316" t="s">
        <v>371</v>
      </c>
      <c r="O27" s="1293"/>
      <c r="P27" s="1293"/>
      <c r="Q27" s="1272"/>
      <c r="R27" s="1266"/>
      <c r="S27" s="1266"/>
      <c r="T27" s="1266"/>
      <c r="U27" s="1266"/>
      <c r="V27" s="1266"/>
      <c r="W27" s="1272"/>
      <c r="X27" s="1272"/>
      <c r="Y27" s="1272"/>
      <c r="Z27" s="1272"/>
      <c r="AA27" s="1272"/>
      <c r="AB27" s="1272"/>
      <c r="AC27" s="1272"/>
    </row>
    <row r="28" spans="1:29" ht="30.75" customHeight="1">
      <c r="A28" s="2825"/>
      <c r="B28" s="2829"/>
      <c r="C28" s="2539">
        <v>2.6</v>
      </c>
      <c r="D28" s="1312" t="s">
        <v>994</v>
      </c>
      <c r="E28" s="1313" t="s">
        <v>1043</v>
      </c>
      <c r="F28" s="2571">
        <v>70</v>
      </c>
      <c r="G28" s="1314" t="s">
        <v>990</v>
      </c>
      <c r="H28" s="2554">
        <v>2020</v>
      </c>
      <c r="I28" s="2555">
        <v>88745000</v>
      </c>
      <c r="J28" s="2572" t="s">
        <v>22</v>
      </c>
      <c r="K28" s="1309" t="s">
        <v>246</v>
      </c>
      <c r="L28" s="1298"/>
      <c r="M28" s="1298"/>
      <c r="N28" s="1316" t="s">
        <v>371</v>
      </c>
      <c r="O28" s="1293"/>
      <c r="P28" s="1293"/>
      <c r="Q28" s="1272"/>
      <c r="R28" s="1266"/>
      <c r="S28" s="1266"/>
      <c r="T28" s="1266"/>
      <c r="U28" s="1266"/>
      <c r="V28" s="1266"/>
      <c r="W28" s="1272"/>
      <c r="X28" s="1272"/>
      <c r="Y28" s="1272"/>
      <c r="Z28" s="1272"/>
      <c r="AA28" s="1272"/>
      <c r="AB28" s="1272"/>
      <c r="AC28" s="1272"/>
    </row>
    <row r="29" spans="1:29" ht="30.75" customHeight="1">
      <c r="A29" s="2825"/>
      <c r="B29" s="2829"/>
      <c r="C29" s="2539">
        <v>2.7</v>
      </c>
      <c r="D29" s="1312" t="s">
        <v>996</v>
      </c>
      <c r="E29" s="1313" t="s">
        <v>1050</v>
      </c>
      <c r="F29" s="2571">
        <v>54</v>
      </c>
      <c r="G29" s="1314" t="s">
        <v>990</v>
      </c>
      <c r="H29" s="2554">
        <v>2020</v>
      </c>
      <c r="I29" s="2555">
        <v>69391000</v>
      </c>
      <c r="J29" s="2572" t="s">
        <v>22</v>
      </c>
      <c r="K29" s="1309"/>
      <c r="L29" s="1298"/>
      <c r="M29" s="1298"/>
      <c r="N29" s="1316"/>
      <c r="O29" s="1293"/>
      <c r="P29" s="1293"/>
      <c r="Q29" s="1272"/>
      <c r="R29" s="1266"/>
      <c r="S29" s="1266"/>
      <c r="T29" s="1266"/>
      <c r="U29" s="1266"/>
      <c r="V29" s="1266"/>
      <c r="W29" s="1272"/>
      <c r="X29" s="1272"/>
      <c r="Y29" s="1272"/>
      <c r="Z29" s="1272"/>
      <c r="AA29" s="1272"/>
      <c r="AB29" s="1272"/>
      <c r="AC29" s="1272"/>
    </row>
    <row r="30" spans="1:29" ht="30.75" customHeight="1">
      <c r="A30" s="2825"/>
      <c r="B30" s="2829"/>
      <c r="C30" s="2573">
        <v>2.8</v>
      </c>
      <c r="D30" s="2536" t="s">
        <v>1593</v>
      </c>
      <c r="E30" s="2541" t="s">
        <v>1206</v>
      </c>
      <c r="F30" s="2536" t="s">
        <v>1594</v>
      </c>
      <c r="G30" s="2536"/>
      <c r="H30" s="2536"/>
      <c r="I30" s="2537">
        <v>5145000</v>
      </c>
      <c r="J30" s="2541" t="s">
        <v>429</v>
      </c>
      <c r="K30" s="1309" t="s">
        <v>246</v>
      </c>
      <c r="L30" s="1298"/>
      <c r="M30" s="1298"/>
      <c r="N30" s="1316" t="s">
        <v>371</v>
      </c>
      <c r="O30" s="1293"/>
      <c r="P30" s="1293"/>
      <c r="Q30" s="1272"/>
      <c r="R30" s="1266"/>
      <c r="S30" s="1266"/>
      <c r="T30" s="1266"/>
      <c r="U30" s="1266"/>
      <c r="V30" s="1266"/>
      <c r="W30" s="1272"/>
      <c r="X30" s="1272"/>
      <c r="Y30" s="1272"/>
      <c r="Z30" s="1272"/>
      <c r="AA30" s="1272"/>
      <c r="AB30" s="1272"/>
      <c r="AC30" s="1272"/>
    </row>
    <row r="31" spans="1:29" ht="30.75" customHeight="1">
      <c r="A31" s="2818" t="s">
        <v>232</v>
      </c>
      <c r="B31" s="2819"/>
      <c r="C31" s="2819"/>
      <c r="D31" s="2819"/>
      <c r="E31" s="2819"/>
      <c r="F31" s="2819"/>
      <c r="G31" s="2819"/>
      <c r="H31" s="2819"/>
      <c r="I31" s="1303">
        <f>SUM(I23:I30)</f>
        <v>399480614</v>
      </c>
      <c r="J31" s="2542"/>
      <c r="K31" s="1305"/>
      <c r="L31" s="1305"/>
      <c r="M31" s="1305"/>
      <c r="N31" s="1306"/>
      <c r="O31" s="1293"/>
      <c r="P31" s="1293"/>
      <c r="Q31" s="1275">
        <f>I31-'Pnj APBDES'!L191</f>
        <v>0</v>
      </c>
      <c r="R31" s="1266" t="b">
        <f>I31='Pnj APBDES'!K191</f>
        <v>0</v>
      </c>
      <c r="S31" s="1266">
        <f>I31-'Pnj APBDES'!K191</f>
        <v>-228497436</v>
      </c>
      <c r="T31" s="1266"/>
      <c r="U31" s="1266"/>
      <c r="V31" s="1266"/>
      <c r="W31" s="1272"/>
      <c r="X31" s="1272"/>
      <c r="Y31" s="1272"/>
      <c r="Z31" s="1272"/>
      <c r="AA31" s="1272"/>
      <c r="AB31" s="1272"/>
      <c r="AC31" s="1272"/>
    </row>
    <row r="32" spans="1:29" ht="30.75" customHeight="1">
      <c r="A32" s="2820">
        <v>3</v>
      </c>
      <c r="B32" s="2822" t="s">
        <v>49</v>
      </c>
      <c r="C32" s="1319" t="s">
        <v>126</v>
      </c>
      <c r="D32" s="1320" t="s">
        <v>663</v>
      </c>
      <c r="E32" s="1321" t="s">
        <v>1206</v>
      </c>
      <c r="F32" s="1321" t="s">
        <v>87</v>
      </c>
      <c r="G32" s="1322" t="s">
        <v>260</v>
      </c>
      <c r="H32" s="1319">
        <v>2020</v>
      </c>
      <c r="I32" s="1323">
        <f>'3.1 Linmas'!H20</f>
        <v>8700000</v>
      </c>
      <c r="J32" s="1324" t="s">
        <v>330</v>
      </c>
      <c r="K32" s="1325" t="s">
        <v>246</v>
      </c>
      <c r="L32" s="1326"/>
      <c r="M32" s="1326"/>
      <c r="N32" s="1327" t="s">
        <v>370</v>
      </c>
      <c r="O32" s="1293"/>
      <c r="P32" s="1293"/>
      <c r="Q32" s="1272"/>
      <c r="R32" s="1266"/>
      <c r="S32" s="1266"/>
      <c r="T32" s="1266"/>
      <c r="U32" s="1266"/>
      <c r="V32" s="1266"/>
      <c r="W32" s="1272"/>
      <c r="X32" s="1272"/>
      <c r="Y32" s="1272"/>
      <c r="Z32" s="1272"/>
      <c r="AA32" s="1272"/>
      <c r="AB32" s="1272"/>
      <c r="AC32" s="1272"/>
    </row>
    <row r="33" spans="1:29" ht="30.75" customHeight="1">
      <c r="A33" s="2821"/>
      <c r="B33" s="2823"/>
      <c r="C33" s="1295" t="s">
        <v>127</v>
      </c>
      <c r="D33" s="1328" t="s">
        <v>665</v>
      </c>
      <c r="E33" s="1294" t="s">
        <v>1206</v>
      </c>
      <c r="F33" s="1294" t="s">
        <v>87</v>
      </c>
      <c r="G33" s="1301" t="s">
        <v>1088</v>
      </c>
      <c r="H33" s="1295">
        <v>2020</v>
      </c>
      <c r="I33" s="1296">
        <f>'Pnj APBDES'!L232</f>
        <v>21900000</v>
      </c>
      <c r="J33" s="1315" t="s">
        <v>330</v>
      </c>
      <c r="K33" s="1297" t="s">
        <v>246</v>
      </c>
      <c r="L33" s="1298"/>
      <c r="M33" s="1298"/>
      <c r="N33" s="1299" t="s">
        <v>370</v>
      </c>
      <c r="O33" s="1293"/>
      <c r="P33" s="1293"/>
      <c r="Q33" s="1272"/>
      <c r="R33" s="1266"/>
      <c r="S33" s="1266"/>
      <c r="T33" s="1266"/>
      <c r="U33" s="1266"/>
      <c r="V33" s="1266"/>
      <c r="W33" s="1272"/>
      <c r="X33" s="1272"/>
      <c r="Y33" s="1272"/>
      <c r="Z33" s="1272"/>
      <c r="AA33" s="1272"/>
      <c r="AB33" s="1272"/>
      <c r="AC33" s="1272"/>
    </row>
    <row r="34" spans="1:29" ht="36">
      <c r="A34" s="2821"/>
      <c r="B34" s="2823"/>
      <c r="C34" s="1319" t="s">
        <v>225</v>
      </c>
      <c r="D34" s="1328" t="s">
        <v>1459</v>
      </c>
      <c r="E34" s="1294" t="s">
        <v>1206</v>
      </c>
      <c r="F34" s="1294" t="s">
        <v>1454</v>
      </c>
      <c r="G34" s="1301"/>
      <c r="H34" s="1295"/>
      <c r="I34" s="1296">
        <f>'Pnj APBDES'!L255</f>
        <v>167890386</v>
      </c>
      <c r="J34" s="1315" t="s">
        <v>22</v>
      </c>
      <c r="K34" s="1297"/>
      <c r="L34" s="1298"/>
      <c r="M34" s="1298"/>
      <c r="N34" s="1299"/>
      <c r="O34" s="1293"/>
      <c r="P34" s="1293"/>
      <c r="Q34" s="1272"/>
      <c r="R34" s="1266"/>
      <c r="S34" s="1266"/>
      <c r="T34" s="1266"/>
      <c r="U34" s="1266"/>
      <c r="V34" s="1266"/>
      <c r="W34" s="1272"/>
      <c r="X34" s="1272"/>
      <c r="Y34" s="1272"/>
      <c r="Z34" s="1272"/>
      <c r="AA34" s="1272"/>
      <c r="AB34" s="1272"/>
      <c r="AC34" s="1272"/>
    </row>
    <row r="35" spans="1:29" ht="30.75" customHeight="1">
      <c r="A35" s="2821"/>
      <c r="B35" s="2823"/>
      <c r="C35" s="1295" t="s">
        <v>226</v>
      </c>
      <c r="D35" s="1328" t="s">
        <v>1015</v>
      </c>
      <c r="E35" s="1294" t="s">
        <v>1206</v>
      </c>
      <c r="F35" s="1294" t="s">
        <v>87</v>
      </c>
      <c r="G35" s="1301" t="s">
        <v>807</v>
      </c>
      <c r="H35" s="1295">
        <v>2020</v>
      </c>
      <c r="I35" s="1296">
        <f>'3.5 L.A'!H20</f>
        <v>2400000</v>
      </c>
      <c r="J35" s="1315" t="s">
        <v>23</v>
      </c>
      <c r="K35" s="1297" t="s">
        <v>246</v>
      </c>
      <c r="L35" s="1298"/>
      <c r="M35" s="1298"/>
      <c r="N35" s="1299" t="s">
        <v>370</v>
      </c>
      <c r="O35" s="1293"/>
      <c r="P35" s="1293"/>
      <c r="Q35" s="1272"/>
      <c r="R35" s="1266"/>
      <c r="S35" s="1266"/>
      <c r="T35" s="1266"/>
      <c r="U35" s="1266"/>
      <c r="V35" s="1266"/>
      <c r="W35" s="1272"/>
      <c r="X35" s="1272"/>
      <c r="Y35" s="1272"/>
      <c r="Z35" s="1272"/>
      <c r="AA35" s="1272"/>
      <c r="AB35" s="1272"/>
      <c r="AC35" s="1272"/>
    </row>
    <row r="36" spans="1:29" ht="30.75" customHeight="1">
      <c r="A36" s="2821"/>
      <c r="B36" s="2823"/>
      <c r="C36" s="1319" t="s">
        <v>227</v>
      </c>
      <c r="D36" s="1328" t="s">
        <v>1025</v>
      </c>
      <c r="E36" s="1294" t="s">
        <v>1206</v>
      </c>
      <c r="F36" s="1294" t="s">
        <v>87</v>
      </c>
      <c r="G36" s="1301" t="s">
        <v>808</v>
      </c>
      <c r="H36" s="1295">
        <v>2020</v>
      </c>
      <c r="I36" s="1296">
        <f>'3.6 LPM'!H21</f>
        <v>3900000</v>
      </c>
      <c r="J36" s="1315" t="s">
        <v>23</v>
      </c>
      <c r="K36" s="1297" t="s">
        <v>246</v>
      </c>
      <c r="L36" s="1298"/>
      <c r="M36" s="1298"/>
      <c r="N36" s="1299" t="s">
        <v>370</v>
      </c>
      <c r="O36" s="1293"/>
      <c r="P36" s="1293"/>
      <c r="Q36" s="1272"/>
      <c r="R36" s="1266"/>
      <c r="S36" s="1266"/>
      <c r="T36" s="1266"/>
      <c r="U36" s="1266"/>
      <c r="V36" s="1266"/>
      <c r="W36" s="1272"/>
      <c r="X36" s="1272"/>
      <c r="Y36" s="1272"/>
      <c r="Z36" s="1272"/>
      <c r="AA36" s="1272"/>
      <c r="AB36" s="1272"/>
      <c r="AC36" s="1272"/>
    </row>
    <row r="37" spans="1:29" ht="30.75" customHeight="1">
      <c r="A37" s="2821"/>
      <c r="B37" s="2823"/>
      <c r="C37" s="1295" t="s">
        <v>228</v>
      </c>
      <c r="D37" s="1328" t="s">
        <v>461</v>
      </c>
      <c r="E37" s="1294" t="s">
        <v>1206</v>
      </c>
      <c r="F37" s="1294" t="s">
        <v>87</v>
      </c>
      <c r="G37" s="1301" t="s">
        <v>92</v>
      </c>
      <c r="H37" s="1295">
        <v>2020</v>
      </c>
      <c r="I37" s="1296">
        <f>'Pnj APBDES'!L269</f>
        <v>11550500</v>
      </c>
      <c r="J37" s="1315" t="s">
        <v>23</v>
      </c>
      <c r="K37" s="1297" t="s">
        <v>246</v>
      </c>
      <c r="L37" s="1298"/>
      <c r="M37" s="1298"/>
      <c r="N37" s="1299" t="s">
        <v>370</v>
      </c>
      <c r="O37" s="1293"/>
      <c r="P37" s="1293"/>
      <c r="Q37" s="1272"/>
      <c r="R37" s="1266"/>
      <c r="S37" s="1266"/>
      <c r="T37" s="1266"/>
      <c r="U37" s="1266"/>
      <c r="V37" s="1266"/>
      <c r="W37" s="1272"/>
      <c r="X37" s="1272"/>
      <c r="Y37" s="1272"/>
      <c r="Z37" s="1272"/>
      <c r="AA37" s="1272"/>
      <c r="AB37" s="1272"/>
      <c r="AC37" s="1272"/>
    </row>
    <row r="38" spans="1:29" ht="30" customHeight="1">
      <c r="A38" s="2818" t="s">
        <v>233</v>
      </c>
      <c r="B38" s="2819"/>
      <c r="C38" s="2819"/>
      <c r="D38" s="2819"/>
      <c r="E38" s="2819"/>
      <c r="F38" s="2819"/>
      <c r="G38" s="2819"/>
      <c r="H38" s="2819"/>
      <c r="I38" s="1331">
        <f>SUM(I32:I37)</f>
        <v>216340886</v>
      </c>
      <c r="J38" s="2542"/>
      <c r="K38" s="1305"/>
      <c r="L38" s="1305"/>
      <c r="M38" s="1305"/>
      <c r="N38" s="1306"/>
      <c r="O38" s="1293"/>
      <c r="P38" s="1293"/>
      <c r="Q38" s="1275">
        <f>I38-'Pnj APBDES'!L226</f>
        <v>0</v>
      </c>
      <c r="R38" s="1266" t="b">
        <f>I38='Pnj APBDES'!K226</f>
        <v>0</v>
      </c>
      <c r="S38" s="1266"/>
      <c r="T38" s="1266"/>
      <c r="U38" s="1266"/>
      <c r="V38" s="1266"/>
      <c r="W38" s="1272"/>
      <c r="X38" s="1272"/>
      <c r="Y38" s="1272"/>
      <c r="Z38" s="1272"/>
      <c r="AA38" s="1272"/>
      <c r="AB38" s="1272"/>
      <c r="AC38" s="1272"/>
    </row>
    <row r="39" spans="1:29" ht="36">
      <c r="A39" s="2126"/>
      <c r="B39" s="2127"/>
      <c r="C39" s="1308" t="s">
        <v>218</v>
      </c>
      <c r="D39" s="1332" t="s">
        <v>1461</v>
      </c>
      <c r="E39" s="1294" t="s">
        <v>1206</v>
      </c>
      <c r="F39" s="1307" t="s">
        <v>87</v>
      </c>
      <c r="G39" s="1307" t="s">
        <v>259</v>
      </c>
      <c r="H39" s="1307">
        <v>2020</v>
      </c>
      <c r="I39" s="1333">
        <f>'4.4 Bintek Perikanan'!$H$64</f>
        <v>17600000</v>
      </c>
      <c r="J39" s="1333" t="s">
        <v>327</v>
      </c>
      <c r="K39" s="1297" t="s">
        <v>246</v>
      </c>
      <c r="L39" s="1317"/>
      <c r="M39" s="1317"/>
      <c r="N39" s="1299" t="s">
        <v>558</v>
      </c>
      <c r="O39" s="1293"/>
      <c r="P39" s="1293"/>
      <c r="Q39" s="1272"/>
      <c r="R39" s="1266"/>
      <c r="S39" s="1266"/>
      <c r="T39" s="1266"/>
      <c r="U39" s="1266"/>
      <c r="V39" s="1266"/>
      <c r="W39" s="1272"/>
      <c r="X39" s="1272"/>
      <c r="Y39" s="1272"/>
      <c r="Z39" s="1272"/>
      <c r="AA39" s="1272"/>
      <c r="AB39" s="1272"/>
      <c r="AC39" s="1272"/>
    </row>
    <row r="40" spans="1:29" ht="30.75" customHeight="1">
      <c r="A40" s="2818" t="s">
        <v>234</v>
      </c>
      <c r="B40" s="2819"/>
      <c r="C40" s="2819"/>
      <c r="D40" s="2819"/>
      <c r="E40" s="2819"/>
      <c r="F40" s="2819"/>
      <c r="G40" s="2819"/>
      <c r="H40" s="2819"/>
      <c r="I40" s="1331">
        <f>SUM(I39:I39)</f>
        <v>17600000</v>
      </c>
      <c r="J40" s="2542"/>
      <c r="K40" s="1305"/>
      <c r="L40" s="1305"/>
      <c r="M40" s="1305"/>
      <c r="N40" s="1306"/>
      <c r="O40" s="1293"/>
      <c r="P40" s="1293"/>
      <c r="Q40" s="1272"/>
      <c r="R40" s="1266" t="b">
        <f>I40='Pnj APBDES'!K285</f>
        <v>0</v>
      </c>
      <c r="S40" s="1266">
        <f>I40-'Pnj APBDES'!K285</f>
        <v>-22204564</v>
      </c>
      <c r="T40" s="1266"/>
      <c r="U40" s="1266"/>
      <c r="V40" s="1266"/>
      <c r="W40" s="1272"/>
      <c r="X40" s="1272"/>
      <c r="Y40" s="1272"/>
      <c r="Z40" s="1272"/>
      <c r="AA40" s="1272"/>
      <c r="AB40" s="1272"/>
      <c r="AC40" s="1272"/>
    </row>
    <row r="41" spans="1:29" ht="48" customHeight="1">
      <c r="A41" s="2836">
        <v>5</v>
      </c>
      <c r="B41" s="2834" t="s">
        <v>1466</v>
      </c>
      <c r="C41" s="2574" t="s">
        <v>170</v>
      </c>
      <c r="D41" s="2575" t="s">
        <v>435</v>
      </c>
      <c r="E41" s="2574" t="s">
        <v>1206</v>
      </c>
      <c r="F41" s="2576" t="s">
        <v>1468</v>
      </c>
      <c r="G41" s="2577"/>
      <c r="H41" s="2577"/>
      <c r="I41" s="2578">
        <f>'Pnj APBDES'!L308</f>
        <v>34855000</v>
      </c>
      <c r="J41" s="2574" t="s">
        <v>327</v>
      </c>
      <c r="K41" s="1305"/>
      <c r="L41" s="2037"/>
      <c r="M41" s="2037"/>
      <c r="N41" s="2038"/>
      <c r="O41" s="1293"/>
      <c r="P41" s="1293"/>
      <c r="Q41" s="1272"/>
      <c r="R41" s="1266"/>
      <c r="S41" s="1266"/>
      <c r="T41" s="1266"/>
      <c r="U41" s="1266"/>
      <c r="V41" s="1266"/>
      <c r="W41" s="1272"/>
      <c r="X41" s="1272"/>
      <c r="Y41" s="1272"/>
      <c r="Z41" s="1272"/>
      <c r="AA41" s="1272"/>
      <c r="AB41" s="1272"/>
      <c r="AC41" s="1272"/>
    </row>
    <row r="42" spans="1:29" ht="48" customHeight="1">
      <c r="A42" s="2837"/>
      <c r="B42" s="2835"/>
      <c r="C42" s="2579" t="s">
        <v>219</v>
      </c>
      <c r="D42" s="2580" t="s">
        <v>1467</v>
      </c>
      <c r="E42" s="2579" t="s">
        <v>1206</v>
      </c>
      <c r="F42" s="2581" t="s">
        <v>1468</v>
      </c>
      <c r="G42" s="2582"/>
      <c r="H42" s="2582"/>
      <c r="I42" s="2583">
        <f>'Pnj APBDES'!M309</f>
        <v>0</v>
      </c>
      <c r="J42" s="2579" t="s">
        <v>22</v>
      </c>
      <c r="K42" s="1305"/>
      <c r="L42" s="2037"/>
      <c r="M42" s="2037"/>
      <c r="N42" s="2038"/>
      <c r="O42" s="1293"/>
      <c r="P42" s="1293"/>
      <c r="Q42" s="1272"/>
      <c r="R42" s="1266"/>
      <c r="S42" s="1266"/>
      <c r="T42" s="1266"/>
      <c r="U42" s="1266"/>
      <c r="V42" s="1266"/>
      <c r="W42" s="1272"/>
      <c r="X42" s="1272"/>
      <c r="Y42" s="1272"/>
      <c r="Z42" s="1272"/>
      <c r="AA42" s="1272"/>
      <c r="AB42" s="1272"/>
      <c r="AC42" s="1272"/>
    </row>
    <row r="43" spans="1:29" ht="30.75" customHeight="1">
      <c r="A43" s="2831" t="s">
        <v>573</v>
      </c>
      <c r="B43" s="2832"/>
      <c r="C43" s="2832"/>
      <c r="D43" s="2832"/>
      <c r="E43" s="2832"/>
      <c r="F43" s="2833"/>
      <c r="G43" s="2042"/>
      <c r="H43" s="2042"/>
      <c r="I43" s="1331">
        <f>I41+I42</f>
        <v>34855000</v>
      </c>
      <c r="J43" s="2542"/>
      <c r="K43" s="1305"/>
      <c r="L43" s="2037"/>
      <c r="M43" s="2037"/>
      <c r="N43" s="2038"/>
      <c r="O43" s="1293"/>
      <c r="P43" s="1293"/>
      <c r="Q43" s="1272"/>
      <c r="R43" s="1266"/>
      <c r="S43" s="1266"/>
      <c r="T43" s="1266"/>
      <c r="U43" s="1266"/>
      <c r="V43" s="1266"/>
      <c r="W43" s="1272"/>
      <c r="X43" s="1272"/>
      <c r="Y43" s="1272"/>
      <c r="Z43" s="1272"/>
      <c r="AA43" s="1272"/>
      <c r="AB43" s="1272"/>
      <c r="AC43" s="1272"/>
    </row>
    <row r="44" spans="1:29" ht="30.75" customHeight="1">
      <c r="A44" s="2821">
        <v>6</v>
      </c>
      <c r="B44" s="2823" t="s">
        <v>15</v>
      </c>
      <c r="C44" s="1307" t="s">
        <v>243</v>
      </c>
      <c r="D44" s="2039" t="s">
        <v>16</v>
      </c>
      <c r="E44" s="1307" t="s">
        <v>1206</v>
      </c>
      <c r="F44" s="1307" t="s">
        <v>1366</v>
      </c>
      <c r="G44" s="1307"/>
      <c r="H44" s="1307"/>
      <c r="I44" s="2040"/>
      <c r="J44" s="2041"/>
      <c r="K44" s="1355" t="str">
        <f>K39</f>
        <v>√</v>
      </c>
      <c r="L44" s="1334"/>
      <c r="M44" s="1334"/>
      <c r="N44" s="1362" t="s">
        <v>1211</v>
      </c>
      <c r="O44" s="1293"/>
      <c r="P44" s="1293"/>
      <c r="Q44" s="1272"/>
      <c r="R44" s="1266"/>
      <c r="S44" s="1266"/>
      <c r="T44" s="1266"/>
      <c r="U44" s="1266"/>
      <c r="V44" s="1266"/>
      <c r="W44" s="1272"/>
      <c r="X44" s="1272"/>
      <c r="Y44" s="1272"/>
      <c r="Z44" s="1272"/>
      <c r="AA44" s="1272"/>
      <c r="AB44" s="1272"/>
      <c r="AC44" s="1272"/>
    </row>
    <row r="45" spans="1:29" ht="30.75" customHeight="1">
      <c r="A45" s="2821"/>
      <c r="B45" s="2823"/>
      <c r="C45" s="1295"/>
      <c r="D45" s="1328" t="s">
        <v>18</v>
      </c>
      <c r="E45" s="1294" t="s">
        <v>1206</v>
      </c>
      <c r="F45" s="1294" t="s">
        <v>1366</v>
      </c>
      <c r="G45" s="1329"/>
      <c r="H45" s="1295"/>
      <c r="I45" s="1330"/>
      <c r="J45" s="1315"/>
      <c r="K45" s="1335"/>
      <c r="L45" s="1335"/>
      <c r="M45" s="1335"/>
      <c r="N45" s="1299"/>
      <c r="O45" s="1293"/>
      <c r="P45" s="1293"/>
      <c r="Q45" s="1272"/>
      <c r="R45" s="1266"/>
      <c r="S45" s="1266"/>
      <c r="T45" s="1266"/>
      <c r="U45" s="1266"/>
      <c r="V45" s="1266"/>
      <c r="W45" s="1272"/>
      <c r="X45" s="1272"/>
      <c r="Y45" s="1272"/>
      <c r="Z45" s="1272"/>
      <c r="AA45" s="1272"/>
      <c r="AB45" s="1272"/>
      <c r="AC45" s="1272"/>
    </row>
    <row r="46" spans="1:29" ht="30.75" customHeight="1">
      <c r="A46" s="2818" t="s">
        <v>1469</v>
      </c>
      <c r="B46" s="2819"/>
      <c r="C46" s="2819"/>
      <c r="D46" s="2819"/>
      <c r="E46" s="2819"/>
      <c r="F46" s="2819"/>
      <c r="G46" s="2819"/>
      <c r="H46" s="2819"/>
      <c r="I46" s="1331">
        <f>I44-I45</f>
        <v>0</v>
      </c>
      <c r="J46" s="2542"/>
      <c r="K46" s="1305"/>
      <c r="L46" s="1305"/>
      <c r="M46" s="1305"/>
      <c r="N46" s="1306"/>
      <c r="O46" s="1293"/>
      <c r="P46" s="1293"/>
      <c r="Q46" s="1272"/>
      <c r="R46" s="1266"/>
      <c r="S46" s="1266"/>
      <c r="T46" s="1266"/>
      <c r="U46" s="1266"/>
      <c r="V46" s="1266"/>
      <c r="W46" s="1272"/>
      <c r="X46" s="1272"/>
      <c r="Y46" s="1272"/>
      <c r="Z46" s="1272"/>
      <c r="AA46" s="1272"/>
      <c r="AB46" s="1272"/>
      <c r="AC46" s="1272"/>
    </row>
    <row r="47" spans="1:29" ht="30.75" customHeight="1">
      <c r="A47" s="2826"/>
      <c r="B47" s="2827"/>
      <c r="C47" s="2827"/>
      <c r="D47" s="2827"/>
      <c r="E47" s="2827"/>
      <c r="F47" s="2827"/>
      <c r="G47" s="2827"/>
      <c r="H47" s="2827"/>
      <c r="I47" s="1336"/>
      <c r="J47" s="2542"/>
      <c r="K47" s="1305"/>
      <c r="L47" s="1305"/>
      <c r="M47" s="1305"/>
      <c r="N47" s="1306"/>
      <c r="O47" s="1293"/>
      <c r="P47" s="1293"/>
      <c r="Q47" s="1272"/>
      <c r="R47" s="1266"/>
      <c r="S47" s="1266"/>
      <c r="T47" s="1266"/>
      <c r="U47" s="1266"/>
      <c r="V47" s="1266"/>
      <c r="W47" s="1272"/>
      <c r="X47" s="1272"/>
      <c r="Y47" s="1272"/>
      <c r="Z47" s="1272"/>
      <c r="AA47" s="1272"/>
      <c r="AB47" s="1272"/>
      <c r="AC47" s="1272"/>
    </row>
    <row r="48" spans="1:29" ht="30.75" customHeight="1" thickBot="1">
      <c r="A48" s="2816" t="s">
        <v>93</v>
      </c>
      <c r="B48" s="2817"/>
      <c r="C48" s="2817"/>
      <c r="D48" s="2817"/>
      <c r="E48" s="2817"/>
      <c r="F48" s="2817"/>
      <c r="G48" s="2817"/>
      <c r="H48" s="2817"/>
      <c r="I48" s="1337">
        <f>I22+I31+I38+I40+I43</f>
        <v>1232389651</v>
      </c>
      <c r="J48" s="2543"/>
      <c r="K48" s="1338"/>
      <c r="L48" s="1338"/>
      <c r="M48" s="1338"/>
      <c r="N48" s="1339"/>
      <c r="O48" s="1293"/>
      <c r="P48" s="1293"/>
      <c r="Q48" s="1275" t="b">
        <f>I48='Pnj APBDES'!K311</f>
        <v>0</v>
      </c>
      <c r="R48" s="1266">
        <f>I48-'Pnj APBDES'!L311</f>
        <v>-240954000</v>
      </c>
      <c r="S48" s="1266"/>
      <c r="T48" s="1266"/>
      <c r="U48" s="1266"/>
      <c r="V48" s="1266"/>
      <c r="W48" s="1272"/>
      <c r="X48" s="1272"/>
      <c r="Y48" s="1272"/>
      <c r="Z48" s="1272"/>
      <c r="AA48" s="1272"/>
      <c r="AB48" s="1272"/>
      <c r="AC48" s="1272"/>
    </row>
    <row r="49" spans="1:29" ht="15.75" customHeight="1">
      <c r="A49" s="1340"/>
      <c r="B49" s="1340"/>
      <c r="C49" s="2540"/>
      <c r="D49" s="1340"/>
      <c r="E49" s="2540"/>
      <c r="F49" s="1340"/>
      <c r="G49" s="1340"/>
      <c r="H49" s="1340"/>
      <c r="I49" s="1341"/>
      <c r="J49" s="1342"/>
      <c r="K49" s="1293"/>
      <c r="L49" s="1293"/>
      <c r="M49" s="1293"/>
      <c r="N49" s="1342"/>
      <c r="O49" s="1293"/>
      <c r="P49" s="1293"/>
      <c r="Q49" s="1272"/>
      <c r="R49" s="1343"/>
      <c r="S49" s="1343"/>
      <c r="T49" s="1343"/>
      <c r="U49" s="1343"/>
      <c r="V49" s="1343"/>
      <c r="W49" s="1272"/>
      <c r="X49" s="1272"/>
      <c r="Y49" s="1272"/>
      <c r="Z49" s="1272"/>
      <c r="AA49" s="1272"/>
      <c r="AB49" s="1272"/>
      <c r="AC49" s="1272"/>
    </row>
    <row r="50" spans="1:29" ht="15.75" customHeight="1">
      <c r="I50" s="1341"/>
      <c r="K50" s="1243" t="s">
        <v>1207</v>
      </c>
      <c r="L50" s="1344"/>
      <c r="Q50" s="1345"/>
      <c r="R50" s="1266"/>
      <c r="S50" s="1266"/>
      <c r="T50" s="1272"/>
      <c r="U50" s="1272"/>
      <c r="V50" s="1272"/>
      <c r="W50" s="1272"/>
      <c r="X50" s="1272"/>
      <c r="Y50" s="1272"/>
      <c r="Z50" s="1272"/>
      <c r="AA50" s="1272"/>
      <c r="AB50" s="1272"/>
      <c r="AC50" s="1272"/>
    </row>
    <row r="51" spans="1:29" ht="18" customHeight="1">
      <c r="D51" s="1242" t="s">
        <v>94</v>
      </c>
      <c r="I51" s="2838" t="s">
        <v>1334</v>
      </c>
      <c r="J51" s="2838"/>
      <c r="L51" s="1242" t="s">
        <v>95</v>
      </c>
      <c r="Q51" s="1272"/>
      <c r="R51" s="1275"/>
      <c r="S51" s="1266"/>
      <c r="T51" s="1272"/>
      <c r="U51" s="1272"/>
      <c r="V51" s="1272"/>
      <c r="W51" s="1272"/>
      <c r="X51" s="1272"/>
      <c r="Y51" s="1272"/>
      <c r="Z51" s="1272"/>
      <c r="AA51" s="1272"/>
      <c r="AB51" s="1272"/>
      <c r="AC51" s="1272"/>
    </row>
    <row r="52" spans="1:29" ht="15.75" customHeight="1">
      <c r="D52" s="1242" t="s">
        <v>584</v>
      </c>
      <c r="I52" s="2840" t="s">
        <v>177</v>
      </c>
      <c r="J52" s="2840"/>
      <c r="L52" s="1242" t="s">
        <v>100</v>
      </c>
      <c r="Q52" s="1272"/>
      <c r="R52" s="1266"/>
      <c r="S52" s="1266"/>
      <c r="T52" s="1272"/>
      <c r="U52" s="1272"/>
      <c r="V52" s="1272"/>
      <c r="W52" s="1272"/>
      <c r="X52" s="1272"/>
      <c r="Y52" s="1272"/>
      <c r="Z52" s="1272"/>
      <c r="AA52" s="1272"/>
      <c r="AB52" s="1272"/>
      <c r="AC52" s="1272"/>
    </row>
    <row r="53" spans="1:29" ht="15.75" customHeight="1">
      <c r="D53" s="1244"/>
      <c r="L53" s="1242"/>
      <c r="Q53" s="1272"/>
      <c r="R53" s="1266"/>
      <c r="S53" s="1266"/>
      <c r="T53" s="1272"/>
      <c r="U53" s="1272"/>
      <c r="V53" s="1272"/>
      <c r="W53" s="1272"/>
      <c r="X53" s="1272"/>
      <c r="Y53" s="1272"/>
      <c r="Z53" s="1272"/>
      <c r="AA53" s="1272"/>
      <c r="AB53" s="1272"/>
      <c r="AC53" s="1272"/>
    </row>
    <row r="54" spans="1:29" ht="15.75" customHeight="1">
      <c r="D54" s="1244"/>
      <c r="L54" s="1242"/>
      <c r="Q54" s="1272"/>
      <c r="R54" s="1266"/>
      <c r="S54" s="1266"/>
      <c r="T54" s="1272"/>
      <c r="U54" s="1272"/>
      <c r="V54" s="1272"/>
      <c r="W54" s="1272"/>
      <c r="X54" s="1272"/>
      <c r="Y54" s="1272"/>
      <c r="Z54" s="1272"/>
      <c r="AA54" s="1272"/>
      <c r="AB54" s="1272"/>
      <c r="AC54" s="1272"/>
    </row>
    <row r="55" spans="1:29" ht="15.75" customHeight="1">
      <c r="E55" s="2526" t="s">
        <v>21</v>
      </c>
      <c r="Q55" s="1272"/>
      <c r="R55" s="1266"/>
      <c r="S55" s="1266"/>
      <c r="T55" s="1272"/>
      <c r="U55" s="1272"/>
      <c r="V55" s="1272"/>
      <c r="W55" s="1272"/>
      <c r="X55" s="1272"/>
      <c r="Y55" s="1272"/>
      <c r="Z55" s="1272"/>
      <c r="AA55" s="1272"/>
      <c r="AB55" s="1272"/>
      <c r="AC55" s="1272"/>
    </row>
    <row r="56" spans="1:29" ht="15.75" customHeight="1">
      <c r="G56" s="1245"/>
      <c r="H56" s="1245"/>
      <c r="K56" s="1245"/>
      <c r="L56" s="1245"/>
      <c r="M56" s="1245"/>
      <c r="O56" s="1245"/>
      <c r="P56" s="1245"/>
      <c r="Q56" s="1272"/>
      <c r="R56" s="1346"/>
      <c r="S56" s="1346"/>
      <c r="T56" s="1347"/>
      <c r="U56" s="1347"/>
      <c r="V56" s="1347"/>
      <c r="W56" s="1272"/>
      <c r="X56" s="1272"/>
      <c r="Y56" s="1272"/>
      <c r="Z56" s="1272"/>
      <c r="AA56" s="1272"/>
      <c r="AB56" s="1272"/>
      <c r="AC56" s="1272"/>
    </row>
    <row r="57" spans="1:29" ht="15.75" customHeight="1">
      <c r="F57" s="1243" t="s">
        <v>21</v>
      </c>
      <c r="G57" s="1243" t="s">
        <v>21</v>
      </c>
      <c r="Q57" s="1272"/>
      <c r="R57" s="1266"/>
      <c r="S57" s="1266"/>
      <c r="T57" s="1272"/>
      <c r="U57" s="1272"/>
      <c r="V57" s="1272"/>
      <c r="W57" s="1272"/>
      <c r="X57" s="1272"/>
      <c r="Y57" s="1272"/>
      <c r="Z57" s="1272"/>
      <c r="AA57" s="1272"/>
      <c r="AB57" s="1272"/>
      <c r="AC57" s="1272"/>
    </row>
    <row r="58" spans="1:29" ht="15.75" customHeight="1">
      <c r="D58" s="2525" t="s">
        <v>877</v>
      </c>
      <c r="G58" s="1246"/>
      <c r="H58" s="1246"/>
      <c r="I58" s="2839" t="s">
        <v>1515</v>
      </c>
      <c r="J58" s="2839"/>
      <c r="K58" s="1245"/>
      <c r="L58" s="1264" t="s">
        <v>875</v>
      </c>
      <c r="M58" s="1245"/>
      <c r="O58" s="1244"/>
      <c r="P58" s="1244"/>
      <c r="Q58" s="1272"/>
      <c r="R58" s="1346"/>
      <c r="S58" s="1346"/>
      <c r="T58" s="1347"/>
      <c r="U58" s="1347"/>
      <c r="V58" s="1347"/>
      <c r="W58" s="1272"/>
      <c r="X58" s="1272"/>
      <c r="Y58" s="1272"/>
      <c r="Z58" s="1272"/>
      <c r="AA58" s="1272"/>
      <c r="AB58" s="1272"/>
      <c r="AC58" s="1272"/>
    </row>
    <row r="59" spans="1:29" ht="15.75" customHeight="1">
      <c r="A59" s="1348"/>
      <c r="B59" s="1348"/>
      <c r="C59" s="1289"/>
      <c r="G59" s="1245"/>
      <c r="H59" s="1245"/>
      <c r="I59" s="1244"/>
      <c r="K59" s="1244"/>
      <c r="L59" s="1244"/>
      <c r="M59" s="1244"/>
      <c r="O59" s="1244"/>
      <c r="P59" s="1244"/>
      <c r="S59" s="1350"/>
    </row>
    <row r="60" spans="1:29" ht="15.75" customHeight="1">
      <c r="I60" s="1341"/>
      <c r="R60" s="1351"/>
      <c r="S60" s="1352"/>
    </row>
    <row r="61" spans="1:29">
      <c r="D61" s="1353"/>
      <c r="I61" s="1341"/>
    </row>
    <row r="62" spans="1:29">
      <c r="D62" s="1353"/>
    </row>
    <row r="63" spans="1:29">
      <c r="D63" s="1353"/>
    </row>
    <row r="64" spans="1:29">
      <c r="D64" s="1353"/>
      <c r="N64" s="1244" t="s">
        <v>21</v>
      </c>
    </row>
    <row r="65" spans="4:4">
      <c r="D65" s="1353"/>
    </row>
  </sheetData>
  <customSheetViews>
    <customSheetView guid="{0F09EDAE-127A-4543-88A5-04139BD32AD8}" scale="70" fitToPage="1" hiddenColumns="1" topLeftCell="A46">
      <selection activeCell="A54" sqref="A54:A55"/>
      <pageMargins left="0.17" right="0.39370078740157483" top="0.9055118110236221" bottom="0.43307086614173229" header="0.31496062992125984" footer="0.31496062992125984"/>
      <pageSetup paperSize="256" scale="42" fitToHeight="0" orientation="portrait" r:id="rId1"/>
    </customSheetView>
    <customSheetView guid="{C05430D3-5A25-4A4C-823C-7D6EA772E5F0}" scale="70" showPageBreaks="1" fitToPage="1" hiddenColumns="1" topLeftCell="A49">
      <selection activeCell="I55" sqref="I55"/>
      <pageMargins left="0.17" right="0.39370078740157483" top="0.9055118110236221" bottom="0.43307086614173229" header="0.31496062992125984" footer="0.31496062992125984"/>
      <pageSetup paperSize="256" scale="33" fitToHeight="0" orientation="portrait" r:id="rId2"/>
    </customSheetView>
  </customSheetViews>
  <mergeCells count="32">
    <mergeCell ref="I51:J51"/>
    <mergeCell ref="I58:J58"/>
    <mergeCell ref="I52:J52"/>
    <mergeCell ref="A1:N1"/>
    <mergeCell ref="A2:N2"/>
    <mergeCell ref="A8:A10"/>
    <mergeCell ref="B8:D9"/>
    <mergeCell ref="E8:E10"/>
    <mergeCell ref="F8:F10"/>
    <mergeCell ref="G8:G10"/>
    <mergeCell ref="H8:H10"/>
    <mergeCell ref="I8:J9"/>
    <mergeCell ref="K8:M9"/>
    <mergeCell ref="N8:N10"/>
    <mergeCell ref="A22:H22"/>
    <mergeCell ref="B12:B21"/>
    <mergeCell ref="A12:A21"/>
    <mergeCell ref="A40:H40"/>
    <mergeCell ref="A47:H47"/>
    <mergeCell ref="B23:B30"/>
    <mergeCell ref="A23:A30"/>
    <mergeCell ref="A43:F43"/>
    <mergeCell ref="B41:B42"/>
    <mergeCell ref="A41:A42"/>
    <mergeCell ref="A48:H48"/>
    <mergeCell ref="A31:H31"/>
    <mergeCell ref="A32:A37"/>
    <mergeCell ref="B32:B37"/>
    <mergeCell ref="A38:H38"/>
    <mergeCell ref="A46:H46"/>
    <mergeCell ref="A44:A45"/>
    <mergeCell ref="B44:B45"/>
  </mergeCells>
  <pageMargins left="0.17" right="0.39370078740157483" top="0.9055118110236221" bottom="0.43307086614173229" header="0.31496062992125984" footer="0.31496062992125984"/>
  <pageSetup paperSize="256" scale="33" fitToHeight="0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N65"/>
  <sheetViews>
    <sheetView topLeftCell="A13" workbookViewId="0">
      <selection sqref="A1:Y1"/>
    </sheetView>
  </sheetViews>
  <sheetFormatPr defaultColWidth="9.140625" defaultRowHeight="18"/>
  <cols>
    <col min="1" max="1" width="4.5703125" style="1243" customWidth="1"/>
    <col min="2" max="2" width="17" style="1243" customWidth="1"/>
    <col min="3" max="3" width="7" style="1242" customWidth="1"/>
    <col min="4" max="4" width="69.28515625" style="1243" customWidth="1"/>
    <col min="5" max="5" width="18.42578125" style="2663" customWidth="1"/>
    <col min="6" max="6" width="13" style="1243" customWidth="1"/>
    <col min="7" max="7" width="59" style="1243" hidden="1" customWidth="1"/>
    <col min="8" max="8" width="11.140625" style="1243" hidden="1" customWidth="1"/>
    <col min="9" max="9" width="22.42578125" style="1243" bestFit="1" customWidth="1"/>
    <col min="10" max="19" width="22.42578125" style="2663" customWidth="1"/>
    <col min="20" max="20" width="21.7109375" style="1243" bestFit="1" customWidth="1"/>
    <col min="21" max="21" width="11.28515625" style="2663" customWidth="1"/>
    <col min="22" max="22" width="7.28515625" style="1243" hidden="1" customWidth="1"/>
    <col min="23" max="24" width="7" style="1243" hidden="1" customWidth="1"/>
    <col min="25" max="25" width="16.5703125" style="2663" hidden="1" customWidth="1"/>
    <col min="26" max="26" width="2.140625" style="1243" customWidth="1"/>
    <col min="27" max="27" width="2.5703125" style="1243" customWidth="1"/>
    <col min="28" max="28" width="23" style="1243" bestFit="1" customWidth="1"/>
    <col min="29" max="29" width="21.85546875" style="1349" customWidth="1"/>
    <col min="30" max="30" width="25.140625" style="1349" customWidth="1"/>
    <col min="31" max="33" width="22.5703125" style="1243" bestFit="1" customWidth="1"/>
    <col min="34" max="34" width="23" style="1243" bestFit="1" customWidth="1"/>
    <col min="35" max="269" width="9.140625" style="1243"/>
    <col min="270" max="270" width="4.5703125" style="1243" customWidth="1"/>
    <col min="271" max="271" width="21.85546875" style="1243" customWidth="1"/>
    <col min="272" max="272" width="22.140625" style="1243" customWidth="1"/>
    <col min="273" max="273" width="11.5703125" style="1243" customWidth="1"/>
    <col min="274" max="276" width="3.5703125" style="1243" customWidth="1"/>
    <col min="277" max="277" width="9.5703125" style="1243" customWidth="1"/>
    <col min="278" max="278" width="18.85546875" style="1243" customWidth="1"/>
    <col min="279" max="279" width="11.5703125" style="1243" customWidth="1"/>
    <col min="280" max="280" width="16.42578125" style="1243" customWidth="1"/>
    <col min="281" max="281" width="17.5703125" style="1243" customWidth="1"/>
    <col min="282" max="282" width="10.5703125" style="1243" customWidth="1"/>
    <col min="283" max="525" width="9.140625" style="1243"/>
    <col min="526" max="526" width="4.5703125" style="1243" customWidth="1"/>
    <col min="527" max="527" width="21.85546875" style="1243" customWidth="1"/>
    <col min="528" max="528" width="22.140625" style="1243" customWidth="1"/>
    <col min="529" max="529" width="11.5703125" style="1243" customWidth="1"/>
    <col min="530" max="532" width="3.5703125" style="1243" customWidth="1"/>
    <col min="533" max="533" width="9.5703125" style="1243" customWidth="1"/>
    <col min="534" max="534" width="18.85546875" style="1243" customWidth="1"/>
    <col min="535" max="535" width="11.5703125" style="1243" customWidth="1"/>
    <col min="536" max="536" width="16.42578125" style="1243" customWidth="1"/>
    <col min="537" max="537" width="17.5703125" style="1243" customWidth="1"/>
    <col min="538" max="538" width="10.5703125" style="1243" customWidth="1"/>
    <col min="539" max="781" width="9.140625" style="1243"/>
    <col min="782" max="782" width="4.5703125" style="1243" customWidth="1"/>
    <col min="783" max="783" width="21.85546875" style="1243" customWidth="1"/>
    <col min="784" max="784" width="22.140625" style="1243" customWidth="1"/>
    <col min="785" max="785" width="11.5703125" style="1243" customWidth="1"/>
    <col min="786" max="788" width="3.5703125" style="1243" customWidth="1"/>
    <col min="789" max="789" width="9.5703125" style="1243" customWidth="1"/>
    <col min="790" max="790" width="18.85546875" style="1243" customWidth="1"/>
    <col min="791" max="791" width="11.5703125" style="1243" customWidth="1"/>
    <col min="792" max="792" width="16.42578125" style="1243" customWidth="1"/>
    <col min="793" max="793" width="17.5703125" style="1243" customWidth="1"/>
    <col min="794" max="794" width="10.5703125" style="1243" customWidth="1"/>
    <col min="795" max="1037" width="9.140625" style="1243"/>
    <col min="1038" max="1038" width="4.5703125" style="1243" customWidth="1"/>
    <col min="1039" max="1039" width="21.85546875" style="1243" customWidth="1"/>
    <col min="1040" max="1040" width="22.140625" style="1243" customWidth="1"/>
    <col min="1041" max="1041" width="11.5703125" style="1243" customWidth="1"/>
    <col min="1042" max="1044" width="3.5703125" style="1243" customWidth="1"/>
    <col min="1045" max="1045" width="9.5703125" style="1243" customWidth="1"/>
    <col min="1046" max="1046" width="18.85546875" style="1243" customWidth="1"/>
    <col min="1047" max="1047" width="11.5703125" style="1243" customWidth="1"/>
    <col min="1048" max="1048" width="16.42578125" style="1243" customWidth="1"/>
    <col min="1049" max="1049" width="17.5703125" style="1243" customWidth="1"/>
    <col min="1050" max="1050" width="10.5703125" style="1243" customWidth="1"/>
    <col min="1051" max="1293" width="9.140625" style="1243"/>
    <col min="1294" max="1294" width="4.5703125" style="1243" customWidth="1"/>
    <col min="1295" max="1295" width="21.85546875" style="1243" customWidth="1"/>
    <col min="1296" max="1296" width="22.140625" style="1243" customWidth="1"/>
    <col min="1297" max="1297" width="11.5703125" style="1243" customWidth="1"/>
    <col min="1298" max="1300" width="3.5703125" style="1243" customWidth="1"/>
    <col min="1301" max="1301" width="9.5703125" style="1243" customWidth="1"/>
    <col min="1302" max="1302" width="18.85546875" style="1243" customWidth="1"/>
    <col min="1303" max="1303" width="11.5703125" style="1243" customWidth="1"/>
    <col min="1304" max="1304" width="16.42578125" style="1243" customWidth="1"/>
    <col min="1305" max="1305" width="17.5703125" style="1243" customWidth="1"/>
    <col min="1306" max="1306" width="10.5703125" style="1243" customWidth="1"/>
    <col min="1307" max="1549" width="9.140625" style="1243"/>
    <col min="1550" max="1550" width="4.5703125" style="1243" customWidth="1"/>
    <col min="1551" max="1551" width="21.85546875" style="1243" customWidth="1"/>
    <col min="1552" max="1552" width="22.140625" style="1243" customWidth="1"/>
    <col min="1553" max="1553" width="11.5703125" style="1243" customWidth="1"/>
    <col min="1554" max="1556" width="3.5703125" style="1243" customWidth="1"/>
    <col min="1557" max="1557" width="9.5703125" style="1243" customWidth="1"/>
    <col min="1558" max="1558" width="18.85546875" style="1243" customWidth="1"/>
    <col min="1559" max="1559" width="11.5703125" style="1243" customWidth="1"/>
    <col min="1560" max="1560" width="16.42578125" style="1243" customWidth="1"/>
    <col min="1561" max="1561" width="17.5703125" style="1243" customWidth="1"/>
    <col min="1562" max="1562" width="10.5703125" style="1243" customWidth="1"/>
    <col min="1563" max="1805" width="9.140625" style="1243"/>
    <col min="1806" max="1806" width="4.5703125" style="1243" customWidth="1"/>
    <col min="1807" max="1807" width="21.85546875" style="1243" customWidth="1"/>
    <col min="1808" max="1808" width="22.140625" style="1243" customWidth="1"/>
    <col min="1809" max="1809" width="11.5703125" style="1243" customWidth="1"/>
    <col min="1810" max="1812" width="3.5703125" style="1243" customWidth="1"/>
    <col min="1813" max="1813" width="9.5703125" style="1243" customWidth="1"/>
    <col min="1814" max="1814" width="18.85546875" style="1243" customWidth="1"/>
    <col min="1815" max="1815" width="11.5703125" style="1243" customWidth="1"/>
    <col min="1816" max="1816" width="16.42578125" style="1243" customWidth="1"/>
    <col min="1817" max="1817" width="17.5703125" style="1243" customWidth="1"/>
    <col min="1818" max="1818" width="10.5703125" style="1243" customWidth="1"/>
    <col min="1819" max="2061" width="9.140625" style="1243"/>
    <col min="2062" max="2062" width="4.5703125" style="1243" customWidth="1"/>
    <col min="2063" max="2063" width="21.85546875" style="1243" customWidth="1"/>
    <col min="2064" max="2064" width="22.140625" style="1243" customWidth="1"/>
    <col min="2065" max="2065" width="11.5703125" style="1243" customWidth="1"/>
    <col min="2066" max="2068" width="3.5703125" style="1243" customWidth="1"/>
    <col min="2069" max="2069" width="9.5703125" style="1243" customWidth="1"/>
    <col min="2070" max="2070" width="18.85546875" style="1243" customWidth="1"/>
    <col min="2071" max="2071" width="11.5703125" style="1243" customWidth="1"/>
    <col min="2072" max="2072" width="16.42578125" style="1243" customWidth="1"/>
    <col min="2073" max="2073" width="17.5703125" style="1243" customWidth="1"/>
    <col min="2074" max="2074" width="10.5703125" style="1243" customWidth="1"/>
    <col min="2075" max="2317" width="9.140625" style="1243"/>
    <col min="2318" max="2318" width="4.5703125" style="1243" customWidth="1"/>
    <col min="2319" max="2319" width="21.85546875" style="1243" customWidth="1"/>
    <col min="2320" max="2320" width="22.140625" style="1243" customWidth="1"/>
    <col min="2321" max="2321" width="11.5703125" style="1243" customWidth="1"/>
    <col min="2322" max="2324" width="3.5703125" style="1243" customWidth="1"/>
    <col min="2325" max="2325" width="9.5703125" style="1243" customWidth="1"/>
    <col min="2326" max="2326" width="18.85546875" style="1243" customWidth="1"/>
    <col min="2327" max="2327" width="11.5703125" style="1243" customWidth="1"/>
    <col min="2328" max="2328" width="16.42578125" style="1243" customWidth="1"/>
    <col min="2329" max="2329" width="17.5703125" style="1243" customWidth="1"/>
    <col min="2330" max="2330" width="10.5703125" style="1243" customWidth="1"/>
    <col min="2331" max="2573" width="9.140625" style="1243"/>
    <col min="2574" max="2574" width="4.5703125" style="1243" customWidth="1"/>
    <col min="2575" max="2575" width="21.85546875" style="1243" customWidth="1"/>
    <col min="2576" max="2576" width="22.140625" style="1243" customWidth="1"/>
    <col min="2577" max="2577" width="11.5703125" style="1243" customWidth="1"/>
    <col min="2578" max="2580" width="3.5703125" style="1243" customWidth="1"/>
    <col min="2581" max="2581" width="9.5703125" style="1243" customWidth="1"/>
    <col min="2582" max="2582" width="18.85546875" style="1243" customWidth="1"/>
    <col min="2583" max="2583" width="11.5703125" style="1243" customWidth="1"/>
    <col min="2584" max="2584" width="16.42578125" style="1243" customWidth="1"/>
    <col min="2585" max="2585" width="17.5703125" style="1243" customWidth="1"/>
    <col min="2586" max="2586" width="10.5703125" style="1243" customWidth="1"/>
    <col min="2587" max="2829" width="9.140625" style="1243"/>
    <col min="2830" max="2830" width="4.5703125" style="1243" customWidth="1"/>
    <col min="2831" max="2831" width="21.85546875" style="1243" customWidth="1"/>
    <col min="2832" max="2832" width="22.140625" style="1243" customWidth="1"/>
    <col min="2833" max="2833" width="11.5703125" style="1243" customWidth="1"/>
    <col min="2834" max="2836" width="3.5703125" style="1243" customWidth="1"/>
    <col min="2837" max="2837" width="9.5703125" style="1243" customWidth="1"/>
    <col min="2838" max="2838" width="18.85546875" style="1243" customWidth="1"/>
    <col min="2839" max="2839" width="11.5703125" style="1243" customWidth="1"/>
    <col min="2840" max="2840" width="16.42578125" style="1243" customWidth="1"/>
    <col min="2841" max="2841" width="17.5703125" style="1243" customWidth="1"/>
    <col min="2842" max="2842" width="10.5703125" style="1243" customWidth="1"/>
    <col min="2843" max="3085" width="9.140625" style="1243"/>
    <col min="3086" max="3086" width="4.5703125" style="1243" customWidth="1"/>
    <col min="3087" max="3087" width="21.85546875" style="1243" customWidth="1"/>
    <col min="3088" max="3088" width="22.140625" style="1243" customWidth="1"/>
    <col min="3089" max="3089" width="11.5703125" style="1243" customWidth="1"/>
    <col min="3090" max="3092" width="3.5703125" style="1243" customWidth="1"/>
    <col min="3093" max="3093" width="9.5703125" style="1243" customWidth="1"/>
    <col min="3094" max="3094" width="18.85546875" style="1243" customWidth="1"/>
    <col min="3095" max="3095" width="11.5703125" style="1243" customWidth="1"/>
    <col min="3096" max="3096" width="16.42578125" style="1243" customWidth="1"/>
    <col min="3097" max="3097" width="17.5703125" style="1243" customWidth="1"/>
    <col min="3098" max="3098" width="10.5703125" style="1243" customWidth="1"/>
    <col min="3099" max="3341" width="9.140625" style="1243"/>
    <col min="3342" max="3342" width="4.5703125" style="1243" customWidth="1"/>
    <col min="3343" max="3343" width="21.85546875" style="1243" customWidth="1"/>
    <col min="3344" max="3344" width="22.140625" style="1243" customWidth="1"/>
    <col min="3345" max="3345" width="11.5703125" style="1243" customWidth="1"/>
    <col min="3346" max="3348" width="3.5703125" style="1243" customWidth="1"/>
    <col min="3349" max="3349" width="9.5703125" style="1243" customWidth="1"/>
    <col min="3350" max="3350" width="18.85546875" style="1243" customWidth="1"/>
    <col min="3351" max="3351" width="11.5703125" style="1243" customWidth="1"/>
    <col min="3352" max="3352" width="16.42578125" style="1243" customWidth="1"/>
    <col min="3353" max="3353" width="17.5703125" style="1243" customWidth="1"/>
    <col min="3354" max="3354" width="10.5703125" style="1243" customWidth="1"/>
    <col min="3355" max="3597" width="9.140625" style="1243"/>
    <col min="3598" max="3598" width="4.5703125" style="1243" customWidth="1"/>
    <col min="3599" max="3599" width="21.85546875" style="1243" customWidth="1"/>
    <col min="3600" max="3600" width="22.140625" style="1243" customWidth="1"/>
    <col min="3601" max="3601" width="11.5703125" style="1243" customWidth="1"/>
    <col min="3602" max="3604" width="3.5703125" style="1243" customWidth="1"/>
    <col min="3605" max="3605" width="9.5703125" style="1243" customWidth="1"/>
    <col min="3606" max="3606" width="18.85546875" style="1243" customWidth="1"/>
    <col min="3607" max="3607" width="11.5703125" style="1243" customWidth="1"/>
    <col min="3608" max="3608" width="16.42578125" style="1243" customWidth="1"/>
    <col min="3609" max="3609" width="17.5703125" style="1243" customWidth="1"/>
    <col min="3610" max="3610" width="10.5703125" style="1243" customWidth="1"/>
    <col min="3611" max="3853" width="9.140625" style="1243"/>
    <col min="3854" max="3854" width="4.5703125" style="1243" customWidth="1"/>
    <col min="3855" max="3855" width="21.85546875" style="1243" customWidth="1"/>
    <col min="3856" max="3856" width="22.140625" style="1243" customWidth="1"/>
    <col min="3857" max="3857" width="11.5703125" style="1243" customWidth="1"/>
    <col min="3858" max="3860" width="3.5703125" style="1243" customWidth="1"/>
    <col min="3861" max="3861" width="9.5703125" style="1243" customWidth="1"/>
    <col min="3862" max="3862" width="18.85546875" style="1243" customWidth="1"/>
    <col min="3863" max="3863" width="11.5703125" style="1243" customWidth="1"/>
    <col min="3864" max="3864" width="16.42578125" style="1243" customWidth="1"/>
    <col min="3865" max="3865" width="17.5703125" style="1243" customWidth="1"/>
    <col min="3866" max="3866" width="10.5703125" style="1243" customWidth="1"/>
    <col min="3867" max="4109" width="9.140625" style="1243"/>
    <col min="4110" max="4110" width="4.5703125" style="1243" customWidth="1"/>
    <col min="4111" max="4111" width="21.85546875" style="1243" customWidth="1"/>
    <col min="4112" max="4112" width="22.140625" style="1243" customWidth="1"/>
    <col min="4113" max="4113" width="11.5703125" style="1243" customWidth="1"/>
    <col min="4114" max="4116" width="3.5703125" style="1243" customWidth="1"/>
    <col min="4117" max="4117" width="9.5703125" style="1243" customWidth="1"/>
    <col min="4118" max="4118" width="18.85546875" style="1243" customWidth="1"/>
    <col min="4119" max="4119" width="11.5703125" style="1243" customWidth="1"/>
    <col min="4120" max="4120" width="16.42578125" style="1243" customWidth="1"/>
    <col min="4121" max="4121" width="17.5703125" style="1243" customWidth="1"/>
    <col min="4122" max="4122" width="10.5703125" style="1243" customWidth="1"/>
    <col min="4123" max="4365" width="9.140625" style="1243"/>
    <col min="4366" max="4366" width="4.5703125" style="1243" customWidth="1"/>
    <col min="4367" max="4367" width="21.85546875" style="1243" customWidth="1"/>
    <col min="4368" max="4368" width="22.140625" style="1243" customWidth="1"/>
    <col min="4369" max="4369" width="11.5703125" style="1243" customWidth="1"/>
    <col min="4370" max="4372" width="3.5703125" style="1243" customWidth="1"/>
    <col min="4373" max="4373" width="9.5703125" style="1243" customWidth="1"/>
    <col min="4374" max="4374" width="18.85546875" style="1243" customWidth="1"/>
    <col min="4375" max="4375" width="11.5703125" style="1243" customWidth="1"/>
    <col min="4376" max="4376" width="16.42578125" style="1243" customWidth="1"/>
    <col min="4377" max="4377" width="17.5703125" style="1243" customWidth="1"/>
    <col min="4378" max="4378" width="10.5703125" style="1243" customWidth="1"/>
    <col min="4379" max="4621" width="9.140625" style="1243"/>
    <col min="4622" max="4622" width="4.5703125" style="1243" customWidth="1"/>
    <col min="4623" max="4623" width="21.85546875" style="1243" customWidth="1"/>
    <col min="4624" max="4624" width="22.140625" style="1243" customWidth="1"/>
    <col min="4625" max="4625" width="11.5703125" style="1243" customWidth="1"/>
    <col min="4626" max="4628" width="3.5703125" style="1243" customWidth="1"/>
    <col min="4629" max="4629" width="9.5703125" style="1243" customWidth="1"/>
    <col min="4630" max="4630" width="18.85546875" style="1243" customWidth="1"/>
    <col min="4631" max="4631" width="11.5703125" style="1243" customWidth="1"/>
    <col min="4632" max="4632" width="16.42578125" style="1243" customWidth="1"/>
    <col min="4633" max="4633" width="17.5703125" style="1243" customWidth="1"/>
    <col min="4634" max="4634" width="10.5703125" style="1243" customWidth="1"/>
    <col min="4635" max="4877" width="9.140625" style="1243"/>
    <col min="4878" max="4878" width="4.5703125" style="1243" customWidth="1"/>
    <col min="4879" max="4879" width="21.85546875" style="1243" customWidth="1"/>
    <col min="4880" max="4880" width="22.140625" style="1243" customWidth="1"/>
    <col min="4881" max="4881" width="11.5703125" style="1243" customWidth="1"/>
    <col min="4882" max="4884" width="3.5703125" style="1243" customWidth="1"/>
    <col min="4885" max="4885" width="9.5703125" style="1243" customWidth="1"/>
    <col min="4886" max="4886" width="18.85546875" style="1243" customWidth="1"/>
    <col min="4887" max="4887" width="11.5703125" style="1243" customWidth="1"/>
    <col min="4888" max="4888" width="16.42578125" style="1243" customWidth="1"/>
    <col min="4889" max="4889" width="17.5703125" style="1243" customWidth="1"/>
    <col min="4890" max="4890" width="10.5703125" style="1243" customWidth="1"/>
    <col min="4891" max="5133" width="9.140625" style="1243"/>
    <col min="5134" max="5134" width="4.5703125" style="1243" customWidth="1"/>
    <col min="5135" max="5135" width="21.85546875" style="1243" customWidth="1"/>
    <col min="5136" max="5136" width="22.140625" style="1243" customWidth="1"/>
    <col min="5137" max="5137" width="11.5703125" style="1243" customWidth="1"/>
    <col min="5138" max="5140" width="3.5703125" style="1243" customWidth="1"/>
    <col min="5141" max="5141" width="9.5703125" style="1243" customWidth="1"/>
    <col min="5142" max="5142" width="18.85546875" style="1243" customWidth="1"/>
    <col min="5143" max="5143" width="11.5703125" style="1243" customWidth="1"/>
    <col min="5144" max="5144" width="16.42578125" style="1243" customWidth="1"/>
    <col min="5145" max="5145" width="17.5703125" style="1243" customWidth="1"/>
    <col min="5146" max="5146" width="10.5703125" style="1243" customWidth="1"/>
    <col min="5147" max="5389" width="9.140625" style="1243"/>
    <col min="5390" max="5390" width="4.5703125" style="1243" customWidth="1"/>
    <col min="5391" max="5391" width="21.85546875" style="1243" customWidth="1"/>
    <col min="5392" max="5392" width="22.140625" style="1243" customWidth="1"/>
    <col min="5393" max="5393" width="11.5703125" style="1243" customWidth="1"/>
    <col min="5394" max="5396" width="3.5703125" style="1243" customWidth="1"/>
    <col min="5397" max="5397" width="9.5703125" style="1243" customWidth="1"/>
    <col min="5398" max="5398" width="18.85546875" style="1243" customWidth="1"/>
    <col min="5399" max="5399" width="11.5703125" style="1243" customWidth="1"/>
    <col min="5400" max="5400" width="16.42578125" style="1243" customWidth="1"/>
    <col min="5401" max="5401" width="17.5703125" style="1243" customWidth="1"/>
    <col min="5402" max="5402" width="10.5703125" style="1243" customWidth="1"/>
    <col min="5403" max="5645" width="9.140625" style="1243"/>
    <col min="5646" max="5646" width="4.5703125" style="1243" customWidth="1"/>
    <col min="5647" max="5647" width="21.85546875" style="1243" customWidth="1"/>
    <col min="5648" max="5648" width="22.140625" style="1243" customWidth="1"/>
    <col min="5649" max="5649" width="11.5703125" style="1243" customWidth="1"/>
    <col min="5650" max="5652" width="3.5703125" style="1243" customWidth="1"/>
    <col min="5653" max="5653" width="9.5703125" style="1243" customWidth="1"/>
    <col min="5654" max="5654" width="18.85546875" style="1243" customWidth="1"/>
    <col min="5655" max="5655" width="11.5703125" style="1243" customWidth="1"/>
    <col min="5656" max="5656" width="16.42578125" style="1243" customWidth="1"/>
    <col min="5657" max="5657" width="17.5703125" style="1243" customWidth="1"/>
    <col min="5658" max="5658" width="10.5703125" style="1243" customWidth="1"/>
    <col min="5659" max="5901" width="9.140625" style="1243"/>
    <col min="5902" max="5902" width="4.5703125" style="1243" customWidth="1"/>
    <col min="5903" max="5903" width="21.85546875" style="1243" customWidth="1"/>
    <col min="5904" max="5904" width="22.140625" style="1243" customWidth="1"/>
    <col min="5905" max="5905" width="11.5703125" style="1243" customWidth="1"/>
    <col min="5906" max="5908" width="3.5703125" style="1243" customWidth="1"/>
    <col min="5909" max="5909" width="9.5703125" style="1243" customWidth="1"/>
    <col min="5910" max="5910" width="18.85546875" style="1243" customWidth="1"/>
    <col min="5911" max="5911" width="11.5703125" style="1243" customWidth="1"/>
    <col min="5912" max="5912" width="16.42578125" style="1243" customWidth="1"/>
    <col min="5913" max="5913" width="17.5703125" style="1243" customWidth="1"/>
    <col min="5914" max="5914" width="10.5703125" style="1243" customWidth="1"/>
    <col min="5915" max="6157" width="9.140625" style="1243"/>
    <col min="6158" max="6158" width="4.5703125" style="1243" customWidth="1"/>
    <col min="6159" max="6159" width="21.85546875" style="1243" customWidth="1"/>
    <col min="6160" max="6160" width="22.140625" style="1243" customWidth="1"/>
    <col min="6161" max="6161" width="11.5703125" style="1243" customWidth="1"/>
    <col min="6162" max="6164" width="3.5703125" style="1243" customWidth="1"/>
    <col min="6165" max="6165" width="9.5703125" style="1243" customWidth="1"/>
    <col min="6166" max="6166" width="18.85546875" style="1243" customWidth="1"/>
    <col min="6167" max="6167" width="11.5703125" style="1243" customWidth="1"/>
    <col min="6168" max="6168" width="16.42578125" style="1243" customWidth="1"/>
    <col min="6169" max="6169" width="17.5703125" style="1243" customWidth="1"/>
    <col min="6170" max="6170" width="10.5703125" style="1243" customWidth="1"/>
    <col min="6171" max="6413" width="9.140625" style="1243"/>
    <col min="6414" max="6414" width="4.5703125" style="1243" customWidth="1"/>
    <col min="6415" max="6415" width="21.85546875" style="1243" customWidth="1"/>
    <col min="6416" max="6416" width="22.140625" style="1243" customWidth="1"/>
    <col min="6417" max="6417" width="11.5703125" style="1243" customWidth="1"/>
    <col min="6418" max="6420" width="3.5703125" style="1243" customWidth="1"/>
    <col min="6421" max="6421" width="9.5703125" style="1243" customWidth="1"/>
    <col min="6422" max="6422" width="18.85546875" style="1243" customWidth="1"/>
    <col min="6423" max="6423" width="11.5703125" style="1243" customWidth="1"/>
    <col min="6424" max="6424" width="16.42578125" style="1243" customWidth="1"/>
    <col min="6425" max="6425" width="17.5703125" style="1243" customWidth="1"/>
    <col min="6426" max="6426" width="10.5703125" style="1243" customWidth="1"/>
    <col min="6427" max="6669" width="9.140625" style="1243"/>
    <col min="6670" max="6670" width="4.5703125" style="1243" customWidth="1"/>
    <col min="6671" max="6671" width="21.85546875" style="1243" customWidth="1"/>
    <col min="6672" max="6672" width="22.140625" style="1243" customWidth="1"/>
    <col min="6673" max="6673" width="11.5703125" style="1243" customWidth="1"/>
    <col min="6674" max="6676" width="3.5703125" style="1243" customWidth="1"/>
    <col min="6677" max="6677" width="9.5703125" style="1243" customWidth="1"/>
    <col min="6678" max="6678" width="18.85546875" style="1243" customWidth="1"/>
    <col min="6679" max="6679" width="11.5703125" style="1243" customWidth="1"/>
    <col min="6680" max="6680" width="16.42578125" style="1243" customWidth="1"/>
    <col min="6681" max="6681" width="17.5703125" style="1243" customWidth="1"/>
    <col min="6682" max="6682" width="10.5703125" style="1243" customWidth="1"/>
    <col min="6683" max="6925" width="9.140625" style="1243"/>
    <col min="6926" max="6926" width="4.5703125" style="1243" customWidth="1"/>
    <col min="6927" max="6927" width="21.85546875" style="1243" customWidth="1"/>
    <col min="6928" max="6928" width="22.140625" style="1243" customWidth="1"/>
    <col min="6929" max="6929" width="11.5703125" style="1243" customWidth="1"/>
    <col min="6930" max="6932" width="3.5703125" style="1243" customWidth="1"/>
    <col min="6933" max="6933" width="9.5703125" style="1243" customWidth="1"/>
    <col min="6934" max="6934" width="18.85546875" style="1243" customWidth="1"/>
    <col min="6935" max="6935" width="11.5703125" style="1243" customWidth="1"/>
    <col min="6936" max="6936" width="16.42578125" style="1243" customWidth="1"/>
    <col min="6937" max="6937" width="17.5703125" style="1243" customWidth="1"/>
    <col min="6938" max="6938" width="10.5703125" style="1243" customWidth="1"/>
    <col min="6939" max="7181" width="9.140625" style="1243"/>
    <col min="7182" max="7182" width="4.5703125" style="1243" customWidth="1"/>
    <col min="7183" max="7183" width="21.85546875" style="1243" customWidth="1"/>
    <col min="7184" max="7184" width="22.140625" style="1243" customWidth="1"/>
    <col min="7185" max="7185" width="11.5703125" style="1243" customWidth="1"/>
    <col min="7186" max="7188" width="3.5703125" style="1243" customWidth="1"/>
    <col min="7189" max="7189" width="9.5703125" style="1243" customWidth="1"/>
    <col min="7190" max="7190" width="18.85546875" style="1243" customWidth="1"/>
    <col min="7191" max="7191" width="11.5703125" style="1243" customWidth="1"/>
    <col min="7192" max="7192" width="16.42578125" style="1243" customWidth="1"/>
    <col min="7193" max="7193" width="17.5703125" style="1243" customWidth="1"/>
    <col min="7194" max="7194" width="10.5703125" style="1243" customWidth="1"/>
    <col min="7195" max="7437" width="9.140625" style="1243"/>
    <col min="7438" max="7438" width="4.5703125" style="1243" customWidth="1"/>
    <col min="7439" max="7439" width="21.85546875" style="1243" customWidth="1"/>
    <col min="7440" max="7440" width="22.140625" style="1243" customWidth="1"/>
    <col min="7441" max="7441" width="11.5703125" style="1243" customWidth="1"/>
    <col min="7442" max="7444" width="3.5703125" style="1243" customWidth="1"/>
    <col min="7445" max="7445" width="9.5703125" style="1243" customWidth="1"/>
    <col min="7446" max="7446" width="18.85546875" style="1243" customWidth="1"/>
    <col min="7447" max="7447" width="11.5703125" style="1243" customWidth="1"/>
    <col min="7448" max="7448" width="16.42578125" style="1243" customWidth="1"/>
    <col min="7449" max="7449" width="17.5703125" style="1243" customWidth="1"/>
    <col min="7450" max="7450" width="10.5703125" style="1243" customWidth="1"/>
    <col min="7451" max="7693" width="9.140625" style="1243"/>
    <col min="7694" max="7694" width="4.5703125" style="1243" customWidth="1"/>
    <col min="7695" max="7695" width="21.85546875" style="1243" customWidth="1"/>
    <col min="7696" max="7696" width="22.140625" style="1243" customWidth="1"/>
    <col min="7697" max="7697" width="11.5703125" style="1243" customWidth="1"/>
    <col min="7698" max="7700" width="3.5703125" style="1243" customWidth="1"/>
    <col min="7701" max="7701" width="9.5703125" style="1243" customWidth="1"/>
    <col min="7702" max="7702" width="18.85546875" style="1243" customWidth="1"/>
    <col min="7703" max="7703" width="11.5703125" style="1243" customWidth="1"/>
    <col min="7704" max="7704" width="16.42578125" style="1243" customWidth="1"/>
    <col min="7705" max="7705" width="17.5703125" style="1243" customWidth="1"/>
    <col min="7706" max="7706" width="10.5703125" style="1243" customWidth="1"/>
    <col min="7707" max="7949" width="9.140625" style="1243"/>
    <col min="7950" max="7950" width="4.5703125" style="1243" customWidth="1"/>
    <col min="7951" max="7951" width="21.85546875" style="1243" customWidth="1"/>
    <col min="7952" max="7952" width="22.140625" style="1243" customWidth="1"/>
    <col min="7953" max="7953" width="11.5703125" style="1243" customWidth="1"/>
    <col min="7954" max="7956" width="3.5703125" style="1243" customWidth="1"/>
    <col min="7957" max="7957" width="9.5703125" style="1243" customWidth="1"/>
    <col min="7958" max="7958" width="18.85546875" style="1243" customWidth="1"/>
    <col min="7959" max="7959" width="11.5703125" style="1243" customWidth="1"/>
    <col min="7960" max="7960" width="16.42578125" style="1243" customWidth="1"/>
    <col min="7961" max="7961" width="17.5703125" style="1243" customWidth="1"/>
    <col min="7962" max="7962" width="10.5703125" style="1243" customWidth="1"/>
    <col min="7963" max="8205" width="9.140625" style="1243"/>
    <col min="8206" max="8206" width="4.5703125" style="1243" customWidth="1"/>
    <col min="8207" max="8207" width="21.85546875" style="1243" customWidth="1"/>
    <col min="8208" max="8208" width="22.140625" style="1243" customWidth="1"/>
    <col min="8209" max="8209" width="11.5703125" style="1243" customWidth="1"/>
    <col min="8210" max="8212" width="3.5703125" style="1243" customWidth="1"/>
    <col min="8213" max="8213" width="9.5703125" style="1243" customWidth="1"/>
    <col min="8214" max="8214" width="18.85546875" style="1243" customWidth="1"/>
    <col min="8215" max="8215" width="11.5703125" style="1243" customWidth="1"/>
    <col min="8216" max="8216" width="16.42578125" style="1243" customWidth="1"/>
    <col min="8217" max="8217" width="17.5703125" style="1243" customWidth="1"/>
    <col min="8218" max="8218" width="10.5703125" style="1243" customWidth="1"/>
    <col min="8219" max="8461" width="9.140625" style="1243"/>
    <col min="8462" max="8462" width="4.5703125" style="1243" customWidth="1"/>
    <col min="8463" max="8463" width="21.85546875" style="1243" customWidth="1"/>
    <col min="8464" max="8464" width="22.140625" style="1243" customWidth="1"/>
    <col min="8465" max="8465" width="11.5703125" style="1243" customWidth="1"/>
    <col min="8466" max="8468" width="3.5703125" style="1243" customWidth="1"/>
    <col min="8469" max="8469" width="9.5703125" style="1243" customWidth="1"/>
    <col min="8470" max="8470" width="18.85546875" style="1243" customWidth="1"/>
    <col min="8471" max="8471" width="11.5703125" style="1243" customWidth="1"/>
    <col min="8472" max="8472" width="16.42578125" style="1243" customWidth="1"/>
    <col min="8473" max="8473" width="17.5703125" style="1243" customWidth="1"/>
    <col min="8474" max="8474" width="10.5703125" style="1243" customWidth="1"/>
    <col min="8475" max="8717" width="9.140625" style="1243"/>
    <col min="8718" max="8718" width="4.5703125" style="1243" customWidth="1"/>
    <col min="8719" max="8719" width="21.85546875" style="1243" customWidth="1"/>
    <col min="8720" max="8720" width="22.140625" style="1243" customWidth="1"/>
    <col min="8721" max="8721" width="11.5703125" style="1243" customWidth="1"/>
    <col min="8722" max="8724" width="3.5703125" style="1243" customWidth="1"/>
    <col min="8725" max="8725" width="9.5703125" style="1243" customWidth="1"/>
    <col min="8726" max="8726" width="18.85546875" style="1243" customWidth="1"/>
    <col min="8727" max="8727" width="11.5703125" style="1243" customWidth="1"/>
    <col min="8728" max="8728" width="16.42578125" style="1243" customWidth="1"/>
    <col min="8729" max="8729" width="17.5703125" style="1243" customWidth="1"/>
    <col min="8730" max="8730" width="10.5703125" style="1243" customWidth="1"/>
    <col min="8731" max="8973" width="9.140625" style="1243"/>
    <col min="8974" max="8974" width="4.5703125" style="1243" customWidth="1"/>
    <col min="8975" max="8975" width="21.85546875" style="1243" customWidth="1"/>
    <col min="8976" max="8976" width="22.140625" style="1243" customWidth="1"/>
    <col min="8977" max="8977" width="11.5703125" style="1243" customWidth="1"/>
    <col min="8978" max="8980" width="3.5703125" style="1243" customWidth="1"/>
    <col min="8981" max="8981" width="9.5703125" style="1243" customWidth="1"/>
    <col min="8982" max="8982" width="18.85546875" style="1243" customWidth="1"/>
    <col min="8983" max="8983" width="11.5703125" style="1243" customWidth="1"/>
    <col min="8984" max="8984" width="16.42578125" style="1243" customWidth="1"/>
    <col min="8985" max="8985" width="17.5703125" style="1243" customWidth="1"/>
    <col min="8986" max="8986" width="10.5703125" style="1243" customWidth="1"/>
    <col min="8987" max="9229" width="9.140625" style="1243"/>
    <col min="9230" max="9230" width="4.5703125" style="1243" customWidth="1"/>
    <col min="9231" max="9231" width="21.85546875" style="1243" customWidth="1"/>
    <col min="9232" max="9232" width="22.140625" style="1243" customWidth="1"/>
    <col min="9233" max="9233" width="11.5703125" style="1243" customWidth="1"/>
    <col min="9234" max="9236" width="3.5703125" style="1243" customWidth="1"/>
    <col min="9237" max="9237" width="9.5703125" style="1243" customWidth="1"/>
    <col min="9238" max="9238" width="18.85546875" style="1243" customWidth="1"/>
    <col min="9239" max="9239" width="11.5703125" style="1243" customWidth="1"/>
    <col min="9240" max="9240" width="16.42578125" style="1243" customWidth="1"/>
    <col min="9241" max="9241" width="17.5703125" style="1243" customWidth="1"/>
    <col min="9242" max="9242" width="10.5703125" style="1243" customWidth="1"/>
    <col min="9243" max="9485" width="9.140625" style="1243"/>
    <col min="9486" max="9486" width="4.5703125" style="1243" customWidth="1"/>
    <col min="9487" max="9487" width="21.85546875" style="1243" customWidth="1"/>
    <col min="9488" max="9488" width="22.140625" style="1243" customWidth="1"/>
    <col min="9489" max="9489" width="11.5703125" style="1243" customWidth="1"/>
    <col min="9490" max="9492" width="3.5703125" style="1243" customWidth="1"/>
    <col min="9493" max="9493" width="9.5703125" style="1243" customWidth="1"/>
    <col min="9494" max="9494" width="18.85546875" style="1243" customWidth="1"/>
    <col min="9495" max="9495" width="11.5703125" style="1243" customWidth="1"/>
    <col min="9496" max="9496" width="16.42578125" style="1243" customWidth="1"/>
    <col min="9497" max="9497" width="17.5703125" style="1243" customWidth="1"/>
    <col min="9498" max="9498" width="10.5703125" style="1243" customWidth="1"/>
    <col min="9499" max="9741" width="9.140625" style="1243"/>
    <col min="9742" max="9742" width="4.5703125" style="1243" customWidth="1"/>
    <col min="9743" max="9743" width="21.85546875" style="1243" customWidth="1"/>
    <col min="9744" max="9744" width="22.140625" style="1243" customWidth="1"/>
    <col min="9745" max="9745" width="11.5703125" style="1243" customWidth="1"/>
    <col min="9746" max="9748" width="3.5703125" style="1243" customWidth="1"/>
    <col min="9749" max="9749" width="9.5703125" style="1243" customWidth="1"/>
    <col min="9750" max="9750" width="18.85546875" style="1243" customWidth="1"/>
    <col min="9751" max="9751" width="11.5703125" style="1243" customWidth="1"/>
    <col min="9752" max="9752" width="16.42578125" style="1243" customWidth="1"/>
    <col min="9753" max="9753" width="17.5703125" style="1243" customWidth="1"/>
    <col min="9754" max="9754" width="10.5703125" style="1243" customWidth="1"/>
    <col min="9755" max="9997" width="9.140625" style="1243"/>
    <col min="9998" max="9998" width="4.5703125" style="1243" customWidth="1"/>
    <col min="9999" max="9999" width="21.85546875" style="1243" customWidth="1"/>
    <col min="10000" max="10000" width="22.140625" style="1243" customWidth="1"/>
    <col min="10001" max="10001" width="11.5703125" style="1243" customWidth="1"/>
    <col min="10002" max="10004" width="3.5703125" style="1243" customWidth="1"/>
    <col min="10005" max="10005" width="9.5703125" style="1243" customWidth="1"/>
    <col min="10006" max="10006" width="18.85546875" style="1243" customWidth="1"/>
    <col min="10007" max="10007" width="11.5703125" style="1243" customWidth="1"/>
    <col min="10008" max="10008" width="16.42578125" style="1243" customWidth="1"/>
    <col min="10009" max="10009" width="17.5703125" style="1243" customWidth="1"/>
    <col min="10010" max="10010" width="10.5703125" style="1243" customWidth="1"/>
    <col min="10011" max="10253" width="9.140625" style="1243"/>
    <col min="10254" max="10254" width="4.5703125" style="1243" customWidth="1"/>
    <col min="10255" max="10255" width="21.85546875" style="1243" customWidth="1"/>
    <col min="10256" max="10256" width="22.140625" style="1243" customWidth="1"/>
    <col min="10257" max="10257" width="11.5703125" style="1243" customWidth="1"/>
    <col min="10258" max="10260" width="3.5703125" style="1243" customWidth="1"/>
    <col min="10261" max="10261" width="9.5703125" style="1243" customWidth="1"/>
    <col min="10262" max="10262" width="18.85546875" style="1243" customWidth="1"/>
    <col min="10263" max="10263" width="11.5703125" style="1243" customWidth="1"/>
    <col min="10264" max="10264" width="16.42578125" style="1243" customWidth="1"/>
    <col min="10265" max="10265" width="17.5703125" style="1243" customWidth="1"/>
    <col min="10266" max="10266" width="10.5703125" style="1243" customWidth="1"/>
    <col min="10267" max="10509" width="9.140625" style="1243"/>
    <col min="10510" max="10510" width="4.5703125" style="1243" customWidth="1"/>
    <col min="10511" max="10511" width="21.85546875" style="1243" customWidth="1"/>
    <col min="10512" max="10512" width="22.140625" style="1243" customWidth="1"/>
    <col min="10513" max="10513" width="11.5703125" style="1243" customWidth="1"/>
    <col min="10514" max="10516" width="3.5703125" style="1243" customWidth="1"/>
    <col min="10517" max="10517" width="9.5703125" style="1243" customWidth="1"/>
    <col min="10518" max="10518" width="18.85546875" style="1243" customWidth="1"/>
    <col min="10519" max="10519" width="11.5703125" style="1243" customWidth="1"/>
    <col min="10520" max="10520" width="16.42578125" style="1243" customWidth="1"/>
    <col min="10521" max="10521" width="17.5703125" style="1243" customWidth="1"/>
    <col min="10522" max="10522" width="10.5703125" style="1243" customWidth="1"/>
    <col min="10523" max="10765" width="9.140625" style="1243"/>
    <col min="10766" max="10766" width="4.5703125" style="1243" customWidth="1"/>
    <col min="10767" max="10767" width="21.85546875" style="1243" customWidth="1"/>
    <col min="10768" max="10768" width="22.140625" style="1243" customWidth="1"/>
    <col min="10769" max="10769" width="11.5703125" style="1243" customWidth="1"/>
    <col min="10770" max="10772" width="3.5703125" style="1243" customWidth="1"/>
    <col min="10773" max="10773" width="9.5703125" style="1243" customWidth="1"/>
    <col min="10774" max="10774" width="18.85546875" style="1243" customWidth="1"/>
    <col min="10775" max="10775" width="11.5703125" style="1243" customWidth="1"/>
    <col min="10776" max="10776" width="16.42578125" style="1243" customWidth="1"/>
    <col min="10777" max="10777" width="17.5703125" style="1243" customWidth="1"/>
    <col min="10778" max="10778" width="10.5703125" style="1243" customWidth="1"/>
    <col min="10779" max="11021" width="9.140625" style="1243"/>
    <col min="11022" max="11022" width="4.5703125" style="1243" customWidth="1"/>
    <col min="11023" max="11023" width="21.85546875" style="1243" customWidth="1"/>
    <col min="11024" max="11024" width="22.140625" style="1243" customWidth="1"/>
    <col min="11025" max="11025" width="11.5703125" style="1243" customWidth="1"/>
    <col min="11026" max="11028" width="3.5703125" style="1243" customWidth="1"/>
    <col min="11029" max="11029" width="9.5703125" style="1243" customWidth="1"/>
    <col min="11030" max="11030" width="18.85546875" style="1243" customWidth="1"/>
    <col min="11031" max="11031" width="11.5703125" style="1243" customWidth="1"/>
    <col min="11032" max="11032" width="16.42578125" style="1243" customWidth="1"/>
    <col min="11033" max="11033" width="17.5703125" style="1243" customWidth="1"/>
    <col min="11034" max="11034" width="10.5703125" style="1243" customWidth="1"/>
    <col min="11035" max="11277" width="9.140625" style="1243"/>
    <col min="11278" max="11278" width="4.5703125" style="1243" customWidth="1"/>
    <col min="11279" max="11279" width="21.85546875" style="1243" customWidth="1"/>
    <col min="11280" max="11280" width="22.140625" style="1243" customWidth="1"/>
    <col min="11281" max="11281" width="11.5703125" style="1243" customWidth="1"/>
    <col min="11282" max="11284" width="3.5703125" style="1243" customWidth="1"/>
    <col min="11285" max="11285" width="9.5703125" style="1243" customWidth="1"/>
    <col min="11286" max="11286" width="18.85546875" style="1243" customWidth="1"/>
    <col min="11287" max="11287" width="11.5703125" style="1243" customWidth="1"/>
    <col min="11288" max="11288" width="16.42578125" style="1243" customWidth="1"/>
    <col min="11289" max="11289" width="17.5703125" style="1243" customWidth="1"/>
    <col min="11290" max="11290" width="10.5703125" style="1243" customWidth="1"/>
    <col min="11291" max="11533" width="9.140625" style="1243"/>
    <col min="11534" max="11534" width="4.5703125" style="1243" customWidth="1"/>
    <col min="11535" max="11535" width="21.85546875" style="1243" customWidth="1"/>
    <col min="11536" max="11536" width="22.140625" style="1243" customWidth="1"/>
    <col min="11537" max="11537" width="11.5703125" style="1243" customWidth="1"/>
    <col min="11538" max="11540" width="3.5703125" style="1243" customWidth="1"/>
    <col min="11541" max="11541" width="9.5703125" style="1243" customWidth="1"/>
    <col min="11542" max="11542" width="18.85546875" style="1243" customWidth="1"/>
    <col min="11543" max="11543" width="11.5703125" style="1243" customWidth="1"/>
    <col min="11544" max="11544" width="16.42578125" style="1243" customWidth="1"/>
    <col min="11545" max="11545" width="17.5703125" style="1243" customWidth="1"/>
    <col min="11546" max="11546" width="10.5703125" style="1243" customWidth="1"/>
    <col min="11547" max="11789" width="9.140625" style="1243"/>
    <col min="11790" max="11790" width="4.5703125" style="1243" customWidth="1"/>
    <col min="11791" max="11791" width="21.85546875" style="1243" customWidth="1"/>
    <col min="11792" max="11792" width="22.140625" style="1243" customWidth="1"/>
    <col min="11793" max="11793" width="11.5703125" style="1243" customWidth="1"/>
    <col min="11794" max="11796" width="3.5703125" style="1243" customWidth="1"/>
    <col min="11797" max="11797" width="9.5703125" style="1243" customWidth="1"/>
    <col min="11798" max="11798" width="18.85546875" style="1243" customWidth="1"/>
    <col min="11799" max="11799" width="11.5703125" style="1243" customWidth="1"/>
    <col min="11800" max="11800" width="16.42578125" style="1243" customWidth="1"/>
    <col min="11801" max="11801" width="17.5703125" style="1243" customWidth="1"/>
    <col min="11802" max="11802" width="10.5703125" style="1243" customWidth="1"/>
    <col min="11803" max="12045" width="9.140625" style="1243"/>
    <col min="12046" max="12046" width="4.5703125" style="1243" customWidth="1"/>
    <col min="12047" max="12047" width="21.85546875" style="1243" customWidth="1"/>
    <col min="12048" max="12048" width="22.140625" style="1243" customWidth="1"/>
    <col min="12049" max="12049" width="11.5703125" style="1243" customWidth="1"/>
    <col min="12050" max="12052" width="3.5703125" style="1243" customWidth="1"/>
    <col min="12053" max="12053" width="9.5703125" style="1243" customWidth="1"/>
    <col min="12054" max="12054" width="18.85546875" style="1243" customWidth="1"/>
    <col min="12055" max="12055" width="11.5703125" style="1243" customWidth="1"/>
    <col min="12056" max="12056" width="16.42578125" style="1243" customWidth="1"/>
    <col min="12057" max="12057" width="17.5703125" style="1243" customWidth="1"/>
    <col min="12058" max="12058" width="10.5703125" style="1243" customWidth="1"/>
    <col min="12059" max="12301" width="9.140625" style="1243"/>
    <col min="12302" max="12302" width="4.5703125" style="1243" customWidth="1"/>
    <col min="12303" max="12303" width="21.85546875" style="1243" customWidth="1"/>
    <col min="12304" max="12304" width="22.140625" style="1243" customWidth="1"/>
    <col min="12305" max="12305" width="11.5703125" style="1243" customWidth="1"/>
    <col min="12306" max="12308" width="3.5703125" style="1243" customWidth="1"/>
    <col min="12309" max="12309" width="9.5703125" style="1243" customWidth="1"/>
    <col min="12310" max="12310" width="18.85546875" style="1243" customWidth="1"/>
    <col min="12311" max="12311" width="11.5703125" style="1243" customWidth="1"/>
    <col min="12312" max="12312" width="16.42578125" style="1243" customWidth="1"/>
    <col min="12313" max="12313" width="17.5703125" style="1243" customWidth="1"/>
    <col min="12314" max="12314" width="10.5703125" style="1243" customWidth="1"/>
    <col min="12315" max="12557" width="9.140625" style="1243"/>
    <col min="12558" max="12558" width="4.5703125" style="1243" customWidth="1"/>
    <col min="12559" max="12559" width="21.85546875" style="1243" customWidth="1"/>
    <col min="12560" max="12560" width="22.140625" style="1243" customWidth="1"/>
    <col min="12561" max="12561" width="11.5703125" style="1243" customWidth="1"/>
    <col min="12562" max="12564" width="3.5703125" style="1243" customWidth="1"/>
    <col min="12565" max="12565" width="9.5703125" style="1243" customWidth="1"/>
    <col min="12566" max="12566" width="18.85546875" style="1243" customWidth="1"/>
    <col min="12567" max="12567" width="11.5703125" style="1243" customWidth="1"/>
    <col min="12568" max="12568" width="16.42578125" style="1243" customWidth="1"/>
    <col min="12569" max="12569" width="17.5703125" style="1243" customWidth="1"/>
    <col min="12570" max="12570" width="10.5703125" style="1243" customWidth="1"/>
    <col min="12571" max="12813" width="9.140625" style="1243"/>
    <col min="12814" max="12814" width="4.5703125" style="1243" customWidth="1"/>
    <col min="12815" max="12815" width="21.85546875" style="1243" customWidth="1"/>
    <col min="12816" max="12816" width="22.140625" style="1243" customWidth="1"/>
    <col min="12817" max="12817" width="11.5703125" style="1243" customWidth="1"/>
    <col min="12818" max="12820" width="3.5703125" style="1243" customWidth="1"/>
    <col min="12821" max="12821" width="9.5703125" style="1243" customWidth="1"/>
    <col min="12822" max="12822" width="18.85546875" style="1243" customWidth="1"/>
    <col min="12823" max="12823" width="11.5703125" style="1243" customWidth="1"/>
    <col min="12824" max="12824" width="16.42578125" style="1243" customWidth="1"/>
    <col min="12825" max="12825" width="17.5703125" style="1243" customWidth="1"/>
    <col min="12826" max="12826" width="10.5703125" style="1243" customWidth="1"/>
    <col min="12827" max="13069" width="9.140625" style="1243"/>
    <col min="13070" max="13070" width="4.5703125" style="1243" customWidth="1"/>
    <col min="13071" max="13071" width="21.85546875" style="1243" customWidth="1"/>
    <col min="13072" max="13072" width="22.140625" style="1243" customWidth="1"/>
    <col min="13073" max="13073" width="11.5703125" style="1243" customWidth="1"/>
    <col min="13074" max="13076" width="3.5703125" style="1243" customWidth="1"/>
    <col min="13077" max="13077" width="9.5703125" style="1243" customWidth="1"/>
    <col min="13078" max="13078" width="18.85546875" style="1243" customWidth="1"/>
    <col min="13079" max="13079" width="11.5703125" style="1243" customWidth="1"/>
    <col min="13080" max="13080" width="16.42578125" style="1243" customWidth="1"/>
    <col min="13081" max="13081" width="17.5703125" style="1243" customWidth="1"/>
    <col min="13082" max="13082" width="10.5703125" style="1243" customWidth="1"/>
    <col min="13083" max="13325" width="9.140625" style="1243"/>
    <col min="13326" max="13326" width="4.5703125" style="1243" customWidth="1"/>
    <col min="13327" max="13327" width="21.85546875" style="1243" customWidth="1"/>
    <col min="13328" max="13328" width="22.140625" style="1243" customWidth="1"/>
    <col min="13329" max="13329" width="11.5703125" style="1243" customWidth="1"/>
    <col min="13330" max="13332" width="3.5703125" style="1243" customWidth="1"/>
    <col min="13333" max="13333" width="9.5703125" style="1243" customWidth="1"/>
    <col min="13334" max="13334" width="18.85546875" style="1243" customWidth="1"/>
    <col min="13335" max="13335" width="11.5703125" style="1243" customWidth="1"/>
    <col min="13336" max="13336" width="16.42578125" style="1243" customWidth="1"/>
    <col min="13337" max="13337" width="17.5703125" style="1243" customWidth="1"/>
    <col min="13338" max="13338" width="10.5703125" style="1243" customWidth="1"/>
    <col min="13339" max="13581" width="9.140625" style="1243"/>
    <col min="13582" max="13582" width="4.5703125" style="1243" customWidth="1"/>
    <col min="13583" max="13583" width="21.85546875" style="1243" customWidth="1"/>
    <col min="13584" max="13584" width="22.140625" style="1243" customWidth="1"/>
    <col min="13585" max="13585" width="11.5703125" style="1243" customWidth="1"/>
    <col min="13586" max="13588" width="3.5703125" style="1243" customWidth="1"/>
    <col min="13589" max="13589" width="9.5703125" style="1243" customWidth="1"/>
    <col min="13590" max="13590" width="18.85546875" style="1243" customWidth="1"/>
    <col min="13591" max="13591" width="11.5703125" style="1243" customWidth="1"/>
    <col min="13592" max="13592" width="16.42578125" style="1243" customWidth="1"/>
    <col min="13593" max="13593" width="17.5703125" style="1243" customWidth="1"/>
    <col min="13594" max="13594" width="10.5703125" style="1243" customWidth="1"/>
    <col min="13595" max="13837" width="9.140625" style="1243"/>
    <col min="13838" max="13838" width="4.5703125" style="1243" customWidth="1"/>
    <col min="13839" max="13839" width="21.85546875" style="1243" customWidth="1"/>
    <col min="13840" max="13840" width="22.140625" style="1243" customWidth="1"/>
    <col min="13841" max="13841" width="11.5703125" style="1243" customWidth="1"/>
    <col min="13842" max="13844" width="3.5703125" style="1243" customWidth="1"/>
    <col min="13845" max="13845" width="9.5703125" style="1243" customWidth="1"/>
    <col min="13846" max="13846" width="18.85546875" style="1243" customWidth="1"/>
    <col min="13847" max="13847" width="11.5703125" style="1243" customWidth="1"/>
    <col min="13848" max="13848" width="16.42578125" style="1243" customWidth="1"/>
    <col min="13849" max="13849" width="17.5703125" style="1243" customWidth="1"/>
    <col min="13850" max="13850" width="10.5703125" style="1243" customWidth="1"/>
    <col min="13851" max="14093" width="9.140625" style="1243"/>
    <col min="14094" max="14094" width="4.5703125" style="1243" customWidth="1"/>
    <col min="14095" max="14095" width="21.85546875" style="1243" customWidth="1"/>
    <col min="14096" max="14096" width="22.140625" style="1243" customWidth="1"/>
    <col min="14097" max="14097" width="11.5703125" style="1243" customWidth="1"/>
    <col min="14098" max="14100" width="3.5703125" style="1243" customWidth="1"/>
    <col min="14101" max="14101" width="9.5703125" style="1243" customWidth="1"/>
    <col min="14102" max="14102" width="18.85546875" style="1243" customWidth="1"/>
    <col min="14103" max="14103" width="11.5703125" style="1243" customWidth="1"/>
    <col min="14104" max="14104" width="16.42578125" style="1243" customWidth="1"/>
    <col min="14105" max="14105" width="17.5703125" style="1243" customWidth="1"/>
    <col min="14106" max="14106" width="10.5703125" style="1243" customWidth="1"/>
    <col min="14107" max="14349" width="9.140625" style="1243"/>
    <col min="14350" max="14350" width="4.5703125" style="1243" customWidth="1"/>
    <col min="14351" max="14351" width="21.85546875" style="1243" customWidth="1"/>
    <col min="14352" max="14352" width="22.140625" style="1243" customWidth="1"/>
    <col min="14353" max="14353" width="11.5703125" style="1243" customWidth="1"/>
    <col min="14354" max="14356" width="3.5703125" style="1243" customWidth="1"/>
    <col min="14357" max="14357" width="9.5703125" style="1243" customWidth="1"/>
    <col min="14358" max="14358" width="18.85546875" style="1243" customWidth="1"/>
    <col min="14359" max="14359" width="11.5703125" style="1243" customWidth="1"/>
    <col min="14360" max="14360" width="16.42578125" style="1243" customWidth="1"/>
    <col min="14361" max="14361" width="17.5703125" style="1243" customWidth="1"/>
    <col min="14362" max="14362" width="10.5703125" style="1243" customWidth="1"/>
    <col min="14363" max="14605" width="9.140625" style="1243"/>
    <col min="14606" max="14606" width="4.5703125" style="1243" customWidth="1"/>
    <col min="14607" max="14607" width="21.85546875" style="1243" customWidth="1"/>
    <col min="14608" max="14608" width="22.140625" style="1243" customWidth="1"/>
    <col min="14609" max="14609" width="11.5703125" style="1243" customWidth="1"/>
    <col min="14610" max="14612" width="3.5703125" style="1243" customWidth="1"/>
    <col min="14613" max="14613" width="9.5703125" style="1243" customWidth="1"/>
    <col min="14614" max="14614" width="18.85546875" style="1243" customWidth="1"/>
    <col min="14615" max="14615" width="11.5703125" style="1243" customWidth="1"/>
    <col min="14616" max="14616" width="16.42578125" style="1243" customWidth="1"/>
    <col min="14617" max="14617" width="17.5703125" style="1243" customWidth="1"/>
    <col min="14618" max="14618" width="10.5703125" style="1243" customWidth="1"/>
    <col min="14619" max="14861" width="9.140625" style="1243"/>
    <col min="14862" max="14862" width="4.5703125" style="1243" customWidth="1"/>
    <col min="14863" max="14863" width="21.85546875" style="1243" customWidth="1"/>
    <col min="14864" max="14864" width="22.140625" style="1243" customWidth="1"/>
    <col min="14865" max="14865" width="11.5703125" style="1243" customWidth="1"/>
    <col min="14866" max="14868" width="3.5703125" style="1243" customWidth="1"/>
    <col min="14869" max="14869" width="9.5703125" style="1243" customWidth="1"/>
    <col min="14870" max="14870" width="18.85546875" style="1243" customWidth="1"/>
    <col min="14871" max="14871" width="11.5703125" style="1243" customWidth="1"/>
    <col min="14872" max="14872" width="16.42578125" style="1243" customWidth="1"/>
    <col min="14873" max="14873" width="17.5703125" style="1243" customWidth="1"/>
    <col min="14874" max="14874" width="10.5703125" style="1243" customWidth="1"/>
    <col min="14875" max="15117" width="9.140625" style="1243"/>
    <col min="15118" max="15118" width="4.5703125" style="1243" customWidth="1"/>
    <col min="15119" max="15119" width="21.85546875" style="1243" customWidth="1"/>
    <col min="15120" max="15120" width="22.140625" style="1243" customWidth="1"/>
    <col min="15121" max="15121" width="11.5703125" style="1243" customWidth="1"/>
    <col min="15122" max="15124" width="3.5703125" style="1243" customWidth="1"/>
    <col min="15125" max="15125" width="9.5703125" style="1243" customWidth="1"/>
    <col min="15126" max="15126" width="18.85546875" style="1243" customWidth="1"/>
    <col min="15127" max="15127" width="11.5703125" style="1243" customWidth="1"/>
    <col min="15128" max="15128" width="16.42578125" style="1243" customWidth="1"/>
    <col min="15129" max="15129" width="17.5703125" style="1243" customWidth="1"/>
    <col min="15130" max="15130" width="10.5703125" style="1243" customWidth="1"/>
    <col min="15131" max="15373" width="9.140625" style="1243"/>
    <col min="15374" max="15374" width="4.5703125" style="1243" customWidth="1"/>
    <col min="15375" max="15375" width="21.85546875" style="1243" customWidth="1"/>
    <col min="15376" max="15376" width="22.140625" style="1243" customWidth="1"/>
    <col min="15377" max="15377" width="11.5703125" style="1243" customWidth="1"/>
    <col min="15378" max="15380" width="3.5703125" style="1243" customWidth="1"/>
    <col min="15381" max="15381" width="9.5703125" style="1243" customWidth="1"/>
    <col min="15382" max="15382" width="18.85546875" style="1243" customWidth="1"/>
    <col min="15383" max="15383" width="11.5703125" style="1243" customWidth="1"/>
    <col min="15384" max="15384" width="16.42578125" style="1243" customWidth="1"/>
    <col min="15385" max="15385" width="17.5703125" style="1243" customWidth="1"/>
    <col min="15386" max="15386" width="10.5703125" style="1243" customWidth="1"/>
    <col min="15387" max="15629" width="9.140625" style="1243"/>
    <col min="15630" max="15630" width="4.5703125" style="1243" customWidth="1"/>
    <col min="15631" max="15631" width="21.85546875" style="1243" customWidth="1"/>
    <col min="15632" max="15632" width="22.140625" style="1243" customWidth="1"/>
    <col min="15633" max="15633" width="11.5703125" style="1243" customWidth="1"/>
    <col min="15634" max="15636" width="3.5703125" style="1243" customWidth="1"/>
    <col min="15637" max="15637" width="9.5703125" style="1243" customWidth="1"/>
    <col min="15638" max="15638" width="18.85546875" style="1243" customWidth="1"/>
    <col min="15639" max="15639" width="11.5703125" style="1243" customWidth="1"/>
    <col min="15640" max="15640" width="16.42578125" style="1243" customWidth="1"/>
    <col min="15641" max="15641" width="17.5703125" style="1243" customWidth="1"/>
    <col min="15642" max="15642" width="10.5703125" style="1243" customWidth="1"/>
    <col min="15643" max="15885" width="9.140625" style="1243"/>
    <col min="15886" max="15886" width="4.5703125" style="1243" customWidth="1"/>
    <col min="15887" max="15887" width="21.85546875" style="1243" customWidth="1"/>
    <col min="15888" max="15888" width="22.140625" style="1243" customWidth="1"/>
    <col min="15889" max="15889" width="11.5703125" style="1243" customWidth="1"/>
    <col min="15890" max="15892" width="3.5703125" style="1243" customWidth="1"/>
    <col min="15893" max="15893" width="9.5703125" style="1243" customWidth="1"/>
    <col min="15894" max="15894" width="18.85546875" style="1243" customWidth="1"/>
    <col min="15895" max="15895" width="11.5703125" style="1243" customWidth="1"/>
    <col min="15896" max="15896" width="16.42578125" style="1243" customWidth="1"/>
    <col min="15897" max="15897" width="17.5703125" style="1243" customWidth="1"/>
    <col min="15898" max="15898" width="10.5703125" style="1243" customWidth="1"/>
    <col min="15899" max="16141" width="9.140625" style="1243"/>
    <col min="16142" max="16142" width="4.5703125" style="1243" customWidth="1"/>
    <col min="16143" max="16143" width="21.85546875" style="1243" customWidth="1"/>
    <col min="16144" max="16144" width="22.140625" style="1243" customWidth="1"/>
    <col min="16145" max="16145" width="11.5703125" style="1243" customWidth="1"/>
    <col min="16146" max="16148" width="3.5703125" style="1243" customWidth="1"/>
    <col min="16149" max="16149" width="9.5703125" style="1243" customWidth="1"/>
    <col min="16150" max="16150" width="18.85546875" style="1243" customWidth="1"/>
    <col min="16151" max="16151" width="11.5703125" style="1243" customWidth="1"/>
    <col min="16152" max="16152" width="16.42578125" style="1243" customWidth="1"/>
    <col min="16153" max="16153" width="17.5703125" style="1243" customWidth="1"/>
    <col min="16154" max="16154" width="10.5703125" style="1243" customWidth="1"/>
    <col min="16155" max="16384" width="9.140625" style="1243"/>
  </cols>
  <sheetData>
    <row r="1" spans="1:40" s="1270" customFormat="1">
      <c r="A1" s="2841" t="s">
        <v>1592</v>
      </c>
      <c r="B1" s="2841"/>
      <c r="C1" s="2841"/>
      <c r="D1" s="2841"/>
      <c r="E1" s="2841"/>
      <c r="F1" s="2841"/>
      <c r="G1" s="2841"/>
      <c r="H1" s="2841"/>
      <c r="I1" s="2841"/>
      <c r="J1" s="2841"/>
      <c r="K1" s="2841"/>
      <c r="L1" s="2841"/>
      <c r="M1" s="2841"/>
      <c r="N1" s="2841"/>
      <c r="O1" s="2841"/>
      <c r="P1" s="2841"/>
      <c r="Q1" s="2841"/>
      <c r="R1" s="2841"/>
      <c r="S1" s="2841"/>
      <c r="T1" s="2841"/>
      <c r="U1" s="2841"/>
      <c r="V1" s="2841"/>
      <c r="W1" s="2841"/>
      <c r="X1" s="2841"/>
      <c r="Y1" s="2841"/>
      <c r="Z1" s="2664"/>
      <c r="AA1" s="2664"/>
      <c r="AB1" s="1266"/>
      <c r="AC1" s="1267"/>
      <c r="AD1" s="1268"/>
      <c r="AE1" s="1269"/>
      <c r="AF1" s="1269"/>
      <c r="AG1" s="1269"/>
      <c r="AH1" s="1269"/>
      <c r="AI1" s="1269"/>
      <c r="AJ1" s="1269"/>
      <c r="AK1" s="1269"/>
      <c r="AL1" s="1269"/>
      <c r="AM1" s="1269"/>
      <c r="AN1" s="1269"/>
    </row>
    <row r="2" spans="1:40" s="1270" customFormat="1">
      <c r="A2" s="2841" t="s">
        <v>1204</v>
      </c>
      <c r="B2" s="2841"/>
      <c r="C2" s="2841"/>
      <c r="D2" s="2841"/>
      <c r="E2" s="2841"/>
      <c r="F2" s="2841"/>
      <c r="G2" s="2841"/>
      <c r="H2" s="2841"/>
      <c r="I2" s="2841"/>
      <c r="J2" s="2841"/>
      <c r="K2" s="2841"/>
      <c r="L2" s="2841"/>
      <c r="M2" s="2841"/>
      <c r="N2" s="2841"/>
      <c r="O2" s="2841"/>
      <c r="P2" s="2841"/>
      <c r="Q2" s="2841"/>
      <c r="R2" s="2841"/>
      <c r="S2" s="2841"/>
      <c r="T2" s="2841"/>
      <c r="U2" s="2841"/>
      <c r="V2" s="2841"/>
      <c r="W2" s="2841"/>
      <c r="X2" s="2841"/>
      <c r="Y2" s="2841"/>
      <c r="Z2" s="2664"/>
      <c r="AA2" s="2664"/>
      <c r="AB2" s="1266"/>
      <c r="AC2" s="1267"/>
      <c r="AD2" s="1268"/>
      <c r="AE2" s="1269"/>
      <c r="AF2" s="1269"/>
      <c r="AG2" s="1269"/>
      <c r="AH2" s="1269"/>
      <c r="AI2" s="1269"/>
      <c r="AJ2" s="1269"/>
      <c r="AK2" s="1269"/>
      <c r="AL2" s="1269"/>
      <c r="AM2" s="1269"/>
      <c r="AN2" s="1269"/>
    </row>
    <row r="3" spans="1:40">
      <c r="A3" s="1271" t="s">
        <v>51</v>
      </c>
      <c r="C3" s="1242" t="s">
        <v>46</v>
      </c>
      <c r="D3" s="1243" t="s">
        <v>1205</v>
      </c>
      <c r="AB3" s="1266"/>
      <c r="AC3" s="1267"/>
      <c r="AD3" s="1266"/>
      <c r="AE3" s="1272"/>
      <c r="AF3" s="1272"/>
      <c r="AG3" s="1272"/>
      <c r="AH3" s="1272"/>
      <c r="AI3" s="1272"/>
      <c r="AJ3" s="1272"/>
      <c r="AK3" s="1272"/>
      <c r="AL3" s="1272"/>
      <c r="AM3" s="1272"/>
      <c r="AN3" s="1272"/>
    </row>
    <row r="4" spans="1:40">
      <c r="A4" s="1273" t="s">
        <v>52</v>
      </c>
      <c r="B4" s="1274"/>
      <c r="C4" s="1242" t="s">
        <v>46</v>
      </c>
      <c r="D4" s="1243" t="s">
        <v>203</v>
      </c>
      <c r="AB4" s="1266"/>
      <c r="AC4" s="1267"/>
      <c r="AD4" s="1266"/>
      <c r="AE4" s="1272"/>
      <c r="AF4" s="1272"/>
      <c r="AG4" s="1272"/>
      <c r="AH4" s="1272"/>
      <c r="AI4" s="1272"/>
      <c r="AJ4" s="1272"/>
      <c r="AK4" s="1272"/>
      <c r="AL4" s="1272"/>
      <c r="AM4" s="1272"/>
      <c r="AN4" s="1272"/>
    </row>
    <row r="5" spans="1:40">
      <c r="A5" s="1273" t="s">
        <v>53</v>
      </c>
      <c r="B5" s="1274"/>
      <c r="C5" s="1242" t="s">
        <v>46</v>
      </c>
      <c r="D5" s="1243" t="s">
        <v>54</v>
      </c>
      <c r="T5" s="1273"/>
      <c r="AB5" s="1266"/>
      <c r="AC5" s="1267"/>
      <c r="AD5" s="1266"/>
      <c r="AE5" s="1272"/>
      <c r="AF5" s="1272"/>
      <c r="AG5" s="1272"/>
      <c r="AH5" s="1272"/>
      <c r="AI5" s="1272"/>
      <c r="AJ5" s="1272"/>
      <c r="AK5" s="1272"/>
      <c r="AL5" s="1272"/>
      <c r="AM5" s="1272"/>
      <c r="AN5" s="1272"/>
    </row>
    <row r="6" spans="1:40">
      <c r="A6" s="1273" t="s">
        <v>55</v>
      </c>
      <c r="B6" s="1274"/>
      <c r="C6" s="1242" t="s">
        <v>46</v>
      </c>
      <c r="D6" s="1243" t="s">
        <v>56</v>
      </c>
      <c r="T6" s="1273"/>
      <c r="AB6" s="1266"/>
      <c r="AC6" s="1267"/>
      <c r="AD6" s="1266"/>
      <c r="AE6" s="1272"/>
      <c r="AF6" s="1272"/>
      <c r="AG6" s="1272"/>
      <c r="AH6" s="1272"/>
      <c r="AI6" s="1272"/>
      <c r="AJ6" s="1272"/>
      <c r="AK6" s="1272"/>
      <c r="AL6" s="1272"/>
      <c r="AM6" s="1272"/>
      <c r="AN6" s="1272"/>
    </row>
    <row r="7" spans="1:40" ht="18.75" thickBot="1">
      <c r="AB7" s="1266"/>
      <c r="AC7" s="1266"/>
      <c r="AD7" s="1266"/>
      <c r="AE7" s="1275"/>
      <c r="AF7" s="1275"/>
      <c r="AG7" s="1275"/>
      <c r="AH7" s="1266"/>
      <c r="AI7" s="1272"/>
      <c r="AJ7" s="1272"/>
      <c r="AK7" s="1272"/>
      <c r="AL7" s="1272"/>
      <c r="AM7" s="1272"/>
      <c r="AN7" s="1272"/>
    </row>
    <row r="8" spans="1:40">
      <c r="A8" s="2842" t="s">
        <v>57</v>
      </c>
      <c r="B8" s="2845" t="s">
        <v>58</v>
      </c>
      <c r="C8" s="2846"/>
      <c r="D8" s="2847"/>
      <c r="E8" s="2851" t="s">
        <v>59</v>
      </c>
      <c r="F8" s="2854" t="s">
        <v>60</v>
      </c>
      <c r="G8" s="2854" t="s">
        <v>61</v>
      </c>
      <c r="H8" s="2851" t="s">
        <v>62</v>
      </c>
      <c r="I8" s="2851" t="s">
        <v>61</v>
      </c>
      <c r="J8" s="2851" t="s">
        <v>62</v>
      </c>
      <c r="K8" s="2855" t="s">
        <v>263</v>
      </c>
      <c r="L8" s="2855"/>
      <c r="M8" s="2665"/>
      <c r="N8" s="2665"/>
      <c r="O8" s="2665"/>
      <c r="P8" s="2665"/>
      <c r="Q8" s="2665"/>
      <c r="R8" s="2665"/>
      <c r="S8" s="2665"/>
      <c r="T8" s="2845" t="s">
        <v>63</v>
      </c>
      <c r="U8" s="2847"/>
      <c r="V8" s="2845" t="s">
        <v>64</v>
      </c>
      <c r="W8" s="2846"/>
      <c r="X8" s="2846"/>
      <c r="Y8" s="2857" t="s">
        <v>65</v>
      </c>
      <c r="Z8" s="1276"/>
      <c r="AA8" s="1276"/>
      <c r="AB8" s="1272"/>
      <c r="AC8" s="1266"/>
      <c r="AD8" s="1266"/>
      <c r="AE8" s="1266"/>
      <c r="AF8" s="1266"/>
      <c r="AG8" s="1266"/>
      <c r="AH8" s="1266"/>
      <c r="AI8" s="1272"/>
      <c r="AJ8" s="1272"/>
      <c r="AK8" s="1272"/>
      <c r="AL8" s="1272"/>
      <c r="AM8" s="1272"/>
      <c r="AN8" s="1272"/>
    </row>
    <row r="9" spans="1:40">
      <c r="A9" s="2843"/>
      <c r="B9" s="2848"/>
      <c r="C9" s="2849"/>
      <c r="D9" s="2850"/>
      <c r="E9" s="2852"/>
      <c r="F9" s="2855"/>
      <c r="G9" s="2855"/>
      <c r="H9" s="2852"/>
      <c r="I9" s="2852"/>
      <c r="J9" s="2852"/>
      <c r="K9" s="2855"/>
      <c r="L9" s="2855"/>
      <c r="M9" s="2687"/>
      <c r="N9" s="2687"/>
      <c r="O9" s="2687"/>
      <c r="P9" s="2687"/>
      <c r="Q9" s="2687"/>
      <c r="R9" s="2687"/>
      <c r="S9" s="2687"/>
      <c r="T9" s="2848"/>
      <c r="U9" s="2850"/>
      <c r="V9" s="2848"/>
      <c r="W9" s="2849"/>
      <c r="X9" s="2849"/>
      <c r="Y9" s="2858"/>
      <c r="Z9" s="1276"/>
      <c r="AA9" s="1276"/>
      <c r="AB9" s="1272"/>
      <c r="AC9" s="1266"/>
      <c r="AD9" s="1266"/>
      <c r="AE9" s="1266"/>
      <c r="AF9" s="1266"/>
      <c r="AG9" s="1266"/>
      <c r="AH9" s="1266"/>
      <c r="AI9" s="1272"/>
      <c r="AJ9" s="1272"/>
      <c r="AK9" s="1272"/>
      <c r="AL9" s="1272"/>
      <c r="AM9" s="1272"/>
      <c r="AN9" s="1272"/>
    </row>
    <row r="10" spans="1:40" ht="126.75" thickBot="1">
      <c r="A10" s="2844"/>
      <c r="B10" s="2666" t="s">
        <v>66</v>
      </c>
      <c r="C10" s="2666"/>
      <c r="D10" s="2666" t="s">
        <v>67</v>
      </c>
      <c r="E10" s="2853"/>
      <c r="F10" s="2856"/>
      <c r="G10" s="2856"/>
      <c r="H10" s="2853"/>
      <c r="I10" s="2853"/>
      <c r="J10" s="2853"/>
      <c r="K10" s="2667" t="s">
        <v>1617</v>
      </c>
      <c r="L10" s="2667" t="s">
        <v>1618</v>
      </c>
      <c r="M10" s="2666"/>
      <c r="N10" s="2666"/>
      <c r="O10" s="2666"/>
      <c r="P10" s="2666"/>
      <c r="Q10" s="2666"/>
      <c r="R10" s="2666"/>
      <c r="S10" s="2666"/>
      <c r="T10" s="2668" t="s">
        <v>68</v>
      </c>
      <c r="U10" s="2668" t="s">
        <v>47</v>
      </c>
      <c r="V10" s="1279" t="s">
        <v>69</v>
      </c>
      <c r="W10" s="1279" t="s">
        <v>70</v>
      </c>
      <c r="X10" s="1279" t="s">
        <v>71</v>
      </c>
      <c r="Y10" s="2859"/>
      <c r="Z10" s="1276"/>
      <c r="AA10" s="1276"/>
      <c r="AB10" s="1272"/>
      <c r="AC10" s="1280"/>
      <c r="AD10" s="1280"/>
      <c r="AE10" s="1281"/>
      <c r="AF10" s="1281"/>
      <c r="AG10" s="1281"/>
      <c r="AH10" s="1272"/>
      <c r="AI10" s="1272"/>
      <c r="AJ10" s="1272"/>
      <c r="AK10" s="1272"/>
      <c r="AL10" s="1272"/>
      <c r="AM10" s="1272"/>
      <c r="AN10" s="1272"/>
    </row>
    <row r="11" spans="1:40" s="1289" customFormat="1" ht="19.5" thickBot="1">
      <c r="A11" s="1282" t="s">
        <v>72</v>
      </c>
      <c r="B11" s="1283" t="s">
        <v>73</v>
      </c>
      <c r="C11" s="1283" t="s">
        <v>74</v>
      </c>
      <c r="D11" s="1283" t="s">
        <v>75</v>
      </c>
      <c r="E11" s="1283" t="s">
        <v>76</v>
      </c>
      <c r="F11" s="1283" t="s">
        <v>77</v>
      </c>
      <c r="G11" s="1283" t="s">
        <v>78</v>
      </c>
      <c r="H11" s="1283" t="s">
        <v>79</v>
      </c>
      <c r="I11" s="1283"/>
      <c r="J11" s="1283"/>
      <c r="K11" s="1283"/>
      <c r="L11" s="1283"/>
      <c r="M11" s="1283"/>
      <c r="N11" s="1283"/>
      <c r="O11" s="1283"/>
      <c r="P11" s="1283"/>
      <c r="Q11" s="1283"/>
      <c r="R11" s="1283"/>
      <c r="S11" s="1283"/>
      <c r="T11" s="1283" t="s">
        <v>80</v>
      </c>
      <c r="U11" s="1283" t="s">
        <v>81</v>
      </c>
      <c r="V11" s="1284" t="s">
        <v>82</v>
      </c>
      <c r="W11" s="1284" t="s">
        <v>83</v>
      </c>
      <c r="X11" s="1284" t="s">
        <v>84</v>
      </c>
      <c r="Y11" s="1285" t="s">
        <v>85</v>
      </c>
      <c r="Z11" s="1286"/>
      <c r="AA11" s="1286"/>
      <c r="AB11" s="1287"/>
      <c r="AC11" s="1288"/>
      <c r="AD11" s="1288"/>
      <c r="AE11" s="1287"/>
      <c r="AF11" s="1287"/>
      <c r="AG11" s="1287"/>
      <c r="AH11" s="1287"/>
      <c r="AI11" s="1287"/>
      <c r="AJ11" s="1287"/>
      <c r="AK11" s="1287"/>
      <c r="AL11" s="1287"/>
      <c r="AM11" s="1287"/>
      <c r="AN11" s="1287"/>
    </row>
    <row r="12" spans="1:40" ht="30.75" customHeight="1" thickBot="1">
      <c r="A12" s="2824">
        <v>1</v>
      </c>
      <c r="B12" s="2860" t="s">
        <v>86</v>
      </c>
      <c r="C12" s="2544" t="s">
        <v>115</v>
      </c>
      <c r="D12" s="2545" t="s">
        <v>548</v>
      </c>
      <c r="E12" s="2546" t="s">
        <v>1206</v>
      </c>
      <c r="F12" s="2547" t="s">
        <v>235</v>
      </c>
      <c r="G12" s="2548" t="s">
        <v>552</v>
      </c>
      <c r="H12" s="2547">
        <v>2020</v>
      </c>
      <c r="I12" s="2547" t="s">
        <v>552</v>
      </c>
      <c r="J12" s="2547">
        <v>2020</v>
      </c>
      <c r="K12" s="2702">
        <f>L12</f>
        <v>43250000</v>
      </c>
      <c r="L12" s="2549">
        <f>T12</f>
        <v>43250000</v>
      </c>
      <c r="M12" s="2547"/>
      <c r="N12" s="2547"/>
      <c r="O12" s="2547"/>
      <c r="P12" s="2547"/>
      <c r="Q12" s="2547"/>
      <c r="R12" s="2547"/>
      <c r="S12" s="2547"/>
      <c r="T12" s="2549">
        <f>'Pnj APBDES'!L69</f>
        <v>43250000</v>
      </c>
      <c r="U12" s="2546" t="s">
        <v>23</v>
      </c>
      <c r="V12" s="1290" t="s">
        <v>246</v>
      </c>
      <c r="W12" s="1291"/>
      <c r="X12" s="1291"/>
      <c r="Y12" s="1292" t="s">
        <v>369</v>
      </c>
      <c r="Z12" s="1293"/>
      <c r="AA12" s="1293"/>
      <c r="AB12" s="1272"/>
      <c r="AC12" s="1266"/>
      <c r="AD12" s="1266"/>
      <c r="AE12" s="1266"/>
      <c r="AF12" s="1266"/>
      <c r="AG12" s="1266"/>
      <c r="AH12" s="1272"/>
      <c r="AI12" s="1272"/>
      <c r="AJ12" s="1272"/>
      <c r="AK12" s="1272"/>
      <c r="AL12" s="1272"/>
      <c r="AM12" s="1272"/>
      <c r="AN12" s="1272"/>
    </row>
    <row r="13" spans="1:40" ht="30.75" customHeight="1" thickBot="1">
      <c r="A13" s="2825"/>
      <c r="B13" s="2829"/>
      <c r="C13" s="2550" t="s">
        <v>117</v>
      </c>
      <c r="D13" s="2551" t="s">
        <v>547</v>
      </c>
      <c r="E13" s="2552" t="s">
        <v>1206</v>
      </c>
      <c r="F13" s="2552" t="s">
        <v>235</v>
      </c>
      <c r="G13" s="2553" t="s">
        <v>88</v>
      </c>
      <c r="H13" s="2554">
        <v>2020</v>
      </c>
      <c r="I13" s="2554" t="s">
        <v>1603</v>
      </c>
      <c r="J13" s="2554">
        <v>2020</v>
      </c>
      <c r="K13" s="2702">
        <f t="shared" ref="K13:K21" si="0">L13</f>
        <v>280110000</v>
      </c>
      <c r="L13" s="2549">
        <f t="shared" ref="L13:L21" si="1">T13</f>
        <v>280110000</v>
      </c>
      <c r="M13" s="2554"/>
      <c r="N13" s="2554"/>
      <c r="O13" s="2554"/>
      <c r="P13" s="2554"/>
      <c r="Q13" s="2554"/>
      <c r="R13" s="2554"/>
      <c r="S13" s="2554"/>
      <c r="T13" s="2555">
        <f>'1.2 Siltun Prngkt '!G33</f>
        <v>280110000</v>
      </c>
      <c r="U13" s="2552" t="s">
        <v>23</v>
      </c>
      <c r="V13" s="1297" t="s">
        <v>246</v>
      </c>
      <c r="W13" s="1298"/>
      <c r="X13" s="1298"/>
      <c r="Y13" s="1299" t="s">
        <v>369</v>
      </c>
      <c r="Z13" s="1293"/>
      <c r="AA13" s="1293"/>
      <c r="AB13" s="1272"/>
      <c r="AC13" s="1266"/>
      <c r="AD13" s="1266" t="s">
        <v>23</v>
      </c>
      <c r="AE13" s="2035">
        <v>0.4</v>
      </c>
      <c r="AF13" s="2035">
        <v>0.4</v>
      </c>
      <c r="AG13" s="2035">
        <v>0.2</v>
      </c>
      <c r="AH13" s="1272"/>
      <c r="AI13" s="1272"/>
      <c r="AJ13" s="1272"/>
      <c r="AK13" s="1272"/>
      <c r="AL13" s="1272"/>
      <c r="AM13" s="1272"/>
      <c r="AN13" s="1272"/>
    </row>
    <row r="14" spans="1:40" ht="30.75" customHeight="1" thickBot="1">
      <c r="A14" s="2825"/>
      <c r="B14" s="2829"/>
      <c r="C14" s="2550" t="s">
        <v>118</v>
      </c>
      <c r="D14" s="2551" t="s">
        <v>546</v>
      </c>
      <c r="E14" s="2552" t="s">
        <v>1206</v>
      </c>
      <c r="F14" s="2552" t="s">
        <v>235</v>
      </c>
      <c r="G14" s="2553" t="s">
        <v>553</v>
      </c>
      <c r="H14" s="2554">
        <v>2020</v>
      </c>
      <c r="I14" s="2554" t="s">
        <v>1604</v>
      </c>
      <c r="J14" s="2554">
        <v>2020</v>
      </c>
      <c r="K14" s="2702">
        <f t="shared" si="0"/>
        <v>29676000</v>
      </c>
      <c r="L14" s="2549">
        <f t="shared" si="1"/>
        <v>29676000</v>
      </c>
      <c r="M14" s="2554"/>
      <c r="N14" s="2554"/>
      <c r="O14" s="2554"/>
      <c r="P14" s="2554"/>
      <c r="Q14" s="2554"/>
      <c r="R14" s="2554"/>
      <c r="S14" s="2554"/>
      <c r="T14" s="2555">
        <f>'1.3 Bpjs '!D11</f>
        <v>29676000</v>
      </c>
      <c r="U14" s="2552" t="s">
        <v>23</v>
      </c>
      <c r="V14" s="1297" t="s">
        <v>246</v>
      </c>
      <c r="W14" s="1298"/>
      <c r="X14" s="1298"/>
      <c r="Y14" s="1299" t="s">
        <v>369</v>
      </c>
      <c r="Z14" s="1293"/>
      <c r="AA14" s="1293"/>
      <c r="AB14" s="1272"/>
      <c r="AC14" s="1266"/>
      <c r="AD14" s="1266">
        <f>'Pnj APBDES'!T13</f>
        <v>597993000</v>
      </c>
      <c r="AE14" s="1266">
        <f>$AD14*AE13</f>
        <v>239197200</v>
      </c>
      <c r="AF14" s="1266">
        <f t="shared" ref="AF14:AG14" si="2">$AD14*AF13</f>
        <v>239197200</v>
      </c>
      <c r="AG14" s="1266">
        <f t="shared" si="2"/>
        <v>119598600</v>
      </c>
      <c r="AH14" s="1272"/>
      <c r="AI14" s="1272"/>
      <c r="AJ14" s="1272"/>
      <c r="AK14" s="1272"/>
      <c r="AL14" s="1272"/>
      <c r="AM14" s="1272"/>
      <c r="AN14" s="1272"/>
    </row>
    <row r="15" spans="1:40" ht="46.5" customHeight="1" thickBot="1">
      <c r="A15" s="2825"/>
      <c r="B15" s="2829"/>
      <c r="C15" s="2550" t="s">
        <v>119</v>
      </c>
      <c r="D15" s="2551" t="s">
        <v>1455</v>
      </c>
      <c r="E15" s="2552" t="s">
        <v>1206</v>
      </c>
      <c r="F15" s="2552" t="s">
        <v>235</v>
      </c>
      <c r="G15" s="2553" t="s">
        <v>554</v>
      </c>
      <c r="H15" s="2554">
        <v>2020</v>
      </c>
      <c r="I15" s="2554" t="s">
        <v>88</v>
      </c>
      <c r="J15" s="2554">
        <v>2020</v>
      </c>
      <c r="K15" s="2702">
        <f>'1.4 O PEM pkpkd rusak'!H103</f>
        <v>69933500</v>
      </c>
      <c r="L15" s="2549">
        <f>'1.4 O PEM pkpkd rusak'!M103</f>
        <v>58543151</v>
      </c>
      <c r="M15" s="2554"/>
      <c r="N15" s="2554"/>
      <c r="O15" s="2554"/>
      <c r="P15" s="2554"/>
      <c r="Q15" s="2554"/>
      <c r="R15" s="2554"/>
      <c r="S15" s="2554"/>
      <c r="T15" s="2555">
        <f>'Pnj APBDES'!L90</f>
        <v>57143151</v>
      </c>
      <c r="U15" s="2552" t="s">
        <v>23</v>
      </c>
      <c r="V15" s="1297" t="s">
        <v>246</v>
      </c>
      <c r="W15" s="1298"/>
      <c r="X15" s="1298"/>
      <c r="Y15" s="1300" t="s">
        <v>562</v>
      </c>
      <c r="Z15" s="1293"/>
      <c r="AA15" s="1293"/>
      <c r="AB15" s="1275"/>
      <c r="AC15" s="1266"/>
      <c r="AE15" s="1266"/>
      <c r="AF15" s="1266"/>
      <c r="AG15" s="1266"/>
      <c r="AH15" s="1272"/>
      <c r="AI15" s="1272"/>
      <c r="AJ15" s="1272"/>
      <c r="AK15" s="1272"/>
      <c r="AL15" s="1272"/>
      <c r="AM15" s="1272"/>
      <c r="AN15" s="1272"/>
    </row>
    <row r="16" spans="1:40" ht="18.75" thickBot="1">
      <c r="A16" s="2825"/>
      <c r="B16" s="2829"/>
      <c r="C16" s="2550" t="s">
        <v>120</v>
      </c>
      <c r="D16" s="2551" t="s">
        <v>545</v>
      </c>
      <c r="E16" s="2552" t="s">
        <v>1206</v>
      </c>
      <c r="F16" s="2552" t="s">
        <v>235</v>
      </c>
      <c r="G16" s="2556" t="s">
        <v>89</v>
      </c>
      <c r="H16" s="2554">
        <v>2020</v>
      </c>
      <c r="I16" s="2554" t="s">
        <v>89</v>
      </c>
      <c r="J16" s="2554">
        <v>2020</v>
      </c>
      <c r="K16" s="2702">
        <f t="shared" si="0"/>
        <v>58800000</v>
      </c>
      <c r="L16" s="2549">
        <f t="shared" si="1"/>
        <v>58800000</v>
      </c>
      <c r="M16" s="2554"/>
      <c r="N16" s="2554"/>
      <c r="O16" s="2554"/>
      <c r="P16" s="2554"/>
      <c r="Q16" s="2554"/>
      <c r="R16" s="2554"/>
      <c r="S16" s="2554"/>
      <c r="T16" s="2555">
        <f>'1.5 BPD'!D9</f>
        <v>58800000</v>
      </c>
      <c r="U16" s="2552" t="s">
        <v>23</v>
      </c>
      <c r="V16" s="1297" t="s">
        <v>246</v>
      </c>
      <c r="W16" s="1298"/>
      <c r="X16" s="1298"/>
      <c r="Y16" s="1299" t="s">
        <v>369</v>
      </c>
      <c r="Z16" s="1293"/>
      <c r="AA16" s="1293"/>
      <c r="AB16" s="1272"/>
      <c r="AC16" s="1266"/>
      <c r="AD16" s="1266" t="s">
        <v>1465</v>
      </c>
      <c r="AE16" s="2035">
        <v>0.6</v>
      </c>
      <c r="AF16" s="2035">
        <v>0.4</v>
      </c>
      <c r="AG16" s="1266"/>
      <c r="AH16" s="1272"/>
      <c r="AI16" s="1272"/>
      <c r="AJ16" s="1272"/>
      <c r="AK16" s="1272"/>
      <c r="AL16" s="1272"/>
      <c r="AM16" s="1272"/>
      <c r="AN16" s="1272"/>
    </row>
    <row r="17" spans="1:40" ht="30.75" customHeight="1" thickBot="1">
      <c r="A17" s="2825"/>
      <c r="B17" s="2829"/>
      <c r="C17" s="2550" t="s">
        <v>134</v>
      </c>
      <c r="D17" s="2551" t="s">
        <v>601</v>
      </c>
      <c r="E17" s="2552" t="s">
        <v>1206</v>
      </c>
      <c r="F17" s="2552" t="s">
        <v>235</v>
      </c>
      <c r="G17" s="2556" t="s">
        <v>555</v>
      </c>
      <c r="H17" s="2554">
        <v>2020</v>
      </c>
      <c r="I17" s="2554" t="s">
        <v>1605</v>
      </c>
      <c r="J17" s="2554">
        <v>2020</v>
      </c>
      <c r="K17" s="2702">
        <f t="shared" si="0"/>
        <v>76800000</v>
      </c>
      <c r="L17" s="2549">
        <f t="shared" si="1"/>
        <v>76800000</v>
      </c>
      <c r="M17" s="2554"/>
      <c r="N17" s="2554"/>
      <c r="O17" s="2554"/>
      <c r="P17" s="2554"/>
      <c r="Q17" s="2554"/>
      <c r="R17" s="2554"/>
      <c r="S17" s="2554"/>
      <c r="T17" s="2555">
        <f>'1.7 RT'!D10</f>
        <v>76800000</v>
      </c>
      <c r="U17" s="2552" t="s">
        <v>23</v>
      </c>
      <c r="V17" s="1297" t="s">
        <v>246</v>
      </c>
      <c r="W17" s="1298"/>
      <c r="X17" s="1298"/>
      <c r="Y17" s="1299" t="s">
        <v>369</v>
      </c>
      <c r="Z17" s="1293"/>
      <c r="AA17" s="1293"/>
      <c r="AB17" s="1272"/>
      <c r="AC17" s="1266"/>
      <c r="AD17" s="1266"/>
      <c r="AE17" s="1266"/>
      <c r="AF17" s="1266"/>
      <c r="AG17" s="1266"/>
      <c r="AH17" s="1272"/>
      <c r="AI17" s="1272"/>
      <c r="AJ17" s="1272"/>
      <c r="AK17" s="1272"/>
      <c r="AL17" s="1272"/>
      <c r="AM17" s="1272"/>
      <c r="AN17" s="1272"/>
    </row>
    <row r="18" spans="1:40" ht="36.75" thickBot="1">
      <c r="A18" s="2825"/>
      <c r="B18" s="2829"/>
      <c r="C18" s="2550" t="s">
        <v>137</v>
      </c>
      <c r="D18" s="2551" t="s">
        <v>539</v>
      </c>
      <c r="E18" s="2552" t="s">
        <v>1206</v>
      </c>
      <c r="F18" s="2552" t="s">
        <v>235</v>
      </c>
      <c r="G18" s="2556" t="s">
        <v>561</v>
      </c>
      <c r="H18" s="2554">
        <v>2020</v>
      </c>
      <c r="I18" s="2554" t="s">
        <v>1606</v>
      </c>
      <c r="J18" s="2554">
        <v>2020</v>
      </c>
      <c r="K18" s="2702">
        <f t="shared" si="0"/>
        <v>2700000</v>
      </c>
      <c r="L18" s="2549">
        <f t="shared" si="1"/>
        <v>2700000</v>
      </c>
      <c r="M18" s="2554"/>
      <c r="N18" s="2554"/>
      <c r="O18" s="2554"/>
      <c r="P18" s="2554"/>
      <c r="Q18" s="2554"/>
      <c r="R18" s="2554"/>
      <c r="S18" s="2554"/>
      <c r="T18" s="2555">
        <f>'1.11 Aset'!D11</f>
        <v>2700000</v>
      </c>
      <c r="U18" s="2552" t="s">
        <v>240</v>
      </c>
      <c r="V18" s="1297" t="s">
        <v>246</v>
      </c>
      <c r="W18" s="1298"/>
      <c r="X18" s="1298"/>
      <c r="Y18" s="1302" t="s">
        <v>562</v>
      </c>
      <c r="Z18" s="1293"/>
      <c r="AA18" s="1293"/>
      <c r="AB18" s="1272"/>
      <c r="AC18" s="1266"/>
      <c r="AD18" s="1266"/>
      <c r="AE18" s="1266"/>
      <c r="AF18" s="1266"/>
      <c r="AG18" s="1266"/>
      <c r="AH18" s="1272"/>
      <c r="AI18" s="1272"/>
      <c r="AJ18" s="1272"/>
      <c r="AK18" s="1272"/>
      <c r="AL18" s="1272"/>
      <c r="AM18" s="1272"/>
      <c r="AN18" s="1272"/>
    </row>
    <row r="19" spans="1:40" ht="36.75" thickBot="1">
      <c r="A19" s="2825"/>
      <c r="B19" s="2829"/>
      <c r="C19" s="2550" t="s">
        <v>139</v>
      </c>
      <c r="D19" s="2551" t="s">
        <v>1203</v>
      </c>
      <c r="E19" s="2552" t="s">
        <v>1206</v>
      </c>
      <c r="F19" s="2552" t="s">
        <v>235</v>
      </c>
      <c r="G19" s="2556" t="s">
        <v>1202</v>
      </c>
      <c r="H19" s="2554">
        <v>2020</v>
      </c>
      <c r="I19" s="2554" t="s">
        <v>89</v>
      </c>
      <c r="J19" s="2554">
        <v>2020</v>
      </c>
      <c r="K19" s="2702">
        <f t="shared" si="0"/>
        <v>5649000</v>
      </c>
      <c r="L19" s="2549">
        <f t="shared" si="1"/>
        <v>5649000</v>
      </c>
      <c r="M19" s="2554"/>
      <c r="N19" s="2554"/>
      <c r="O19" s="2554"/>
      <c r="P19" s="2554"/>
      <c r="Q19" s="2554"/>
      <c r="R19" s="2554"/>
      <c r="S19" s="2554"/>
      <c r="T19" s="2555">
        <f>'Pnj APBDES'!K154</f>
        <v>5649000</v>
      </c>
      <c r="U19" s="2552" t="s">
        <v>23</v>
      </c>
      <c r="V19" s="1297" t="s">
        <v>246</v>
      </c>
      <c r="W19" s="1298"/>
      <c r="X19" s="1298"/>
      <c r="Y19" s="1302" t="s">
        <v>562</v>
      </c>
      <c r="Z19" s="1293"/>
      <c r="AA19" s="1293"/>
      <c r="AB19" s="1272"/>
      <c r="AC19" s="1266"/>
      <c r="AD19" s="1266"/>
      <c r="AE19" s="1266"/>
      <c r="AF19" s="1266"/>
      <c r="AG19" s="1266"/>
      <c r="AH19" s="1272"/>
      <c r="AI19" s="1272"/>
      <c r="AJ19" s="1272"/>
      <c r="AK19" s="1272"/>
      <c r="AL19" s="1272"/>
      <c r="AM19" s="1272"/>
      <c r="AN19" s="1272"/>
    </row>
    <row r="20" spans="1:40" ht="36.75" thickBot="1">
      <c r="A20" s="2825"/>
      <c r="B20" s="2829"/>
      <c r="C20" s="2550" t="s">
        <v>140</v>
      </c>
      <c r="D20" s="2551" t="s">
        <v>530</v>
      </c>
      <c r="E20" s="2552" t="s">
        <v>1206</v>
      </c>
      <c r="F20" s="2552" t="s">
        <v>235</v>
      </c>
      <c r="G20" s="2556" t="s">
        <v>567</v>
      </c>
      <c r="H20" s="2554">
        <v>2020</v>
      </c>
      <c r="I20" s="2554" t="s">
        <v>1607</v>
      </c>
      <c r="J20" s="2554">
        <v>2020</v>
      </c>
      <c r="K20" s="2702">
        <f t="shared" si="0"/>
        <v>1385000</v>
      </c>
      <c r="L20" s="2549">
        <f t="shared" si="1"/>
        <v>1385000</v>
      </c>
      <c r="M20" s="2554"/>
      <c r="N20" s="2554"/>
      <c r="O20" s="2554"/>
      <c r="P20" s="2554"/>
      <c r="Q20" s="2554"/>
      <c r="R20" s="2554"/>
      <c r="S20" s="2554"/>
      <c r="T20" s="2555">
        <f>'Pnj APBDES'!L182</f>
        <v>1385000</v>
      </c>
      <c r="U20" s="2552" t="s">
        <v>330</v>
      </c>
      <c r="V20" s="1297" t="s">
        <v>246</v>
      </c>
      <c r="W20" s="1298"/>
      <c r="X20" s="1298"/>
      <c r="Y20" s="1302" t="s">
        <v>562</v>
      </c>
      <c r="Z20" s="1293"/>
      <c r="AA20" s="1293"/>
      <c r="AB20" s="1272"/>
      <c r="AC20" s="1266"/>
      <c r="AD20" s="1266"/>
      <c r="AE20" s="1266"/>
      <c r="AF20" s="1266"/>
      <c r="AG20" s="1266"/>
      <c r="AH20" s="1272"/>
      <c r="AI20" s="1272"/>
      <c r="AJ20" s="1272"/>
      <c r="AK20" s="1272"/>
      <c r="AL20" s="1272"/>
      <c r="AM20" s="1272"/>
      <c r="AN20" s="1272"/>
    </row>
    <row r="21" spans="1:40" ht="30.75" customHeight="1">
      <c r="A21" s="2825"/>
      <c r="B21" s="2861"/>
      <c r="C21" s="2557" t="s">
        <v>142</v>
      </c>
      <c r="D21" s="2558" t="s">
        <v>1456</v>
      </c>
      <c r="E21" s="2541" t="s">
        <v>1206</v>
      </c>
      <c r="F21" s="2541" t="s">
        <v>235</v>
      </c>
      <c r="G21" s="2559" t="s">
        <v>1045</v>
      </c>
      <c r="H21" s="2560">
        <v>2020</v>
      </c>
      <c r="I21" s="2560" t="s">
        <v>1608</v>
      </c>
      <c r="J21" s="2560">
        <v>2020</v>
      </c>
      <c r="K21" s="2702">
        <f t="shared" si="0"/>
        <v>8600000</v>
      </c>
      <c r="L21" s="2549">
        <f t="shared" si="1"/>
        <v>8600000</v>
      </c>
      <c r="M21" s="2560"/>
      <c r="N21" s="2560"/>
      <c r="O21" s="2560"/>
      <c r="P21" s="2560"/>
      <c r="Q21" s="2560"/>
      <c r="R21" s="2560"/>
      <c r="S21" s="2560"/>
      <c r="T21" s="2561">
        <f>'1.14 TKD'!H22</f>
        <v>8600000</v>
      </c>
      <c r="U21" s="2541" t="s">
        <v>240</v>
      </c>
      <c r="V21" s="1297" t="s">
        <v>246</v>
      </c>
      <c r="W21" s="1298"/>
      <c r="X21" s="1298"/>
      <c r="Y21" s="1302" t="s">
        <v>1022</v>
      </c>
      <c r="Z21" s="1293"/>
      <c r="AA21" s="1293"/>
      <c r="AB21" s="1272"/>
      <c r="AC21" s="1266"/>
      <c r="AD21" s="1266"/>
      <c r="AE21" s="1266"/>
      <c r="AF21" s="1266"/>
      <c r="AG21" s="1266"/>
      <c r="AH21" s="1272"/>
      <c r="AI21" s="1272"/>
      <c r="AJ21" s="1272"/>
      <c r="AK21" s="1272"/>
      <c r="AL21" s="1272"/>
      <c r="AM21" s="1272"/>
      <c r="AN21" s="1272"/>
    </row>
    <row r="22" spans="1:40" ht="30.75" customHeight="1">
      <c r="A22" s="2818" t="s">
        <v>231</v>
      </c>
      <c r="B22" s="2819"/>
      <c r="C22" s="2819"/>
      <c r="D22" s="2819"/>
      <c r="E22" s="2819"/>
      <c r="F22" s="2819"/>
      <c r="G22" s="2819"/>
      <c r="H22" s="2819"/>
      <c r="I22" s="2669"/>
      <c r="J22" s="2692"/>
      <c r="K22" s="2692"/>
      <c r="L22" s="2692"/>
      <c r="M22" s="2692"/>
      <c r="N22" s="2692"/>
      <c r="O22" s="2692"/>
      <c r="P22" s="2692"/>
      <c r="Q22" s="2692"/>
      <c r="R22" s="2692"/>
      <c r="S22" s="2692"/>
      <c r="T22" s="1303">
        <f>SUM(T12:T21)</f>
        <v>564113151</v>
      </c>
      <c r="U22" s="2542"/>
      <c r="V22" s="1304"/>
      <c r="W22" s="1305"/>
      <c r="X22" s="1305"/>
      <c r="Y22" s="1306"/>
      <c r="Z22" s="1293"/>
      <c r="AA22" s="1293"/>
      <c r="AB22" s="1272" t="b">
        <f>T22='Pnj APBDES'!K67</f>
        <v>0</v>
      </c>
      <c r="AC22" s="1266">
        <f>T22-'Pnj APBDES'!L67</f>
        <v>0</v>
      </c>
      <c r="AD22" s="1266"/>
      <c r="AE22" s="1266"/>
      <c r="AF22" s="1266"/>
      <c r="AG22" s="1266"/>
      <c r="AH22" s="1272"/>
      <c r="AI22" s="1272"/>
      <c r="AJ22" s="1272"/>
      <c r="AK22" s="1272"/>
      <c r="AL22" s="1272"/>
      <c r="AM22" s="1272"/>
      <c r="AN22" s="1272"/>
    </row>
    <row r="23" spans="1:40" ht="54">
      <c r="A23" s="2830">
        <v>2</v>
      </c>
      <c r="B23" s="2828" t="s">
        <v>91</v>
      </c>
      <c r="C23" s="2538">
        <v>2.1</v>
      </c>
      <c r="D23" s="2562" t="s">
        <v>1457</v>
      </c>
      <c r="E23" s="2563" t="s">
        <v>1206</v>
      </c>
      <c r="F23" s="2563" t="s">
        <v>235</v>
      </c>
      <c r="G23" s="2564" t="s">
        <v>982</v>
      </c>
      <c r="H23" s="2565">
        <v>2020</v>
      </c>
      <c r="I23" s="2565" t="s">
        <v>1609</v>
      </c>
      <c r="J23" s="2565">
        <v>2020</v>
      </c>
      <c r="K23" s="2565"/>
      <c r="L23" s="2697">
        <f>T23</f>
        <v>22800000</v>
      </c>
      <c r="M23" s="2565"/>
      <c r="N23" s="2565"/>
      <c r="O23" s="2565"/>
      <c r="P23" s="2565"/>
      <c r="Q23" s="2565"/>
      <c r="R23" s="2565"/>
      <c r="S23" s="2565"/>
      <c r="T23" s="2566">
        <f>'Pnj APBDES'!K196</f>
        <v>22800000</v>
      </c>
      <c r="U23" s="2563" t="s">
        <v>22</v>
      </c>
      <c r="V23" s="1309" t="s">
        <v>246</v>
      </c>
      <c r="W23" s="1310"/>
      <c r="X23" s="1310"/>
      <c r="Y23" s="1311" t="s">
        <v>1022</v>
      </c>
      <c r="Z23" s="1293"/>
      <c r="AA23" s="1293"/>
      <c r="AB23" s="1272"/>
      <c r="AC23" s="1266"/>
      <c r="AD23" s="1266"/>
      <c r="AE23" s="1266"/>
      <c r="AF23" s="1266"/>
      <c r="AG23" s="1266"/>
      <c r="AH23" s="1272"/>
      <c r="AI23" s="1272"/>
      <c r="AJ23" s="1272"/>
      <c r="AK23" s="1272"/>
      <c r="AL23" s="1272"/>
      <c r="AM23" s="1272"/>
      <c r="AN23" s="1272"/>
    </row>
    <row r="24" spans="1:40" ht="54">
      <c r="A24" s="2825"/>
      <c r="B24" s="2829"/>
      <c r="C24" s="2539">
        <v>2.2000000000000002</v>
      </c>
      <c r="D24" s="2567" t="s">
        <v>1458</v>
      </c>
      <c r="E24" s="2552" t="s">
        <v>1206</v>
      </c>
      <c r="F24" s="2552" t="s">
        <v>235</v>
      </c>
      <c r="G24" s="2568" t="s">
        <v>983</v>
      </c>
      <c r="H24" s="2569">
        <v>2020</v>
      </c>
      <c r="I24" s="2569" t="s">
        <v>1610</v>
      </c>
      <c r="J24" s="2569">
        <v>2020</v>
      </c>
      <c r="K24" s="2569"/>
      <c r="L24" s="2697">
        <f t="shared" ref="L24:L30" si="3">T24</f>
        <v>16254614</v>
      </c>
      <c r="M24" s="2569"/>
      <c r="N24" s="2569"/>
      <c r="O24" s="2569"/>
      <c r="P24" s="2569"/>
      <c r="Q24" s="2569"/>
      <c r="R24" s="2569"/>
      <c r="S24" s="2569"/>
      <c r="T24" s="2555">
        <f>'Pnj APBDES'!L203</f>
        <v>16254614</v>
      </c>
      <c r="U24" s="2570" t="s">
        <v>22</v>
      </c>
      <c r="V24" s="1309" t="s">
        <v>246</v>
      </c>
      <c r="W24" s="1317"/>
      <c r="X24" s="1317"/>
      <c r="Y24" s="1311" t="s">
        <v>1022</v>
      </c>
      <c r="Z24" s="1293"/>
      <c r="AA24" s="1293"/>
      <c r="AB24" s="1272"/>
      <c r="AC24" s="1266"/>
      <c r="AD24" s="1266"/>
      <c r="AE24" s="1266"/>
      <c r="AF24" s="1266"/>
      <c r="AG24" s="1266"/>
      <c r="AH24" s="1272"/>
      <c r="AI24" s="1272"/>
      <c r="AJ24" s="1272"/>
      <c r="AK24" s="1272"/>
      <c r="AL24" s="1272"/>
      <c r="AM24" s="1272"/>
      <c r="AN24" s="1272"/>
    </row>
    <row r="25" spans="1:40" ht="45.75" customHeight="1">
      <c r="A25" s="2825"/>
      <c r="B25" s="2829"/>
      <c r="C25" s="2539">
        <v>2.2999999999999998</v>
      </c>
      <c r="D25" s="1312" t="s">
        <v>988</v>
      </c>
      <c r="E25" s="1313" t="s">
        <v>1200</v>
      </c>
      <c r="F25" s="2571">
        <v>75</v>
      </c>
      <c r="G25" s="1314" t="s">
        <v>990</v>
      </c>
      <c r="H25" s="2554">
        <v>2020</v>
      </c>
      <c r="I25" s="2554" t="s">
        <v>1611</v>
      </c>
      <c r="J25" s="2554">
        <v>2020</v>
      </c>
      <c r="K25" s="2570"/>
      <c r="L25" s="2697">
        <f t="shared" si="3"/>
        <v>95045000</v>
      </c>
      <c r="M25" s="2554"/>
      <c r="N25" s="2554"/>
      <c r="O25" s="2554"/>
      <c r="P25" s="2554"/>
      <c r="Q25" s="2554"/>
      <c r="R25" s="2554"/>
      <c r="S25" s="2554"/>
      <c r="T25" s="2555">
        <v>95045000</v>
      </c>
      <c r="U25" s="2572" t="s">
        <v>22</v>
      </c>
      <c r="V25" s="1309" t="s">
        <v>246</v>
      </c>
      <c r="W25" s="1298"/>
      <c r="X25" s="1298"/>
      <c r="Y25" s="1316" t="s">
        <v>371</v>
      </c>
      <c r="Z25" s="1293"/>
      <c r="AA25" s="1293"/>
      <c r="AB25" s="1272"/>
      <c r="AC25" s="1266"/>
      <c r="AD25" s="1266"/>
      <c r="AE25" s="1266"/>
      <c r="AF25" s="1266"/>
      <c r="AG25" s="1266"/>
      <c r="AH25" s="1272"/>
      <c r="AI25" s="1272"/>
      <c r="AJ25" s="1272"/>
      <c r="AK25" s="1272"/>
      <c r="AL25" s="1272"/>
      <c r="AM25" s="1272"/>
      <c r="AN25" s="1272"/>
    </row>
    <row r="26" spans="1:40" ht="30.75" customHeight="1">
      <c r="A26" s="2825"/>
      <c r="B26" s="2829"/>
      <c r="C26" s="2539">
        <v>2.4</v>
      </c>
      <c r="D26" s="1312" t="s">
        <v>991</v>
      </c>
      <c r="E26" s="1318" t="s">
        <v>1333</v>
      </c>
      <c r="F26" s="2571">
        <v>50</v>
      </c>
      <c r="G26" s="1314" t="s">
        <v>990</v>
      </c>
      <c r="H26" s="2554">
        <v>2020</v>
      </c>
      <c r="I26" s="2554" t="s">
        <v>1611</v>
      </c>
      <c r="J26" s="2554">
        <v>2020</v>
      </c>
      <c r="K26" s="2554"/>
      <c r="L26" s="2697">
        <f t="shared" si="3"/>
        <v>64021000</v>
      </c>
      <c r="M26" s="2554"/>
      <c r="N26" s="2554"/>
      <c r="O26" s="2554"/>
      <c r="P26" s="2554"/>
      <c r="Q26" s="2554"/>
      <c r="R26" s="2554"/>
      <c r="S26" s="2554"/>
      <c r="T26" s="2555">
        <v>64021000</v>
      </c>
      <c r="U26" s="2572" t="s">
        <v>22</v>
      </c>
      <c r="V26" s="1309"/>
      <c r="W26" s="1298"/>
      <c r="X26" s="1298"/>
      <c r="Y26" s="1316"/>
      <c r="Z26" s="1293"/>
      <c r="AA26" s="1293"/>
      <c r="AB26" s="1272"/>
      <c r="AC26" s="1266"/>
      <c r="AD26" s="1266"/>
      <c r="AE26" s="1266"/>
      <c r="AF26" s="1266"/>
      <c r="AG26" s="1266"/>
      <c r="AH26" s="1272"/>
      <c r="AI26" s="1272"/>
      <c r="AJ26" s="1272"/>
      <c r="AK26" s="1272"/>
      <c r="AL26" s="1272"/>
      <c r="AM26" s="1272"/>
      <c r="AN26" s="1272"/>
    </row>
    <row r="27" spans="1:40" ht="30.75" customHeight="1">
      <c r="A27" s="2825"/>
      <c r="B27" s="2829"/>
      <c r="C27" s="2539">
        <v>2.5</v>
      </c>
      <c r="D27" s="1312" t="s">
        <v>992</v>
      </c>
      <c r="E27" s="1313" t="s">
        <v>1201</v>
      </c>
      <c r="F27" s="2571">
        <v>40</v>
      </c>
      <c r="G27" s="1314" t="s">
        <v>990</v>
      </c>
      <c r="H27" s="2554">
        <v>2020</v>
      </c>
      <c r="I27" s="2554" t="s">
        <v>1611</v>
      </c>
      <c r="J27" s="2554">
        <v>2020</v>
      </c>
      <c r="K27" s="2554"/>
      <c r="L27" s="2697">
        <f t="shared" si="3"/>
        <v>38079000</v>
      </c>
      <c r="M27" s="2554"/>
      <c r="N27" s="2554"/>
      <c r="O27" s="2554"/>
      <c r="P27" s="2554"/>
      <c r="Q27" s="2554"/>
      <c r="R27" s="2554"/>
      <c r="S27" s="2554"/>
      <c r="T27" s="2555">
        <v>38079000</v>
      </c>
      <c r="U27" s="2572" t="s">
        <v>22</v>
      </c>
      <c r="V27" s="1309" t="s">
        <v>246</v>
      </c>
      <c r="W27" s="1298"/>
      <c r="X27" s="1298"/>
      <c r="Y27" s="1316" t="s">
        <v>371</v>
      </c>
      <c r="Z27" s="1293"/>
      <c r="AA27" s="1293"/>
      <c r="AB27" s="1272"/>
      <c r="AC27" s="1266"/>
      <c r="AD27" s="1266"/>
      <c r="AE27" s="1266"/>
      <c r="AF27" s="1266"/>
      <c r="AG27" s="1266"/>
      <c r="AH27" s="1272"/>
      <c r="AI27" s="1272"/>
      <c r="AJ27" s="1272"/>
      <c r="AK27" s="1272"/>
      <c r="AL27" s="1272"/>
      <c r="AM27" s="1272"/>
      <c r="AN27" s="1272"/>
    </row>
    <row r="28" spans="1:40" ht="30.75" customHeight="1">
      <c r="A28" s="2825"/>
      <c r="B28" s="2829"/>
      <c r="C28" s="2539">
        <v>2.6</v>
      </c>
      <c r="D28" s="1312" t="s">
        <v>994</v>
      </c>
      <c r="E28" s="1313" t="s">
        <v>1043</v>
      </c>
      <c r="F28" s="2571">
        <v>70</v>
      </c>
      <c r="G28" s="1314" t="s">
        <v>990</v>
      </c>
      <c r="H28" s="2554">
        <v>2020</v>
      </c>
      <c r="I28" s="2554" t="s">
        <v>1611</v>
      </c>
      <c r="J28" s="2554">
        <v>2020</v>
      </c>
      <c r="K28" s="2554"/>
      <c r="L28" s="2697">
        <f t="shared" si="3"/>
        <v>88745000</v>
      </c>
      <c r="M28" s="2554"/>
      <c r="N28" s="2554"/>
      <c r="O28" s="2554"/>
      <c r="P28" s="2554"/>
      <c r="Q28" s="2554"/>
      <c r="R28" s="2554"/>
      <c r="S28" s="2554"/>
      <c r="T28" s="2555">
        <v>88745000</v>
      </c>
      <c r="U28" s="2572" t="s">
        <v>22</v>
      </c>
      <c r="V28" s="1309" t="s">
        <v>246</v>
      </c>
      <c r="W28" s="1298"/>
      <c r="X28" s="1298"/>
      <c r="Y28" s="1316" t="s">
        <v>371</v>
      </c>
      <c r="Z28" s="1293"/>
      <c r="AA28" s="1293"/>
      <c r="AB28" s="1272"/>
      <c r="AC28" s="1266"/>
      <c r="AD28" s="1266"/>
      <c r="AE28" s="1266"/>
      <c r="AF28" s="1266"/>
      <c r="AG28" s="1266"/>
      <c r="AH28" s="1272"/>
      <c r="AI28" s="1272"/>
      <c r="AJ28" s="1272"/>
      <c r="AK28" s="1272"/>
      <c r="AL28" s="1272"/>
      <c r="AM28" s="1272"/>
      <c r="AN28" s="1272"/>
    </row>
    <row r="29" spans="1:40" ht="30.75" customHeight="1">
      <c r="A29" s="2825"/>
      <c r="B29" s="2829"/>
      <c r="C29" s="2539">
        <v>2.7</v>
      </c>
      <c r="D29" s="1312" t="s">
        <v>996</v>
      </c>
      <c r="E29" s="1313" t="s">
        <v>1050</v>
      </c>
      <c r="F29" s="2571">
        <v>54</v>
      </c>
      <c r="G29" s="1314" t="s">
        <v>990</v>
      </c>
      <c r="H29" s="2554">
        <v>2020</v>
      </c>
      <c r="I29" s="2554" t="s">
        <v>1611</v>
      </c>
      <c r="J29" s="2554">
        <v>2020</v>
      </c>
      <c r="K29" s="2554"/>
      <c r="L29" s="2697">
        <f t="shared" si="3"/>
        <v>69391000</v>
      </c>
      <c r="M29" s="2554"/>
      <c r="N29" s="2554"/>
      <c r="O29" s="2554"/>
      <c r="P29" s="2554"/>
      <c r="Q29" s="2554"/>
      <c r="R29" s="2554"/>
      <c r="S29" s="2554"/>
      <c r="T29" s="2555">
        <v>69391000</v>
      </c>
      <c r="U29" s="2572" t="s">
        <v>22</v>
      </c>
      <c r="V29" s="1309"/>
      <c r="W29" s="1298"/>
      <c r="X29" s="1298"/>
      <c r="Y29" s="1316"/>
      <c r="Z29" s="1293"/>
      <c r="AA29" s="1293"/>
      <c r="AB29" s="1272"/>
      <c r="AC29" s="1266"/>
      <c r="AD29" s="1266"/>
      <c r="AE29" s="1266"/>
      <c r="AF29" s="1266"/>
      <c r="AG29" s="1266"/>
      <c r="AH29" s="1272"/>
      <c r="AI29" s="1272"/>
      <c r="AJ29" s="1272"/>
      <c r="AK29" s="1272"/>
      <c r="AL29" s="1272"/>
      <c r="AM29" s="1272"/>
      <c r="AN29" s="1272"/>
    </row>
    <row r="30" spans="1:40" ht="30.75" customHeight="1">
      <c r="A30" s="2825"/>
      <c r="B30" s="2829"/>
      <c r="C30" s="2573">
        <v>2.8</v>
      </c>
      <c r="D30" s="2536" t="s">
        <v>1593</v>
      </c>
      <c r="E30" s="2541" t="s">
        <v>1206</v>
      </c>
      <c r="F30" s="2536" t="s">
        <v>1594</v>
      </c>
      <c r="G30" s="2536"/>
      <c r="H30" s="2536"/>
      <c r="I30" s="2554" t="s">
        <v>1611</v>
      </c>
      <c r="J30" s="2541">
        <v>2020</v>
      </c>
      <c r="K30" s="2541"/>
      <c r="L30" s="2697">
        <f t="shared" si="3"/>
        <v>5145000</v>
      </c>
      <c r="M30" s="2541"/>
      <c r="N30" s="2541"/>
      <c r="O30" s="2541"/>
      <c r="P30" s="2541"/>
      <c r="Q30" s="2541"/>
      <c r="R30" s="2541"/>
      <c r="S30" s="2541"/>
      <c r="T30" s="2537">
        <v>5145000</v>
      </c>
      <c r="U30" s="2541" t="s">
        <v>429</v>
      </c>
      <c r="V30" s="1309" t="s">
        <v>246</v>
      </c>
      <c r="W30" s="1298"/>
      <c r="X30" s="1298"/>
      <c r="Y30" s="1316" t="s">
        <v>371</v>
      </c>
      <c r="Z30" s="1293"/>
      <c r="AA30" s="1293"/>
      <c r="AB30" s="1272"/>
      <c r="AC30" s="1266"/>
      <c r="AD30" s="1266"/>
      <c r="AE30" s="1266"/>
      <c r="AF30" s="1266"/>
      <c r="AG30" s="1266"/>
      <c r="AH30" s="1272"/>
      <c r="AI30" s="1272"/>
      <c r="AJ30" s="1272"/>
      <c r="AK30" s="1272"/>
      <c r="AL30" s="1272"/>
      <c r="AM30" s="1272"/>
      <c r="AN30" s="1272"/>
    </row>
    <row r="31" spans="1:40" ht="30.75" customHeight="1">
      <c r="A31" s="2818" t="s">
        <v>232</v>
      </c>
      <c r="B31" s="2819"/>
      <c r="C31" s="2819"/>
      <c r="D31" s="2819"/>
      <c r="E31" s="2819"/>
      <c r="F31" s="2819"/>
      <c r="G31" s="2819"/>
      <c r="H31" s="2819"/>
      <c r="I31" s="2669"/>
      <c r="J31" s="2692"/>
      <c r="K31" s="2692"/>
      <c r="L31" s="2692"/>
      <c r="M31" s="2692"/>
      <c r="N31" s="2692"/>
      <c r="O31" s="2692"/>
      <c r="P31" s="2692"/>
      <c r="Q31" s="2692"/>
      <c r="R31" s="2692"/>
      <c r="S31" s="2692"/>
      <c r="T31" s="1303">
        <f>SUM(T23:T30)</f>
        <v>399480614</v>
      </c>
      <c r="U31" s="2542"/>
      <c r="V31" s="1305"/>
      <c r="W31" s="1305"/>
      <c r="X31" s="1305"/>
      <c r="Y31" s="1306"/>
      <c r="Z31" s="1293"/>
      <c r="AA31" s="1293"/>
      <c r="AB31" s="1275">
        <f>T31-'Pnj APBDES'!L191</f>
        <v>0</v>
      </c>
      <c r="AC31" s="1266" t="b">
        <f>T31='Pnj APBDES'!K191</f>
        <v>0</v>
      </c>
      <c r="AD31" s="1266">
        <f>T31-'Pnj APBDES'!K191</f>
        <v>-228497436</v>
      </c>
      <c r="AE31" s="1266"/>
      <c r="AF31" s="1266"/>
      <c r="AG31" s="1266"/>
      <c r="AH31" s="1272"/>
      <c r="AI31" s="1272"/>
      <c r="AJ31" s="1272"/>
      <c r="AK31" s="1272"/>
      <c r="AL31" s="1272"/>
      <c r="AM31" s="1272"/>
      <c r="AN31" s="1272"/>
    </row>
    <row r="32" spans="1:40" ht="30.75" customHeight="1">
      <c r="A32" s="2820">
        <v>3</v>
      </c>
      <c r="B32" s="2822" t="s">
        <v>49</v>
      </c>
      <c r="C32" s="1319" t="s">
        <v>126</v>
      </c>
      <c r="D32" s="1320" t="s">
        <v>663</v>
      </c>
      <c r="E32" s="1321" t="s">
        <v>1206</v>
      </c>
      <c r="F32" s="1321" t="s">
        <v>87</v>
      </c>
      <c r="G32" s="1322" t="s">
        <v>260</v>
      </c>
      <c r="H32" s="1319">
        <v>2020</v>
      </c>
      <c r="I32" s="1319" t="s">
        <v>1612</v>
      </c>
      <c r="J32" s="1319">
        <v>2020</v>
      </c>
      <c r="K32" s="1319"/>
      <c r="L32" s="2698">
        <f>T32</f>
        <v>8700000</v>
      </c>
      <c r="M32" s="1319"/>
      <c r="N32" s="1319"/>
      <c r="O32" s="1319"/>
      <c r="P32" s="1319"/>
      <c r="Q32" s="1319"/>
      <c r="R32" s="1319"/>
      <c r="S32" s="1319"/>
      <c r="T32" s="1323">
        <f>'3.1 Linmas'!H20</f>
        <v>8700000</v>
      </c>
      <c r="U32" s="1324" t="s">
        <v>330</v>
      </c>
      <c r="V32" s="1325" t="s">
        <v>246</v>
      </c>
      <c r="W32" s="1326"/>
      <c r="X32" s="1326"/>
      <c r="Y32" s="1327" t="s">
        <v>370</v>
      </c>
      <c r="Z32" s="1293"/>
      <c r="AA32" s="1293"/>
      <c r="AB32" s="1272"/>
      <c r="AC32" s="1266"/>
      <c r="AD32" s="1266"/>
      <c r="AE32" s="1266"/>
      <c r="AF32" s="1266"/>
      <c r="AG32" s="1266"/>
      <c r="AH32" s="1272"/>
      <c r="AI32" s="1272"/>
      <c r="AJ32" s="1272"/>
      <c r="AK32" s="1272"/>
      <c r="AL32" s="1272"/>
      <c r="AM32" s="1272"/>
      <c r="AN32" s="1272"/>
    </row>
    <row r="33" spans="1:40" ht="30.75" customHeight="1">
      <c r="A33" s="2821"/>
      <c r="B33" s="2823"/>
      <c r="C33" s="1295" t="s">
        <v>127</v>
      </c>
      <c r="D33" s="1328" t="s">
        <v>665</v>
      </c>
      <c r="E33" s="1294" t="s">
        <v>1206</v>
      </c>
      <c r="F33" s="1294" t="s">
        <v>87</v>
      </c>
      <c r="G33" s="1301" t="s">
        <v>1088</v>
      </c>
      <c r="H33" s="1295">
        <v>2020</v>
      </c>
      <c r="I33" s="1295" t="s">
        <v>1613</v>
      </c>
      <c r="J33" s="1295">
        <v>2020</v>
      </c>
      <c r="K33" s="1295"/>
      <c r="L33" s="2698">
        <f t="shared" ref="L33:L37" si="4">T33</f>
        <v>21900000</v>
      </c>
      <c r="M33" s="1295"/>
      <c r="N33" s="1295"/>
      <c r="O33" s="1295"/>
      <c r="P33" s="1295"/>
      <c r="Q33" s="1295"/>
      <c r="R33" s="1295"/>
      <c r="S33" s="1295"/>
      <c r="T33" s="1296">
        <f>'Pnj APBDES'!L232</f>
        <v>21900000</v>
      </c>
      <c r="U33" s="1315" t="s">
        <v>330</v>
      </c>
      <c r="V33" s="1297" t="s">
        <v>246</v>
      </c>
      <c r="W33" s="1298"/>
      <c r="X33" s="1298"/>
      <c r="Y33" s="1299" t="s">
        <v>370</v>
      </c>
      <c r="Z33" s="1293"/>
      <c r="AA33" s="1293"/>
      <c r="AB33" s="1272"/>
      <c r="AC33" s="1266"/>
      <c r="AD33" s="1266"/>
      <c r="AE33" s="1266"/>
      <c r="AF33" s="1266"/>
      <c r="AG33" s="1266"/>
      <c r="AH33" s="1272"/>
      <c r="AI33" s="1272"/>
      <c r="AJ33" s="1272"/>
      <c r="AK33" s="1272"/>
      <c r="AL33" s="1272"/>
      <c r="AM33" s="1272"/>
      <c r="AN33" s="1272"/>
    </row>
    <row r="34" spans="1:40" ht="36">
      <c r="A34" s="2821"/>
      <c r="B34" s="2823"/>
      <c r="C34" s="1319" t="s">
        <v>225</v>
      </c>
      <c r="D34" s="1328" t="s">
        <v>1459</v>
      </c>
      <c r="E34" s="1294" t="s">
        <v>1206</v>
      </c>
      <c r="F34" s="1294" t="s">
        <v>1454</v>
      </c>
      <c r="G34" s="1301"/>
      <c r="H34" s="1295"/>
      <c r="I34" s="1295" t="s">
        <v>1614</v>
      </c>
      <c r="J34" s="1295">
        <v>2020</v>
      </c>
      <c r="K34" s="1295"/>
      <c r="L34" s="2698">
        <f t="shared" si="4"/>
        <v>167890386</v>
      </c>
      <c r="M34" s="1295"/>
      <c r="N34" s="1295"/>
      <c r="O34" s="1295"/>
      <c r="P34" s="1295"/>
      <c r="Q34" s="1295"/>
      <c r="R34" s="1295"/>
      <c r="S34" s="1295"/>
      <c r="T34" s="1296">
        <f>'Pnj APBDES'!L255</f>
        <v>167890386</v>
      </c>
      <c r="U34" s="1315" t="s">
        <v>22</v>
      </c>
      <c r="V34" s="1297"/>
      <c r="W34" s="1298"/>
      <c r="X34" s="1298"/>
      <c r="Y34" s="1299"/>
      <c r="Z34" s="1293"/>
      <c r="AA34" s="1293"/>
      <c r="AB34" s="1272"/>
      <c r="AC34" s="1266"/>
      <c r="AD34" s="1266"/>
      <c r="AE34" s="1266"/>
      <c r="AF34" s="1266"/>
      <c r="AG34" s="1266"/>
      <c r="AH34" s="1272"/>
      <c r="AI34" s="1272"/>
      <c r="AJ34" s="1272"/>
      <c r="AK34" s="1272"/>
      <c r="AL34" s="1272"/>
      <c r="AM34" s="1272"/>
      <c r="AN34" s="1272"/>
    </row>
    <row r="35" spans="1:40" ht="30.75" customHeight="1">
      <c r="A35" s="2821"/>
      <c r="B35" s="2823"/>
      <c r="C35" s="1295" t="s">
        <v>226</v>
      </c>
      <c r="D35" s="1328" t="s">
        <v>1015</v>
      </c>
      <c r="E35" s="1294" t="s">
        <v>1206</v>
      </c>
      <c r="F35" s="1294" t="s">
        <v>87</v>
      </c>
      <c r="G35" s="1301" t="s">
        <v>807</v>
      </c>
      <c r="H35" s="1295">
        <v>2020</v>
      </c>
      <c r="I35" s="1295" t="s">
        <v>1615</v>
      </c>
      <c r="J35" s="1295">
        <v>2020</v>
      </c>
      <c r="K35" s="1295"/>
      <c r="L35" s="2698">
        <f t="shared" si="4"/>
        <v>2400000</v>
      </c>
      <c r="M35" s="1295"/>
      <c r="N35" s="1295"/>
      <c r="O35" s="1295"/>
      <c r="P35" s="1295"/>
      <c r="Q35" s="1295"/>
      <c r="R35" s="1295"/>
      <c r="S35" s="1295"/>
      <c r="T35" s="1296">
        <f>'3.5 L.A'!H20</f>
        <v>2400000</v>
      </c>
      <c r="U35" s="1315" t="s">
        <v>23</v>
      </c>
      <c r="V35" s="1297" t="s">
        <v>246</v>
      </c>
      <c r="W35" s="1298"/>
      <c r="X35" s="1298"/>
      <c r="Y35" s="1299" t="s">
        <v>370</v>
      </c>
      <c r="Z35" s="1293"/>
      <c r="AA35" s="1293"/>
      <c r="AB35" s="1272"/>
      <c r="AC35" s="1266"/>
      <c r="AD35" s="1266"/>
      <c r="AE35" s="1266"/>
      <c r="AF35" s="1266"/>
      <c r="AG35" s="1266"/>
      <c r="AH35" s="1272"/>
      <c r="AI35" s="1272"/>
      <c r="AJ35" s="1272"/>
      <c r="AK35" s="1272"/>
      <c r="AL35" s="1272"/>
      <c r="AM35" s="1272"/>
      <c r="AN35" s="1272"/>
    </row>
    <row r="36" spans="1:40" ht="30.75" customHeight="1">
      <c r="A36" s="2821"/>
      <c r="B36" s="2823"/>
      <c r="C36" s="1319" t="s">
        <v>227</v>
      </c>
      <c r="D36" s="1328" t="s">
        <v>1025</v>
      </c>
      <c r="E36" s="1294" t="s">
        <v>1206</v>
      </c>
      <c r="F36" s="1294" t="s">
        <v>87</v>
      </c>
      <c r="G36" s="1301" t="s">
        <v>808</v>
      </c>
      <c r="H36" s="1295">
        <v>2020</v>
      </c>
      <c r="I36" s="1295" t="s">
        <v>1616</v>
      </c>
      <c r="J36" s="1295">
        <v>2020</v>
      </c>
      <c r="K36" s="1295"/>
      <c r="L36" s="2698">
        <f t="shared" si="4"/>
        <v>3900000</v>
      </c>
      <c r="M36" s="1295"/>
      <c r="N36" s="1295"/>
      <c r="O36" s="1295"/>
      <c r="P36" s="1295"/>
      <c r="Q36" s="1295"/>
      <c r="R36" s="1295"/>
      <c r="S36" s="1295"/>
      <c r="T36" s="1296">
        <f>'3.6 LPM'!H21</f>
        <v>3900000</v>
      </c>
      <c r="U36" s="1315" t="s">
        <v>23</v>
      </c>
      <c r="V36" s="1297" t="s">
        <v>246</v>
      </c>
      <c r="W36" s="1298"/>
      <c r="X36" s="1298"/>
      <c r="Y36" s="1299" t="s">
        <v>370</v>
      </c>
      <c r="Z36" s="1293"/>
      <c r="AA36" s="1293"/>
      <c r="AB36" s="1272"/>
      <c r="AC36" s="1266"/>
      <c r="AD36" s="1266"/>
      <c r="AE36" s="1266"/>
      <c r="AF36" s="1266"/>
      <c r="AG36" s="1266"/>
      <c r="AH36" s="1272"/>
      <c r="AI36" s="1272"/>
      <c r="AJ36" s="1272"/>
      <c r="AK36" s="1272"/>
      <c r="AL36" s="1272"/>
      <c r="AM36" s="1272"/>
      <c r="AN36" s="1272"/>
    </row>
    <row r="37" spans="1:40" ht="30.75" customHeight="1">
      <c r="A37" s="2821"/>
      <c r="B37" s="2823"/>
      <c r="C37" s="1295" t="s">
        <v>228</v>
      </c>
      <c r="D37" s="1328" t="s">
        <v>461</v>
      </c>
      <c r="E37" s="1294" t="s">
        <v>1206</v>
      </c>
      <c r="F37" s="1294" t="s">
        <v>87</v>
      </c>
      <c r="G37" s="1301" t="s">
        <v>92</v>
      </c>
      <c r="H37" s="1295">
        <v>2020</v>
      </c>
      <c r="I37" s="1295" t="s">
        <v>92</v>
      </c>
      <c r="J37" s="1295">
        <v>2020</v>
      </c>
      <c r="K37" s="1295"/>
      <c r="L37" s="2698">
        <f t="shared" si="4"/>
        <v>11550500</v>
      </c>
      <c r="M37" s="1295"/>
      <c r="N37" s="1295"/>
      <c r="O37" s="1295"/>
      <c r="P37" s="1295"/>
      <c r="Q37" s="1295"/>
      <c r="R37" s="1295"/>
      <c r="S37" s="1295"/>
      <c r="T37" s="1296">
        <f>'Pnj APBDES'!L269</f>
        <v>11550500</v>
      </c>
      <c r="U37" s="1315" t="s">
        <v>23</v>
      </c>
      <c r="V37" s="1297" t="s">
        <v>246</v>
      </c>
      <c r="W37" s="1298"/>
      <c r="X37" s="1298"/>
      <c r="Y37" s="1299" t="s">
        <v>370</v>
      </c>
      <c r="Z37" s="1293"/>
      <c r="AA37" s="1293"/>
      <c r="AB37" s="1272"/>
      <c r="AC37" s="1266"/>
      <c r="AD37" s="1266"/>
      <c r="AE37" s="1266"/>
      <c r="AF37" s="1266"/>
      <c r="AG37" s="1266"/>
      <c r="AH37" s="1272"/>
      <c r="AI37" s="1272"/>
      <c r="AJ37" s="1272"/>
      <c r="AK37" s="1272"/>
      <c r="AL37" s="1272"/>
      <c r="AM37" s="1272"/>
      <c r="AN37" s="1272"/>
    </row>
    <row r="38" spans="1:40" ht="30" customHeight="1">
      <c r="A38" s="2818" t="s">
        <v>233</v>
      </c>
      <c r="B38" s="2819"/>
      <c r="C38" s="2819"/>
      <c r="D38" s="2819"/>
      <c r="E38" s="2819"/>
      <c r="F38" s="2819"/>
      <c r="G38" s="2819"/>
      <c r="H38" s="2819"/>
      <c r="I38" s="2669"/>
      <c r="J38" s="2692"/>
      <c r="K38" s="2692"/>
      <c r="L38" s="2692"/>
      <c r="M38" s="2692"/>
      <c r="N38" s="2692"/>
      <c r="O38" s="2692"/>
      <c r="P38" s="2692"/>
      <c r="Q38" s="2692"/>
      <c r="R38" s="2692"/>
      <c r="S38" s="2692"/>
      <c r="T38" s="1331">
        <f>SUM(T32:T37)</f>
        <v>216340886</v>
      </c>
      <c r="U38" s="2542"/>
      <c r="V38" s="1305"/>
      <c r="W38" s="1305"/>
      <c r="X38" s="1305"/>
      <c r="Y38" s="1306"/>
      <c r="Z38" s="1293"/>
      <c r="AA38" s="1293"/>
      <c r="AB38" s="1275">
        <f>T38-'Pnj APBDES'!L226</f>
        <v>0</v>
      </c>
      <c r="AC38" s="1266" t="b">
        <f>T38='Pnj APBDES'!K226</f>
        <v>0</v>
      </c>
      <c r="AD38" s="1266"/>
      <c r="AE38" s="1266"/>
      <c r="AF38" s="1266"/>
      <c r="AG38" s="1266"/>
      <c r="AH38" s="1272"/>
      <c r="AI38" s="1272"/>
      <c r="AJ38" s="1272"/>
      <c r="AK38" s="1272"/>
      <c r="AL38" s="1272"/>
      <c r="AM38" s="1272"/>
      <c r="AN38" s="1272"/>
    </row>
    <row r="39" spans="1:40" ht="36">
      <c r="A39" s="2672"/>
      <c r="B39" s="2673"/>
      <c r="C39" s="1308" t="s">
        <v>218</v>
      </c>
      <c r="D39" s="1332" t="s">
        <v>1461</v>
      </c>
      <c r="E39" s="1294" t="s">
        <v>1206</v>
      </c>
      <c r="F39" s="1307" t="s">
        <v>87</v>
      </c>
      <c r="G39" s="1307" t="s">
        <v>259</v>
      </c>
      <c r="H39" s="1307">
        <v>2020</v>
      </c>
      <c r="I39" s="1307" t="s">
        <v>1614</v>
      </c>
      <c r="J39" s="1307">
        <v>2020</v>
      </c>
      <c r="K39" s="1307"/>
      <c r="L39" s="2699">
        <f>T39</f>
        <v>17600000</v>
      </c>
      <c r="M39" s="1307"/>
      <c r="N39" s="1307"/>
      <c r="O39" s="1307"/>
      <c r="P39" s="1307"/>
      <c r="Q39" s="1307"/>
      <c r="R39" s="1307"/>
      <c r="S39" s="1307"/>
      <c r="T39" s="1333">
        <f>'4.4 Bintek Perikanan'!$H$64</f>
        <v>17600000</v>
      </c>
      <c r="U39" s="1333" t="s">
        <v>327</v>
      </c>
      <c r="V39" s="1297" t="s">
        <v>246</v>
      </c>
      <c r="W39" s="1317"/>
      <c r="X39" s="1317"/>
      <c r="Y39" s="1299" t="s">
        <v>558</v>
      </c>
      <c r="Z39" s="1293"/>
      <c r="AA39" s="1293"/>
      <c r="AB39" s="1272"/>
      <c r="AC39" s="1266"/>
      <c r="AD39" s="1266"/>
      <c r="AE39" s="1266"/>
      <c r="AF39" s="1266"/>
      <c r="AG39" s="1266"/>
      <c r="AH39" s="1272"/>
      <c r="AI39" s="1272"/>
      <c r="AJ39" s="1272"/>
      <c r="AK39" s="1272"/>
      <c r="AL39" s="1272"/>
      <c r="AM39" s="1272"/>
      <c r="AN39" s="1272"/>
    </row>
    <row r="40" spans="1:40" ht="30.75" customHeight="1">
      <c r="A40" s="2818" t="s">
        <v>234</v>
      </c>
      <c r="B40" s="2819"/>
      <c r="C40" s="2819"/>
      <c r="D40" s="2819"/>
      <c r="E40" s="2819"/>
      <c r="F40" s="2819"/>
      <c r="G40" s="2819"/>
      <c r="H40" s="2819"/>
      <c r="I40" s="2669"/>
      <c r="J40" s="2692"/>
      <c r="K40" s="2692"/>
      <c r="L40" s="2692"/>
      <c r="M40" s="2692"/>
      <c r="N40" s="2692"/>
      <c r="O40" s="2692"/>
      <c r="P40" s="2692"/>
      <c r="Q40" s="2692"/>
      <c r="R40" s="2692"/>
      <c r="S40" s="2692"/>
      <c r="T40" s="1331">
        <f>SUM(T39:T39)</f>
        <v>17600000</v>
      </c>
      <c r="U40" s="2542"/>
      <c r="V40" s="1305"/>
      <c r="W40" s="1305"/>
      <c r="X40" s="1305"/>
      <c r="Y40" s="1306"/>
      <c r="Z40" s="1293"/>
      <c r="AA40" s="1293"/>
      <c r="AB40" s="1272"/>
      <c r="AC40" s="1266" t="b">
        <f>T40='Pnj APBDES'!K285</f>
        <v>0</v>
      </c>
      <c r="AD40" s="1266">
        <f>T40-'Pnj APBDES'!K285</f>
        <v>-22204564</v>
      </c>
      <c r="AE40" s="1266"/>
      <c r="AF40" s="1266"/>
      <c r="AG40" s="1266"/>
      <c r="AH40" s="1272"/>
      <c r="AI40" s="1272"/>
      <c r="AJ40" s="1272"/>
      <c r="AK40" s="1272"/>
      <c r="AL40" s="1272"/>
      <c r="AM40" s="1272"/>
      <c r="AN40" s="1272"/>
    </row>
    <row r="41" spans="1:40" ht="48" customHeight="1">
      <c r="A41" s="2836">
        <v>5</v>
      </c>
      <c r="B41" s="2834" t="s">
        <v>1466</v>
      </c>
      <c r="C41" s="2574" t="s">
        <v>170</v>
      </c>
      <c r="D41" s="2575" t="s">
        <v>435</v>
      </c>
      <c r="E41" s="2574" t="s">
        <v>1206</v>
      </c>
      <c r="F41" s="2576" t="s">
        <v>1468</v>
      </c>
      <c r="G41" s="2577"/>
      <c r="H41" s="2577"/>
      <c r="I41" s="2576" t="s">
        <v>1614</v>
      </c>
      <c r="J41" s="2574">
        <v>2020</v>
      </c>
      <c r="K41" s="2574"/>
      <c r="L41" s="2700">
        <f>T41</f>
        <v>34855000</v>
      </c>
      <c r="M41" s="2574"/>
      <c r="N41" s="2574"/>
      <c r="O41" s="2574"/>
      <c r="P41" s="2574"/>
      <c r="Q41" s="2574"/>
      <c r="R41" s="2574"/>
      <c r="S41" s="2574"/>
      <c r="T41" s="2578">
        <f>'Pnj APBDES'!L308</f>
        <v>34855000</v>
      </c>
      <c r="U41" s="2574" t="s">
        <v>327</v>
      </c>
      <c r="V41" s="1305"/>
      <c r="W41" s="2037"/>
      <c r="X41" s="2037"/>
      <c r="Y41" s="2038"/>
      <c r="Z41" s="1293"/>
      <c r="AA41" s="1293"/>
      <c r="AB41" s="1272"/>
      <c r="AC41" s="1266"/>
      <c r="AD41" s="1266"/>
      <c r="AE41" s="1266"/>
      <c r="AF41" s="1266"/>
      <c r="AG41" s="1266"/>
      <c r="AH41" s="1272"/>
      <c r="AI41" s="1272"/>
      <c r="AJ41" s="1272"/>
      <c r="AK41" s="1272"/>
      <c r="AL41" s="1272"/>
      <c r="AM41" s="1272"/>
      <c r="AN41" s="1272"/>
    </row>
    <row r="42" spans="1:40" ht="48" customHeight="1">
      <c r="A42" s="2837"/>
      <c r="B42" s="2835"/>
      <c r="C42" s="2579" t="s">
        <v>219</v>
      </c>
      <c r="D42" s="2580" t="s">
        <v>1467</v>
      </c>
      <c r="E42" s="2579" t="s">
        <v>1206</v>
      </c>
      <c r="F42" s="2581" t="s">
        <v>1468</v>
      </c>
      <c r="G42" s="2582"/>
      <c r="H42" s="2582"/>
      <c r="I42" s="2576" t="s">
        <v>1614</v>
      </c>
      <c r="J42" s="2579">
        <v>2020</v>
      </c>
      <c r="K42" s="2579"/>
      <c r="L42" s="2701">
        <f>T42</f>
        <v>0</v>
      </c>
      <c r="M42" s="2579"/>
      <c r="N42" s="2579"/>
      <c r="O42" s="2579"/>
      <c r="P42" s="2579"/>
      <c r="Q42" s="2579"/>
      <c r="R42" s="2579"/>
      <c r="S42" s="2579"/>
      <c r="T42" s="2583">
        <f>'Pnj APBDES'!M309</f>
        <v>0</v>
      </c>
      <c r="U42" s="2579" t="s">
        <v>22</v>
      </c>
      <c r="V42" s="1305"/>
      <c r="W42" s="2037"/>
      <c r="X42" s="2037"/>
      <c r="Y42" s="2038"/>
      <c r="Z42" s="1293"/>
      <c r="AA42" s="1293"/>
      <c r="AB42" s="1272"/>
      <c r="AC42" s="1266"/>
      <c r="AD42" s="1266"/>
      <c r="AE42" s="1266"/>
      <c r="AF42" s="1266"/>
      <c r="AG42" s="1266"/>
      <c r="AH42" s="1272"/>
      <c r="AI42" s="1272"/>
      <c r="AJ42" s="1272"/>
      <c r="AK42" s="1272"/>
      <c r="AL42" s="1272"/>
      <c r="AM42" s="1272"/>
      <c r="AN42" s="1272"/>
    </row>
    <row r="43" spans="1:40" ht="30.75" customHeight="1">
      <c r="A43" s="2831" t="s">
        <v>573</v>
      </c>
      <c r="B43" s="2832"/>
      <c r="C43" s="2832"/>
      <c r="D43" s="2832"/>
      <c r="E43" s="2832"/>
      <c r="F43" s="2833"/>
      <c r="G43" s="2042"/>
      <c r="H43" s="2042"/>
      <c r="I43" s="2042"/>
      <c r="J43" s="2693"/>
      <c r="K43" s="2693"/>
      <c r="L43" s="2693"/>
      <c r="M43" s="2693"/>
      <c r="N43" s="2693"/>
      <c r="O43" s="2693"/>
      <c r="P43" s="2693"/>
      <c r="Q43" s="2693"/>
      <c r="R43" s="2693"/>
      <c r="S43" s="2693"/>
      <c r="T43" s="1331">
        <f>T41+T42</f>
        <v>34855000</v>
      </c>
      <c r="U43" s="2542"/>
      <c r="V43" s="1305"/>
      <c r="W43" s="2037"/>
      <c r="X43" s="2037"/>
      <c r="Y43" s="2038"/>
      <c r="Z43" s="1293"/>
      <c r="AA43" s="1293"/>
      <c r="AB43" s="1272"/>
      <c r="AC43" s="1266"/>
      <c r="AD43" s="1266"/>
      <c r="AE43" s="1266"/>
      <c r="AF43" s="1266"/>
      <c r="AG43" s="1266"/>
      <c r="AH43" s="1272"/>
      <c r="AI43" s="1272"/>
      <c r="AJ43" s="1272"/>
      <c r="AK43" s="1272"/>
      <c r="AL43" s="1272"/>
      <c r="AM43" s="1272"/>
      <c r="AN43" s="1272"/>
    </row>
    <row r="44" spans="1:40" ht="30.75" customHeight="1">
      <c r="A44" s="2821">
        <v>6</v>
      </c>
      <c r="B44" s="2823" t="s">
        <v>15</v>
      </c>
      <c r="C44" s="1307" t="s">
        <v>243</v>
      </c>
      <c r="D44" s="2039" t="s">
        <v>16</v>
      </c>
      <c r="E44" s="1307" t="s">
        <v>1206</v>
      </c>
      <c r="F44" s="1307" t="s">
        <v>1366</v>
      </c>
      <c r="G44" s="1307"/>
      <c r="H44" s="1307"/>
      <c r="I44" s="1307"/>
      <c r="J44" s="1307">
        <v>2020</v>
      </c>
      <c r="K44" s="1307"/>
      <c r="L44" s="1307"/>
      <c r="M44" s="1307"/>
      <c r="N44" s="1307"/>
      <c r="O44" s="1307"/>
      <c r="P44" s="1307"/>
      <c r="Q44" s="1307"/>
      <c r="R44" s="1307"/>
      <c r="S44" s="1307"/>
      <c r="T44" s="2040"/>
      <c r="U44" s="2041"/>
      <c r="V44" s="1355" t="str">
        <f>V39</f>
        <v>√</v>
      </c>
      <c r="W44" s="1334"/>
      <c r="X44" s="1334"/>
      <c r="Y44" s="1362" t="s">
        <v>1211</v>
      </c>
      <c r="Z44" s="1293"/>
      <c r="AA44" s="1293"/>
      <c r="AB44" s="1272"/>
      <c r="AC44" s="1266"/>
      <c r="AD44" s="1266"/>
      <c r="AE44" s="1266"/>
      <c r="AF44" s="1266"/>
      <c r="AG44" s="1266"/>
      <c r="AH44" s="1272"/>
      <c r="AI44" s="1272"/>
      <c r="AJ44" s="1272"/>
      <c r="AK44" s="1272"/>
      <c r="AL44" s="1272"/>
      <c r="AM44" s="1272"/>
      <c r="AN44" s="1272"/>
    </row>
    <row r="45" spans="1:40" ht="30.75" customHeight="1">
      <c r="A45" s="2821"/>
      <c r="B45" s="2823"/>
      <c r="C45" s="1295"/>
      <c r="D45" s="1328" t="s">
        <v>18</v>
      </c>
      <c r="E45" s="1294" t="s">
        <v>1206</v>
      </c>
      <c r="F45" s="1294" t="s">
        <v>1366</v>
      </c>
      <c r="G45" s="1329"/>
      <c r="H45" s="1295"/>
      <c r="I45" s="2688"/>
      <c r="J45" s="2688">
        <v>2020</v>
      </c>
      <c r="K45" s="2688"/>
      <c r="L45" s="2688"/>
      <c r="M45" s="2688"/>
      <c r="N45" s="2688"/>
      <c r="O45" s="2688"/>
      <c r="P45" s="2688"/>
      <c r="Q45" s="2688"/>
      <c r="R45" s="2688"/>
      <c r="S45" s="2688"/>
      <c r="T45" s="1330"/>
      <c r="U45" s="1315"/>
      <c r="V45" s="1335"/>
      <c r="W45" s="1335"/>
      <c r="X45" s="1335"/>
      <c r="Y45" s="1299"/>
      <c r="Z45" s="1293"/>
      <c r="AA45" s="1293"/>
      <c r="AB45" s="1272"/>
      <c r="AC45" s="1266"/>
      <c r="AD45" s="1266"/>
      <c r="AE45" s="1266"/>
      <c r="AF45" s="1266"/>
      <c r="AG45" s="1266"/>
      <c r="AH45" s="1272"/>
      <c r="AI45" s="1272"/>
      <c r="AJ45" s="1272"/>
      <c r="AK45" s="1272"/>
      <c r="AL45" s="1272"/>
      <c r="AM45" s="1272"/>
      <c r="AN45" s="1272"/>
    </row>
    <row r="46" spans="1:40" ht="30.75" customHeight="1">
      <c r="A46" s="2818" t="s">
        <v>1469</v>
      </c>
      <c r="B46" s="2819"/>
      <c r="C46" s="2819"/>
      <c r="D46" s="2819"/>
      <c r="E46" s="2819"/>
      <c r="F46" s="2819"/>
      <c r="G46" s="2819"/>
      <c r="H46" s="2819"/>
      <c r="I46" s="2669"/>
      <c r="J46" s="2692"/>
      <c r="K46" s="2692"/>
      <c r="L46" s="2692"/>
      <c r="M46" s="2692"/>
      <c r="N46" s="2692"/>
      <c r="O46" s="2692"/>
      <c r="P46" s="2692"/>
      <c r="Q46" s="2692"/>
      <c r="R46" s="2692"/>
      <c r="S46" s="2692"/>
      <c r="T46" s="1331">
        <f>T44-T45</f>
        <v>0</v>
      </c>
      <c r="U46" s="2542"/>
      <c r="V46" s="1305"/>
      <c r="W46" s="1305"/>
      <c r="X46" s="1305"/>
      <c r="Y46" s="1306"/>
      <c r="Z46" s="1293"/>
      <c r="AA46" s="1293"/>
      <c r="AB46" s="1272"/>
      <c r="AC46" s="1266"/>
      <c r="AD46" s="1266"/>
      <c r="AE46" s="1266"/>
      <c r="AF46" s="1266"/>
      <c r="AG46" s="1266"/>
      <c r="AH46" s="1272"/>
      <c r="AI46" s="1272"/>
      <c r="AJ46" s="1272"/>
      <c r="AK46" s="1272"/>
      <c r="AL46" s="1272"/>
      <c r="AM46" s="1272"/>
      <c r="AN46" s="1272"/>
    </row>
    <row r="47" spans="1:40" ht="30.75" customHeight="1">
      <c r="A47" s="2826"/>
      <c r="B47" s="2827"/>
      <c r="C47" s="2827"/>
      <c r="D47" s="2827"/>
      <c r="E47" s="2827"/>
      <c r="F47" s="2827"/>
      <c r="G47" s="2827"/>
      <c r="H47" s="2827"/>
      <c r="I47" s="2670"/>
      <c r="J47" s="2694"/>
      <c r="K47" s="2694"/>
      <c r="L47" s="2694"/>
      <c r="M47" s="2694"/>
      <c r="N47" s="2694"/>
      <c r="O47" s="2694"/>
      <c r="P47" s="2694"/>
      <c r="Q47" s="2694"/>
      <c r="R47" s="2694"/>
      <c r="S47" s="2694"/>
      <c r="T47" s="1336"/>
      <c r="U47" s="2542"/>
      <c r="V47" s="1305"/>
      <c r="W47" s="1305"/>
      <c r="X47" s="1305"/>
      <c r="Y47" s="1306"/>
      <c r="Z47" s="1293"/>
      <c r="AA47" s="1293"/>
      <c r="AB47" s="1272"/>
      <c r="AC47" s="1266"/>
      <c r="AD47" s="1266"/>
      <c r="AE47" s="1266"/>
      <c r="AF47" s="1266"/>
      <c r="AG47" s="1266"/>
      <c r="AH47" s="1272"/>
      <c r="AI47" s="1272"/>
      <c r="AJ47" s="1272"/>
      <c r="AK47" s="1272"/>
      <c r="AL47" s="1272"/>
      <c r="AM47" s="1272"/>
      <c r="AN47" s="1272"/>
    </row>
    <row r="48" spans="1:40" ht="30.75" customHeight="1" thickBot="1">
      <c r="A48" s="2816" t="s">
        <v>93</v>
      </c>
      <c r="B48" s="2817"/>
      <c r="C48" s="2817"/>
      <c r="D48" s="2817"/>
      <c r="E48" s="2817"/>
      <c r="F48" s="2817"/>
      <c r="G48" s="2817"/>
      <c r="H48" s="2817"/>
      <c r="I48" s="2671"/>
      <c r="J48" s="2695"/>
      <c r="K48" s="2695"/>
      <c r="L48" s="2695"/>
      <c r="M48" s="2695"/>
      <c r="N48" s="2695"/>
      <c r="O48" s="2695"/>
      <c r="P48" s="2695"/>
      <c r="Q48" s="2695"/>
      <c r="R48" s="2695"/>
      <c r="S48" s="2695"/>
      <c r="T48" s="1337">
        <f>T22+T31+T38+T40+T43</f>
        <v>1232389651</v>
      </c>
      <c r="U48" s="2543"/>
      <c r="V48" s="1338"/>
      <c r="W48" s="1338"/>
      <c r="X48" s="1338"/>
      <c r="Y48" s="1339"/>
      <c r="Z48" s="1293"/>
      <c r="AA48" s="1293"/>
      <c r="AB48" s="1275" t="b">
        <f>T48='Pnj APBDES'!K311</f>
        <v>0</v>
      </c>
      <c r="AC48" s="1266">
        <f>T48-'Pnj APBDES'!L311</f>
        <v>-240954000</v>
      </c>
      <c r="AD48" s="1266"/>
      <c r="AE48" s="1266"/>
      <c r="AF48" s="1266"/>
      <c r="AG48" s="1266"/>
      <c r="AH48" s="1272"/>
      <c r="AI48" s="1272"/>
      <c r="AJ48" s="1272"/>
      <c r="AK48" s="1272"/>
      <c r="AL48" s="1272"/>
      <c r="AM48" s="1272"/>
      <c r="AN48" s="1272"/>
    </row>
    <row r="49" spans="1:40" ht="15.75" customHeight="1">
      <c r="A49" s="1340"/>
      <c r="B49" s="1340"/>
      <c r="C49" s="2540"/>
      <c r="D49" s="1340"/>
      <c r="E49" s="2540"/>
      <c r="F49" s="1340"/>
      <c r="G49" s="1340"/>
      <c r="H49" s="1340"/>
      <c r="I49" s="1340"/>
      <c r="J49" s="2540"/>
      <c r="K49" s="2540"/>
      <c r="L49" s="2540"/>
      <c r="M49" s="2540"/>
      <c r="N49" s="2540"/>
      <c r="O49" s="2540"/>
      <c r="P49" s="2540"/>
      <c r="Q49" s="2540"/>
      <c r="R49" s="2540"/>
      <c r="S49" s="2540"/>
      <c r="T49" s="1341"/>
      <c r="U49" s="1342"/>
      <c r="V49" s="1293"/>
      <c r="W49" s="1293"/>
      <c r="X49" s="1293"/>
      <c r="Y49" s="1342"/>
      <c r="Z49" s="1293"/>
      <c r="AA49" s="1293"/>
      <c r="AB49" s="1272"/>
      <c r="AC49" s="1343"/>
      <c r="AD49" s="1343"/>
      <c r="AE49" s="1343"/>
      <c r="AF49" s="1343"/>
      <c r="AG49" s="1343"/>
      <c r="AH49" s="1272"/>
      <c r="AI49" s="1272"/>
      <c r="AJ49" s="1272"/>
      <c r="AK49" s="1272"/>
      <c r="AL49" s="1272"/>
      <c r="AM49" s="1272"/>
      <c r="AN49" s="1272"/>
    </row>
    <row r="50" spans="1:40" ht="15.75" customHeight="1">
      <c r="T50" s="1341"/>
      <c r="V50" s="1243" t="s">
        <v>1207</v>
      </c>
      <c r="W50" s="1344"/>
      <c r="AB50" s="1345"/>
      <c r="AC50" s="1266"/>
      <c r="AD50" s="1266"/>
      <c r="AE50" s="1272"/>
      <c r="AF50" s="1272"/>
      <c r="AG50" s="1272"/>
      <c r="AH50" s="1272"/>
      <c r="AI50" s="1272"/>
      <c r="AJ50" s="1272"/>
      <c r="AK50" s="1272"/>
      <c r="AL50" s="1272"/>
      <c r="AM50" s="1272"/>
      <c r="AN50" s="1272"/>
    </row>
    <row r="51" spans="1:40" ht="18" customHeight="1">
      <c r="D51" s="1242" t="s">
        <v>94</v>
      </c>
      <c r="T51" s="2838" t="s">
        <v>1334</v>
      </c>
      <c r="U51" s="2838"/>
      <c r="W51" s="1242" t="s">
        <v>95</v>
      </c>
      <c r="AB51" s="1272"/>
      <c r="AC51" s="1275"/>
      <c r="AD51" s="1266"/>
      <c r="AE51" s="1272"/>
      <c r="AF51" s="1272"/>
      <c r="AG51" s="1272"/>
      <c r="AH51" s="1272"/>
      <c r="AI51" s="1272"/>
      <c r="AJ51" s="1272"/>
      <c r="AK51" s="1272"/>
      <c r="AL51" s="1272"/>
      <c r="AM51" s="1272"/>
      <c r="AN51" s="1272"/>
    </row>
    <row r="52" spans="1:40" ht="15.75" customHeight="1">
      <c r="D52" s="1242" t="s">
        <v>584</v>
      </c>
      <c r="T52" s="2840" t="s">
        <v>177</v>
      </c>
      <c r="U52" s="2840"/>
      <c r="W52" s="1242" t="s">
        <v>100</v>
      </c>
      <c r="AB52" s="1272"/>
      <c r="AC52" s="1266"/>
      <c r="AD52" s="1266"/>
      <c r="AE52" s="1272"/>
      <c r="AF52" s="1272"/>
      <c r="AG52" s="1272"/>
      <c r="AH52" s="1272"/>
      <c r="AI52" s="1272"/>
      <c r="AJ52" s="1272"/>
      <c r="AK52" s="1272"/>
      <c r="AL52" s="1272"/>
      <c r="AM52" s="1272"/>
      <c r="AN52" s="1272"/>
    </row>
    <row r="53" spans="1:40" ht="15.75" customHeight="1">
      <c r="D53" s="2663"/>
      <c r="W53" s="1242"/>
      <c r="AB53" s="1272"/>
      <c r="AC53" s="1266"/>
      <c r="AD53" s="1266"/>
      <c r="AE53" s="1272"/>
      <c r="AF53" s="1272"/>
      <c r="AG53" s="1272"/>
      <c r="AH53" s="1272"/>
      <c r="AI53" s="1272"/>
      <c r="AJ53" s="1272"/>
      <c r="AK53" s="1272"/>
      <c r="AL53" s="1272"/>
      <c r="AM53" s="1272"/>
      <c r="AN53" s="1272"/>
    </row>
    <row r="54" spans="1:40" ht="15.75" customHeight="1">
      <c r="D54" s="2663"/>
      <c r="W54" s="1242"/>
      <c r="AB54" s="1272"/>
      <c r="AC54" s="1266"/>
      <c r="AD54" s="1266"/>
      <c r="AE54" s="1272"/>
      <c r="AF54" s="1272"/>
      <c r="AG54" s="1272"/>
      <c r="AH54" s="1272"/>
      <c r="AI54" s="1272"/>
      <c r="AJ54" s="1272"/>
      <c r="AK54" s="1272"/>
      <c r="AL54" s="1272"/>
      <c r="AM54" s="1272"/>
      <c r="AN54" s="1272"/>
    </row>
    <row r="55" spans="1:40" ht="15.75" customHeight="1">
      <c r="E55" s="2663" t="s">
        <v>21</v>
      </c>
      <c r="AB55" s="1272"/>
      <c r="AC55" s="1266"/>
      <c r="AD55" s="1266"/>
      <c r="AE55" s="1272"/>
      <c r="AF55" s="1272"/>
      <c r="AG55" s="1272"/>
      <c r="AH55" s="1272"/>
      <c r="AI55" s="1272"/>
      <c r="AJ55" s="1272"/>
      <c r="AK55" s="1272"/>
      <c r="AL55" s="1272"/>
      <c r="AM55" s="1272"/>
      <c r="AN55" s="1272"/>
    </row>
    <row r="56" spans="1:40" ht="15.75" customHeight="1">
      <c r="G56" s="1245"/>
      <c r="H56" s="1245"/>
      <c r="I56" s="1245"/>
      <c r="V56" s="1245"/>
      <c r="W56" s="1245"/>
      <c r="X56" s="1245"/>
      <c r="Z56" s="1245"/>
      <c r="AA56" s="1245"/>
      <c r="AB56" s="1272"/>
      <c r="AC56" s="1346"/>
      <c r="AD56" s="1346"/>
      <c r="AE56" s="1347"/>
      <c r="AF56" s="1347"/>
      <c r="AG56" s="1347"/>
      <c r="AH56" s="1272"/>
      <c r="AI56" s="1272"/>
      <c r="AJ56" s="1272"/>
      <c r="AK56" s="1272"/>
      <c r="AL56" s="1272"/>
      <c r="AM56" s="1272"/>
      <c r="AN56" s="1272"/>
    </row>
    <row r="57" spans="1:40" ht="15.75" customHeight="1">
      <c r="F57" s="1243" t="s">
        <v>21</v>
      </c>
      <c r="G57" s="1243" t="s">
        <v>21</v>
      </c>
      <c r="AB57" s="1272"/>
      <c r="AC57" s="1266"/>
      <c r="AD57" s="1266"/>
      <c r="AE57" s="1272"/>
      <c r="AF57" s="1272"/>
      <c r="AG57" s="1272"/>
      <c r="AH57" s="1272"/>
      <c r="AI57" s="1272"/>
      <c r="AJ57" s="1272"/>
      <c r="AK57" s="1272"/>
      <c r="AL57" s="1272"/>
      <c r="AM57" s="1272"/>
      <c r="AN57" s="1272"/>
    </row>
    <row r="58" spans="1:40" ht="15.75" customHeight="1">
      <c r="D58" s="2662" t="s">
        <v>877</v>
      </c>
      <c r="G58" s="1246"/>
      <c r="H58" s="1246"/>
      <c r="I58" s="1246"/>
      <c r="J58" s="2696"/>
      <c r="K58" s="2696"/>
      <c r="L58" s="2696"/>
      <c r="M58" s="2696"/>
      <c r="N58" s="2696"/>
      <c r="O58" s="2696"/>
      <c r="P58" s="2696"/>
      <c r="Q58" s="2696"/>
      <c r="R58" s="2696"/>
      <c r="S58" s="2696"/>
      <c r="T58" s="2839" t="s">
        <v>1515</v>
      </c>
      <c r="U58" s="2839"/>
      <c r="V58" s="1245"/>
      <c r="W58" s="2664" t="s">
        <v>875</v>
      </c>
      <c r="X58" s="1245"/>
      <c r="Z58" s="2663"/>
      <c r="AA58" s="2663"/>
      <c r="AB58" s="1272"/>
      <c r="AC58" s="1346"/>
      <c r="AD58" s="1346"/>
      <c r="AE58" s="1347"/>
      <c r="AF58" s="1347"/>
      <c r="AG58" s="1347"/>
      <c r="AH58" s="1272"/>
      <c r="AI58" s="1272"/>
      <c r="AJ58" s="1272"/>
      <c r="AK58" s="1272"/>
      <c r="AL58" s="1272"/>
      <c r="AM58" s="1272"/>
      <c r="AN58" s="1272"/>
    </row>
    <row r="59" spans="1:40" ht="15.75" customHeight="1">
      <c r="A59" s="1348"/>
      <c r="B59" s="1348"/>
      <c r="C59" s="1289"/>
      <c r="G59" s="1245"/>
      <c r="H59" s="1245"/>
      <c r="I59" s="1245"/>
      <c r="T59" s="2663"/>
      <c r="V59" s="2663"/>
      <c r="W59" s="2663"/>
      <c r="X59" s="2663"/>
      <c r="Z59" s="2663"/>
      <c r="AA59" s="2663"/>
      <c r="AD59" s="1350"/>
    </row>
    <row r="60" spans="1:40" ht="15.75" customHeight="1">
      <c r="T60" s="1341"/>
      <c r="AC60" s="1351"/>
      <c r="AD60" s="1352"/>
    </row>
    <row r="61" spans="1:40">
      <c r="D61" s="1353"/>
      <c r="T61" s="1341"/>
    </row>
    <row r="62" spans="1:40">
      <c r="D62" s="1353"/>
    </row>
    <row r="63" spans="1:40">
      <c r="D63" s="1353"/>
    </row>
    <row r="64" spans="1:40">
      <c r="D64" s="1353"/>
      <c r="Y64" s="2663" t="s">
        <v>21</v>
      </c>
    </row>
    <row r="65" spans="4:4">
      <c r="D65" s="1353"/>
    </row>
  </sheetData>
  <mergeCells count="35">
    <mergeCell ref="T51:U51"/>
    <mergeCell ref="T52:U52"/>
    <mergeCell ref="T58:U58"/>
    <mergeCell ref="I8:I10"/>
    <mergeCell ref="J8:J10"/>
    <mergeCell ref="K8:L9"/>
    <mergeCell ref="A48:H48"/>
    <mergeCell ref="A31:H31"/>
    <mergeCell ref="A32:A37"/>
    <mergeCell ref="B32:B37"/>
    <mergeCell ref="A38:H38"/>
    <mergeCell ref="A40:H40"/>
    <mergeCell ref="A41:A42"/>
    <mergeCell ref="B41:B42"/>
    <mergeCell ref="A43:F43"/>
    <mergeCell ref="A44:A45"/>
    <mergeCell ref="B44:B45"/>
    <mergeCell ref="A46:H46"/>
    <mergeCell ref="A47:H47"/>
    <mergeCell ref="A12:A21"/>
    <mergeCell ref="B12:B21"/>
    <mergeCell ref="A22:H22"/>
    <mergeCell ref="A23:A30"/>
    <mergeCell ref="B23:B30"/>
    <mergeCell ref="A1:Y1"/>
    <mergeCell ref="A2:Y2"/>
    <mergeCell ref="A8:A10"/>
    <mergeCell ref="B8:D9"/>
    <mergeCell ref="E8:E10"/>
    <mergeCell ref="F8:F10"/>
    <mergeCell ref="G8:G10"/>
    <mergeCell ref="H8:H10"/>
    <mergeCell ref="T8:U9"/>
    <mergeCell ref="V8:X9"/>
    <mergeCell ref="Y8:Y10"/>
  </mergeCells>
  <pageMargins left="0.17" right="0.39370078740157483" top="0.9055118110236221" bottom="0.43307086614173229" header="0.31496062992125984" footer="0.31496062992125984"/>
  <pageSetup paperSize="256" scale="18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J77"/>
  <sheetViews>
    <sheetView topLeftCell="A19" zoomScale="55" zoomScaleNormal="55" workbookViewId="0">
      <selection activeCell="I14" sqref="I14"/>
    </sheetView>
  </sheetViews>
  <sheetFormatPr defaultColWidth="9.140625" defaultRowHeight="18"/>
  <cols>
    <col min="1" max="1" width="4.5703125" style="1243" customWidth="1"/>
    <col min="2" max="2" width="17" style="1243" customWidth="1"/>
    <col min="3" max="3" width="6.7109375" style="2703" bestFit="1" customWidth="1"/>
    <col min="4" max="4" width="69.28515625" style="1243" customWidth="1"/>
    <col min="5" max="5" width="18.42578125" style="1243" customWidth="1"/>
    <col min="6" max="6" width="13" style="1243" customWidth="1"/>
    <col min="7" max="7" width="59" style="1243" hidden="1" customWidth="1"/>
    <col min="8" max="8" width="11.140625" style="1243" hidden="1" customWidth="1"/>
    <col min="9" max="9" width="23.28515625" style="1243" bestFit="1" customWidth="1"/>
    <col min="10" max="10" width="23.28515625" style="2663" customWidth="1"/>
    <col min="11" max="12" width="21.140625" style="1243" bestFit="1" customWidth="1"/>
    <col min="13" max="13" width="18" style="1243" customWidth="1"/>
    <col min="14" max="14" width="20.28515625" style="1243" customWidth="1"/>
    <col min="15" max="15" width="7.28515625" style="1243" hidden="1" customWidth="1"/>
    <col min="16" max="17" width="7" style="1243" hidden="1" customWidth="1"/>
    <col min="18" max="18" width="16.5703125" style="2663" hidden="1" customWidth="1"/>
    <col min="19" max="21" width="16.5703125" style="2663" customWidth="1"/>
    <col min="22" max="22" width="39.140625" style="1243" bestFit="1" customWidth="1"/>
    <col min="23" max="23" width="2.5703125" style="1243" customWidth="1"/>
    <col min="24" max="24" width="23" style="1243" bestFit="1" customWidth="1"/>
    <col min="25" max="25" width="21.85546875" style="1349" customWidth="1"/>
    <col min="26" max="26" width="25.140625" style="1349" customWidth="1"/>
    <col min="27" max="29" width="22.5703125" style="1243" bestFit="1" customWidth="1"/>
    <col min="30" max="30" width="23" style="1243" bestFit="1" customWidth="1"/>
    <col min="31" max="265" width="9.140625" style="1243"/>
    <col min="266" max="266" width="4.5703125" style="1243" customWidth="1"/>
    <col min="267" max="267" width="21.85546875" style="1243" customWidth="1"/>
    <col min="268" max="268" width="22.140625" style="1243" customWidth="1"/>
    <col min="269" max="269" width="11.5703125" style="1243" customWidth="1"/>
    <col min="270" max="272" width="3.5703125" style="1243" customWidth="1"/>
    <col min="273" max="273" width="9.5703125" style="1243" customWidth="1"/>
    <col min="274" max="274" width="18.85546875" style="1243" customWidth="1"/>
    <col min="275" max="275" width="11.5703125" style="1243" customWidth="1"/>
    <col min="276" max="276" width="16.42578125" style="1243" customWidth="1"/>
    <col min="277" max="277" width="17.5703125" style="1243" customWidth="1"/>
    <col min="278" max="278" width="10.5703125" style="1243" customWidth="1"/>
    <col min="279" max="521" width="9.140625" style="1243"/>
    <col min="522" max="522" width="4.5703125" style="1243" customWidth="1"/>
    <col min="523" max="523" width="21.85546875" style="1243" customWidth="1"/>
    <col min="524" max="524" width="22.140625" style="1243" customWidth="1"/>
    <col min="525" max="525" width="11.5703125" style="1243" customWidth="1"/>
    <col min="526" max="528" width="3.5703125" style="1243" customWidth="1"/>
    <col min="529" max="529" width="9.5703125" style="1243" customWidth="1"/>
    <col min="530" max="530" width="18.85546875" style="1243" customWidth="1"/>
    <col min="531" max="531" width="11.5703125" style="1243" customWidth="1"/>
    <col min="532" max="532" width="16.42578125" style="1243" customWidth="1"/>
    <col min="533" max="533" width="17.5703125" style="1243" customWidth="1"/>
    <col min="534" max="534" width="10.5703125" style="1243" customWidth="1"/>
    <col min="535" max="777" width="9.140625" style="1243"/>
    <col min="778" max="778" width="4.5703125" style="1243" customWidth="1"/>
    <col min="779" max="779" width="21.85546875" style="1243" customWidth="1"/>
    <col min="780" max="780" width="22.140625" style="1243" customWidth="1"/>
    <col min="781" max="781" width="11.5703125" style="1243" customWidth="1"/>
    <col min="782" max="784" width="3.5703125" style="1243" customWidth="1"/>
    <col min="785" max="785" width="9.5703125" style="1243" customWidth="1"/>
    <col min="786" max="786" width="18.85546875" style="1243" customWidth="1"/>
    <col min="787" max="787" width="11.5703125" style="1243" customWidth="1"/>
    <col min="788" max="788" width="16.42578125" style="1243" customWidth="1"/>
    <col min="789" max="789" width="17.5703125" style="1243" customWidth="1"/>
    <col min="790" max="790" width="10.5703125" style="1243" customWidth="1"/>
    <col min="791" max="1033" width="9.140625" style="1243"/>
    <col min="1034" max="1034" width="4.5703125" style="1243" customWidth="1"/>
    <col min="1035" max="1035" width="21.85546875" style="1243" customWidth="1"/>
    <col min="1036" max="1036" width="22.140625" style="1243" customWidth="1"/>
    <col min="1037" max="1037" width="11.5703125" style="1243" customWidth="1"/>
    <col min="1038" max="1040" width="3.5703125" style="1243" customWidth="1"/>
    <col min="1041" max="1041" width="9.5703125" style="1243" customWidth="1"/>
    <col min="1042" max="1042" width="18.85546875" style="1243" customWidth="1"/>
    <col min="1043" max="1043" width="11.5703125" style="1243" customWidth="1"/>
    <col min="1044" max="1044" width="16.42578125" style="1243" customWidth="1"/>
    <col min="1045" max="1045" width="17.5703125" style="1243" customWidth="1"/>
    <col min="1046" max="1046" width="10.5703125" style="1243" customWidth="1"/>
    <col min="1047" max="1289" width="9.140625" style="1243"/>
    <col min="1290" max="1290" width="4.5703125" style="1243" customWidth="1"/>
    <col min="1291" max="1291" width="21.85546875" style="1243" customWidth="1"/>
    <col min="1292" max="1292" width="22.140625" style="1243" customWidth="1"/>
    <col min="1293" max="1293" width="11.5703125" style="1243" customWidth="1"/>
    <col min="1294" max="1296" width="3.5703125" style="1243" customWidth="1"/>
    <col min="1297" max="1297" width="9.5703125" style="1243" customWidth="1"/>
    <col min="1298" max="1298" width="18.85546875" style="1243" customWidth="1"/>
    <col min="1299" max="1299" width="11.5703125" style="1243" customWidth="1"/>
    <col min="1300" max="1300" width="16.42578125" style="1243" customWidth="1"/>
    <col min="1301" max="1301" width="17.5703125" style="1243" customWidth="1"/>
    <col min="1302" max="1302" width="10.5703125" style="1243" customWidth="1"/>
    <col min="1303" max="1545" width="9.140625" style="1243"/>
    <col min="1546" max="1546" width="4.5703125" style="1243" customWidth="1"/>
    <col min="1547" max="1547" width="21.85546875" style="1243" customWidth="1"/>
    <col min="1548" max="1548" width="22.140625" style="1243" customWidth="1"/>
    <col min="1549" max="1549" width="11.5703125" style="1243" customWidth="1"/>
    <col min="1550" max="1552" width="3.5703125" style="1243" customWidth="1"/>
    <col min="1553" max="1553" width="9.5703125" style="1243" customWidth="1"/>
    <col min="1554" max="1554" width="18.85546875" style="1243" customWidth="1"/>
    <col min="1555" max="1555" width="11.5703125" style="1243" customWidth="1"/>
    <col min="1556" max="1556" width="16.42578125" style="1243" customWidth="1"/>
    <col min="1557" max="1557" width="17.5703125" style="1243" customWidth="1"/>
    <col min="1558" max="1558" width="10.5703125" style="1243" customWidth="1"/>
    <col min="1559" max="1801" width="9.140625" style="1243"/>
    <col min="1802" max="1802" width="4.5703125" style="1243" customWidth="1"/>
    <col min="1803" max="1803" width="21.85546875" style="1243" customWidth="1"/>
    <col min="1804" max="1804" width="22.140625" style="1243" customWidth="1"/>
    <col min="1805" max="1805" width="11.5703125" style="1243" customWidth="1"/>
    <col min="1806" max="1808" width="3.5703125" style="1243" customWidth="1"/>
    <col min="1809" max="1809" width="9.5703125" style="1243" customWidth="1"/>
    <col min="1810" max="1810" width="18.85546875" style="1243" customWidth="1"/>
    <col min="1811" max="1811" width="11.5703125" style="1243" customWidth="1"/>
    <col min="1812" max="1812" width="16.42578125" style="1243" customWidth="1"/>
    <col min="1813" max="1813" width="17.5703125" style="1243" customWidth="1"/>
    <col min="1814" max="1814" width="10.5703125" style="1243" customWidth="1"/>
    <col min="1815" max="2057" width="9.140625" style="1243"/>
    <col min="2058" max="2058" width="4.5703125" style="1243" customWidth="1"/>
    <col min="2059" max="2059" width="21.85546875" style="1243" customWidth="1"/>
    <col min="2060" max="2060" width="22.140625" style="1243" customWidth="1"/>
    <col min="2061" max="2061" width="11.5703125" style="1243" customWidth="1"/>
    <col min="2062" max="2064" width="3.5703125" style="1243" customWidth="1"/>
    <col min="2065" max="2065" width="9.5703125" style="1243" customWidth="1"/>
    <col min="2066" max="2066" width="18.85546875" style="1243" customWidth="1"/>
    <col min="2067" max="2067" width="11.5703125" style="1243" customWidth="1"/>
    <col min="2068" max="2068" width="16.42578125" style="1243" customWidth="1"/>
    <col min="2069" max="2069" width="17.5703125" style="1243" customWidth="1"/>
    <col min="2070" max="2070" width="10.5703125" style="1243" customWidth="1"/>
    <col min="2071" max="2313" width="9.140625" style="1243"/>
    <col min="2314" max="2314" width="4.5703125" style="1243" customWidth="1"/>
    <col min="2315" max="2315" width="21.85546875" style="1243" customWidth="1"/>
    <col min="2316" max="2316" width="22.140625" style="1243" customWidth="1"/>
    <col min="2317" max="2317" width="11.5703125" style="1243" customWidth="1"/>
    <col min="2318" max="2320" width="3.5703125" style="1243" customWidth="1"/>
    <col min="2321" max="2321" width="9.5703125" style="1243" customWidth="1"/>
    <col min="2322" max="2322" width="18.85546875" style="1243" customWidth="1"/>
    <col min="2323" max="2323" width="11.5703125" style="1243" customWidth="1"/>
    <col min="2324" max="2324" width="16.42578125" style="1243" customWidth="1"/>
    <col min="2325" max="2325" width="17.5703125" style="1243" customWidth="1"/>
    <col min="2326" max="2326" width="10.5703125" style="1243" customWidth="1"/>
    <col min="2327" max="2569" width="9.140625" style="1243"/>
    <col min="2570" max="2570" width="4.5703125" style="1243" customWidth="1"/>
    <col min="2571" max="2571" width="21.85546875" style="1243" customWidth="1"/>
    <col min="2572" max="2572" width="22.140625" style="1243" customWidth="1"/>
    <col min="2573" max="2573" width="11.5703125" style="1243" customWidth="1"/>
    <col min="2574" max="2576" width="3.5703125" style="1243" customWidth="1"/>
    <col min="2577" max="2577" width="9.5703125" style="1243" customWidth="1"/>
    <col min="2578" max="2578" width="18.85546875" style="1243" customWidth="1"/>
    <col min="2579" max="2579" width="11.5703125" style="1243" customWidth="1"/>
    <col min="2580" max="2580" width="16.42578125" style="1243" customWidth="1"/>
    <col min="2581" max="2581" width="17.5703125" style="1243" customWidth="1"/>
    <col min="2582" max="2582" width="10.5703125" style="1243" customWidth="1"/>
    <col min="2583" max="2825" width="9.140625" style="1243"/>
    <col min="2826" max="2826" width="4.5703125" style="1243" customWidth="1"/>
    <col min="2827" max="2827" width="21.85546875" style="1243" customWidth="1"/>
    <col min="2828" max="2828" width="22.140625" style="1243" customWidth="1"/>
    <col min="2829" max="2829" width="11.5703125" style="1243" customWidth="1"/>
    <col min="2830" max="2832" width="3.5703125" style="1243" customWidth="1"/>
    <col min="2833" max="2833" width="9.5703125" style="1243" customWidth="1"/>
    <col min="2834" max="2834" width="18.85546875" style="1243" customWidth="1"/>
    <col min="2835" max="2835" width="11.5703125" style="1243" customWidth="1"/>
    <col min="2836" max="2836" width="16.42578125" style="1243" customWidth="1"/>
    <col min="2837" max="2837" width="17.5703125" style="1243" customWidth="1"/>
    <col min="2838" max="2838" width="10.5703125" style="1243" customWidth="1"/>
    <col min="2839" max="3081" width="9.140625" style="1243"/>
    <col min="3082" max="3082" width="4.5703125" style="1243" customWidth="1"/>
    <col min="3083" max="3083" width="21.85546875" style="1243" customWidth="1"/>
    <col min="3084" max="3084" width="22.140625" style="1243" customWidth="1"/>
    <col min="3085" max="3085" width="11.5703125" style="1243" customWidth="1"/>
    <col min="3086" max="3088" width="3.5703125" style="1243" customWidth="1"/>
    <col min="3089" max="3089" width="9.5703125" style="1243" customWidth="1"/>
    <col min="3090" max="3090" width="18.85546875" style="1243" customWidth="1"/>
    <col min="3091" max="3091" width="11.5703125" style="1243" customWidth="1"/>
    <col min="3092" max="3092" width="16.42578125" style="1243" customWidth="1"/>
    <col min="3093" max="3093" width="17.5703125" style="1243" customWidth="1"/>
    <col min="3094" max="3094" width="10.5703125" style="1243" customWidth="1"/>
    <col min="3095" max="3337" width="9.140625" style="1243"/>
    <col min="3338" max="3338" width="4.5703125" style="1243" customWidth="1"/>
    <col min="3339" max="3339" width="21.85546875" style="1243" customWidth="1"/>
    <col min="3340" max="3340" width="22.140625" style="1243" customWidth="1"/>
    <col min="3341" max="3341" width="11.5703125" style="1243" customWidth="1"/>
    <col min="3342" max="3344" width="3.5703125" style="1243" customWidth="1"/>
    <col min="3345" max="3345" width="9.5703125" style="1243" customWidth="1"/>
    <col min="3346" max="3346" width="18.85546875" style="1243" customWidth="1"/>
    <col min="3347" max="3347" width="11.5703125" style="1243" customWidth="1"/>
    <col min="3348" max="3348" width="16.42578125" style="1243" customWidth="1"/>
    <col min="3349" max="3349" width="17.5703125" style="1243" customWidth="1"/>
    <col min="3350" max="3350" width="10.5703125" style="1243" customWidth="1"/>
    <col min="3351" max="3593" width="9.140625" style="1243"/>
    <col min="3594" max="3594" width="4.5703125" style="1243" customWidth="1"/>
    <col min="3595" max="3595" width="21.85546875" style="1243" customWidth="1"/>
    <col min="3596" max="3596" width="22.140625" style="1243" customWidth="1"/>
    <col min="3597" max="3597" width="11.5703125" style="1243" customWidth="1"/>
    <col min="3598" max="3600" width="3.5703125" style="1243" customWidth="1"/>
    <col min="3601" max="3601" width="9.5703125" style="1243" customWidth="1"/>
    <col min="3602" max="3602" width="18.85546875" style="1243" customWidth="1"/>
    <col min="3603" max="3603" width="11.5703125" style="1243" customWidth="1"/>
    <col min="3604" max="3604" width="16.42578125" style="1243" customWidth="1"/>
    <col min="3605" max="3605" width="17.5703125" style="1243" customWidth="1"/>
    <col min="3606" max="3606" width="10.5703125" style="1243" customWidth="1"/>
    <col min="3607" max="3849" width="9.140625" style="1243"/>
    <col min="3850" max="3850" width="4.5703125" style="1243" customWidth="1"/>
    <col min="3851" max="3851" width="21.85546875" style="1243" customWidth="1"/>
    <col min="3852" max="3852" width="22.140625" style="1243" customWidth="1"/>
    <col min="3853" max="3853" width="11.5703125" style="1243" customWidth="1"/>
    <col min="3854" max="3856" width="3.5703125" style="1243" customWidth="1"/>
    <col min="3857" max="3857" width="9.5703125" style="1243" customWidth="1"/>
    <col min="3858" max="3858" width="18.85546875" style="1243" customWidth="1"/>
    <col min="3859" max="3859" width="11.5703125" style="1243" customWidth="1"/>
    <col min="3860" max="3860" width="16.42578125" style="1243" customWidth="1"/>
    <col min="3861" max="3861" width="17.5703125" style="1243" customWidth="1"/>
    <col min="3862" max="3862" width="10.5703125" style="1243" customWidth="1"/>
    <col min="3863" max="4105" width="9.140625" style="1243"/>
    <col min="4106" max="4106" width="4.5703125" style="1243" customWidth="1"/>
    <col min="4107" max="4107" width="21.85546875" style="1243" customWidth="1"/>
    <col min="4108" max="4108" width="22.140625" style="1243" customWidth="1"/>
    <col min="4109" max="4109" width="11.5703125" style="1243" customWidth="1"/>
    <col min="4110" max="4112" width="3.5703125" style="1243" customWidth="1"/>
    <col min="4113" max="4113" width="9.5703125" style="1243" customWidth="1"/>
    <col min="4114" max="4114" width="18.85546875" style="1243" customWidth="1"/>
    <col min="4115" max="4115" width="11.5703125" style="1243" customWidth="1"/>
    <col min="4116" max="4116" width="16.42578125" style="1243" customWidth="1"/>
    <col min="4117" max="4117" width="17.5703125" style="1243" customWidth="1"/>
    <col min="4118" max="4118" width="10.5703125" style="1243" customWidth="1"/>
    <col min="4119" max="4361" width="9.140625" style="1243"/>
    <col min="4362" max="4362" width="4.5703125" style="1243" customWidth="1"/>
    <col min="4363" max="4363" width="21.85546875" style="1243" customWidth="1"/>
    <col min="4364" max="4364" width="22.140625" style="1243" customWidth="1"/>
    <col min="4365" max="4365" width="11.5703125" style="1243" customWidth="1"/>
    <col min="4366" max="4368" width="3.5703125" style="1243" customWidth="1"/>
    <col min="4369" max="4369" width="9.5703125" style="1243" customWidth="1"/>
    <col min="4370" max="4370" width="18.85546875" style="1243" customWidth="1"/>
    <col min="4371" max="4371" width="11.5703125" style="1243" customWidth="1"/>
    <col min="4372" max="4372" width="16.42578125" style="1243" customWidth="1"/>
    <col min="4373" max="4373" width="17.5703125" style="1243" customWidth="1"/>
    <col min="4374" max="4374" width="10.5703125" style="1243" customWidth="1"/>
    <col min="4375" max="4617" width="9.140625" style="1243"/>
    <col min="4618" max="4618" width="4.5703125" style="1243" customWidth="1"/>
    <col min="4619" max="4619" width="21.85546875" style="1243" customWidth="1"/>
    <col min="4620" max="4620" width="22.140625" style="1243" customWidth="1"/>
    <col min="4621" max="4621" width="11.5703125" style="1243" customWidth="1"/>
    <col min="4622" max="4624" width="3.5703125" style="1243" customWidth="1"/>
    <col min="4625" max="4625" width="9.5703125" style="1243" customWidth="1"/>
    <col min="4626" max="4626" width="18.85546875" style="1243" customWidth="1"/>
    <col min="4627" max="4627" width="11.5703125" style="1243" customWidth="1"/>
    <col min="4628" max="4628" width="16.42578125" style="1243" customWidth="1"/>
    <col min="4629" max="4629" width="17.5703125" style="1243" customWidth="1"/>
    <col min="4630" max="4630" width="10.5703125" style="1243" customWidth="1"/>
    <col min="4631" max="4873" width="9.140625" style="1243"/>
    <col min="4874" max="4874" width="4.5703125" style="1243" customWidth="1"/>
    <col min="4875" max="4875" width="21.85546875" style="1243" customWidth="1"/>
    <col min="4876" max="4876" width="22.140625" style="1243" customWidth="1"/>
    <col min="4877" max="4877" width="11.5703125" style="1243" customWidth="1"/>
    <col min="4878" max="4880" width="3.5703125" style="1243" customWidth="1"/>
    <col min="4881" max="4881" width="9.5703125" style="1243" customWidth="1"/>
    <col min="4882" max="4882" width="18.85546875" style="1243" customWidth="1"/>
    <col min="4883" max="4883" width="11.5703125" style="1243" customWidth="1"/>
    <col min="4884" max="4884" width="16.42578125" style="1243" customWidth="1"/>
    <col min="4885" max="4885" width="17.5703125" style="1243" customWidth="1"/>
    <col min="4886" max="4886" width="10.5703125" style="1243" customWidth="1"/>
    <col min="4887" max="5129" width="9.140625" style="1243"/>
    <col min="5130" max="5130" width="4.5703125" style="1243" customWidth="1"/>
    <col min="5131" max="5131" width="21.85546875" style="1243" customWidth="1"/>
    <col min="5132" max="5132" width="22.140625" style="1243" customWidth="1"/>
    <col min="5133" max="5133" width="11.5703125" style="1243" customWidth="1"/>
    <col min="5134" max="5136" width="3.5703125" style="1243" customWidth="1"/>
    <col min="5137" max="5137" width="9.5703125" style="1243" customWidth="1"/>
    <col min="5138" max="5138" width="18.85546875" style="1243" customWidth="1"/>
    <col min="5139" max="5139" width="11.5703125" style="1243" customWidth="1"/>
    <col min="5140" max="5140" width="16.42578125" style="1243" customWidth="1"/>
    <col min="5141" max="5141" width="17.5703125" style="1243" customWidth="1"/>
    <col min="5142" max="5142" width="10.5703125" style="1243" customWidth="1"/>
    <col min="5143" max="5385" width="9.140625" style="1243"/>
    <col min="5386" max="5386" width="4.5703125" style="1243" customWidth="1"/>
    <col min="5387" max="5387" width="21.85546875" style="1243" customWidth="1"/>
    <col min="5388" max="5388" width="22.140625" style="1243" customWidth="1"/>
    <col min="5389" max="5389" width="11.5703125" style="1243" customWidth="1"/>
    <col min="5390" max="5392" width="3.5703125" style="1243" customWidth="1"/>
    <col min="5393" max="5393" width="9.5703125" style="1243" customWidth="1"/>
    <col min="5394" max="5394" width="18.85546875" style="1243" customWidth="1"/>
    <col min="5395" max="5395" width="11.5703125" style="1243" customWidth="1"/>
    <col min="5396" max="5396" width="16.42578125" style="1243" customWidth="1"/>
    <col min="5397" max="5397" width="17.5703125" style="1243" customWidth="1"/>
    <col min="5398" max="5398" width="10.5703125" style="1243" customWidth="1"/>
    <col min="5399" max="5641" width="9.140625" style="1243"/>
    <col min="5642" max="5642" width="4.5703125" style="1243" customWidth="1"/>
    <col min="5643" max="5643" width="21.85546875" style="1243" customWidth="1"/>
    <col min="5644" max="5644" width="22.140625" style="1243" customWidth="1"/>
    <col min="5645" max="5645" width="11.5703125" style="1243" customWidth="1"/>
    <col min="5646" max="5648" width="3.5703125" style="1243" customWidth="1"/>
    <col min="5649" max="5649" width="9.5703125" style="1243" customWidth="1"/>
    <col min="5650" max="5650" width="18.85546875" style="1243" customWidth="1"/>
    <col min="5651" max="5651" width="11.5703125" style="1243" customWidth="1"/>
    <col min="5652" max="5652" width="16.42578125" style="1243" customWidth="1"/>
    <col min="5653" max="5653" width="17.5703125" style="1243" customWidth="1"/>
    <col min="5654" max="5654" width="10.5703125" style="1243" customWidth="1"/>
    <col min="5655" max="5897" width="9.140625" style="1243"/>
    <col min="5898" max="5898" width="4.5703125" style="1243" customWidth="1"/>
    <col min="5899" max="5899" width="21.85546875" style="1243" customWidth="1"/>
    <col min="5900" max="5900" width="22.140625" style="1243" customWidth="1"/>
    <col min="5901" max="5901" width="11.5703125" style="1243" customWidth="1"/>
    <col min="5902" max="5904" width="3.5703125" style="1243" customWidth="1"/>
    <col min="5905" max="5905" width="9.5703125" style="1243" customWidth="1"/>
    <col min="5906" max="5906" width="18.85546875" style="1243" customWidth="1"/>
    <col min="5907" max="5907" width="11.5703125" style="1243" customWidth="1"/>
    <col min="5908" max="5908" width="16.42578125" style="1243" customWidth="1"/>
    <col min="5909" max="5909" width="17.5703125" style="1243" customWidth="1"/>
    <col min="5910" max="5910" width="10.5703125" style="1243" customWidth="1"/>
    <col min="5911" max="6153" width="9.140625" style="1243"/>
    <col min="6154" max="6154" width="4.5703125" style="1243" customWidth="1"/>
    <col min="6155" max="6155" width="21.85546875" style="1243" customWidth="1"/>
    <col min="6156" max="6156" width="22.140625" style="1243" customWidth="1"/>
    <col min="6157" max="6157" width="11.5703125" style="1243" customWidth="1"/>
    <col min="6158" max="6160" width="3.5703125" style="1243" customWidth="1"/>
    <col min="6161" max="6161" width="9.5703125" style="1243" customWidth="1"/>
    <col min="6162" max="6162" width="18.85546875" style="1243" customWidth="1"/>
    <col min="6163" max="6163" width="11.5703125" style="1243" customWidth="1"/>
    <col min="6164" max="6164" width="16.42578125" style="1243" customWidth="1"/>
    <col min="6165" max="6165" width="17.5703125" style="1243" customWidth="1"/>
    <col min="6166" max="6166" width="10.5703125" style="1243" customWidth="1"/>
    <col min="6167" max="6409" width="9.140625" style="1243"/>
    <col min="6410" max="6410" width="4.5703125" style="1243" customWidth="1"/>
    <col min="6411" max="6411" width="21.85546875" style="1243" customWidth="1"/>
    <col min="6412" max="6412" width="22.140625" style="1243" customWidth="1"/>
    <col min="6413" max="6413" width="11.5703125" style="1243" customWidth="1"/>
    <col min="6414" max="6416" width="3.5703125" style="1243" customWidth="1"/>
    <col min="6417" max="6417" width="9.5703125" style="1243" customWidth="1"/>
    <col min="6418" max="6418" width="18.85546875" style="1243" customWidth="1"/>
    <col min="6419" max="6419" width="11.5703125" style="1243" customWidth="1"/>
    <col min="6420" max="6420" width="16.42578125" style="1243" customWidth="1"/>
    <col min="6421" max="6421" width="17.5703125" style="1243" customWidth="1"/>
    <col min="6422" max="6422" width="10.5703125" style="1243" customWidth="1"/>
    <col min="6423" max="6665" width="9.140625" style="1243"/>
    <col min="6666" max="6666" width="4.5703125" style="1243" customWidth="1"/>
    <col min="6667" max="6667" width="21.85546875" style="1243" customWidth="1"/>
    <col min="6668" max="6668" width="22.140625" style="1243" customWidth="1"/>
    <col min="6669" max="6669" width="11.5703125" style="1243" customWidth="1"/>
    <col min="6670" max="6672" width="3.5703125" style="1243" customWidth="1"/>
    <col min="6673" max="6673" width="9.5703125" style="1243" customWidth="1"/>
    <col min="6674" max="6674" width="18.85546875" style="1243" customWidth="1"/>
    <col min="6675" max="6675" width="11.5703125" style="1243" customWidth="1"/>
    <col min="6676" max="6676" width="16.42578125" style="1243" customWidth="1"/>
    <col min="6677" max="6677" width="17.5703125" style="1243" customWidth="1"/>
    <col min="6678" max="6678" width="10.5703125" style="1243" customWidth="1"/>
    <col min="6679" max="6921" width="9.140625" style="1243"/>
    <col min="6922" max="6922" width="4.5703125" style="1243" customWidth="1"/>
    <col min="6923" max="6923" width="21.85546875" style="1243" customWidth="1"/>
    <col min="6924" max="6924" width="22.140625" style="1243" customWidth="1"/>
    <col min="6925" max="6925" width="11.5703125" style="1243" customWidth="1"/>
    <col min="6926" max="6928" width="3.5703125" style="1243" customWidth="1"/>
    <col min="6929" max="6929" width="9.5703125" style="1243" customWidth="1"/>
    <col min="6930" max="6930" width="18.85546875" style="1243" customWidth="1"/>
    <col min="6931" max="6931" width="11.5703125" style="1243" customWidth="1"/>
    <col min="6932" max="6932" width="16.42578125" style="1243" customWidth="1"/>
    <col min="6933" max="6933" width="17.5703125" style="1243" customWidth="1"/>
    <col min="6934" max="6934" width="10.5703125" style="1243" customWidth="1"/>
    <col min="6935" max="7177" width="9.140625" style="1243"/>
    <col min="7178" max="7178" width="4.5703125" style="1243" customWidth="1"/>
    <col min="7179" max="7179" width="21.85546875" style="1243" customWidth="1"/>
    <col min="7180" max="7180" width="22.140625" style="1243" customWidth="1"/>
    <col min="7181" max="7181" width="11.5703125" style="1243" customWidth="1"/>
    <col min="7182" max="7184" width="3.5703125" style="1243" customWidth="1"/>
    <col min="7185" max="7185" width="9.5703125" style="1243" customWidth="1"/>
    <col min="7186" max="7186" width="18.85546875" style="1243" customWidth="1"/>
    <col min="7187" max="7187" width="11.5703125" style="1243" customWidth="1"/>
    <col min="7188" max="7188" width="16.42578125" style="1243" customWidth="1"/>
    <col min="7189" max="7189" width="17.5703125" style="1243" customWidth="1"/>
    <col min="7190" max="7190" width="10.5703125" style="1243" customWidth="1"/>
    <col min="7191" max="7433" width="9.140625" style="1243"/>
    <col min="7434" max="7434" width="4.5703125" style="1243" customWidth="1"/>
    <col min="7435" max="7435" width="21.85546875" style="1243" customWidth="1"/>
    <col min="7436" max="7436" width="22.140625" style="1243" customWidth="1"/>
    <col min="7437" max="7437" width="11.5703125" style="1243" customWidth="1"/>
    <col min="7438" max="7440" width="3.5703125" style="1243" customWidth="1"/>
    <col min="7441" max="7441" width="9.5703125" style="1243" customWidth="1"/>
    <col min="7442" max="7442" width="18.85546875" style="1243" customWidth="1"/>
    <col min="7443" max="7443" width="11.5703125" style="1243" customWidth="1"/>
    <col min="7444" max="7444" width="16.42578125" style="1243" customWidth="1"/>
    <col min="7445" max="7445" width="17.5703125" style="1243" customWidth="1"/>
    <col min="7446" max="7446" width="10.5703125" style="1243" customWidth="1"/>
    <col min="7447" max="7689" width="9.140625" style="1243"/>
    <col min="7690" max="7690" width="4.5703125" style="1243" customWidth="1"/>
    <col min="7691" max="7691" width="21.85546875" style="1243" customWidth="1"/>
    <col min="7692" max="7692" width="22.140625" style="1243" customWidth="1"/>
    <col min="7693" max="7693" width="11.5703125" style="1243" customWidth="1"/>
    <col min="7694" max="7696" width="3.5703125" style="1243" customWidth="1"/>
    <col min="7697" max="7697" width="9.5703125" style="1243" customWidth="1"/>
    <col min="7698" max="7698" width="18.85546875" style="1243" customWidth="1"/>
    <col min="7699" max="7699" width="11.5703125" style="1243" customWidth="1"/>
    <col min="7700" max="7700" width="16.42578125" style="1243" customWidth="1"/>
    <col min="7701" max="7701" width="17.5703125" style="1243" customWidth="1"/>
    <col min="7702" max="7702" width="10.5703125" style="1243" customWidth="1"/>
    <col min="7703" max="7945" width="9.140625" style="1243"/>
    <col min="7946" max="7946" width="4.5703125" style="1243" customWidth="1"/>
    <col min="7947" max="7947" width="21.85546875" style="1243" customWidth="1"/>
    <col min="7948" max="7948" width="22.140625" style="1243" customWidth="1"/>
    <col min="7949" max="7949" width="11.5703125" style="1243" customWidth="1"/>
    <col min="7950" max="7952" width="3.5703125" style="1243" customWidth="1"/>
    <col min="7953" max="7953" width="9.5703125" style="1243" customWidth="1"/>
    <col min="7954" max="7954" width="18.85546875" style="1243" customWidth="1"/>
    <col min="7955" max="7955" width="11.5703125" style="1243" customWidth="1"/>
    <col min="7956" max="7956" width="16.42578125" style="1243" customWidth="1"/>
    <col min="7957" max="7957" width="17.5703125" style="1243" customWidth="1"/>
    <col min="7958" max="7958" width="10.5703125" style="1243" customWidth="1"/>
    <col min="7959" max="8201" width="9.140625" style="1243"/>
    <col min="8202" max="8202" width="4.5703125" style="1243" customWidth="1"/>
    <col min="8203" max="8203" width="21.85546875" style="1243" customWidth="1"/>
    <col min="8204" max="8204" width="22.140625" style="1243" customWidth="1"/>
    <col min="8205" max="8205" width="11.5703125" style="1243" customWidth="1"/>
    <col min="8206" max="8208" width="3.5703125" style="1243" customWidth="1"/>
    <col min="8209" max="8209" width="9.5703125" style="1243" customWidth="1"/>
    <col min="8210" max="8210" width="18.85546875" style="1243" customWidth="1"/>
    <col min="8211" max="8211" width="11.5703125" style="1243" customWidth="1"/>
    <col min="8212" max="8212" width="16.42578125" style="1243" customWidth="1"/>
    <col min="8213" max="8213" width="17.5703125" style="1243" customWidth="1"/>
    <col min="8214" max="8214" width="10.5703125" style="1243" customWidth="1"/>
    <col min="8215" max="8457" width="9.140625" style="1243"/>
    <col min="8458" max="8458" width="4.5703125" style="1243" customWidth="1"/>
    <col min="8459" max="8459" width="21.85546875" style="1243" customWidth="1"/>
    <col min="8460" max="8460" width="22.140625" style="1243" customWidth="1"/>
    <col min="8461" max="8461" width="11.5703125" style="1243" customWidth="1"/>
    <col min="8462" max="8464" width="3.5703125" style="1243" customWidth="1"/>
    <col min="8465" max="8465" width="9.5703125" style="1243" customWidth="1"/>
    <col min="8466" max="8466" width="18.85546875" style="1243" customWidth="1"/>
    <col min="8467" max="8467" width="11.5703125" style="1243" customWidth="1"/>
    <col min="8468" max="8468" width="16.42578125" style="1243" customWidth="1"/>
    <col min="8469" max="8469" width="17.5703125" style="1243" customWidth="1"/>
    <col min="8470" max="8470" width="10.5703125" style="1243" customWidth="1"/>
    <col min="8471" max="8713" width="9.140625" style="1243"/>
    <col min="8714" max="8714" width="4.5703125" style="1243" customWidth="1"/>
    <col min="8715" max="8715" width="21.85546875" style="1243" customWidth="1"/>
    <col min="8716" max="8716" width="22.140625" style="1243" customWidth="1"/>
    <col min="8717" max="8717" width="11.5703125" style="1243" customWidth="1"/>
    <col min="8718" max="8720" width="3.5703125" style="1243" customWidth="1"/>
    <col min="8721" max="8721" width="9.5703125" style="1243" customWidth="1"/>
    <col min="8722" max="8722" width="18.85546875" style="1243" customWidth="1"/>
    <col min="8723" max="8723" width="11.5703125" style="1243" customWidth="1"/>
    <col min="8724" max="8724" width="16.42578125" style="1243" customWidth="1"/>
    <col min="8725" max="8725" width="17.5703125" style="1243" customWidth="1"/>
    <col min="8726" max="8726" width="10.5703125" style="1243" customWidth="1"/>
    <col min="8727" max="8969" width="9.140625" style="1243"/>
    <col min="8970" max="8970" width="4.5703125" style="1243" customWidth="1"/>
    <col min="8971" max="8971" width="21.85546875" style="1243" customWidth="1"/>
    <col min="8972" max="8972" width="22.140625" style="1243" customWidth="1"/>
    <col min="8973" max="8973" width="11.5703125" style="1243" customWidth="1"/>
    <col min="8974" max="8976" width="3.5703125" style="1243" customWidth="1"/>
    <col min="8977" max="8977" width="9.5703125" style="1243" customWidth="1"/>
    <col min="8978" max="8978" width="18.85546875" style="1243" customWidth="1"/>
    <col min="8979" max="8979" width="11.5703125" style="1243" customWidth="1"/>
    <col min="8980" max="8980" width="16.42578125" style="1243" customWidth="1"/>
    <col min="8981" max="8981" width="17.5703125" style="1243" customWidth="1"/>
    <col min="8982" max="8982" width="10.5703125" style="1243" customWidth="1"/>
    <col min="8983" max="9225" width="9.140625" style="1243"/>
    <col min="9226" max="9226" width="4.5703125" style="1243" customWidth="1"/>
    <col min="9227" max="9227" width="21.85546875" style="1243" customWidth="1"/>
    <col min="9228" max="9228" width="22.140625" style="1243" customWidth="1"/>
    <col min="9229" max="9229" width="11.5703125" style="1243" customWidth="1"/>
    <col min="9230" max="9232" width="3.5703125" style="1243" customWidth="1"/>
    <col min="9233" max="9233" width="9.5703125" style="1243" customWidth="1"/>
    <col min="9234" max="9234" width="18.85546875" style="1243" customWidth="1"/>
    <col min="9235" max="9235" width="11.5703125" style="1243" customWidth="1"/>
    <col min="9236" max="9236" width="16.42578125" style="1243" customWidth="1"/>
    <col min="9237" max="9237" width="17.5703125" style="1243" customWidth="1"/>
    <col min="9238" max="9238" width="10.5703125" style="1243" customWidth="1"/>
    <col min="9239" max="9481" width="9.140625" style="1243"/>
    <col min="9482" max="9482" width="4.5703125" style="1243" customWidth="1"/>
    <col min="9483" max="9483" width="21.85546875" style="1243" customWidth="1"/>
    <col min="9484" max="9484" width="22.140625" style="1243" customWidth="1"/>
    <col min="9485" max="9485" width="11.5703125" style="1243" customWidth="1"/>
    <col min="9486" max="9488" width="3.5703125" style="1243" customWidth="1"/>
    <col min="9489" max="9489" width="9.5703125" style="1243" customWidth="1"/>
    <col min="9490" max="9490" width="18.85546875" style="1243" customWidth="1"/>
    <col min="9491" max="9491" width="11.5703125" style="1243" customWidth="1"/>
    <col min="9492" max="9492" width="16.42578125" style="1243" customWidth="1"/>
    <col min="9493" max="9493" width="17.5703125" style="1243" customWidth="1"/>
    <col min="9494" max="9494" width="10.5703125" style="1243" customWidth="1"/>
    <col min="9495" max="9737" width="9.140625" style="1243"/>
    <col min="9738" max="9738" width="4.5703125" style="1243" customWidth="1"/>
    <col min="9739" max="9739" width="21.85546875" style="1243" customWidth="1"/>
    <col min="9740" max="9740" width="22.140625" style="1243" customWidth="1"/>
    <col min="9741" max="9741" width="11.5703125" style="1243" customWidth="1"/>
    <col min="9742" max="9744" width="3.5703125" style="1243" customWidth="1"/>
    <col min="9745" max="9745" width="9.5703125" style="1243" customWidth="1"/>
    <col min="9746" max="9746" width="18.85546875" style="1243" customWidth="1"/>
    <col min="9747" max="9747" width="11.5703125" style="1243" customWidth="1"/>
    <col min="9748" max="9748" width="16.42578125" style="1243" customWidth="1"/>
    <col min="9749" max="9749" width="17.5703125" style="1243" customWidth="1"/>
    <col min="9750" max="9750" width="10.5703125" style="1243" customWidth="1"/>
    <col min="9751" max="9993" width="9.140625" style="1243"/>
    <col min="9994" max="9994" width="4.5703125" style="1243" customWidth="1"/>
    <col min="9995" max="9995" width="21.85546875" style="1243" customWidth="1"/>
    <col min="9996" max="9996" width="22.140625" style="1243" customWidth="1"/>
    <col min="9997" max="9997" width="11.5703125" style="1243" customWidth="1"/>
    <col min="9998" max="10000" width="3.5703125" style="1243" customWidth="1"/>
    <col min="10001" max="10001" width="9.5703125" style="1243" customWidth="1"/>
    <col min="10002" max="10002" width="18.85546875" style="1243" customWidth="1"/>
    <col min="10003" max="10003" width="11.5703125" style="1243" customWidth="1"/>
    <col min="10004" max="10004" width="16.42578125" style="1243" customWidth="1"/>
    <col min="10005" max="10005" width="17.5703125" style="1243" customWidth="1"/>
    <col min="10006" max="10006" width="10.5703125" style="1243" customWidth="1"/>
    <col min="10007" max="10249" width="9.140625" style="1243"/>
    <col min="10250" max="10250" width="4.5703125" style="1243" customWidth="1"/>
    <col min="10251" max="10251" width="21.85546875" style="1243" customWidth="1"/>
    <col min="10252" max="10252" width="22.140625" style="1243" customWidth="1"/>
    <col min="10253" max="10253" width="11.5703125" style="1243" customWidth="1"/>
    <col min="10254" max="10256" width="3.5703125" style="1243" customWidth="1"/>
    <col min="10257" max="10257" width="9.5703125" style="1243" customWidth="1"/>
    <col min="10258" max="10258" width="18.85546875" style="1243" customWidth="1"/>
    <col min="10259" max="10259" width="11.5703125" style="1243" customWidth="1"/>
    <col min="10260" max="10260" width="16.42578125" style="1243" customWidth="1"/>
    <col min="10261" max="10261" width="17.5703125" style="1243" customWidth="1"/>
    <col min="10262" max="10262" width="10.5703125" style="1243" customWidth="1"/>
    <col min="10263" max="10505" width="9.140625" style="1243"/>
    <col min="10506" max="10506" width="4.5703125" style="1243" customWidth="1"/>
    <col min="10507" max="10507" width="21.85546875" style="1243" customWidth="1"/>
    <col min="10508" max="10508" width="22.140625" style="1243" customWidth="1"/>
    <col min="10509" max="10509" width="11.5703125" style="1243" customWidth="1"/>
    <col min="10510" max="10512" width="3.5703125" style="1243" customWidth="1"/>
    <col min="10513" max="10513" width="9.5703125" style="1243" customWidth="1"/>
    <col min="10514" max="10514" width="18.85546875" style="1243" customWidth="1"/>
    <col min="10515" max="10515" width="11.5703125" style="1243" customWidth="1"/>
    <col min="10516" max="10516" width="16.42578125" style="1243" customWidth="1"/>
    <col min="10517" max="10517" width="17.5703125" style="1243" customWidth="1"/>
    <col min="10518" max="10518" width="10.5703125" style="1243" customWidth="1"/>
    <col min="10519" max="10761" width="9.140625" style="1243"/>
    <col min="10762" max="10762" width="4.5703125" style="1243" customWidth="1"/>
    <col min="10763" max="10763" width="21.85546875" style="1243" customWidth="1"/>
    <col min="10764" max="10764" width="22.140625" style="1243" customWidth="1"/>
    <col min="10765" max="10765" width="11.5703125" style="1243" customWidth="1"/>
    <col min="10766" max="10768" width="3.5703125" style="1243" customWidth="1"/>
    <col min="10769" max="10769" width="9.5703125" style="1243" customWidth="1"/>
    <col min="10770" max="10770" width="18.85546875" style="1243" customWidth="1"/>
    <col min="10771" max="10771" width="11.5703125" style="1243" customWidth="1"/>
    <col min="10772" max="10772" width="16.42578125" style="1243" customWidth="1"/>
    <col min="10773" max="10773" width="17.5703125" style="1243" customWidth="1"/>
    <col min="10774" max="10774" width="10.5703125" style="1243" customWidth="1"/>
    <col min="10775" max="11017" width="9.140625" style="1243"/>
    <col min="11018" max="11018" width="4.5703125" style="1243" customWidth="1"/>
    <col min="11019" max="11019" width="21.85546875" style="1243" customWidth="1"/>
    <col min="11020" max="11020" width="22.140625" style="1243" customWidth="1"/>
    <col min="11021" max="11021" width="11.5703125" style="1243" customWidth="1"/>
    <col min="11022" max="11024" width="3.5703125" style="1243" customWidth="1"/>
    <col min="11025" max="11025" width="9.5703125" style="1243" customWidth="1"/>
    <col min="11026" max="11026" width="18.85546875" style="1243" customWidth="1"/>
    <col min="11027" max="11027" width="11.5703125" style="1243" customWidth="1"/>
    <col min="11028" max="11028" width="16.42578125" style="1243" customWidth="1"/>
    <col min="11029" max="11029" width="17.5703125" style="1243" customWidth="1"/>
    <col min="11030" max="11030" width="10.5703125" style="1243" customWidth="1"/>
    <col min="11031" max="11273" width="9.140625" style="1243"/>
    <col min="11274" max="11274" width="4.5703125" style="1243" customWidth="1"/>
    <col min="11275" max="11275" width="21.85546875" style="1243" customWidth="1"/>
    <col min="11276" max="11276" width="22.140625" style="1243" customWidth="1"/>
    <col min="11277" max="11277" width="11.5703125" style="1243" customWidth="1"/>
    <col min="11278" max="11280" width="3.5703125" style="1243" customWidth="1"/>
    <col min="11281" max="11281" width="9.5703125" style="1243" customWidth="1"/>
    <col min="11282" max="11282" width="18.85546875" style="1243" customWidth="1"/>
    <col min="11283" max="11283" width="11.5703125" style="1243" customWidth="1"/>
    <col min="11284" max="11284" width="16.42578125" style="1243" customWidth="1"/>
    <col min="11285" max="11285" width="17.5703125" style="1243" customWidth="1"/>
    <col min="11286" max="11286" width="10.5703125" style="1243" customWidth="1"/>
    <col min="11287" max="11529" width="9.140625" style="1243"/>
    <col min="11530" max="11530" width="4.5703125" style="1243" customWidth="1"/>
    <col min="11531" max="11531" width="21.85546875" style="1243" customWidth="1"/>
    <col min="11532" max="11532" width="22.140625" style="1243" customWidth="1"/>
    <col min="11533" max="11533" width="11.5703125" style="1243" customWidth="1"/>
    <col min="11534" max="11536" width="3.5703125" style="1243" customWidth="1"/>
    <col min="11537" max="11537" width="9.5703125" style="1243" customWidth="1"/>
    <col min="11538" max="11538" width="18.85546875" style="1243" customWidth="1"/>
    <col min="11539" max="11539" width="11.5703125" style="1243" customWidth="1"/>
    <col min="11540" max="11540" width="16.42578125" style="1243" customWidth="1"/>
    <col min="11541" max="11541" width="17.5703125" style="1243" customWidth="1"/>
    <col min="11542" max="11542" width="10.5703125" style="1243" customWidth="1"/>
    <col min="11543" max="11785" width="9.140625" style="1243"/>
    <col min="11786" max="11786" width="4.5703125" style="1243" customWidth="1"/>
    <col min="11787" max="11787" width="21.85546875" style="1243" customWidth="1"/>
    <col min="11788" max="11788" width="22.140625" style="1243" customWidth="1"/>
    <col min="11789" max="11789" width="11.5703125" style="1243" customWidth="1"/>
    <col min="11790" max="11792" width="3.5703125" style="1243" customWidth="1"/>
    <col min="11793" max="11793" width="9.5703125" style="1243" customWidth="1"/>
    <col min="11794" max="11794" width="18.85546875" style="1243" customWidth="1"/>
    <col min="11795" max="11795" width="11.5703125" style="1243" customWidth="1"/>
    <col min="11796" max="11796" width="16.42578125" style="1243" customWidth="1"/>
    <col min="11797" max="11797" width="17.5703125" style="1243" customWidth="1"/>
    <col min="11798" max="11798" width="10.5703125" style="1243" customWidth="1"/>
    <col min="11799" max="12041" width="9.140625" style="1243"/>
    <col min="12042" max="12042" width="4.5703125" style="1243" customWidth="1"/>
    <col min="12043" max="12043" width="21.85546875" style="1243" customWidth="1"/>
    <col min="12044" max="12044" width="22.140625" style="1243" customWidth="1"/>
    <col min="12045" max="12045" width="11.5703125" style="1243" customWidth="1"/>
    <col min="12046" max="12048" width="3.5703125" style="1243" customWidth="1"/>
    <col min="12049" max="12049" width="9.5703125" style="1243" customWidth="1"/>
    <col min="12050" max="12050" width="18.85546875" style="1243" customWidth="1"/>
    <col min="12051" max="12051" width="11.5703125" style="1243" customWidth="1"/>
    <col min="12052" max="12052" width="16.42578125" style="1243" customWidth="1"/>
    <col min="12053" max="12053" width="17.5703125" style="1243" customWidth="1"/>
    <col min="12054" max="12054" width="10.5703125" style="1243" customWidth="1"/>
    <col min="12055" max="12297" width="9.140625" style="1243"/>
    <col min="12298" max="12298" width="4.5703125" style="1243" customWidth="1"/>
    <col min="12299" max="12299" width="21.85546875" style="1243" customWidth="1"/>
    <col min="12300" max="12300" width="22.140625" style="1243" customWidth="1"/>
    <col min="12301" max="12301" width="11.5703125" style="1243" customWidth="1"/>
    <col min="12302" max="12304" width="3.5703125" style="1243" customWidth="1"/>
    <col min="12305" max="12305" width="9.5703125" style="1243" customWidth="1"/>
    <col min="12306" max="12306" width="18.85546875" style="1243" customWidth="1"/>
    <col min="12307" max="12307" width="11.5703125" style="1243" customWidth="1"/>
    <col min="12308" max="12308" width="16.42578125" style="1243" customWidth="1"/>
    <col min="12309" max="12309" width="17.5703125" style="1243" customWidth="1"/>
    <col min="12310" max="12310" width="10.5703125" style="1243" customWidth="1"/>
    <col min="12311" max="12553" width="9.140625" style="1243"/>
    <col min="12554" max="12554" width="4.5703125" style="1243" customWidth="1"/>
    <col min="12555" max="12555" width="21.85546875" style="1243" customWidth="1"/>
    <col min="12556" max="12556" width="22.140625" style="1243" customWidth="1"/>
    <col min="12557" max="12557" width="11.5703125" style="1243" customWidth="1"/>
    <col min="12558" max="12560" width="3.5703125" style="1243" customWidth="1"/>
    <col min="12561" max="12561" width="9.5703125" style="1243" customWidth="1"/>
    <col min="12562" max="12562" width="18.85546875" style="1243" customWidth="1"/>
    <col min="12563" max="12563" width="11.5703125" style="1243" customWidth="1"/>
    <col min="12564" max="12564" width="16.42578125" style="1243" customWidth="1"/>
    <col min="12565" max="12565" width="17.5703125" style="1243" customWidth="1"/>
    <col min="12566" max="12566" width="10.5703125" style="1243" customWidth="1"/>
    <col min="12567" max="12809" width="9.140625" style="1243"/>
    <col min="12810" max="12810" width="4.5703125" style="1243" customWidth="1"/>
    <col min="12811" max="12811" width="21.85546875" style="1243" customWidth="1"/>
    <col min="12812" max="12812" width="22.140625" style="1243" customWidth="1"/>
    <col min="12813" max="12813" width="11.5703125" style="1243" customWidth="1"/>
    <col min="12814" max="12816" width="3.5703125" style="1243" customWidth="1"/>
    <col min="12817" max="12817" width="9.5703125" style="1243" customWidth="1"/>
    <col min="12818" max="12818" width="18.85546875" style="1243" customWidth="1"/>
    <col min="12819" max="12819" width="11.5703125" style="1243" customWidth="1"/>
    <col min="12820" max="12820" width="16.42578125" style="1243" customWidth="1"/>
    <col min="12821" max="12821" width="17.5703125" style="1243" customWidth="1"/>
    <col min="12822" max="12822" width="10.5703125" style="1243" customWidth="1"/>
    <col min="12823" max="13065" width="9.140625" style="1243"/>
    <col min="13066" max="13066" width="4.5703125" style="1243" customWidth="1"/>
    <col min="13067" max="13067" width="21.85546875" style="1243" customWidth="1"/>
    <col min="13068" max="13068" width="22.140625" style="1243" customWidth="1"/>
    <col min="13069" max="13069" width="11.5703125" style="1243" customWidth="1"/>
    <col min="13070" max="13072" width="3.5703125" style="1243" customWidth="1"/>
    <col min="13073" max="13073" width="9.5703125" style="1243" customWidth="1"/>
    <col min="13074" max="13074" width="18.85546875" style="1243" customWidth="1"/>
    <col min="13075" max="13075" width="11.5703125" style="1243" customWidth="1"/>
    <col min="13076" max="13076" width="16.42578125" style="1243" customWidth="1"/>
    <col min="13077" max="13077" width="17.5703125" style="1243" customWidth="1"/>
    <col min="13078" max="13078" width="10.5703125" style="1243" customWidth="1"/>
    <col min="13079" max="13321" width="9.140625" style="1243"/>
    <col min="13322" max="13322" width="4.5703125" style="1243" customWidth="1"/>
    <col min="13323" max="13323" width="21.85546875" style="1243" customWidth="1"/>
    <col min="13324" max="13324" width="22.140625" style="1243" customWidth="1"/>
    <col min="13325" max="13325" width="11.5703125" style="1243" customWidth="1"/>
    <col min="13326" max="13328" width="3.5703125" style="1243" customWidth="1"/>
    <col min="13329" max="13329" width="9.5703125" style="1243" customWidth="1"/>
    <col min="13330" max="13330" width="18.85546875" style="1243" customWidth="1"/>
    <col min="13331" max="13331" width="11.5703125" style="1243" customWidth="1"/>
    <col min="13332" max="13332" width="16.42578125" style="1243" customWidth="1"/>
    <col min="13333" max="13333" width="17.5703125" style="1243" customWidth="1"/>
    <col min="13334" max="13334" width="10.5703125" style="1243" customWidth="1"/>
    <col min="13335" max="13577" width="9.140625" style="1243"/>
    <col min="13578" max="13578" width="4.5703125" style="1243" customWidth="1"/>
    <col min="13579" max="13579" width="21.85546875" style="1243" customWidth="1"/>
    <col min="13580" max="13580" width="22.140625" style="1243" customWidth="1"/>
    <col min="13581" max="13581" width="11.5703125" style="1243" customWidth="1"/>
    <col min="13582" max="13584" width="3.5703125" style="1243" customWidth="1"/>
    <col min="13585" max="13585" width="9.5703125" style="1243" customWidth="1"/>
    <col min="13586" max="13586" width="18.85546875" style="1243" customWidth="1"/>
    <col min="13587" max="13587" width="11.5703125" style="1243" customWidth="1"/>
    <col min="13588" max="13588" width="16.42578125" style="1243" customWidth="1"/>
    <col min="13589" max="13589" width="17.5703125" style="1243" customWidth="1"/>
    <col min="13590" max="13590" width="10.5703125" style="1243" customWidth="1"/>
    <col min="13591" max="13833" width="9.140625" style="1243"/>
    <col min="13834" max="13834" width="4.5703125" style="1243" customWidth="1"/>
    <col min="13835" max="13835" width="21.85546875" style="1243" customWidth="1"/>
    <col min="13836" max="13836" width="22.140625" style="1243" customWidth="1"/>
    <col min="13837" max="13837" width="11.5703125" style="1243" customWidth="1"/>
    <col min="13838" max="13840" width="3.5703125" style="1243" customWidth="1"/>
    <col min="13841" max="13841" width="9.5703125" style="1243" customWidth="1"/>
    <col min="13842" max="13842" width="18.85546875" style="1243" customWidth="1"/>
    <col min="13843" max="13843" width="11.5703125" style="1243" customWidth="1"/>
    <col min="13844" max="13844" width="16.42578125" style="1243" customWidth="1"/>
    <col min="13845" max="13845" width="17.5703125" style="1243" customWidth="1"/>
    <col min="13846" max="13846" width="10.5703125" style="1243" customWidth="1"/>
    <col min="13847" max="14089" width="9.140625" style="1243"/>
    <col min="14090" max="14090" width="4.5703125" style="1243" customWidth="1"/>
    <col min="14091" max="14091" width="21.85546875" style="1243" customWidth="1"/>
    <col min="14092" max="14092" width="22.140625" style="1243" customWidth="1"/>
    <col min="14093" max="14093" width="11.5703125" style="1243" customWidth="1"/>
    <col min="14094" max="14096" width="3.5703125" style="1243" customWidth="1"/>
    <col min="14097" max="14097" width="9.5703125" style="1243" customWidth="1"/>
    <col min="14098" max="14098" width="18.85546875" style="1243" customWidth="1"/>
    <col min="14099" max="14099" width="11.5703125" style="1243" customWidth="1"/>
    <col min="14100" max="14100" width="16.42578125" style="1243" customWidth="1"/>
    <col min="14101" max="14101" width="17.5703125" style="1243" customWidth="1"/>
    <col min="14102" max="14102" width="10.5703125" style="1243" customWidth="1"/>
    <col min="14103" max="14345" width="9.140625" style="1243"/>
    <col min="14346" max="14346" width="4.5703125" style="1243" customWidth="1"/>
    <col min="14347" max="14347" width="21.85546875" style="1243" customWidth="1"/>
    <col min="14348" max="14348" width="22.140625" style="1243" customWidth="1"/>
    <col min="14349" max="14349" width="11.5703125" style="1243" customWidth="1"/>
    <col min="14350" max="14352" width="3.5703125" style="1243" customWidth="1"/>
    <col min="14353" max="14353" width="9.5703125" style="1243" customWidth="1"/>
    <col min="14354" max="14354" width="18.85546875" style="1243" customWidth="1"/>
    <col min="14355" max="14355" width="11.5703125" style="1243" customWidth="1"/>
    <col min="14356" max="14356" width="16.42578125" style="1243" customWidth="1"/>
    <col min="14357" max="14357" width="17.5703125" style="1243" customWidth="1"/>
    <col min="14358" max="14358" width="10.5703125" style="1243" customWidth="1"/>
    <col min="14359" max="14601" width="9.140625" style="1243"/>
    <col min="14602" max="14602" width="4.5703125" style="1243" customWidth="1"/>
    <col min="14603" max="14603" width="21.85546875" style="1243" customWidth="1"/>
    <col min="14604" max="14604" width="22.140625" style="1243" customWidth="1"/>
    <col min="14605" max="14605" width="11.5703125" style="1243" customWidth="1"/>
    <col min="14606" max="14608" width="3.5703125" style="1243" customWidth="1"/>
    <col min="14609" max="14609" width="9.5703125" style="1243" customWidth="1"/>
    <col min="14610" max="14610" width="18.85546875" style="1243" customWidth="1"/>
    <col min="14611" max="14611" width="11.5703125" style="1243" customWidth="1"/>
    <col min="14612" max="14612" width="16.42578125" style="1243" customWidth="1"/>
    <col min="14613" max="14613" width="17.5703125" style="1243" customWidth="1"/>
    <col min="14614" max="14614" width="10.5703125" style="1243" customWidth="1"/>
    <col min="14615" max="14857" width="9.140625" style="1243"/>
    <col min="14858" max="14858" width="4.5703125" style="1243" customWidth="1"/>
    <col min="14859" max="14859" width="21.85546875" style="1243" customWidth="1"/>
    <col min="14860" max="14860" width="22.140625" style="1243" customWidth="1"/>
    <col min="14861" max="14861" width="11.5703125" style="1243" customWidth="1"/>
    <col min="14862" max="14864" width="3.5703125" style="1243" customWidth="1"/>
    <col min="14865" max="14865" width="9.5703125" style="1243" customWidth="1"/>
    <col min="14866" max="14866" width="18.85546875" style="1243" customWidth="1"/>
    <col min="14867" max="14867" width="11.5703125" style="1243" customWidth="1"/>
    <col min="14868" max="14868" width="16.42578125" style="1243" customWidth="1"/>
    <col min="14869" max="14869" width="17.5703125" style="1243" customWidth="1"/>
    <col min="14870" max="14870" width="10.5703125" style="1243" customWidth="1"/>
    <col min="14871" max="15113" width="9.140625" style="1243"/>
    <col min="15114" max="15114" width="4.5703125" style="1243" customWidth="1"/>
    <col min="15115" max="15115" width="21.85546875" style="1243" customWidth="1"/>
    <col min="15116" max="15116" width="22.140625" style="1243" customWidth="1"/>
    <col min="15117" max="15117" width="11.5703125" style="1243" customWidth="1"/>
    <col min="15118" max="15120" width="3.5703125" style="1243" customWidth="1"/>
    <col min="15121" max="15121" width="9.5703125" style="1243" customWidth="1"/>
    <col min="15122" max="15122" width="18.85546875" style="1243" customWidth="1"/>
    <col min="15123" max="15123" width="11.5703125" style="1243" customWidth="1"/>
    <col min="15124" max="15124" width="16.42578125" style="1243" customWidth="1"/>
    <col min="15125" max="15125" width="17.5703125" style="1243" customWidth="1"/>
    <col min="15126" max="15126" width="10.5703125" style="1243" customWidth="1"/>
    <col min="15127" max="15369" width="9.140625" style="1243"/>
    <col min="15370" max="15370" width="4.5703125" style="1243" customWidth="1"/>
    <col min="15371" max="15371" width="21.85546875" style="1243" customWidth="1"/>
    <col min="15372" max="15372" width="22.140625" style="1243" customWidth="1"/>
    <col min="15373" max="15373" width="11.5703125" style="1243" customWidth="1"/>
    <col min="15374" max="15376" width="3.5703125" style="1243" customWidth="1"/>
    <col min="15377" max="15377" width="9.5703125" style="1243" customWidth="1"/>
    <col min="15378" max="15378" width="18.85546875" style="1243" customWidth="1"/>
    <col min="15379" max="15379" width="11.5703125" style="1243" customWidth="1"/>
    <col min="15380" max="15380" width="16.42578125" style="1243" customWidth="1"/>
    <col min="15381" max="15381" width="17.5703125" style="1243" customWidth="1"/>
    <col min="15382" max="15382" width="10.5703125" style="1243" customWidth="1"/>
    <col min="15383" max="15625" width="9.140625" style="1243"/>
    <col min="15626" max="15626" width="4.5703125" style="1243" customWidth="1"/>
    <col min="15627" max="15627" width="21.85546875" style="1243" customWidth="1"/>
    <col min="15628" max="15628" width="22.140625" style="1243" customWidth="1"/>
    <col min="15629" max="15629" width="11.5703125" style="1243" customWidth="1"/>
    <col min="15630" max="15632" width="3.5703125" style="1243" customWidth="1"/>
    <col min="15633" max="15633" width="9.5703125" style="1243" customWidth="1"/>
    <col min="15634" max="15634" width="18.85546875" style="1243" customWidth="1"/>
    <col min="15635" max="15635" width="11.5703125" style="1243" customWidth="1"/>
    <col min="15636" max="15636" width="16.42578125" style="1243" customWidth="1"/>
    <col min="15637" max="15637" width="17.5703125" style="1243" customWidth="1"/>
    <col min="15638" max="15638" width="10.5703125" style="1243" customWidth="1"/>
    <col min="15639" max="15881" width="9.140625" style="1243"/>
    <col min="15882" max="15882" width="4.5703125" style="1243" customWidth="1"/>
    <col min="15883" max="15883" width="21.85546875" style="1243" customWidth="1"/>
    <col min="15884" max="15884" width="22.140625" style="1243" customWidth="1"/>
    <col min="15885" max="15885" width="11.5703125" style="1243" customWidth="1"/>
    <col min="15886" max="15888" width="3.5703125" style="1243" customWidth="1"/>
    <col min="15889" max="15889" width="9.5703125" style="1243" customWidth="1"/>
    <col min="15890" max="15890" width="18.85546875" style="1243" customWidth="1"/>
    <col min="15891" max="15891" width="11.5703125" style="1243" customWidth="1"/>
    <col min="15892" max="15892" width="16.42578125" style="1243" customWidth="1"/>
    <col min="15893" max="15893" width="17.5703125" style="1243" customWidth="1"/>
    <col min="15894" max="15894" width="10.5703125" style="1243" customWidth="1"/>
    <col min="15895" max="16137" width="9.140625" style="1243"/>
    <col min="16138" max="16138" width="4.5703125" style="1243" customWidth="1"/>
    <col min="16139" max="16139" width="21.85546875" style="1243" customWidth="1"/>
    <col min="16140" max="16140" width="22.140625" style="1243" customWidth="1"/>
    <col min="16141" max="16141" width="11.5703125" style="1243" customWidth="1"/>
    <col min="16142" max="16144" width="3.5703125" style="1243" customWidth="1"/>
    <col min="16145" max="16145" width="9.5703125" style="1243" customWidth="1"/>
    <col min="16146" max="16146" width="18.85546875" style="1243" customWidth="1"/>
    <col min="16147" max="16147" width="11.5703125" style="1243" customWidth="1"/>
    <col min="16148" max="16148" width="16.42578125" style="1243" customWidth="1"/>
    <col min="16149" max="16149" width="17.5703125" style="1243" customWidth="1"/>
    <col min="16150" max="16150" width="10.5703125" style="1243" customWidth="1"/>
    <col min="16151" max="16384" width="9.140625" style="1243"/>
  </cols>
  <sheetData>
    <row r="1" spans="1:36" s="1270" customFormat="1">
      <c r="A1" s="2841" t="s">
        <v>1619</v>
      </c>
      <c r="B1" s="2841"/>
      <c r="C1" s="2841"/>
      <c r="D1" s="2841"/>
      <c r="E1" s="2841"/>
      <c r="F1" s="2841"/>
      <c r="G1" s="2841"/>
      <c r="H1" s="2841"/>
      <c r="I1" s="2841"/>
      <c r="J1" s="2841"/>
      <c r="K1" s="2841"/>
      <c r="L1" s="2841"/>
      <c r="M1" s="2841"/>
      <c r="N1" s="2841"/>
      <c r="O1" s="2841"/>
      <c r="P1" s="2841"/>
      <c r="Q1" s="2841"/>
      <c r="R1" s="2841"/>
      <c r="S1" s="2841"/>
      <c r="T1" s="2841"/>
      <c r="U1" s="2841"/>
      <c r="V1" s="2841"/>
      <c r="W1" s="2664"/>
      <c r="X1" s="1266"/>
      <c r="Y1" s="1267"/>
      <c r="Z1" s="1268"/>
      <c r="AA1" s="1269"/>
      <c r="AB1" s="1269"/>
      <c r="AC1" s="1269"/>
      <c r="AD1" s="1269"/>
      <c r="AE1" s="1269"/>
      <c r="AF1" s="1269"/>
      <c r="AG1" s="1269"/>
      <c r="AH1" s="1269"/>
      <c r="AI1" s="1269"/>
      <c r="AJ1" s="1269"/>
    </row>
    <row r="2" spans="1:36" s="1270" customFormat="1">
      <c r="A2" s="2841" t="s">
        <v>1204</v>
      </c>
      <c r="B2" s="2841"/>
      <c r="C2" s="2841"/>
      <c r="D2" s="2841"/>
      <c r="E2" s="2841"/>
      <c r="F2" s="2841"/>
      <c r="G2" s="2841"/>
      <c r="H2" s="2841"/>
      <c r="I2" s="2841"/>
      <c r="J2" s="2841"/>
      <c r="K2" s="2841"/>
      <c r="L2" s="2841"/>
      <c r="M2" s="2841"/>
      <c r="N2" s="2841"/>
      <c r="O2" s="2841"/>
      <c r="P2" s="2841"/>
      <c r="Q2" s="2841"/>
      <c r="R2" s="2841"/>
      <c r="S2" s="2841"/>
      <c r="T2" s="2841"/>
      <c r="U2" s="2841"/>
      <c r="V2" s="2841"/>
      <c r="W2" s="2664"/>
      <c r="X2" s="1266"/>
      <c r="Y2" s="1267"/>
      <c r="Z2" s="1268"/>
      <c r="AA2" s="1269"/>
      <c r="AB2" s="1269"/>
      <c r="AC2" s="1269"/>
      <c r="AD2" s="1269"/>
      <c r="AE2" s="1269"/>
      <c r="AF2" s="1269"/>
      <c r="AG2" s="1269"/>
      <c r="AH2" s="1269"/>
      <c r="AI2" s="1269"/>
      <c r="AJ2" s="1269"/>
    </row>
    <row r="3" spans="1:36">
      <c r="A3" s="1271" t="s">
        <v>51</v>
      </c>
      <c r="C3" s="1242" t="s">
        <v>46</v>
      </c>
      <c r="D3" s="1243" t="s">
        <v>1205</v>
      </c>
      <c r="X3" s="1266"/>
      <c r="Y3" s="1267"/>
      <c r="Z3" s="1266"/>
      <c r="AA3" s="1272"/>
      <c r="AB3" s="1272"/>
      <c r="AC3" s="1272"/>
      <c r="AD3" s="1272"/>
      <c r="AE3" s="1272"/>
      <c r="AF3" s="1272"/>
      <c r="AG3" s="1272"/>
      <c r="AH3" s="1272"/>
      <c r="AI3" s="1272"/>
      <c r="AJ3" s="1272"/>
    </row>
    <row r="4" spans="1:36">
      <c r="A4" s="1273" t="s">
        <v>52</v>
      </c>
      <c r="B4" s="1274"/>
      <c r="C4" s="1242" t="s">
        <v>46</v>
      </c>
      <c r="D4" s="1243" t="s">
        <v>203</v>
      </c>
      <c r="X4" s="1266"/>
      <c r="Y4" s="1267"/>
      <c r="Z4" s="1266"/>
      <c r="AA4" s="1272"/>
      <c r="AB4" s="1272"/>
      <c r="AC4" s="1272"/>
      <c r="AD4" s="1272"/>
      <c r="AE4" s="1272"/>
      <c r="AF4" s="1272"/>
      <c r="AG4" s="1272"/>
      <c r="AH4" s="1272"/>
      <c r="AI4" s="1272"/>
      <c r="AJ4" s="1272"/>
    </row>
    <row r="5" spans="1:36">
      <c r="A5" s="1273" t="s">
        <v>53</v>
      </c>
      <c r="B5" s="1274"/>
      <c r="C5" s="1242" t="s">
        <v>46</v>
      </c>
      <c r="D5" s="1243" t="s">
        <v>54</v>
      </c>
      <c r="K5" s="1273"/>
      <c r="L5" s="1273"/>
      <c r="M5" s="1273"/>
      <c r="X5" s="1266"/>
      <c r="Y5" s="1267"/>
      <c r="Z5" s="1266"/>
      <c r="AA5" s="1272"/>
      <c r="AB5" s="1272"/>
      <c r="AC5" s="1272"/>
      <c r="AD5" s="1272"/>
      <c r="AE5" s="1272"/>
      <c r="AF5" s="1272"/>
      <c r="AG5" s="1272"/>
      <c r="AH5" s="1272"/>
      <c r="AI5" s="1272"/>
      <c r="AJ5" s="1272"/>
    </row>
    <row r="6" spans="1:36">
      <c r="A6" s="1273" t="s">
        <v>55</v>
      </c>
      <c r="B6" s="1274"/>
      <c r="C6" s="1242" t="s">
        <v>46</v>
      </c>
      <c r="D6" s="1243" t="s">
        <v>56</v>
      </c>
      <c r="K6" s="1273"/>
      <c r="L6" s="1273"/>
      <c r="M6" s="1273"/>
      <c r="X6" s="1266"/>
      <c r="Y6" s="1267"/>
      <c r="Z6" s="1266"/>
      <c r="AA6" s="1272"/>
      <c r="AB6" s="1272"/>
      <c r="AC6" s="1272"/>
      <c r="AD6" s="1272"/>
      <c r="AE6" s="1272"/>
      <c r="AF6" s="1272"/>
      <c r="AG6" s="1272"/>
      <c r="AH6" s="1272"/>
      <c r="AI6" s="1272"/>
      <c r="AJ6" s="1272"/>
    </row>
    <row r="7" spans="1:36">
      <c r="X7" s="1266"/>
      <c r="Y7" s="1266"/>
      <c r="Z7" s="1266"/>
      <c r="AA7" s="1275"/>
      <c r="AB7" s="1275"/>
      <c r="AC7" s="1275"/>
      <c r="AD7" s="1266"/>
      <c r="AE7" s="1272"/>
      <c r="AF7" s="1272"/>
      <c r="AG7" s="1272"/>
      <c r="AH7" s="1272"/>
      <c r="AI7" s="1272"/>
      <c r="AJ7" s="1272"/>
    </row>
    <row r="8" spans="1:36">
      <c r="A8" s="2870" t="s">
        <v>57</v>
      </c>
      <c r="B8" s="2870" t="s">
        <v>58</v>
      </c>
      <c r="C8" s="2870"/>
      <c r="D8" s="2870"/>
      <c r="E8" s="2870" t="s">
        <v>59</v>
      </c>
      <c r="F8" s="2870" t="s">
        <v>60</v>
      </c>
      <c r="G8" s="2855" t="s">
        <v>61</v>
      </c>
      <c r="H8" s="2855" t="s">
        <v>62</v>
      </c>
      <c r="I8" s="2870" t="s">
        <v>1633</v>
      </c>
      <c r="J8" s="2870" t="s">
        <v>1635</v>
      </c>
      <c r="K8" s="2870" t="s">
        <v>31</v>
      </c>
      <c r="L8" s="2870"/>
      <c r="M8" s="2870" t="s">
        <v>1644</v>
      </c>
      <c r="N8" s="2870" t="s">
        <v>47</v>
      </c>
      <c r="O8" s="2855" t="s">
        <v>64</v>
      </c>
      <c r="P8" s="2855"/>
      <c r="Q8" s="2855"/>
      <c r="R8" s="2855" t="s">
        <v>65</v>
      </c>
      <c r="S8" s="2870" t="s">
        <v>1647</v>
      </c>
      <c r="T8" s="2870"/>
      <c r="U8" s="2870"/>
      <c r="V8" s="2870" t="s">
        <v>65</v>
      </c>
      <c r="W8" s="1276"/>
      <c r="X8" s="1272"/>
      <c r="Y8" s="1266"/>
      <c r="Z8" s="1266"/>
      <c r="AA8" s="1266"/>
      <c r="AB8" s="1266"/>
      <c r="AC8" s="1266"/>
      <c r="AD8" s="1266"/>
      <c r="AE8" s="1272"/>
      <c r="AF8" s="1272"/>
      <c r="AG8" s="1272"/>
      <c r="AH8" s="1272"/>
      <c r="AI8" s="1272"/>
      <c r="AJ8" s="1272"/>
    </row>
    <row r="9" spans="1:36" s="1270" customFormat="1">
      <c r="A9" s="2870"/>
      <c r="B9" s="2870"/>
      <c r="C9" s="2870"/>
      <c r="D9" s="2870"/>
      <c r="E9" s="2870"/>
      <c r="F9" s="2870"/>
      <c r="G9" s="2855"/>
      <c r="H9" s="2855"/>
      <c r="I9" s="2870"/>
      <c r="J9" s="2870"/>
      <c r="K9" s="2870"/>
      <c r="L9" s="2870"/>
      <c r="M9" s="2870"/>
      <c r="N9" s="2870"/>
      <c r="O9" s="2855"/>
      <c r="P9" s="2855"/>
      <c r="Q9" s="2855"/>
      <c r="R9" s="2855"/>
      <c r="S9" s="2870"/>
      <c r="T9" s="2870"/>
      <c r="U9" s="2870"/>
      <c r="V9" s="2870"/>
      <c r="W9" s="2768"/>
      <c r="X9" s="1269"/>
      <c r="Y9" s="1268"/>
      <c r="Z9" s="1268"/>
      <c r="AA9" s="1268"/>
      <c r="AB9" s="1268"/>
      <c r="AC9" s="1268"/>
      <c r="AD9" s="1268"/>
      <c r="AE9" s="1269"/>
      <c r="AF9" s="1269"/>
      <c r="AG9" s="1269"/>
      <c r="AH9" s="1269"/>
      <c r="AI9" s="1269"/>
      <c r="AJ9" s="1269"/>
    </row>
    <row r="10" spans="1:36" s="1270" customFormat="1" ht="126">
      <c r="A10" s="2870"/>
      <c r="B10" s="2769" t="s">
        <v>66</v>
      </c>
      <c r="C10" s="2874" t="s">
        <v>67</v>
      </c>
      <c r="D10" s="2875"/>
      <c r="E10" s="2870"/>
      <c r="F10" s="2870"/>
      <c r="G10" s="2855"/>
      <c r="H10" s="2855"/>
      <c r="I10" s="2870"/>
      <c r="J10" s="2870"/>
      <c r="K10" s="2769" t="s">
        <v>1617</v>
      </c>
      <c r="L10" s="2769" t="s">
        <v>1618</v>
      </c>
      <c r="M10" s="2870"/>
      <c r="N10" s="2870"/>
      <c r="O10" s="2769" t="s">
        <v>69</v>
      </c>
      <c r="P10" s="2769" t="s">
        <v>70</v>
      </c>
      <c r="Q10" s="2769" t="s">
        <v>71</v>
      </c>
      <c r="R10" s="2855"/>
      <c r="S10" s="2769" t="s">
        <v>69</v>
      </c>
      <c r="T10" s="2769" t="s">
        <v>1645</v>
      </c>
      <c r="U10" s="2769" t="s">
        <v>1646</v>
      </c>
      <c r="V10" s="2870"/>
      <c r="W10" s="2768"/>
      <c r="X10" s="1269"/>
      <c r="Y10" s="2770"/>
      <c r="Z10" s="2770"/>
      <c r="AA10" s="2771"/>
      <c r="AB10" s="2771"/>
      <c r="AC10" s="2771"/>
      <c r="AD10" s="1269"/>
      <c r="AE10" s="1269"/>
      <c r="AF10" s="1269"/>
      <c r="AG10" s="1269"/>
      <c r="AH10" s="1269"/>
      <c r="AI10" s="1269"/>
      <c r="AJ10" s="1269"/>
    </row>
    <row r="11" spans="1:36" s="1289" customFormat="1" ht="18.75">
      <c r="A11" s="2714" t="s">
        <v>72</v>
      </c>
      <c r="B11" s="2714" t="s">
        <v>73</v>
      </c>
      <c r="C11" s="2715" t="s">
        <v>74</v>
      </c>
      <c r="D11" s="2714" t="s">
        <v>75</v>
      </c>
      <c r="E11" s="2714" t="s">
        <v>76</v>
      </c>
      <c r="F11" s="2714" t="s">
        <v>77</v>
      </c>
      <c r="G11" s="2714" t="s">
        <v>78</v>
      </c>
      <c r="H11" s="2714" t="s">
        <v>79</v>
      </c>
      <c r="I11" s="2714" t="s">
        <v>78</v>
      </c>
      <c r="J11" s="2714" t="s">
        <v>79</v>
      </c>
      <c r="K11" s="2714" t="s">
        <v>80</v>
      </c>
      <c r="L11" s="2714" t="s">
        <v>81</v>
      </c>
      <c r="M11" s="2714" t="s">
        <v>82</v>
      </c>
      <c r="N11" s="2714" t="s">
        <v>83</v>
      </c>
      <c r="O11" s="2714" t="s">
        <v>82</v>
      </c>
      <c r="P11" s="2714" t="s">
        <v>83</v>
      </c>
      <c r="Q11" s="2714" t="s">
        <v>84</v>
      </c>
      <c r="R11" s="2714" t="s">
        <v>85</v>
      </c>
      <c r="S11" s="2714" t="s">
        <v>84</v>
      </c>
      <c r="T11" s="2714" t="s">
        <v>85</v>
      </c>
      <c r="U11" s="2714" t="s">
        <v>1652</v>
      </c>
      <c r="V11" s="2714" t="s">
        <v>1653</v>
      </c>
      <c r="W11" s="1286"/>
      <c r="X11" s="1287"/>
      <c r="Y11" s="1288"/>
      <c r="Z11" s="1288"/>
      <c r="AA11" s="1287"/>
      <c r="AB11" s="1287"/>
      <c r="AC11" s="1287"/>
      <c r="AD11" s="1287"/>
      <c r="AE11" s="1287"/>
      <c r="AF11" s="1287"/>
      <c r="AG11" s="1287"/>
      <c r="AH11" s="1287"/>
      <c r="AI11" s="1287"/>
      <c r="AJ11" s="1287"/>
    </row>
    <row r="12" spans="1:36" ht="36">
      <c r="A12" s="2863">
        <v>1</v>
      </c>
      <c r="B12" s="2865" t="s">
        <v>86</v>
      </c>
      <c r="C12" s="2718" t="s">
        <v>115</v>
      </c>
      <c r="D12" s="2719" t="s">
        <v>548</v>
      </c>
      <c r="E12" s="2563" t="s">
        <v>1206</v>
      </c>
      <c r="F12" s="2565" t="s">
        <v>235</v>
      </c>
      <c r="G12" s="2564" t="s">
        <v>552</v>
      </c>
      <c r="H12" s="2565">
        <v>2020</v>
      </c>
      <c r="I12" s="2565" t="s">
        <v>552</v>
      </c>
      <c r="J12" s="2565">
        <v>2020</v>
      </c>
      <c r="K12" s="2720">
        <f>'[24]1.1 Siltun Kds'!H23</f>
        <v>43250000</v>
      </c>
      <c r="L12" s="2720">
        <f>'Pnj APBDES'!L69</f>
        <v>43250000</v>
      </c>
      <c r="M12" s="2720">
        <f>L12-K12</f>
        <v>0</v>
      </c>
      <c r="N12" s="2563" t="s">
        <v>23</v>
      </c>
      <c r="O12" s="2721" t="s">
        <v>246</v>
      </c>
      <c r="P12" s="2722"/>
      <c r="Q12" s="2722"/>
      <c r="R12" s="2721" t="s">
        <v>369</v>
      </c>
      <c r="S12" s="2723" t="s">
        <v>246</v>
      </c>
      <c r="T12" s="2721"/>
      <c r="U12" s="2721"/>
      <c r="V12" s="2722" t="s">
        <v>1648</v>
      </c>
      <c r="W12" s="1293"/>
      <c r="X12" s="1272"/>
      <c r="Y12" s="1266"/>
      <c r="Z12" s="1266"/>
      <c r="AA12" s="1266"/>
      <c r="AB12" s="1266"/>
      <c r="AC12" s="1266"/>
      <c r="AD12" s="1272"/>
      <c r="AE12" s="1272"/>
      <c r="AF12" s="1272"/>
      <c r="AG12" s="1272"/>
      <c r="AH12" s="1272"/>
      <c r="AI12" s="1272"/>
      <c r="AJ12" s="1272"/>
    </row>
    <row r="13" spans="1:36" ht="36">
      <c r="A13" s="2863"/>
      <c r="B13" s="2865"/>
      <c r="C13" s="2724" t="s">
        <v>117</v>
      </c>
      <c r="D13" s="2551" t="s">
        <v>547</v>
      </c>
      <c r="E13" s="2552" t="s">
        <v>1206</v>
      </c>
      <c r="F13" s="2552" t="s">
        <v>235</v>
      </c>
      <c r="G13" s="2553" t="s">
        <v>88</v>
      </c>
      <c r="H13" s="2554">
        <v>2020</v>
      </c>
      <c r="I13" s="2554" t="s">
        <v>1603</v>
      </c>
      <c r="J13" s="2554">
        <v>2020</v>
      </c>
      <c r="K13" s="2725">
        <f>'[24]1.2 Siltun Prngkt '!G33</f>
        <v>280110000</v>
      </c>
      <c r="L13" s="2725">
        <f>'Pnj APBDES'!L75</f>
        <v>280110000</v>
      </c>
      <c r="M13" s="2725">
        <f t="shared" ref="M13:M25" si="0">L13-K13</f>
        <v>0</v>
      </c>
      <c r="N13" s="2552" t="s">
        <v>23</v>
      </c>
      <c r="O13" s="2726" t="s">
        <v>246</v>
      </c>
      <c r="P13" s="2727"/>
      <c r="Q13" s="2727"/>
      <c r="R13" s="2726" t="s">
        <v>369</v>
      </c>
      <c r="S13" s="2728" t="s">
        <v>246</v>
      </c>
      <c r="T13" s="2726"/>
      <c r="U13" s="2726"/>
      <c r="V13" s="2727" t="s">
        <v>1648</v>
      </c>
      <c r="W13" s="1293"/>
      <c r="X13" s="1272"/>
      <c r="Y13" s="1266"/>
      <c r="Z13" s="1266"/>
      <c r="AA13" s="2035"/>
      <c r="AB13" s="2035"/>
      <c r="AC13" s="2035"/>
      <c r="AD13" s="1272"/>
      <c r="AE13" s="1272"/>
      <c r="AF13" s="1272"/>
      <c r="AG13" s="1272"/>
      <c r="AH13" s="1272"/>
      <c r="AI13" s="1272"/>
      <c r="AJ13" s="1272"/>
    </row>
    <row r="14" spans="1:36" ht="54">
      <c r="A14" s="2863"/>
      <c r="B14" s="2865"/>
      <c r="C14" s="2724" t="s">
        <v>118</v>
      </c>
      <c r="D14" s="2551" t="s">
        <v>546</v>
      </c>
      <c r="E14" s="2552" t="s">
        <v>1206</v>
      </c>
      <c r="F14" s="2552" t="s">
        <v>235</v>
      </c>
      <c r="G14" s="2553" t="s">
        <v>553</v>
      </c>
      <c r="H14" s="2554">
        <v>2020</v>
      </c>
      <c r="I14" s="2554" t="s">
        <v>1604</v>
      </c>
      <c r="J14" s="2554">
        <v>2020</v>
      </c>
      <c r="K14" s="2725">
        <f>'[24]1.3 Bpjs '!D11</f>
        <v>29676000</v>
      </c>
      <c r="L14" s="2725">
        <f>'Pnj APBDES'!L81</f>
        <v>29676000</v>
      </c>
      <c r="M14" s="2725">
        <f t="shared" si="0"/>
        <v>0</v>
      </c>
      <c r="N14" s="2552" t="s">
        <v>23</v>
      </c>
      <c r="O14" s="2726" t="s">
        <v>246</v>
      </c>
      <c r="P14" s="2727"/>
      <c r="Q14" s="2727"/>
      <c r="R14" s="2726" t="s">
        <v>369</v>
      </c>
      <c r="S14" s="2728" t="s">
        <v>246</v>
      </c>
      <c r="T14" s="2726"/>
      <c r="U14" s="2726"/>
      <c r="V14" s="2727" t="s">
        <v>1648</v>
      </c>
      <c r="W14" s="1293"/>
      <c r="X14" s="1272"/>
      <c r="Y14" s="1266"/>
      <c r="Z14" s="1266"/>
      <c r="AA14" s="1266"/>
      <c r="AB14" s="1266"/>
      <c r="AC14" s="1266"/>
      <c r="AD14" s="1272"/>
      <c r="AE14" s="1272"/>
      <c r="AF14" s="1272"/>
      <c r="AG14" s="1272"/>
      <c r="AH14" s="1272"/>
      <c r="AI14" s="1272"/>
      <c r="AJ14" s="1272"/>
    </row>
    <row r="15" spans="1:36" ht="46.5" customHeight="1">
      <c r="A15" s="2863"/>
      <c r="B15" s="2865"/>
      <c r="C15" s="2724" t="s">
        <v>119</v>
      </c>
      <c r="D15" s="2551" t="s">
        <v>1455</v>
      </c>
      <c r="E15" s="2552" t="s">
        <v>1206</v>
      </c>
      <c r="F15" s="2552" t="s">
        <v>235</v>
      </c>
      <c r="G15" s="2553" t="s">
        <v>554</v>
      </c>
      <c r="H15" s="2554">
        <v>2020</v>
      </c>
      <c r="I15" s="2554" t="s">
        <v>1603</v>
      </c>
      <c r="J15" s="2554">
        <v>2020</v>
      </c>
      <c r="K15" s="2725">
        <f>'[24]1.4 O PEM -'!H96</f>
        <v>69933500</v>
      </c>
      <c r="L15" s="2725">
        <f>'1.4 O PEM '!M96</f>
        <v>57143151</v>
      </c>
      <c r="M15" s="2725">
        <f t="shared" si="0"/>
        <v>-12790349</v>
      </c>
      <c r="N15" s="2552" t="s">
        <v>23</v>
      </c>
      <c r="O15" s="2726" t="s">
        <v>246</v>
      </c>
      <c r="P15" s="2727"/>
      <c r="Q15" s="2727"/>
      <c r="R15" s="2729" t="s">
        <v>562</v>
      </c>
      <c r="S15" s="2730" t="s">
        <v>246</v>
      </c>
      <c r="T15" s="2729"/>
      <c r="U15" s="2729"/>
      <c r="V15" s="2727" t="s">
        <v>1649</v>
      </c>
      <c r="W15" s="1293"/>
      <c r="X15" s="1275"/>
      <c r="Y15" s="1266"/>
      <c r="AA15" s="1266"/>
      <c r="AB15" s="1266"/>
      <c r="AC15" s="1266"/>
      <c r="AD15" s="1272"/>
      <c r="AE15" s="1272"/>
      <c r="AF15" s="1272"/>
      <c r="AG15" s="1272"/>
      <c r="AH15" s="1272"/>
      <c r="AI15" s="1272"/>
      <c r="AJ15" s="1272"/>
    </row>
    <row r="16" spans="1:36" ht="18.75">
      <c r="A16" s="2863"/>
      <c r="B16" s="2865"/>
      <c r="C16" s="2724" t="s">
        <v>120</v>
      </c>
      <c r="D16" s="2551" t="s">
        <v>545</v>
      </c>
      <c r="E16" s="2552" t="s">
        <v>1206</v>
      </c>
      <c r="F16" s="2552" t="s">
        <v>235</v>
      </c>
      <c r="G16" s="2556" t="s">
        <v>89</v>
      </c>
      <c r="H16" s="2554">
        <v>2020</v>
      </c>
      <c r="I16" s="2554" t="s">
        <v>89</v>
      </c>
      <c r="J16" s="2554">
        <v>2020</v>
      </c>
      <c r="K16" s="2725">
        <f>'[24]1.5 BPD'!D9</f>
        <v>58800000</v>
      </c>
      <c r="L16" s="2725">
        <f>K16</f>
        <v>58800000</v>
      </c>
      <c r="M16" s="2725">
        <f t="shared" si="0"/>
        <v>0</v>
      </c>
      <c r="N16" s="2552" t="s">
        <v>23</v>
      </c>
      <c r="O16" s="2726" t="s">
        <v>246</v>
      </c>
      <c r="P16" s="2727"/>
      <c r="Q16" s="2727"/>
      <c r="R16" s="2726" t="s">
        <v>369</v>
      </c>
      <c r="S16" s="2728" t="s">
        <v>246</v>
      </c>
      <c r="T16" s="2726"/>
      <c r="U16" s="2726"/>
      <c r="V16" s="2727" t="s">
        <v>1648</v>
      </c>
      <c r="W16" s="1293"/>
      <c r="X16" s="1272"/>
      <c r="Y16" s="1266"/>
      <c r="Z16" s="1266"/>
      <c r="AA16" s="2035"/>
      <c r="AB16" s="2035"/>
      <c r="AC16" s="1266"/>
      <c r="AD16" s="1272"/>
      <c r="AE16" s="1272"/>
      <c r="AF16" s="1272"/>
      <c r="AG16" s="1272"/>
      <c r="AH16" s="1272"/>
      <c r="AI16" s="1272"/>
      <c r="AJ16" s="1272"/>
    </row>
    <row r="17" spans="1:36" ht="36">
      <c r="A17" s="2863"/>
      <c r="B17" s="2865"/>
      <c r="C17" s="2724" t="s">
        <v>134</v>
      </c>
      <c r="D17" s="2551" t="s">
        <v>1620</v>
      </c>
      <c r="E17" s="2552" t="s">
        <v>1206</v>
      </c>
      <c r="F17" s="2552" t="s">
        <v>235</v>
      </c>
      <c r="G17" s="2556" t="s">
        <v>89</v>
      </c>
      <c r="H17" s="2554">
        <v>2020</v>
      </c>
      <c r="I17" s="2554" t="s">
        <v>89</v>
      </c>
      <c r="J17" s="2554">
        <v>2020</v>
      </c>
      <c r="K17" s="2725">
        <f>'1.6 OP BPD'!H40</f>
        <v>3439500</v>
      </c>
      <c r="L17" s="2725">
        <f>'1.6 OP BPD'!M40</f>
        <v>0</v>
      </c>
      <c r="M17" s="2725">
        <f t="shared" si="0"/>
        <v>-3439500</v>
      </c>
      <c r="N17" s="2552" t="s">
        <v>23</v>
      </c>
      <c r="O17" s="2726" t="s">
        <v>246</v>
      </c>
      <c r="P17" s="2727"/>
      <c r="Q17" s="2727"/>
      <c r="R17" s="2726" t="s">
        <v>369</v>
      </c>
      <c r="S17" s="2728" t="s">
        <v>246</v>
      </c>
      <c r="T17" s="2726"/>
      <c r="U17" s="2726"/>
      <c r="V17" s="2727" t="s">
        <v>1649</v>
      </c>
      <c r="W17" s="1293"/>
      <c r="X17" s="1272"/>
      <c r="Y17" s="1266"/>
      <c r="Z17" s="1266"/>
      <c r="AA17" s="1266"/>
      <c r="AB17" s="1266"/>
      <c r="AC17" s="1266"/>
      <c r="AD17" s="1272"/>
      <c r="AE17" s="1272"/>
      <c r="AF17" s="1272"/>
      <c r="AG17" s="1272"/>
      <c r="AH17" s="1272"/>
      <c r="AI17" s="1272"/>
      <c r="AJ17" s="1272"/>
    </row>
    <row r="18" spans="1:36" ht="30.75" customHeight="1">
      <c r="A18" s="2863"/>
      <c r="B18" s="2865"/>
      <c r="C18" s="2724" t="s">
        <v>137</v>
      </c>
      <c r="D18" s="2551" t="s">
        <v>601</v>
      </c>
      <c r="E18" s="2552" t="s">
        <v>1206</v>
      </c>
      <c r="F18" s="2552" t="s">
        <v>235</v>
      </c>
      <c r="G18" s="2556" t="s">
        <v>555</v>
      </c>
      <c r="H18" s="2554">
        <v>2020</v>
      </c>
      <c r="I18" s="2554" t="s">
        <v>1605</v>
      </c>
      <c r="J18" s="2554">
        <v>2020</v>
      </c>
      <c r="K18" s="2725">
        <f>'1.7 RT'!H33</f>
        <v>76800000</v>
      </c>
      <c r="L18" s="2725">
        <f>K18</f>
        <v>76800000</v>
      </c>
      <c r="M18" s="2725">
        <f t="shared" si="0"/>
        <v>0</v>
      </c>
      <c r="N18" s="2552" t="s">
        <v>23</v>
      </c>
      <c r="O18" s="2726" t="s">
        <v>246</v>
      </c>
      <c r="P18" s="2727"/>
      <c r="Q18" s="2727"/>
      <c r="R18" s="2726" t="s">
        <v>369</v>
      </c>
      <c r="S18" s="2728" t="s">
        <v>246</v>
      </c>
      <c r="T18" s="2726"/>
      <c r="U18" s="2726"/>
      <c r="V18" s="2727" t="s">
        <v>1648</v>
      </c>
      <c r="W18" s="1293"/>
      <c r="X18" s="1272"/>
      <c r="Y18" s="1266"/>
      <c r="Z18" s="1266"/>
      <c r="AA18" s="1266"/>
      <c r="AB18" s="1266"/>
      <c r="AC18" s="1266"/>
      <c r="AD18" s="1272"/>
      <c r="AE18" s="1272"/>
      <c r="AF18" s="1272"/>
      <c r="AG18" s="1272"/>
      <c r="AH18" s="1272"/>
      <c r="AI18" s="1272"/>
      <c r="AJ18" s="1272"/>
    </row>
    <row r="19" spans="1:36" ht="36.75">
      <c r="A19" s="2863"/>
      <c r="B19" s="2865"/>
      <c r="C19" s="2724" t="s">
        <v>139</v>
      </c>
      <c r="D19" s="2551" t="s">
        <v>1621</v>
      </c>
      <c r="E19" s="2731" t="s">
        <v>1206</v>
      </c>
      <c r="F19" s="2731" t="s">
        <v>235</v>
      </c>
      <c r="G19" s="2732" t="s">
        <v>1622</v>
      </c>
      <c r="H19" s="2550">
        <v>2020</v>
      </c>
      <c r="I19" s="2550" t="s">
        <v>1603</v>
      </c>
      <c r="J19" s="2550">
        <v>2020</v>
      </c>
      <c r="K19" s="2733">
        <f>'[24]Pnj APBDES'!K130</f>
        <v>7005000</v>
      </c>
      <c r="L19" s="2733">
        <v>0</v>
      </c>
      <c r="M19" s="2725">
        <f t="shared" si="0"/>
        <v>-7005000</v>
      </c>
      <c r="N19" s="2731" t="s">
        <v>23</v>
      </c>
      <c r="O19" s="2734" t="s">
        <v>246</v>
      </c>
      <c r="P19" s="2735"/>
      <c r="Q19" s="2735"/>
      <c r="R19" s="2736" t="s">
        <v>562</v>
      </c>
      <c r="S19" s="2737" t="s">
        <v>246</v>
      </c>
      <c r="T19" s="2736"/>
      <c r="U19" s="2736"/>
      <c r="V19" s="2727" t="s">
        <v>1650</v>
      </c>
      <c r="W19" s="1293"/>
      <c r="X19" s="1272"/>
      <c r="Y19" s="1266"/>
      <c r="Z19" s="1266"/>
      <c r="AA19" s="1266"/>
      <c r="AB19" s="1266"/>
      <c r="AC19" s="1266"/>
      <c r="AD19" s="1272"/>
      <c r="AE19" s="1272"/>
      <c r="AF19" s="1272"/>
      <c r="AG19" s="1272"/>
      <c r="AH19" s="1272"/>
      <c r="AI19" s="1272"/>
      <c r="AJ19" s="1272"/>
    </row>
    <row r="20" spans="1:36" ht="36">
      <c r="A20" s="2863"/>
      <c r="B20" s="2865"/>
      <c r="C20" s="2724" t="s">
        <v>140</v>
      </c>
      <c r="D20" s="2551" t="s">
        <v>1623</v>
      </c>
      <c r="E20" s="2552" t="s">
        <v>1206</v>
      </c>
      <c r="F20" s="2552" t="s">
        <v>235</v>
      </c>
      <c r="G20" s="2553" t="s">
        <v>1624</v>
      </c>
      <c r="H20" s="2554">
        <v>2020</v>
      </c>
      <c r="I20" s="2554" t="s">
        <v>1603</v>
      </c>
      <c r="J20" s="2554">
        <v>2020</v>
      </c>
      <c r="K20" s="2725">
        <f>'1.9 Musdes'!H21</f>
        <v>6500000</v>
      </c>
      <c r="L20" s="2725">
        <v>0</v>
      </c>
      <c r="M20" s="2725">
        <f t="shared" si="0"/>
        <v>-6500000</v>
      </c>
      <c r="N20" s="2552" t="s">
        <v>23</v>
      </c>
      <c r="O20" s="2726" t="s">
        <v>246</v>
      </c>
      <c r="P20" s="2727"/>
      <c r="Q20" s="2727"/>
      <c r="R20" s="2726" t="s">
        <v>558</v>
      </c>
      <c r="S20" s="2728" t="s">
        <v>246</v>
      </c>
      <c r="T20" s="2726"/>
      <c r="U20" s="2726"/>
      <c r="V20" s="2727" t="s">
        <v>1651</v>
      </c>
      <c r="W20" s="1293"/>
      <c r="X20" s="1272"/>
      <c r="Y20" s="1266"/>
      <c r="Z20" s="1266"/>
      <c r="AA20" s="1266"/>
      <c r="AB20" s="1266"/>
      <c r="AC20" s="1266"/>
      <c r="AD20" s="1272"/>
      <c r="AE20" s="1272"/>
      <c r="AF20" s="1272"/>
      <c r="AG20" s="1272"/>
      <c r="AH20" s="1272"/>
      <c r="AI20" s="1272"/>
      <c r="AJ20" s="1272"/>
    </row>
    <row r="21" spans="1:36" ht="36">
      <c r="A21" s="2863"/>
      <c r="B21" s="2865"/>
      <c r="C21" s="2724" t="s">
        <v>142</v>
      </c>
      <c r="D21" s="2551" t="s">
        <v>1625</v>
      </c>
      <c r="E21" s="2552" t="s">
        <v>1206</v>
      </c>
      <c r="F21" s="2552" t="s">
        <v>1626</v>
      </c>
      <c r="G21" s="2553" t="s">
        <v>1627</v>
      </c>
      <c r="H21" s="2554">
        <v>2020</v>
      </c>
      <c r="I21" s="2554" t="s">
        <v>1603</v>
      </c>
      <c r="J21" s="2554">
        <v>2020</v>
      </c>
      <c r="K21" s="2725">
        <f>'1.10 Hnr RKP'!H26</f>
        <v>3880000</v>
      </c>
      <c r="L21" s="2725">
        <v>0</v>
      </c>
      <c r="M21" s="2725">
        <f t="shared" si="0"/>
        <v>-3880000</v>
      </c>
      <c r="N21" s="2552" t="s">
        <v>23</v>
      </c>
      <c r="O21" s="2726" t="s">
        <v>246</v>
      </c>
      <c r="P21" s="2727"/>
      <c r="Q21" s="2727"/>
      <c r="R21" s="2726" t="s">
        <v>558</v>
      </c>
      <c r="S21" s="2728" t="s">
        <v>246</v>
      </c>
      <c r="T21" s="2726"/>
      <c r="U21" s="2726"/>
      <c r="V21" s="2727" t="s">
        <v>1651</v>
      </c>
      <c r="W21" s="1293"/>
      <c r="X21" s="1272"/>
      <c r="Y21" s="1266"/>
      <c r="Z21" s="1266"/>
      <c r="AA21" s="1266"/>
      <c r="AB21" s="1266"/>
      <c r="AC21" s="1266"/>
      <c r="AD21" s="1272"/>
      <c r="AE21" s="1272"/>
      <c r="AF21" s="1272"/>
      <c r="AG21" s="1272"/>
      <c r="AH21" s="1272"/>
      <c r="AI21" s="1272"/>
      <c r="AJ21" s="1272"/>
    </row>
    <row r="22" spans="1:36" ht="36">
      <c r="A22" s="2863"/>
      <c r="B22" s="2865"/>
      <c r="C22" s="2724" t="s">
        <v>143</v>
      </c>
      <c r="D22" s="2551" t="s">
        <v>539</v>
      </c>
      <c r="E22" s="2552" t="s">
        <v>1206</v>
      </c>
      <c r="F22" s="2552" t="s">
        <v>235</v>
      </c>
      <c r="G22" s="2556" t="s">
        <v>561</v>
      </c>
      <c r="H22" s="2554">
        <v>2020</v>
      </c>
      <c r="I22" s="2554" t="s">
        <v>1607</v>
      </c>
      <c r="J22" s="2554">
        <v>2020</v>
      </c>
      <c r="K22" s="2725">
        <f>'[24]1.11 Aset'!D11</f>
        <v>2700000</v>
      </c>
      <c r="L22" s="2725">
        <f>K22</f>
        <v>2700000</v>
      </c>
      <c r="M22" s="2725">
        <f t="shared" si="0"/>
        <v>0</v>
      </c>
      <c r="N22" s="2552" t="s">
        <v>240</v>
      </c>
      <c r="O22" s="2726" t="s">
        <v>246</v>
      </c>
      <c r="P22" s="2727"/>
      <c r="Q22" s="2727"/>
      <c r="R22" s="2554" t="s">
        <v>562</v>
      </c>
      <c r="S22" s="2738" t="s">
        <v>246</v>
      </c>
      <c r="T22" s="2554"/>
      <c r="U22" s="2554"/>
      <c r="V22" s="2727" t="s">
        <v>1651</v>
      </c>
      <c r="W22" s="1293"/>
      <c r="X22" s="1272"/>
      <c r="Y22" s="1266"/>
      <c r="Z22" s="1266"/>
      <c r="AA22" s="1266"/>
      <c r="AB22" s="1266"/>
      <c r="AC22" s="1266"/>
      <c r="AD22" s="1272"/>
      <c r="AE22" s="1272"/>
      <c r="AF22" s="1272"/>
      <c r="AG22" s="1272"/>
      <c r="AH22" s="1272"/>
      <c r="AI22" s="1272"/>
      <c r="AJ22" s="1272"/>
    </row>
    <row r="23" spans="1:36" ht="36">
      <c r="A23" s="2863"/>
      <c r="B23" s="2865"/>
      <c r="C23" s="2724" t="s">
        <v>274</v>
      </c>
      <c r="D23" s="2551" t="s">
        <v>1203</v>
      </c>
      <c r="E23" s="2552" t="s">
        <v>1206</v>
      </c>
      <c r="F23" s="2552" t="s">
        <v>235</v>
      </c>
      <c r="G23" s="2556" t="s">
        <v>1202</v>
      </c>
      <c r="H23" s="2554">
        <v>2020</v>
      </c>
      <c r="I23" s="2554" t="s">
        <v>1607</v>
      </c>
      <c r="J23" s="2554">
        <v>2020</v>
      </c>
      <c r="K23" s="2725">
        <f>'[24]Pnj APBDES'!K154</f>
        <v>5649000</v>
      </c>
      <c r="L23" s="2725">
        <f>K23</f>
        <v>5649000</v>
      </c>
      <c r="M23" s="2725">
        <f t="shared" si="0"/>
        <v>0</v>
      </c>
      <c r="N23" s="2552" t="s">
        <v>23</v>
      </c>
      <c r="O23" s="2726" t="s">
        <v>246</v>
      </c>
      <c r="P23" s="2727"/>
      <c r="Q23" s="2727"/>
      <c r="R23" s="2554" t="s">
        <v>562</v>
      </c>
      <c r="S23" s="2738" t="s">
        <v>246</v>
      </c>
      <c r="T23" s="2554"/>
      <c r="U23" s="2554"/>
      <c r="V23" s="2727" t="s">
        <v>1648</v>
      </c>
      <c r="W23" s="1293"/>
      <c r="X23" s="1272"/>
      <c r="Y23" s="1266"/>
      <c r="Z23" s="1266"/>
      <c r="AA23" s="1266"/>
      <c r="AB23" s="1266"/>
      <c r="AC23" s="1266"/>
      <c r="AD23" s="1272"/>
      <c r="AE23" s="1272"/>
      <c r="AF23" s="1272"/>
      <c r="AG23" s="1272"/>
      <c r="AH23" s="1272"/>
      <c r="AI23" s="1272"/>
      <c r="AJ23" s="1272"/>
    </row>
    <row r="24" spans="1:36" ht="36">
      <c r="A24" s="2863"/>
      <c r="B24" s="2865"/>
      <c r="C24" s="2724" t="s">
        <v>144</v>
      </c>
      <c r="D24" s="2551" t="s">
        <v>530</v>
      </c>
      <c r="E24" s="2552" t="s">
        <v>1206</v>
      </c>
      <c r="F24" s="2552" t="s">
        <v>235</v>
      </c>
      <c r="G24" s="2556" t="s">
        <v>567</v>
      </c>
      <c r="H24" s="2554">
        <v>2020</v>
      </c>
      <c r="I24" s="2554" t="s">
        <v>1607</v>
      </c>
      <c r="J24" s="2554">
        <v>2020</v>
      </c>
      <c r="K24" s="2725">
        <f>'[24]1.13 PBB'!D11</f>
        <v>1209000</v>
      </c>
      <c r="L24" s="2725">
        <f>'1.13 PBB'!M23</f>
        <v>1385000</v>
      </c>
      <c r="M24" s="2725">
        <f t="shared" si="0"/>
        <v>176000</v>
      </c>
      <c r="N24" s="2552" t="s">
        <v>330</v>
      </c>
      <c r="O24" s="2726" t="s">
        <v>246</v>
      </c>
      <c r="P24" s="2727"/>
      <c r="Q24" s="2727"/>
      <c r="R24" s="2554" t="s">
        <v>562</v>
      </c>
      <c r="S24" s="2738" t="s">
        <v>246</v>
      </c>
      <c r="T24" s="2554"/>
      <c r="U24" s="2554"/>
      <c r="V24" s="2727" t="s">
        <v>1651</v>
      </c>
      <c r="W24" s="1293"/>
      <c r="X24" s="1272"/>
      <c r="Y24" s="1266"/>
      <c r="Z24" s="1266"/>
      <c r="AA24" s="1266"/>
      <c r="AB24" s="1266"/>
      <c r="AC24" s="1266"/>
      <c r="AD24" s="1272"/>
      <c r="AE24" s="1272"/>
      <c r="AF24" s="1272"/>
      <c r="AG24" s="1272"/>
      <c r="AH24" s="1272"/>
      <c r="AI24" s="1272"/>
      <c r="AJ24" s="1272"/>
    </row>
    <row r="25" spans="1:36" ht="30.75" customHeight="1">
      <c r="A25" s="2863"/>
      <c r="B25" s="2865"/>
      <c r="C25" s="2739" t="s">
        <v>145</v>
      </c>
      <c r="D25" s="2558" t="s">
        <v>1456</v>
      </c>
      <c r="E25" s="2541" t="s">
        <v>1206</v>
      </c>
      <c r="F25" s="2541" t="s">
        <v>235</v>
      </c>
      <c r="G25" s="2559" t="s">
        <v>1045</v>
      </c>
      <c r="H25" s="2560">
        <v>2020</v>
      </c>
      <c r="I25" s="2560" t="s">
        <v>1608</v>
      </c>
      <c r="J25" s="2560">
        <v>2020</v>
      </c>
      <c r="K25" s="2740">
        <f>'[24]1.14 TKD'!H22</f>
        <v>8600000</v>
      </c>
      <c r="L25" s="2740">
        <f>K25</f>
        <v>8600000</v>
      </c>
      <c r="M25" s="2740">
        <f t="shared" si="0"/>
        <v>0</v>
      </c>
      <c r="N25" s="2541" t="s">
        <v>240</v>
      </c>
      <c r="O25" s="2741" t="s">
        <v>246</v>
      </c>
      <c r="P25" s="2742"/>
      <c r="Q25" s="2742"/>
      <c r="R25" s="2560" t="s">
        <v>1022</v>
      </c>
      <c r="S25" s="2743" t="s">
        <v>246</v>
      </c>
      <c r="T25" s="2560"/>
      <c r="U25" s="2560"/>
      <c r="V25" s="2742" t="s">
        <v>1651</v>
      </c>
      <c r="W25" s="1293"/>
      <c r="X25" s="1272"/>
      <c r="Y25" s="1266"/>
      <c r="Z25" s="1266"/>
      <c r="AA25" s="1266"/>
      <c r="AB25" s="1266"/>
      <c r="AC25" s="1266"/>
      <c r="AD25" s="1272"/>
      <c r="AE25" s="1272"/>
      <c r="AF25" s="1272"/>
      <c r="AG25" s="1272"/>
      <c r="AH25" s="1272"/>
      <c r="AI25" s="1272"/>
      <c r="AJ25" s="1272"/>
    </row>
    <row r="26" spans="1:36" ht="30.75" customHeight="1">
      <c r="A26" s="2862" t="s">
        <v>231</v>
      </c>
      <c r="B26" s="2862"/>
      <c r="C26" s="2862"/>
      <c r="D26" s="2862"/>
      <c r="E26" s="2862"/>
      <c r="F26" s="2862"/>
      <c r="G26" s="2862"/>
      <c r="H26" s="2862"/>
      <c r="I26" s="2042"/>
      <c r="J26" s="2693"/>
      <c r="K26" s="2704">
        <f>SUM(K12:K25)</f>
        <v>597552000</v>
      </c>
      <c r="L26" s="2704">
        <f>SUM(L12:L25)</f>
        <v>564113151</v>
      </c>
      <c r="M26" s="2704">
        <f>SUM(M12:M25)</f>
        <v>-33438849</v>
      </c>
      <c r="N26" s="1304"/>
      <c r="O26" s="1304"/>
      <c r="P26" s="1304"/>
      <c r="Q26" s="1304"/>
      <c r="R26" s="2542"/>
      <c r="S26" s="2542"/>
      <c r="T26" s="2542"/>
      <c r="U26" s="2542"/>
      <c r="V26" s="1304"/>
      <c r="W26" s="1293"/>
      <c r="X26" s="1272"/>
      <c r="Y26" s="1266"/>
      <c r="Z26" s="1266"/>
      <c r="AA26" s="1266"/>
      <c r="AB26" s="1266"/>
      <c r="AC26" s="1266"/>
      <c r="AD26" s="1272"/>
      <c r="AE26" s="1272"/>
      <c r="AF26" s="1272"/>
      <c r="AG26" s="1272"/>
      <c r="AH26" s="1272"/>
      <c r="AI26" s="1272"/>
      <c r="AJ26" s="1272"/>
    </row>
    <row r="27" spans="1:36" ht="54">
      <c r="A27" s="2866">
        <v>2</v>
      </c>
      <c r="B27" s="2868" t="s">
        <v>91</v>
      </c>
      <c r="C27" s="2705">
        <v>2.1</v>
      </c>
      <c r="D27" s="2562" t="s">
        <v>1457</v>
      </c>
      <c r="E27" s="2563" t="s">
        <v>1206</v>
      </c>
      <c r="F27" s="2563" t="s">
        <v>235</v>
      </c>
      <c r="G27" s="2564" t="s">
        <v>982</v>
      </c>
      <c r="H27" s="2565">
        <v>2020</v>
      </c>
      <c r="I27" s="2565" t="s">
        <v>1634</v>
      </c>
      <c r="J27" s="2565">
        <v>2020</v>
      </c>
      <c r="K27" s="2720">
        <f>'Pnj APBDES'!K192</f>
        <v>57951050</v>
      </c>
      <c r="L27" s="2720">
        <f>'Pnj APBDES'!L192</f>
        <v>22800000</v>
      </c>
      <c r="M27" s="2720">
        <f>L27-K27</f>
        <v>-35151050</v>
      </c>
      <c r="N27" s="2563" t="s">
        <v>22</v>
      </c>
      <c r="O27" s="2721" t="s">
        <v>246</v>
      </c>
      <c r="P27" s="2722"/>
      <c r="Q27" s="2722"/>
      <c r="R27" s="2744" t="s">
        <v>1022</v>
      </c>
      <c r="S27" s="2745" t="s">
        <v>246</v>
      </c>
      <c r="T27" s="2744"/>
      <c r="U27" s="2744"/>
      <c r="V27" s="2722" t="s">
        <v>1650</v>
      </c>
      <c r="W27" s="1293"/>
      <c r="X27" s="1272"/>
      <c r="Y27" s="1266"/>
      <c r="Z27" s="1266"/>
      <c r="AA27" s="1266"/>
      <c r="AB27" s="1266"/>
      <c r="AC27" s="1266"/>
      <c r="AD27" s="1272"/>
      <c r="AE27" s="1272"/>
      <c r="AF27" s="1272"/>
      <c r="AG27" s="1272"/>
      <c r="AH27" s="1272"/>
      <c r="AI27" s="1272"/>
      <c r="AJ27" s="1272"/>
    </row>
    <row r="28" spans="1:36" ht="54">
      <c r="A28" s="2867"/>
      <c r="B28" s="2869"/>
      <c r="C28" s="2706">
        <v>2.2000000000000002</v>
      </c>
      <c r="D28" s="2567" t="s">
        <v>1458</v>
      </c>
      <c r="E28" s="2552" t="s">
        <v>1206</v>
      </c>
      <c r="F28" s="2552" t="s">
        <v>235</v>
      </c>
      <c r="G28" s="2568" t="s">
        <v>983</v>
      </c>
      <c r="H28" s="2569">
        <v>2020</v>
      </c>
      <c r="I28" s="2569" t="s">
        <v>1610</v>
      </c>
      <c r="J28" s="2569">
        <v>2020</v>
      </c>
      <c r="K28" s="2725">
        <f>'Pnj APBDES'!K203</f>
        <v>15280000</v>
      </c>
      <c r="L28" s="2725">
        <f>'Pnj APBDES'!L203</f>
        <v>16254614</v>
      </c>
      <c r="M28" s="2725">
        <f t="shared" ref="M28:M36" si="1">L28-K28</f>
        <v>974614</v>
      </c>
      <c r="N28" s="2570" t="s">
        <v>22</v>
      </c>
      <c r="O28" s="2726" t="s">
        <v>246</v>
      </c>
      <c r="P28" s="2727"/>
      <c r="Q28" s="2727"/>
      <c r="R28" s="2729" t="s">
        <v>1022</v>
      </c>
      <c r="S28" s="2738" t="s">
        <v>246</v>
      </c>
      <c r="T28" s="2729"/>
      <c r="U28" s="2729"/>
      <c r="V28" s="2727" t="s">
        <v>1650</v>
      </c>
      <c r="W28" s="1293"/>
      <c r="X28" s="1272"/>
      <c r="Y28" s="1266"/>
      <c r="Z28" s="1266"/>
      <c r="AA28" s="1266"/>
      <c r="AB28" s="1266"/>
      <c r="AC28" s="1266"/>
      <c r="AD28" s="1272"/>
      <c r="AE28" s="1272"/>
      <c r="AF28" s="1272"/>
      <c r="AG28" s="1272"/>
      <c r="AH28" s="1272"/>
      <c r="AI28" s="1272"/>
      <c r="AJ28" s="1272"/>
    </row>
    <row r="29" spans="1:36" ht="36">
      <c r="A29" s="2867"/>
      <c r="B29" s="2869"/>
      <c r="C29" s="2706">
        <v>2.2999999999999998</v>
      </c>
      <c r="D29" s="2567" t="s">
        <v>1636</v>
      </c>
      <c r="E29" s="2552" t="s">
        <v>1637</v>
      </c>
      <c r="F29" s="2552" t="s">
        <v>1639</v>
      </c>
      <c r="G29" s="2568"/>
      <c r="H29" s="2569"/>
      <c r="I29" s="2569" t="s">
        <v>90</v>
      </c>
      <c r="J29" s="2569">
        <v>2020</v>
      </c>
      <c r="K29" s="2725">
        <v>70721000</v>
      </c>
      <c r="L29" s="2725">
        <v>0</v>
      </c>
      <c r="M29" s="2725">
        <f t="shared" si="1"/>
        <v>-70721000</v>
      </c>
      <c r="N29" s="2570" t="s">
        <v>22</v>
      </c>
      <c r="O29" s="2726"/>
      <c r="P29" s="2727"/>
      <c r="Q29" s="2727"/>
      <c r="R29" s="2729"/>
      <c r="S29" s="2738" t="s">
        <v>246</v>
      </c>
      <c r="T29" s="2729"/>
      <c r="U29" s="2729"/>
      <c r="V29" s="2727" t="s">
        <v>1650</v>
      </c>
      <c r="W29" s="1293"/>
      <c r="X29" s="1272"/>
      <c r="Y29" s="1266"/>
      <c r="Z29" s="1266"/>
      <c r="AA29" s="1266"/>
      <c r="AB29" s="1266"/>
      <c r="AC29" s="1266"/>
      <c r="AD29" s="1272"/>
      <c r="AE29" s="1272"/>
      <c r="AF29" s="1272"/>
      <c r="AG29" s="1272"/>
      <c r="AH29" s="1272"/>
      <c r="AI29" s="1272"/>
      <c r="AJ29" s="1272"/>
    </row>
    <row r="30" spans="1:36" ht="45.75" customHeight="1">
      <c r="A30" s="2867"/>
      <c r="B30" s="2869"/>
      <c r="C30" s="2706">
        <v>2.4</v>
      </c>
      <c r="D30" s="1312" t="s">
        <v>988</v>
      </c>
      <c r="E30" s="1313" t="s">
        <v>1200</v>
      </c>
      <c r="F30" s="2571">
        <v>75</v>
      </c>
      <c r="G30" s="1314" t="s">
        <v>990</v>
      </c>
      <c r="H30" s="2554">
        <v>2020</v>
      </c>
      <c r="I30" s="2554" t="s">
        <v>90</v>
      </c>
      <c r="J30" s="2554">
        <v>2020</v>
      </c>
      <c r="K30" s="2725">
        <v>95045000</v>
      </c>
      <c r="L30" s="2725">
        <f>K30</f>
        <v>95045000</v>
      </c>
      <c r="M30" s="2725">
        <f t="shared" si="1"/>
        <v>0</v>
      </c>
      <c r="N30" s="2746" t="s">
        <v>22</v>
      </c>
      <c r="O30" s="2726" t="s">
        <v>246</v>
      </c>
      <c r="P30" s="2727"/>
      <c r="Q30" s="2727"/>
      <c r="R30" s="2726" t="s">
        <v>371</v>
      </c>
      <c r="S30" s="2738" t="s">
        <v>246</v>
      </c>
      <c r="T30" s="2726"/>
      <c r="U30" s="2726"/>
      <c r="V30" s="2727" t="s">
        <v>1650</v>
      </c>
      <c r="W30" s="1293"/>
      <c r="X30" s="1272"/>
      <c r="Y30" s="1266"/>
      <c r="Z30" s="1266"/>
      <c r="AA30" s="1266"/>
      <c r="AB30" s="1266"/>
      <c r="AC30" s="1266"/>
      <c r="AD30" s="1272"/>
      <c r="AE30" s="1272"/>
      <c r="AF30" s="1272"/>
      <c r="AG30" s="1272"/>
      <c r="AH30" s="1272"/>
      <c r="AI30" s="1272"/>
      <c r="AJ30" s="1272"/>
    </row>
    <row r="31" spans="1:36" ht="45.75" customHeight="1">
      <c r="A31" s="2867"/>
      <c r="B31" s="2869"/>
      <c r="C31" s="2706">
        <v>2.5</v>
      </c>
      <c r="D31" s="1312" t="s">
        <v>989</v>
      </c>
      <c r="E31" s="1313" t="s">
        <v>1638</v>
      </c>
      <c r="F31" s="2571" t="s">
        <v>984</v>
      </c>
      <c r="G31" s="1314"/>
      <c r="H31" s="2554"/>
      <c r="I31" s="2554" t="s">
        <v>90</v>
      </c>
      <c r="J31" s="2554">
        <v>2020</v>
      </c>
      <c r="K31" s="2725">
        <v>88745000</v>
      </c>
      <c r="L31" s="2725">
        <f>0</f>
        <v>0</v>
      </c>
      <c r="M31" s="2725">
        <f t="shared" si="1"/>
        <v>-88745000</v>
      </c>
      <c r="N31" s="2746" t="s">
        <v>22</v>
      </c>
      <c r="O31" s="2726"/>
      <c r="P31" s="2727"/>
      <c r="Q31" s="2727"/>
      <c r="R31" s="2726"/>
      <c r="S31" s="2738" t="s">
        <v>246</v>
      </c>
      <c r="T31" s="2726"/>
      <c r="U31" s="2726"/>
      <c r="V31" s="2727" t="s">
        <v>1650</v>
      </c>
      <c r="W31" s="1293"/>
      <c r="X31" s="1272"/>
      <c r="Y31" s="1266"/>
      <c r="Z31" s="1266"/>
      <c r="AA31" s="1266"/>
      <c r="AB31" s="1266"/>
      <c r="AC31" s="1266"/>
      <c r="AD31" s="1272"/>
      <c r="AE31" s="1272"/>
      <c r="AF31" s="1272"/>
      <c r="AG31" s="1272"/>
      <c r="AH31" s="1272"/>
      <c r="AI31" s="1272"/>
      <c r="AJ31" s="1272"/>
    </row>
    <row r="32" spans="1:36" ht="36">
      <c r="A32" s="2867"/>
      <c r="B32" s="2869"/>
      <c r="C32" s="2706">
        <v>2.6</v>
      </c>
      <c r="D32" s="1312" t="s">
        <v>991</v>
      </c>
      <c r="E32" s="1318" t="s">
        <v>1333</v>
      </c>
      <c r="F32" s="2571">
        <v>50</v>
      </c>
      <c r="G32" s="1314" t="s">
        <v>990</v>
      </c>
      <c r="H32" s="2554">
        <v>2020</v>
      </c>
      <c r="I32" s="2554" t="s">
        <v>90</v>
      </c>
      <c r="J32" s="2554">
        <v>2020</v>
      </c>
      <c r="K32" s="2725">
        <v>64021000</v>
      </c>
      <c r="L32" s="2725">
        <f>K32</f>
        <v>64021000</v>
      </c>
      <c r="M32" s="2725">
        <f t="shared" si="1"/>
        <v>0</v>
      </c>
      <c r="N32" s="2746" t="s">
        <v>22</v>
      </c>
      <c r="O32" s="2726"/>
      <c r="P32" s="2727"/>
      <c r="Q32" s="2727"/>
      <c r="R32" s="2726"/>
      <c r="S32" s="2738" t="s">
        <v>246</v>
      </c>
      <c r="T32" s="2726"/>
      <c r="U32" s="2726"/>
      <c r="V32" s="2727" t="s">
        <v>1650</v>
      </c>
      <c r="W32" s="1293"/>
      <c r="X32" s="1272"/>
      <c r="Y32" s="1266"/>
      <c r="Z32" s="1266"/>
      <c r="AA32" s="1266"/>
      <c r="AB32" s="1266"/>
      <c r="AC32" s="1266"/>
      <c r="AD32" s="1272"/>
      <c r="AE32" s="1272"/>
      <c r="AF32" s="1272"/>
      <c r="AG32" s="1272"/>
      <c r="AH32" s="1272"/>
      <c r="AI32" s="1272"/>
      <c r="AJ32" s="1272"/>
    </row>
    <row r="33" spans="1:36" ht="36">
      <c r="A33" s="2867"/>
      <c r="B33" s="2869"/>
      <c r="C33" s="2706">
        <v>2.7</v>
      </c>
      <c r="D33" s="1312" t="s">
        <v>992</v>
      </c>
      <c r="E33" s="1313" t="s">
        <v>1201</v>
      </c>
      <c r="F33" s="2571">
        <v>40</v>
      </c>
      <c r="G33" s="1314" t="s">
        <v>990</v>
      </c>
      <c r="H33" s="2554">
        <v>2020</v>
      </c>
      <c r="I33" s="2554" t="s">
        <v>90</v>
      </c>
      <c r="J33" s="2554">
        <v>2020</v>
      </c>
      <c r="K33" s="2725">
        <v>38079000</v>
      </c>
      <c r="L33" s="2725">
        <f>K33</f>
        <v>38079000</v>
      </c>
      <c r="M33" s="2725">
        <f t="shared" si="1"/>
        <v>0</v>
      </c>
      <c r="N33" s="2746" t="s">
        <v>22</v>
      </c>
      <c r="O33" s="2726" t="s">
        <v>246</v>
      </c>
      <c r="P33" s="2727"/>
      <c r="Q33" s="2727"/>
      <c r="R33" s="2726" t="s">
        <v>371</v>
      </c>
      <c r="S33" s="2738" t="s">
        <v>246</v>
      </c>
      <c r="T33" s="2726"/>
      <c r="U33" s="2726"/>
      <c r="V33" s="2727" t="s">
        <v>1650</v>
      </c>
      <c r="W33" s="1293"/>
      <c r="X33" s="1272"/>
      <c r="Y33" s="1266"/>
      <c r="Z33" s="1266"/>
      <c r="AA33" s="1266"/>
      <c r="AB33" s="1266"/>
      <c r="AC33" s="1266"/>
      <c r="AD33" s="1272"/>
      <c r="AE33" s="1272"/>
      <c r="AF33" s="1272"/>
      <c r="AG33" s="1272"/>
      <c r="AH33" s="1272"/>
      <c r="AI33" s="1272"/>
      <c r="AJ33" s="1272"/>
    </row>
    <row r="34" spans="1:36" ht="36">
      <c r="A34" s="2867"/>
      <c r="B34" s="2869"/>
      <c r="C34" s="2706">
        <v>2.8</v>
      </c>
      <c r="D34" s="1312" t="s">
        <v>994</v>
      </c>
      <c r="E34" s="1313" t="s">
        <v>1043</v>
      </c>
      <c r="F34" s="2571">
        <v>70</v>
      </c>
      <c r="G34" s="1314" t="s">
        <v>990</v>
      </c>
      <c r="H34" s="2554">
        <v>2020</v>
      </c>
      <c r="I34" s="2554" t="s">
        <v>90</v>
      </c>
      <c r="J34" s="2554">
        <v>2020</v>
      </c>
      <c r="K34" s="2725">
        <v>88745000</v>
      </c>
      <c r="L34" s="2725">
        <f>K34</f>
        <v>88745000</v>
      </c>
      <c r="M34" s="2725">
        <f t="shared" si="1"/>
        <v>0</v>
      </c>
      <c r="N34" s="2746" t="s">
        <v>22</v>
      </c>
      <c r="O34" s="2726" t="s">
        <v>246</v>
      </c>
      <c r="P34" s="2727"/>
      <c r="Q34" s="2727"/>
      <c r="R34" s="2726" t="s">
        <v>371</v>
      </c>
      <c r="S34" s="2738" t="s">
        <v>246</v>
      </c>
      <c r="T34" s="2726"/>
      <c r="U34" s="2726"/>
      <c r="V34" s="2727" t="s">
        <v>1650</v>
      </c>
      <c r="W34" s="1293"/>
      <c r="X34" s="1272"/>
      <c r="Y34" s="1266"/>
      <c r="Z34" s="1266"/>
      <c r="AA34" s="1266"/>
      <c r="AB34" s="1266"/>
      <c r="AC34" s="1266"/>
      <c r="AD34" s="1272"/>
      <c r="AE34" s="1272"/>
      <c r="AF34" s="1272"/>
      <c r="AG34" s="1272"/>
      <c r="AH34" s="1272"/>
      <c r="AI34" s="1272"/>
      <c r="AJ34" s="1272"/>
    </row>
    <row r="35" spans="1:36" ht="36">
      <c r="A35" s="2867"/>
      <c r="B35" s="2869"/>
      <c r="C35" s="2707">
        <v>2.9</v>
      </c>
      <c r="D35" s="1312" t="s">
        <v>996</v>
      </c>
      <c r="E35" s="1313" t="s">
        <v>1050</v>
      </c>
      <c r="F35" s="2571">
        <v>54</v>
      </c>
      <c r="G35" s="1314" t="s">
        <v>990</v>
      </c>
      <c r="H35" s="2554">
        <v>2020</v>
      </c>
      <c r="I35" s="2554" t="s">
        <v>90</v>
      </c>
      <c r="J35" s="2554">
        <v>2020</v>
      </c>
      <c r="K35" s="2725">
        <v>69391000</v>
      </c>
      <c r="L35" s="2725">
        <f>K35</f>
        <v>69391000</v>
      </c>
      <c r="M35" s="2725">
        <f t="shared" si="1"/>
        <v>0</v>
      </c>
      <c r="N35" s="2746" t="s">
        <v>22</v>
      </c>
      <c r="O35" s="2726" t="s">
        <v>246</v>
      </c>
      <c r="P35" s="2727"/>
      <c r="Q35" s="2727"/>
      <c r="R35" s="2726" t="s">
        <v>371</v>
      </c>
      <c r="S35" s="2738" t="s">
        <v>246</v>
      </c>
      <c r="T35" s="2726"/>
      <c r="U35" s="2726"/>
      <c r="V35" s="2727" t="s">
        <v>1650</v>
      </c>
      <c r="W35" s="1293"/>
      <c r="X35" s="1272"/>
      <c r="Y35" s="1266"/>
      <c r="Z35" s="1266"/>
      <c r="AA35" s="1266"/>
      <c r="AB35" s="1266"/>
      <c r="AC35" s="1266"/>
      <c r="AD35" s="1272"/>
      <c r="AE35" s="1272"/>
      <c r="AF35" s="1272"/>
      <c r="AG35" s="1272"/>
      <c r="AH35" s="1272"/>
      <c r="AI35" s="1272"/>
      <c r="AJ35" s="1272"/>
    </row>
    <row r="36" spans="1:36" ht="30.75" customHeight="1">
      <c r="A36" s="2747"/>
      <c r="B36" s="2748"/>
      <c r="C36" s="2707" t="s">
        <v>364</v>
      </c>
      <c r="D36" s="1312" t="s">
        <v>1640</v>
      </c>
      <c r="E36" s="1313" t="s">
        <v>1632</v>
      </c>
      <c r="F36" s="2571">
        <v>1</v>
      </c>
      <c r="G36" s="1314"/>
      <c r="H36" s="2554"/>
      <c r="I36" s="2554" t="s">
        <v>96</v>
      </c>
      <c r="J36" s="2554">
        <v>2020</v>
      </c>
      <c r="K36" s="2725">
        <v>40000000</v>
      </c>
      <c r="L36" s="2725">
        <f>'Pnj APBDES'!L220</f>
        <v>5145000</v>
      </c>
      <c r="M36" s="2725">
        <f t="shared" si="1"/>
        <v>-34855000</v>
      </c>
      <c r="N36" s="2746" t="s">
        <v>429</v>
      </c>
      <c r="O36" s="2726"/>
      <c r="P36" s="2727"/>
      <c r="Q36" s="2727"/>
      <c r="R36" s="2726"/>
      <c r="S36" s="2738" t="s">
        <v>246</v>
      </c>
      <c r="T36" s="2726"/>
      <c r="U36" s="2726"/>
      <c r="V36" s="2727" t="s">
        <v>1650</v>
      </c>
      <c r="W36" s="1293"/>
      <c r="X36" s="1272"/>
      <c r="Y36" s="1266"/>
      <c r="Z36" s="1266"/>
      <c r="AA36" s="1266"/>
      <c r="AB36" s="1266"/>
      <c r="AC36" s="1266"/>
      <c r="AD36" s="1272"/>
      <c r="AE36" s="1272"/>
      <c r="AF36" s="1272"/>
      <c r="AG36" s="1272"/>
      <c r="AH36" s="1272"/>
      <c r="AI36" s="1272"/>
      <c r="AJ36" s="1272"/>
    </row>
    <row r="37" spans="1:36" ht="30.75" customHeight="1">
      <c r="A37" s="2877" t="s">
        <v>232</v>
      </c>
      <c r="B37" s="2877"/>
      <c r="C37" s="2877"/>
      <c r="D37" s="2877"/>
      <c r="E37" s="2877"/>
      <c r="F37" s="2877"/>
      <c r="G37" s="2877"/>
      <c r="H37" s="2877"/>
      <c r="I37" s="2749"/>
      <c r="J37" s="2750"/>
      <c r="K37" s="2751">
        <f>SUM(K27:K36)</f>
        <v>627978050</v>
      </c>
      <c r="L37" s="2751">
        <f>SUM(L27:L36)</f>
        <v>399480614</v>
      </c>
      <c r="M37" s="2751">
        <f>SUM(M27:M36)</f>
        <v>-228497436</v>
      </c>
      <c r="N37" s="2742"/>
      <c r="O37" s="2742"/>
      <c r="P37" s="2742"/>
      <c r="Q37" s="2742"/>
      <c r="R37" s="2741"/>
      <c r="S37" s="2741"/>
      <c r="T37" s="2741"/>
      <c r="U37" s="2741"/>
      <c r="V37" s="2742"/>
      <c r="W37" s="1293"/>
      <c r="X37" s="1275"/>
      <c r="Y37" s="1266"/>
      <c r="Z37" s="1266"/>
      <c r="AA37" s="1266"/>
      <c r="AB37" s="1266"/>
      <c r="AC37" s="1266"/>
      <c r="AD37" s="1272"/>
      <c r="AE37" s="1272"/>
      <c r="AF37" s="1272"/>
      <c r="AG37" s="1272"/>
      <c r="AH37" s="1272"/>
      <c r="AI37" s="1272"/>
      <c r="AJ37" s="1272"/>
    </row>
    <row r="38" spans="1:36" ht="36">
      <c r="A38" s="2863">
        <v>3</v>
      </c>
      <c r="B38" s="2872" t="s">
        <v>49</v>
      </c>
      <c r="C38" s="2752" t="s">
        <v>126</v>
      </c>
      <c r="D38" s="2691" t="s">
        <v>663</v>
      </c>
      <c r="E38" s="2563" t="s">
        <v>1206</v>
      </c>
      <c r="F38" s="2563" t="s">
        <v>87</v>
      </c>
      <c r="G38" s="2753" t="s">
        <v>260</v>
      </c>
      <c r="H38" s="2565">
        <v>2020</v>
      </c>
      <c r="I38" s="2565" t="s">
        <v>1612</v>
      </c>
      <c r="J38" s="2565">
        <v>2020</v>
      </c>
      <c r="K38" s="2720">
        <f>'[24]3.1 Linmas'!H20</f>
        <v>8700000</v>
      </c>
      <c r="L38" s="2720">
        <f>K38</f>
        <v>8700000</v>
      </c>
      <c r="M38" s="2720">
        <f>L38-K38</f>
        <v>0</v>
      </c>
      <c r="N38" s="2754" t="s">
        <v>330</v>
      </c>
      <c r="O38" s="2721" t="s">
        <v>246</v>
      </c>
      <c r="P38" s="2722"/>
      <c r="Q38" s="2722"/>
      <c r="R38" s="2721" t="s">
        <v>370</v>
      </c>
      <c r="S38" s="2745" t="s">
        <v>246</v>
      </c>
      <c r="T38" s="2721"/>
      <c r="U38" s="2721"/>
      <c r="V38" s="2722" t="s">
        <v>1648</v>
      </c>
      <c r="W38" s="1293"/>
      <c r="X38" s="1272"/>
      <c r="Y38" s="1266"/>
      <c r="Z38" s="1266"/>
      <c r="AA38" s="1266"/>
      <c r="AB38" s="1266"/>
      <c r="AC38" s="1266"/>
      <c r="AD38" s="1272"/>
      <c r="AE38" s="1272"/>
      <c r="AF38" s="1272"/>
      <c r="AG38" s="1272"/>
      <c r="AH38" s="1272"/>
      <c r="AI38" s="1272"/>
      <c r="AJ38" s="1272"/>
    </row>
    <row r="39" spans="1:36" ht="18.75">
      <c r="A39" s="2863"/>
      <c r="B39" s="2872"/>
      <c r="C39" s="2755" t="s">
        <v>127</v>
      </c>
      <c r="D39" s="2689" t="s">
        <v>665</v>
      </c>
      <c r="E39" s="2552" t="s">
        <v>1206</v>
      </c>
      <c r="F39" s="2552" t="s">
        <v>87</v>
      </c>
      <c r="G39" s="2556" t="s">
        <v>1088</v>
      </c>
      <c r="H39" s="2554">
        <v>2020</v>
      </c>
      <c r="I39" s="2554" t="s">
        <v>90</v>
      </c>
      <c r="J39" s="2554">
        <v>2020</v>
      </c>
      <c r="K39" s="2725">
        <f>'[24]3.2 Kagmaan SARA'!H22</f>
        <v>24300000</v>
      </c>
      <c r="L39" s="2725">
        <f>'Pnj APBDES'!L232</f>
        <v>21900000</v>
      </c>
      <c r="M39" s="2725">
        <f t="shared" ref="M39:M46" si="2">L39-K39</f>
        <v>-2400000</v>
      </c>
      <c r="N39" s="2746" t="s">
        <v>330</v>
      </c>
      <c r="O39" s="2726" t="s">
        <v>246</v>
      </c>
      <c r="P39" s="2727"/>
      <c r="Q39" s="2727"/>
      <c r="R39" s="2726" t="s">
        <v>370</v>
      </c>
      <c r="S39" s="2738" t="s">
        <v>246</v>
      </c>
      <c r="T39" s="2726"/>
      <c r="U39" s="2726"/>
      <c r="V39" s="2727" t="s">
        <v>1648</v>
      </c>
      <c r="W39" s="1293"/>
      <c r="X39" s="1272"/>
      <c r="Y39" s="1266"/>
      <c r="Z39" s="1266"/>
      <c r="AA39" s="1266"/>
      <c r="AB39" s="1266"/>
      <c r="AC39" s="1266"/>
      <c r="AD39" s="1272"/>
      <c r="AE39" s="1272"/>
      <c r="AF39" s="1272"/>
      <c r="AG39" s="1272"/>
      <c r="AH39" s="1272"/>
      <c r="AI39" s="1272"/>
      <c r="AJ39" s="1272"/>
    </row>
    <row r="40" spans="1:36" ht="45.75" customHeight="1">
      <c r="A40" s="2863"/>
      <c r="B40" s="2872"/>
      <c r="C40" s="2755" t="s">
        <v>225</v>
      </c>
      <c r="D40" s="2689" t="s">
        <v>1628</v>
      </c>
      <c r="E40" s="2552" t="s">
        <v>1206</v>
      </c>
      <c r="F40" s="2552" t="s">
        <v>87</v>
      </c>
      <c r="G40" s="2556" t="s">
        <v>806</v>
      </c>
      <c r="H40" s="2554">
        <v>2020</v>
      </c>
      <c r="I40" s="2554" t="s">
        <v>90</v>
      </c>
      <c r="J40" s="2554">
        <v>2020</v>
      </c>
      <c r="K40" s="2725">
        <f>'[24]3.3 HUT RI'!H28</f>
        <v>2160000</v>
      </c>
      <c r="L40" s="2725">
        <v>0</v>
      </c>
      <c r="M40" s="2725">
        <f t="shared" si="2"/>
        <v>-2160000</v>
      </c>
      <c r="N40" s="2746" t="s">
        <v>23</v>
      </c>
      <c r="O40" s="2726" t="s">
        <v>246</v>
      </c>
      <c r="P40" s="2727"/>
      <c r="Q40" s="2727" t="s">
        <v>21</v>
      </c>
      <c r="R40" s="2726" t="s">
        <v>370</v>
      </c>
      <c r="S40" s="2738" t="s">
        <v>246</v>
      </c>
      <c r="T40" s="2726"/>
      <c r="U40" s="2726"/>
      <c r="V40" s="2727" t="s">
        <v>1648</v>
      </c>
      <c r="W40" s="1293"/>
      <c r="X40" s="1272"/>
      <c r="Y40" s="1266"/>
      <c r="Z40" s="1266"/>
      <c r="AA40" s="1266"/>
      <c r="AB40" s="1266"/>
      <c r="AC40" s="1266"/>
      <c r="AD40" s="1272"/>
      <c r="AE40" s="1272"/>
      <c r="AF40" s="1272"/>
      <c r="AG40" s="1272"/>
      <c r="AH40" s="1272"/>
      <c r="AI40" s="1272"/>
      <c r="AJ40" s="1272"/>
    </row>
    <row r="41" spans="1:36" ht="36">
      <c r="A41" s="2863"/>
      <c r="B41" s="2872"/>
      <c r="C41" s="2755" t="s">
        <v>226</v>
      </c>
      <c r="D41" s="2689" t="s">
        <v>1629</v>
      </c>
      <c r="E41" s="2552" t="s">
        <v>1206</v>
      </c>
      <c r="F41" s="2552" t="s">
        <v>87</v>
      </c>
      <c r="G41" s="2556" t="s">
        <v>1630</v>
      </c>
      <c r="H41" s="2554">
        <v>2020</v>
      </c>
      <c r="I41" s="2554" t="s">
        <v>90</v>
      </c>
      <c r="J41" s="2554">
        <v>2020</v>
      </c>
      <c r="K41" s="2725">
        <f>'[24]3.4 KATARUNA'!H19</f>
        <v>1200000</v>
      </c>
      <c r="L41" s="2725">
        <v>0</v>
      </c>
      <c r="M41" s="2725">
        <f t="shared" si="2"/>
        <v>-1200000</v>
      </c>
      <c r="N41" s="2746" t="s">
        <v>23</v>
      </c>
      <c r="O41" s="2726" t="s">
        <v>246</v>
      </c>
      <c r="P41" s="2727"/>
      <c r="Q41" s="2727"/>
      <c r="R41" s="2726" t="s">
        <v>370</v>
      </c>
      <c r="S41" s="2738" t="s">
        <v>246</v>
      </c>
      <c r="T41" s="2726"/>
      <c r="U41" s="2726"/>
      <c r="V41" s="2727" t="s">
        <v>1211</v>
      </c>
      <c r="W41" s="1293"/>
      <c r="X41" s="1272"/>
      <c r="Y41" s="1266"/>
      <c r="Z41" s="1266"/>
      <c r="AA41" s="1266"/>
      <c r="AB41" s="1266"/>
      <c r="AC41" s="1266"/>
      <c r="AD41" s="1272"/>
      <c r="AE41" s="1272"/>
      <c r="AF41" s="1272"/>
      <c r="AG41" s="1272"/>
      <c r="AH41" s="1272"/>
      <c r="AI41" s="1272"/>
      <c r="AJ41" s="1272"/>
    </row>
    <row r="42" spans="1:36" ht="36">
      <c r="A42" s="2863"/>
      <c r="B42" s="2872"/>
      <c r="C42" s="2755" t="s">
        <v>227</v>
      </c>
      <c r="D42" s="2689" t="s">
        <v>1459</v>
      </c>
      <c r="E42" s="2552" t="s">
        <v>1206</v>
      </c>
      <c r="F42" s="2552" t="s">
        <v>1454</v>
      </c>
      <c r="G42" s="2556"/>
      <c r="H42" s="2554"/>
      <c r="I42" s="2554" t="s">
        <v>90</v>
      </c>
      <c r="J42" s="2554">
        <v>2020</v>
      </c>
      <c r="K42" s="2725">
        <f>'[24]Pnj APBDES'!K243</f>
        <v>203804386</v>
      </c>
      <c r="L42" s="2725">
        <f>'Pnj APBDES'!L255</f>
        <v>167890386</v>
      </c>
      <c r="M42" s="2725">
        <f t="shared" si="2"/>
        <v>-35914000</v>
      </c>
      <c r="N42" s="2746" t="s">
        <v>22</v>
      </c>
      <c r="O42" s="2726"/>
      <c r="P42" s="2727"/>
      <c r="Q42" s="2727"/>
      <c r="R42" s="2726"/>
      <c r="S42" s="2738" t="s">
        <v>246</v>
      </c>
      <c r="T42" s="2726"/>
      <c r="U42" s="2726"/>
      <c r="V42" s="2727" t="s">
        <v>1650</v>
      </c>
      <c r="W42" s="1293"/>
      <c r="X42" s="1272"/>
      <c r="Y42" s="1266"/>
      <c r="Z42" s="1266"/>
      <c r="AA42" s="1266"/>
      <c r="AB42" s="1266"/>
      <c r="AC42" s="1266"/>
      <c r="AD42" s="1272"/>
      <c r="AE42" s="1272"/>
      <c r="AF42" s="1272"/>
      <c r="AG42" s="1272"/>
      <c r="AH42" s="1272"/>
      <c r="AI42" s="1272"/>
      <c r="AJ42" s="1272"/>
    </row>
    <row r="43" spans="1:36" ht="30.75" customHeight="1">
      <c r="A43" s="2863"/>
      <c r="B43" s="2872"/>
      <c r="C43" s="2755" t="s">
        <v>228</v>
      </c>
      <c r="D43" s="2689" t="s">
        <v>1015</v>
      </c>
      <c r="E43" s="2552" t="s">
        <v>1206</v>
      </c>
      <c r="F43" s="2552" t="s">
        <v>87</v>
      </c>
      <c r="G43" s="2556" t="s">
        <v>807</v>
      </c>
      <c r="H43" s="2554">
        <v>2020</v>
      </c>
      <c r="I43" s="2554" t="s">
        <v>1615</v>
      </c>
      <c r="J43" s="2554">
        <v>2020</v>
      </c>
      <c r="K43" s="2725">
        <f>'[24]3.5 L.A'!H20</f>
        <v>2400000</v>
      </c>
      <c r="L43" s="2725">
        <f>K43</f>
        <v>2400000</v>
      </c>
      <c r="M43" s="2725">
        <f t="shared" si="2"/>
        <v>0</v>
      </c>
      <c r="N43" s="2746" t="s">
        <v>23</v>
      </c>
      <c r="O43" s="2726" t="s">
        <v>246</v>
      </c>
      <c r="P43" s="2727"/>
      <c r="Q43" s="2727"/>
      <c r="R43" s="2726" t="s">
        <v>370</v>
      </c>
      <c r="S43" s="2738" t="s">
        <v>246</v>
      </c>
      <c r="T43" s="2726"/>
      <c r="U43" s="2726"/>
      <c r="V43" s="2727" t="s">
        <v>1211</v>
      </c>
      <c r="W43" s="1293"/>
      <c r="X43" s="1272"/>
      <c r="Y43" s="1266"/>
      <c r="Z43" s="1266"/>
      <c r="AA43" s="1266"/>
      <c r="AB43" s="1266"/>
      <c r="AC43" s="1266"/>
      <c r="AD43" s="1272"/>
      <c r="AE43" s="1272"/>
      <c r="AF43" s="1272"/>
      <c r="AG43" s="1272"/>
      <c r="AH43" s="1272"/>
      <c r="AI43" s="1272"/>
      <c r="AJ43" s="1272"/>
    </row>
    <row r="44" spans="1:36" ht="30.75" customHeight="1">
      <c r="A44" s="2863"/>
      <c r="B44" s="2872"/>
      <c r="C44" s="2755" t="s">
        <v>229</v>
      </c>
      <c r="D44" s="2689" t="s">
        <v>1025</v>
      </c>
      <c r="E44" s="2552" t="s">
        <v>1206</v>
      </c>
      <c r="F44" s="2552" t="s">
        <v>87</v>
      </c>
      <c r="G44" s="2556" t="s">
        <v>808</v>
      </c>
      <c r="H44" s="2554">
        <v>2020</v>
      </c>
      <c r="I44" s="2554" t="s">
        <v>1616</v>
      </c>
      <c r="J44" s="2554">
        <v>2020</v>
      </c>
      <c r="K44" s="2725">
        <f>'[24]3.6 LPM'!H21</f>
        <v>3900000</v>
      </c>
      <c r="L44" s="2725">
        <f>K44</f>
        <v>3900000</v>
      </c>
      <c r="M44" s="2725">
        <f t="shared" si="2"/>
        <v>0</v>
      </c>
      <c r="N44" s="2746" t="s">
        <v>23</v>
      </c>
      <c r="O44" s="2726" t="s">
        <v>246</v>
      </c>
      <c r="P44" s="2727"/>
      <c r="Q44" s="2727"/>
      <c r="R44" s="2726" t="s">
        <v>370</v>
      </c>
      <c r="S44" s="2738" t="s">
        <v>246</v>
      </c>
      <c r="T44" s="2726"/>
      <c r="U44" s="2726"/>
      <c r="V44" s="2727" t="s">
        <v>1211</v>
      </c>
      <c r="W44" s="1293"/>
      <c r="X44" s="1272"/>
      <c r="Y44" s="1266"/>
      <c r="Z44" s="1266"/>
      <c r="AA44" s="1266"/>
      <c r="AB44" s="1266"/>
      <c r="AC44" s="1266"/>
      <c r="AD44" s="1272"/>
      <c r="AE44" s="1272"/>
      <c r="AF44" s="1272"/>
      <c r="AG44" s="1272"/>
      <c r="AH44" s="1272"/>
      <c r="AI44" s="1272"/>
      <c r="AJ44" s="1272"/>
    </row>
    <row r="45" spans="1:36" ht="30.75" customHeight="1">
      <c r="A45" s="2863"/>
      <c r="B45" s="2872"/>
      <c r="C45" s="2755" t="s">
        <v>230</v>
      </c>
      <c r="D45" s="2689" t="s">
        <v>461</v>
      </c>
      <c r="E45" s="2552" t="s">
        <v>1206</v>
      </c>
      <c r="F45" s="2552" t="s">
        <v>87</v>
      </c>
      <c r="G45" s="2556" t="s">
        <v>92</v>
      </c>
      <c r="H45" s="2554">
        <v>2020</v>
      </c>
      <c r="I45" s="2554" t="s">
        <v>92</v>
      </c>
      <c r="J45" s="2554">
        <v>2020</v>
      </c>
      <c r="K45" s="2725">
        <f>'[24]3.7 PKK'!H56</f>
        <v>17485000</v>
      </c>
      <c r="L45" s="2725">
        <f>'Pnj APBDES'!L269</f>
        <v>11550500</v>
      </c>
      <c r="M45" s="2725">
        <f t="shared" si="2"/>
        <v>-5934500</v>
      </c>
      <c r="N45" s="2746" t="s">
        <v>23</v>
      </c>
      <c r="O45" s="2726" t="s">
        <v>246</v>
      </c>
      <c r="P45" s="2727"/>
      <c r="Q45" s="2727"/>
      <c r="R45" s="2726" t="s">
        <v>370</v>
      </c>
      <c r="S45" s="2738" t="s">
        <v>246</v>
      </c>
      <c r="T45" s="2726"/>
      <c r="U45" s="2726"/>
      <c r="V45" s="2727" t="s">
        <v>1648</v>
      </c>
      <c r="W45" s="1293"/>
      <c r="X45" s="1272"/>
      <c r="Y45" s="1266"/>
      <c r="Z45" s="1266"/>
      <c r="AA45" s="1266"/>
      <c r="AB45" s="1266"/>
      <c r="AC45" s="1266"/>
      <c r="AD45" s="1272"/>
      <c r="AE45" s="1272"/>
      <c r="AF45" s="1272"/>
      <c r="AG45" s="1272"/>
      <c r="AH45" s="1272"/>
      <c r="AI45" s="1272"/>
      <c r="AJ45" s="1272"/>
    </row>
    <row r="46" spans="1:36" ht="36">
      <c r="A46" s="2863"/>
      <c r="B46" s="2872"/>
      <c r="C46" s="2756" t="s">
        <v>579</v>
      </c>
      <c r="D46" s="2690" t="s">
        <v>1631</v>
      </c>
      <c r="E46" s="2541" t="s">
        <v>1206</v>
      </c>
      <c r="F46" s="2541" t="s">
        <v>87</v>
      </c>
      <c r="G46" s="2559" t="s">
        <v>1632</v>
      </c>
      <c r="H46" s="2560">
        <v>2020</v>
      </c>
      <c r="I46" s="2560" t="s">
        <v>90</v>
      </c>
      <c r="J46" s="2560">
        <v>2020</v>
      </c>
      <c r="K46" s="2740">
        <f>'[24]3.9 STQ - '!I43</f>
        <v>6810000</v>
      </c>
      <c r="L46" s="2740">
        <v>0</v>
      </c>
      <c r="M46" s="2740">
        <f t="shared" si="2"/>
        <v>-6810000</v>
      </c>
      <c r="N46" s="2757" t="s">
        <v>23</v>
      </c>
      <c r="O46" s="2741" t="s">
        <v>246</v>
      </c>
      <c r="P46" s="2742"/>
      <c r="Q46" s="2742"/>
      <c r="R46" s="2741" t="s">
        <v>370</v>
      </c>
      <c r="S46" s="2743" t="s">
        <v>246</v>
      </c>
      <c r="T46" s="2741"/>
      <c r="U46" s="2741"/>
      <c r="V46" s="2742" t="s">
        <v>1211</v>
      </c>
      <c r="W46" s="1293"/>
      <c r="X46" s="1272"/>
      <c r="Y46" s="1266"/>
      <c r="Z46" s="1266"/>
      <c r="AA46" s="1266"/>
      <c r="AB46" s="1266"/>
      <c r="AC46" s="1266"/>
      <c r="AD46" s="1272"/>
      <c r="AE46" s="1272"/>
      <c r="AF46" s="1272"/>
      <c r="AG46" s="1272"/>
      <c r="AH46" s="1272"/>
      <c r="AI46" s="1272"/>
      <c r="AJ46" s="1272"/>
    </row>
    <row r="47" spans="1:36" ht="30" customHeight="1">
      <c r="A47" s="2862" t="s">
        <v>233</v>
      </c>
      <c r="B47" s="2862"/>
      <c r="C47" s="2862"/>
      <c r="D47" s="2862"/>
      <c r="E47" s="2862"/>
      <c r="F47" s="2862"/>
      <c r="G47" s="2862"/>
      <c r="H47" s="2862"/>
      <c r="I47" s="2042"/>
      <c r="J47" s="2693"/>
      <c r="K47" s="2708">
        <f>SUM(K38:K46)</f>
        <v>270759386</v>
      </c>
      <c r="L47" s="2708">
        <f>SUM(L38:L46)</f>
        <v>216340886</v>
      </c>
      <c r="M47" s="2708">
        <f>SUM(M38:M46)</f>
        <v>-54418500</v>
      </c>
      <c r="N47" s="1304"/>
      <c r="O47" s="1304"/>
      <c r="P47" s="1304"/>
      <c r="Q47" s="1304"/>
      <c r="R47" s="2542"/>
      <c r="S47" s="2542"/>
      <c r="T47" s="2542"/>
      <c r="U47" s="2542"/>
      <c r="V47" s="1304"/>
      <c r="W47" s="1293"/>
      <c r="X47" s="1275"/>
      <c r="Y47" s="1266"/>
      <c r="Z47" s="1266"/>
      <c r="AA47" s="1266"/>
      <c r="AB47" s="1266"/>
      <c r="AC47" s="1266"/>
      <c r="AD47" s="1272"/>
      <c r="AE47" s="1272"/>
      <c r="AF47" s="1272"/>
      <c r="AG47" s="1272"/>
      <c r="AH47" s="1272"/>
      <c r="AI47" s="1272"/>
      <c r="AJ47" s="1272"/>
    </row>
    <row r="48" spans="1:36" ht="36">
      <c r="A48" s="2836">
        <v>4</v>
      </c>
      <c r="B48" s="2828" t="s">
        <v>50</v>
      </c>
      <c r="C48" s="2752">
        <v>4.0999999999999996</v>
      </c>
      <c r="D48" s="2564" t="s">
        <v>1461</v>
      </c>
      <c r="E48" s="2563" t="s">
        <v>1206</v>
      </c>
      <c r="F48" s="2563" t="s">
        <v>1366</v>
      </c>
      <c r="G48" s="2563" t="s">
        <v>259</v>
      </c>
      <c r="H48" s="2563">
        <v>2020</v>
      </c>
      <c r="I48" s="2563" t="s">
        <v>90</v>
      </c>
      <c r="J48" s="2563">
        <v>2020</v>
      </c>
      <c r="K48" s="2754">
        <f>'[24]4.4 Bintek Perikanan'!$H$64</f>
        <v>17600000</v>
      </c>
      <c r="L48" s="2754">
        <f>K48</f>
        <v>17600000</v>
      </c>
      <c r="M48" s="2754">
        <f>L48-K48</f>
        <v>0</v>
      </c>
      <c r="N48" s="2754" t="s">
        <v>327</v>
      </c>
      <c r="O48" s="2721" t="s">
        <v>246</v>
      </c>
      <c r="P48" s="2722"/>
      <c r="Q48" s="2722"/>
      <c r="R48" s="2721" t="s">
        <v>558</v>
      </c>
      <c r="S48" s="2745" t="s">
        <v>246</v>
      </c>
      <c r="T48" s="2721"/>
      <c r="U48" s="2721"/>
      <c r="V48" s="2722" t="s">
        <v>1211</v>
      </c>
      <c r="W48" s="1293"/>
      <c r="X48" s="1272"/>
      <c r="Y48" s="1266"/>
      <c r="Z48" s="1266"/>
      <c r="AA48" s="1266"/>
      <c r="AB48" s="1266"/>
      <c r="AC48" s="1266"/>
      <c r="AD48" s="1272"/>
      <c r="AE48" s="1272"/>
      <c r="AF48" s="1272"/>
      <c r="AG48" s="1272"/>
      <c r="AH48" s="1272"/>
      <c r="AI48" s="1272"/>
      <c r="AJ48" s="1272"/>
    </row>
    <row r="49" spans="1:36" ht="18.75">
      <c r="A49" s="2876"/>
      <c r="B49" s="2829"/>
      <c r="C49" s="2755">
        <v>4.2</v>
      </c>
      <c r="D49" s="2553" t="s">
        <v>1641</v>
      </c>
      <c r="E49" s="2552" t="s">
        <v>1206</v>
      </c>
      <c r="F49" s="2552" t="s">
        <v>1366</v>
      </c>
      <c r="G49" s="2552"/>
      <c r="H49" s="2552"/>
      <c r="I49" s="2552" t="s">
        <v>552</v>
      </c>
      <c r="J49" s="2552">
        <v>2020</v>
      </c>
      <c r="K49" s="2746">
        <v>5000000</v>
      </c>
      <c r="L49" s="2746">
        <v>0</v>
      </c>
      <c r="M49" s="2746">
        <f t="shared" ref="M49:M51" si="3">L49-K49</f>
        <v>-5000000</v>
      </c>
      <c r="N49" s="2746" t="s">
        <v>22</v>
      </c>
      <c r="O49" s="2726"/>
      <c r="P49" s="2727"/>
      <c r="Q49" s="2727"/>
      <c r="R49" s="2726"/>
      <c r="S49" s="2738" t="s">
        <v>246</v>
      </c>
      <c r="T49" s="2726"/>
      <c r="U49" s="2726"/>
      <c r="V49" s="2727" t="s">
        <v>1211</v>
      </c>
      <c r="W49" s="1293"/>
      <c r="X49" s="1272"/>
      <c r="Y49" s="1266"/>
      <c r="Z49" s="1266"/>
      <c r="AA49" s="1266"/>
      <c r="AB49" s="1266"/>
      <c r="AC49" s="1266"/>
      <c r="AD49" s="1272"/>
      <c r="AE49" s="1272"/>
      <c r="AF49" s="1272"/>
      <c r="AG49" s="1272"/>
      <c r="AH49" s="1272"/>
      <c r="AI49" s="1272"/>
      <c r="AJ49" s="1272"/>
    </row>
    <row r="50" spans="1:36" ht="18.75">
      <c r="A50" s="2876"/>
      <c r="B50" s="2829"/>
      <c r="C50" s="2755">
        <v>4.3</v>
      </c>
      <c r="D50" s="2553" t="s">
        <v>1642</v>
      </c>
      <c r="E50" s="2552" t="s">
        <v>1206</v>
      </c>
      <c r="F50" s="2552" t="s">
        <v>1366</v>
      </c>
      <c r="G50" s="2552"/>
      <c r="H50" s="2552"/>
      <c r="I50" s="2552" t="s">
        <v>1603</v>
      </c>
      <c r="J50" s="2552">
        <v>2020</v>
      </c>
      <c r="K50" s="2746">
        <v>10000000</v>
      </c>
      <c r="L50" s="2746">
        <v>0</v>
      </c>
      <c r="M50" s="2746">
        <f t="shared" si="3"/>
        <v>-10000000</v>
      </c>
      <c r="N50" s="2746" t="s">
        <v>22</v>
      </c>
      <c r="O50" s="2726"/>
      <c r="P50" s="2727"/>
      <c r="Q50" s="2727"/>
      <c r="R50" s="2726"/>
      <c r="S50" s="2738" t="s">
        <v>246</v>
      </c>
      <c r="T50" s="2726"/>
      <c r="U50" s="2726"/>
      <c r="V50" s="2727" t="s">
        <v>1211</v>
      </c>
      <c r="W50" s="1293"/>
      <c r="X50" s="1272"/>
      <c r="Y50" s="1266"/>
      <c r="Z50" s="1266"/>
      <c r="AA50" s="1266"/>
      <c r="AB50" s="1266"/>
      <c r="AC50" s="1266"/>
      <c r="AD50" s="1272"/>
      <c r="AE50" s="1272"/>
      <c r="AF50" s="1272"/>
      <c r="AG50" s="1272"/>
      <c r="AH50" s="1272"/>
      <c r="AI50" s="1272"/>
      <c r="AJ50" s="1272"/>
    </row>
    <row r="51" spans="1:36" ht="36">
      <c r="A51" s="2837"/>
      <c r="B51" s="2861"/>
      <c r="C51" s="2756">
        <v>4.4000000000000004</v>
      </c>
      <c r="D51" s="2758" t="s">
        <v>1643</v>
      </c>
      <c r="E51" s="2541" t="s">
        <v>1206</v>
      </c>
      <c r="F51" s="2541" t="s">
        <v>1366</v>
      </c>
      <c r="G51" s="2541"/>
      <c r="H51" s="2541"/>
      <c r="I51" s="2541" t="s">
        <v>1630</v>
      </c>
      <c r="J51" s="2541">
        <v>2020</v>
      </c>
      <c r="K51" s="2757">
        <f>'Pnj APBDES'!K304</f>
        <v>7204564</v>
      </c>
      <c r="L51" s="2757">
        <v>0</v>
      </c>
      <c r="M51" s="2757">
        <f t="shared" si="3"/>
        <v>-7204564</v>
      </c>
      <c r="N51" s="2757" t="s">
        <v>22</v>
      </c>
      <c r="O51" s="2741"/>
      <c r="P51" s="2742"/>
      <c r="Q51" s="2742"/>
      <c r="R51" s="2741"/>
      <c r="S51" s="2743" t="s">
        <v>246</v>
      </c>
      <c r="T51" s="2741"/>
      <c r="U51" s="2741"/>
      <c r="V51" s="2742" t="s">
        <v>1211</v>
      </c>
      <c r="W51" s="1293"/>
      <c r="X51" s="1272"/>
      <c r="Y51" s="1266"/>
      <c r="Z51" s="1266"/>
      <c r="AA51" s="1266"/>
      <c r="AB51" s="1266"/>
      <c r="AC51" s="1266"/>
      <c r="AD51" s="1272"/>
      <c r="AE51" s="1272"/>
      <c r="AF51" s="1272"/>
      <c r="AG51" s="1272"/>
      <c r="AH51" s="1272"/>
      <c r="AI51" s="1272"/>
      <c r="AJ51" s="1272"/>
    </row>
    <row r="52" spans="1:36" ht="30.75" customHeight="1">
      <c r="A52" s="2862" t="s">
        <v>234</v>
      </c>
      <c r="B52" s="2862"/>
      <c r="C52" s="2862"/>
      <c r="D52" s="2862"/>
      <c r="E52" s="2862"/>
      <c r="F52" s="2862"/>
      <c r="G52" s="2862"/>
      <c r="H52" s="2862"/>
      <c r="I52" s="2042"/>
      <c r="J52" s="2693"/>
      <c r="K52" s="2708">
        <f>SUM(K48:K51)</f>
        <v>39804564</v>
      </c>
      <c r="L52" s="2708">
        <f>SUM(L48:L51)</f>
        <v>17600000</v>
      </c>
      <c r="M52" s="2708">
        <f>SUM(M48:M51)</f>
        <v>-22204564</v>
      </c>
      <c r="N52" s="1304"/>
      <c r="O52" s="1304"/>
      <c r="P52" s="1304"/>
      <c r="Q52" s="1304"/>
      <c r="R52" s="2542"/>
      <c r="S52" s="2542"/>
      <c r="T52" s="2542"/>
      <c r="U52" s="2542"/>
      <c r="V52" s="1304"/>
      <c r="W52" s="1293"/>
      <c r="X52" s="1272"/>
      <c r="Y52" s="1266"/>
      <c r="Z52" s="1266"/>
      <c r="AA52" s="1266"/>
      <c r="AB52" s="1266"/>
      <c r="AC52" s="1266"/>
      <c r="AD52" s="1272"/>
      <c r="AE52" s="1272"/>
      <c r="AF52" s="1272"/>
      <c r="AG52" s="1272"/>
      <c r="AH52" s="1272"/>
      <c r="AI52" s="1272"/>
      <c r="AJ52" s="1272"/>
    </row>
    <row r="53" spans="1:36" ht="48" customHeight="1">
      <c r="A53" s="2863">
        <v>5</v>
      </c>
      <c r="B53" s="2864" t="s">
        <v>1466</v>
      </c>
      <c r="C53" s="2759" t="s">
        <v>170</v>
      </c>
      <c r="D53" s="2760" t="s">
        <v>435</v>
      </c>
      <c r="E53" s="2759" t="s">
        <v>1206</v>
      </c>
      <c r="F53" s="2759" t="s">
        <v>1468</v>
      </c>
      <c r="G53" s="2761"/>
      <c r="H53" s="2761"/>
      <c r="I53" s="2759" t="s">
        <v>90</v>
      </c>
      <c r="J53" s="2563">
        <v>2020</v>
      </c>
      <c r="K53" s="2762">
        <v>0</v>
      </c>
      <c r="L53" s="2754">
        <f>'Pnj APBDES'!L308</f>
        <v>34855000</v>
      </c>
      <c r="M53" s="2754">
        <f>L53-K53</f>
        <v>34855000</v>
      </c>
      <c r="N53" s="2563" t="s">
        <v>327</v>
      </c>
      <c r="O53" s="2722"/>
      <c r="P53" s="2722"/>
      <c r="Q53" s="2722"/>
      <c r="R53" s="2721"/>
      <c r="S53" s="2745" t="s">
        <v>246</v>
      </c>
      <c r="T53" s="2721"/>
      <c r="U53" s="2721"/>
      <c r="V53" s="2722" t="s">
        <v>1650</v>
      </c>
      <c r="W53" s="1293"/>
      <c r="X53" s="1272"/>
      <c r="Y53" s="1266"/>
      <c r="Z53" s="1266"/>
      <c r="AA53" s="1266"/>
      <c r="AB53" s="1266"/>
      <c r="AC53" s="1266"/>
      <c r="AD53" s="1272"/>
      <c r="AE53" s="1272"/>
      <c r="AF53" s="1272"/>
      <c r="AG53" s="1272"/>
      <c r="AH53" s="1272"/>
      <c r="AI53" s="1272"/>
      <c r="AJ53" s="1272"/>
    </row>
    <row r="54" spans="1:36" ht="48" customHeight="1">
      <c r="A54" s="2863"/>
      <c r="B54" s="2864"/>
      <c r="C54" s="2763" t="s">
        <v>219</v>
      </c>
      <c r="D54" s="2758" t="s">
        <v>1467</v>
      </c>
      <c r="E54" s="2763" t="s">
        <v>1206</v>
      </c>
      <c r="F54" s="2763" t="s">
        <v>1468</v>
      </c>
      <c r="G54" s="2749"/>
      <c r="H54" s="2749"/>
      <c r="I54" s="2763" t="s">
        <v>90</v>
      </c>
      <c r="J54" s="2541">
        <v>2020</v>
      </c>
      <c r="K54" s="2764">
        <v>0</v>
      </c>
      <c r="L54" s="2757">
        <f>'Pnj APBDES'!L309</f>
        <v>240954000</v>
      </c>
      <c r="M54" s="2757">
        <f>L54-K54</f>
        <v>240954000</v>
      </c>
      <c r="N54" s="2541" t="s">
        <v>22</v>
      </c>
      <c r="O54" s="2742"/>
      <c r="P54" s="2742"/>
      <c r="Q54" s="2742"/>
      <c r="R54" s="2741"/>
      <c r="S54" s="2743" t="s">
        <v>246</v>
      </c>
      <c r="T54" s="2741"/>
      <c r="U54" s="2741"/>
      <c r="V54" s="2742" t="s">
        <v>1650</v>
      </c>
      <c r="W54" s="1293"/>
      <c r="X54" s="1272"/>
      <c r="Y54" s="1266"/>
      <c r="Z54" s="1266"/>
      <c r="AA54" s="1266"/>
      <c r="AB54" s="1266"/>
      <c r="AC54" s="1266"/>
      <c r="AD54" s="1272"/>
      <c r="AE54" s="1272"/>
      <c r="AF54" s="1272"/>
      <c r="AG54" s="1272"/>
      <c r="AH54" s="1272"/>
      <c r="AI54" s="1272"/>
      <c r="AJ54" s="1272"/>
    </row>
    <row r="55" spans="1:36" ht="30.75" customHeight="1">
      <c r="A55" s="2871" t="s">
        <v>573</v>
      </c>
      <c r="B55" s="2871"/>
      <c r="C55" s="2871"/>
      <c r="D55" s="2871"/>
      <c r="E55" s="2871"/>
      <c r="F55" s="2871"/>
      <c r="G55" s="2042"/>
      <c r="H55" s="2042"/>
      <c r="I55" s="2042"/>
      <c r="J55" s="2693"/>
      <c r="K55" s="2708">
        <f>K53+K54</f>
        <v>0</v>
      </c>
      <c r="L55" s="2708">
        <f>SUM(L53:L54)</f>
        <v>275809000</v>
      </c>
      <c r="M55" s="2708">
        <f>SUM(M53:M54)</f>
        <v>275809000</v>
      </c>
      <c r="N55" s="1304"/>
      <c r="O55" s="1304"/>
      <c r="P55" s="1304"/>
      <c r="Q55" s="1304"/>
      <c r="R55" s="2542"/>
      <c r="S55" s="2542"/>
      <c r="T55" s="2542"/>
      <c r="U55" s="2542"/>
      <c r="V55" s="1304"/>
      <c r="W55" s="1293"/>
      <c r="X55" s="1272"/>
      <c r="Y55" s="1266"/>
      <c r="Z55" s="1266"/>
      <c r="AA55" s="1266"/>
      <c r="AB55" s="1266"/>
      <c r="AC55" s="1266"/>
      <c r="AD55" s="1272"/>
      <c r="AE55" s="1272"/>
      <c r="AF55" s="1272"/>
      <c r="AG55" s="1272"/>
      <c r="AH55" s="1272"/>
      <c r="AI55" s="1272"/>
      <c r="AJ55" s="1272"/>
    </row>
    <row r="56" spans="1:36" ht="30.75" customHeight="1">
      <c r="A56" s="2863">
        <v>6</v>
      </c>
      <c r="B56" s="2872" t="s">
        <v>15</v>
      </c>
      <c r="C56" s="2759" t="s">
        <v>243</v>
      </c>
      <c r="D56" s="2753" t="s">
        <v>16</v>
      </c>
      <c r="E56" s="2563" t="s">
        <v>1206</v>
      </c>
      <c r="F56" s="2563" t="s">
        <v>1366</v>
      </c>
      <c r="G56" s="2563"/>
      <c r="H56" s="2563"/>
      <c r="I56" s="2765"/>
      <c r="J56" s="2563">
        <v>2020</v>
      </c>
      <c r="K56" s="2766">
        <f>'Pnj APBDES'!L314</f>
        <v>149845905.84</v>
      </c>
      <c r="L56" s="2766">
        <f>K56</f>
        <v>149845905.84</v>
      </c>
      <c r="M56" s="2766">
        <f>L56-K56</f>
        <v>0</v>
      </c>
      <c r="N56" s="2721"/>
      <c r="O56" s="2721" t="str">
        <f>O48</f>
        <v>√</v>
      </c>
      <c r="P56" s="2721"/>
      <c r="Q56" s="2721"/>
      <c r="R56" s="2744" t="s">
        <v>1211</v>
      </c>
      <c r="S56" s="2744"/>
      <c r="T56" s="2744"/>
      <c r="U56" s="2744"/>
      <c r="V56" s="2722"/>
      <c r="W56" s="1293"/>
      <c r="X56" s="1272"/>
      <c r="Y56" s="1266"/>
      <c r="Z56" s="1266"/>
      <c r="AA56" s="1266"/>
      <c r="AB56" s="1266"/>
      <c r="AC56" s="1266"/>
      <c r="AD56" s="1272"/>
      <c r="AE56" s="1272"/>
      <c r="AF56" s="1272"/>
      <c r="AG56" s="1272"/>
      <c r="AH56" s="1272"/>
      <c r="AI56" s="1272"/>
      <c r="AJ56" s="1272"/>
    </row>
    <row r="57" spans="1:36" ht="30.75" customHeight="1">
      <c r="A57" s="2863"/>
      <c r="B57" s="2872"/>
      <c r="C57" s="2756"/>
      <c r="D57" s="2690" t="s">
        <v>18</v>
      </c>
      <c r="E57" s="2541" t="s">
        <v>1206</v>
      </c>
      <c r="F57" s="2541" t="s">
        <v>1366</v>
      </c>
      <c r="G57" s="2559"/>
      <c r="H57" s="2560"/>
      <c r="I57" s="2560"/>
      <c r="J57" s="2560">
        <v>2020</v>
      </c>
      <c r="K57" s="2740"/>
      <c r="L57" s="2740"/>
      <c r="M57" s="2767">
        <f>L57-K57</f>
        <v>0</v>
      </c>
      <c r="N57" s="2757"/>
      <c r="O57" s="2741"/>
      <c r="P57" s="2741"/>
      <c r="Q57" s="2741"/>
      <c r="R57" s="2741"/>
      <c r="S57" s="2741"/>
      <c r="T57" s="2741"/>
      <c r="U57" s="2741"/>
      <c r="V57" s="2742"/>
      <c r="W57" s="1293"/>
      <c r="X57" s="1272"/>
      <c r="Y57" s="1266"/>
      <c r="Z57" s="1266"/>
      <c r="AA57" s="1266"/>
      <c r="AB57" s="1266"/>
      <c r="AC57" s="1266"/>
      <c r="AD57" s="1272"/>
      <c r="AE57" s="1272"/>
      <c r="AF57" s="1272"/>
      <c r="AG57" s="1272"/>
      <c r="AH57" s="1272"/>
      <c r="AI57" s="1272"/>
      <c r="AJ57" s="1272"/>
    </row>
    <row r="58" spans="1:36" ht="30.75" customHeight="1">
      <c r="A58" s="2862" t="s">
        <v>1469</v>
      </c>
      <c r="B58" s="2862"/>
      <c r="C58" s="2862"/>
      <c r="D58" s="2862"/>
      <c r="E58" s="2862"/>
      <c r="F58" s="2862"/>
      <c r="G58" s="2862"/>
      <c r="H58" s="2862"/>
      <c r="I58" s="2042"/>
      <c r="J58" s="2693"/>
      <c r="K58" s="2708">
        <f>K56-K57</f>
        <v>149845905.84</v>
      </c>
      <c r="L58" s="2708">
        <f>SUM(L56:L57)</f>
        <v>149845905.84</v>
      </c>
      <c r="M58" s="2716">
        <f>L58-K58</f>
        <v>0</v>
      </c>
      <c r="N58" s="1304"/>
      <c r="O58" s="1304"/>
      <c r="P58" s="1304"/>
      <c r="Q58" s="1304"/>
      <c r="R58" s="2542"/>
      <c r="S58" s="2542"/>
      <c r="T58" s="2542"/>
      <c r="U58" s="2542"/>
      <c r="V58" s="1304"/>
      <c r="W58" s="1293"/>
      <c r="X58" s="1272"/>
      <c r="Y58" s="1266"/>
      <c r="Z58" s="1266"/>
      <c r="AA58" s="1266"/>
      <c r="AB58" s="1266"/>
      <c r="AC58" s="1266"/>
      <c r="AD58" s="1272"/>
      <c r="AE58" s="1272"/>
      <c r="AF58" s="1272"/>
      <c r="AG58" s="1272"/>
      <c r="AH58" s="1272"/>
      <c r="AI58" s="1272"/>
      <c r="AJ58" s="1272"/>
    </row>
    <row r="59" spans="1:36" ht="30.75" customHeight="1">
      <c r="A59" s="2873"/>
      <c r="B59" s="2873"/>
      <c r="C59" s="2873"/>
      <c r="D59" s="2873"/>
      <c r="E59" s="2873"/>
      <c r="F59" s="2873"/>
      <c r="G59" s="2873"/>
      <c r="H59" s="2873"/>
      <c r="I59" s="2709"/>
      <c r="J59" s="2710"/>
      <c r="K59" s="2711"/>
      <c r="L59" s="2711"/>
      <c r="M59" s="2711"/>
      <c r="N59" s="1304"/>
      <c r="O59" s="1304"/>
      <c r="P59" s="1304"/>
      <c r="Q59" s="1304"/>
      <c r="R59" s="2542"/>
      <c r="S59" s="2542"/>
      <c r="T59" s="2542"/>
      <c r="U59" s="2542"/>
      <c r="V59" s="1304"/>
      <c r="W59" s="1293"/>
      <c r="X59" s="1272"/>
      <c r="Y59" s="1266"/>
      <c r="Z59" s="1266"/>
      <c r="AA59" s="1266"/>
      <c r="AB59" s="1266"/>
      <c r="AC59" s="1266"/>
      <c r="AD59" s="1272"/>
      <c r="AE59" s="1272"/>
      <c r="AF59" s="1272"/>
      <c r="AG59" s="1272"/>
      <c r="AH59" s="1272"/>
      <c r="AI59" s="1272"/>
      <c r="AJ59" s="1272"/>
    </row>
    <row r="60" spans="1:36" ht="30.75" customHeight="1">
      <c r="A60" s="2862" t="s">
        <v>93</v>
      </c>
      <c r="B60" s="2862"/>
      <c r="C60" s="2862"/>
      <c r="D60" s="2862"/>
      <c r="E60" s="2862"/>
      <c r="F60" s="2862"/>
      <c r="G60" s="2862"/>
      <c r="H60" s="2862"/>
      <c r="I60" s="2042"/>
      <c r="J60" s="2693"/>
      <c r="K60" s="2717">
        <f>K26+K37+K47+K52</f>
        <v>1536094000</v>
      </c>
      <c r="L60" s="2717">
        <f>L26+L37+L47+L52+L55</f>
        <v>1473343651</v>
      </c>
      <c r="M60" s="2717">
        <f>L60-K60</f>
        <v>-62750349</v>
      </c>
      <c r="N60" s="1304"/>
      <c r="O60" s="1304"/>
      <c r="P60" s="1304"/>
      <c r="Q60" s="1304"/>
      <c r="R60" s="2542"/>
      <c r="S60" s="2542"/>
      <c r="T60" s="2542"/>
      <c r="U60" s="2542"/>
      <c r="V60" s="1304"/>
      <c r="W60" s="1293"/>
      <c r="X60" s="1275"/>
      <c r="Y60" s="1266"/>
      <c r="Z60" s="1266"/>
      <c r="AA60" s="1266"/>
      <c r="AB60" s="1266"/>
      <c r="AC60" s="1266"/>
      <c r="AD60" s="1272"/>
      <c r="AE60" s="1272"/>
      <c r="AF60" s="1272"/>
      <c r="AG60" s="1272"/>
      <c r="AH60" s="1272"/>
      <c r="AI60" s="1272"/>
      <c r="AJ60" s="1272"/>
    </row>
    <row r="61" spans="1:36" ht="15.75" customHeight="1">
      <c r="A61" s="1340"/>
      <c r="B61" s="1340"/>
      <c r="C61" s="1340"/>
      <c r="D61" s="1340"/>
      <c r="E61" s="1340"/>
      <c r="F61" s="1340"/>
      <c r="G61" s="1340"/>
      <c r="H61" s="1340"/>
      <c r="I61" s="1340"/>
      <c r="J61" s="2540"/>
      <c r="K61" s="1341"/>
      <c r="L61" s="1341"/>
      <c r="M61" s="1341"/>
      <c r="N61" s="1293"/>
      <c r="O61" s="1293"/>
      <c r="P61" s="1293"/>
      <c r="Q61" s="1293"/>
      <c r="R61" s="1342"/>
      <c r="S61" s="1342"/>
      <c r="T61" s="1342"/>
      <c r="U61" s="1342"/>
      <c r="V61" s="1293"/>
      <c r="W61" s="1293"/>
      <c r="X61" s="1272"/>
      <c r="Y61" s="1343"/>
      <c r="Z61" s="1343"/>
      <c r="AA61" s="1343"/>
      <c r="AB61" s="1343"/>
      <c r="AC61" s="1343"/>
      <c r="AD61" s="1272"/>
      <c r="AE61" s="1272"/>
      <c r="AF61" s="1272"/>
      <c r="AG61" s="1272"/>
      <c r="AH61" s="1272"/>
      <c r="AI61" s="1272"/>
      <c r="AJ61" s="1272"/>
    </row>
    <row r="62" spans="1:36" ht="15.75" customHeight="1">
      <c r="K62" s="1341">
        <f>K60-'Pnj APBDES'!K311</f>
        <v>0</v>
      </c>
      <c r="L62" s="1341">
        <f>L60-'Pnj APBDES'!L311</f>
        <v>0</v>
      </c>
      <c r="M62" s="1341"/>
      <c r="O62" s="1243" t="s">
        <v>1207</v>
      </c>
      <c r="P62" s="1344"/>
      <c r="X62" s="1345"/>
      <c r="Y62" s="1266"/>
      <c r="Z62" s="1266"/>
      <c r="AA62" s="1272"/>
      <c r="AB62" s="1272"/>
      <c r="AC62" s="1272"/>
      <c r="AD62" s="1272"/>
      <c r="AE62" s="1272"/>
      <c r="AF62" s="1272"/>
      <c r="AG62" s="1272"/>
      <c r="AH62" s="1272"/>
      <c r="AI62" s="1272"/>
      <c r="AJ62" s="1272"/>
    </row>
    <row r="63" spans="1:36" ht="18" customHeight="1">
      <c r="D63" s="1242" t="s">
        <v>94</v>
      </c>
      <c r="P63" s="1242" t="s">
        <v>95</v>
      </c>
      <c r="S63" s="2838" t="s">
        <v>1334</v>
      </c>
      <c r="T63" s="2838"/>
      <c r="U63" s="2838"/>
      <c r="V63" s="2838"/>
      <c r="X63" s="1272"/>
      <c r="Y63" s="1275"/>
      <c r="Z63" s="1266"/>
      <c r="AA63" s="1272"/>
      <c r="AB63" s="1272"/>
      <c r="AC63" s="1272"/>
      <c r="AD63" s="1272"/>
      <c r="AE63" s="1272"/>
      <c r="AF63" s="1272"/>
      <c r="AG63" s="1272"/>
      <c r="AH63" s="1272"/>
      <c r="AI63" s="1272"/>
      <c r="AJ63" s="1272"/>
    </row>
    <row r="64" spans="1:36" ht="15.75" customHeight="1">
      <c r="D64" s="1242" t="s">
        <v>584</v>
      </c>
      <c r="P64" s="1242" t="s">
        <v>100</v>
      </c>
      <c r="S64" s="2840" t="s">
        <v>177</v>
      </c>
      <c r="T64" s="2840"/>
      <c r="U64" s="2840"/>
      <c r="V64" s="2840"/>
      <c r="X64" s="1272"/>
      <c r="Y64" s="1266"/>
      <c r="Z64" s="1266"/>
      <c r="AA64" s="1272"/>
      <c r="AB64" s="1272"/>
      <c r="AC64" s="1272"/>
      <c r="AD64" s="1272"/>
      <c r="AE64" s="1272"/>
      <c r="AF64" s="1272"/>
      <c r="AG64" s="1272"/>
      <c r="AH64" s="1272"/>
      <c r="AI64" s="1272"/>
      <c r="AJ64" s="1272"/>
    </row>
    <row r="65" spans="1:36" ht="15.75" customHeight="1">
      <c r="D65" s="2663"/>
      <c r="P65" s="1242"/>
      <c r="S65" s="1243"/>
      <c r="T65" s="1243"/>
      <c r="U65" s="1243"/>
      <c r="X65" s="1272"/>
      <c r="Y65" s="1266"/>
      <c r="Z65" s="1266"/>
      <c r="AA65" s="1272"/>
      <c r="AB65" s="1272"/>
      <c r="AC65" s="1272"/>
      <c r="AD65" s="1272"/>
      <c r="AE65" s="1272"/>
      <c r="AF65" s="1272"/>
      <c r="AG65" s="1272"/>
      <c r="AH65" s="1272"/>
      <c r="AI65" s="1272"/>
      <c r="AJ65" s="1272"/>
    </row>
    <row r="66" spans="1:36" ht="15.75" customHeight="1">
      <c r="D66" s="2663"/>
      <c r="P66" s="1242"/>
      <c r="S66" s="1243"/>
      <c r="T66" s="1243"/>
      <c r="U66" s="1243"/>
      <c r="X66" s="1272"/>
      <c r="Y66" s="1266"/>
      <c r="Z66" s="1266"/>
      <c r="AA66" s="1272"/>
      <c r="AB66" s="1272"/>
      <c r="AC66" s="1272"/>
      <c r="AD66" s="1272"/>
      <c r="AE66" s="1272"/>
      <c r="AF66" s="1272"/>
      <c r="AG66" s="1272"/>
      <c r="AH66" s="1272"/>
      <c r="AI66" s="1272"/>
      <c r="AJ66" s="1272"/>
    </row>
    <row r="67" spans="1:36" ht="15.75" customHeight="1">
      <c r="E67" s="1243" t="s">
        <v>21</v>
      </c>
      <c r="S67" s="1243"/>
      <c r="T67" s="1243"/>
      <c r="U67" s="1243"/>
      <c r="X67" s="1272"/>
      <c r="Y67" s="1266"/>
      <c r="Z67" s="1266"/>
      <c r="AA67" s="1272"/>
      <c r="AB67" s="1272"/>
      <c r="AC67" s="1272"/>
      <c r="AD67" s="1272"/>
      <c r="AE67" s="1272"/>
      <c r="AF67" s="1272"/>
      <c r="AG67" s="1272"/>
      <c r="AH67" s="1272"/>
      <c r="AI67" s="1272"/>
      <c r="AJ67" s="1272"/>
    </row>
    <row r="68" spans="1:36" ht="15.75" customHeight="1">
      <c r="G68" s="1245"/>
      <c r="H68" s="1245"/>
      <c r="I68" s="1245"/>
      <c r="O68" s="1245"/>
      <c r="P68" s="1245"/>
      <c r="Q68" s="1245"/>
      <c r="S68" s="1243"/>
      <c r="T68" s="1243"/>
      <c r="U68" s="1243"/>
      <c r="V68" s="1245"/>
      <c r="W68" s="1245"/>
      <c r="X68" s="1272"/>
      <c r="Y68" s="1346"/>
      <c r="Z68" s="1346"/>
      <c r="AA68" s="1347"/>
      <c r="AB68" s="1347"/>
      <c r="AC68" s="1347"/>
      <c r="AD68" s="1272"/>
      <c r="AE68" s="1272"/>
      <c r="AF68" s="1272"/>
      <c r="AG68" s="1272"/>
      <c r="AH68" s="1272"/>
      <c r="AI68" s="1272"/>
      <c r="AJ68" s="1272"/>
    </row>
    <row r="69" spans="1:36" ht="15.75" customHeight="1">
      <c r="F69" s="1243" t="s">
        <v>21</v>
      </c>
      <c r="G69" s="1243" t="s">
        <v>21</v>
      </c>
      <c r="S69" s="1243"/>
      <c r="T69" s="1243"/>
      <c r="U69" s="1243"/>
      <c r="X69" s="1272"/>
      <c r="Y69" s="1266"/>
      <c r="Z69" s="1266"/>
      <c r="AA69" s="1272"/>
      <c r="AB69" s="1272"/>
      <c r="AC69" s="1272"/>
      <c r="AD69" s="1272"/>
      <c r="AE69" s="1272"/>
      <c r="AF69" s="1272"/>
      <c r="AG69" s="1272"/>
      <c r="AH69" s="1272"/>
      <c r="AI69" s="1272"/>
      <c r="AJ69" s="1272"/>
    </row>
    <row r="70" spans="1:36" ht="15.75" customHeight="1">
      <c r="D70" s="2664" t="s">
        <v>877</v>
      </c>
      <c r="G70" s="1246"/>
      <c r="H70" s="1246"/>
      <c r="I70" s="1246"/>
      <c r="J70" s="2696"/>
      <c r="O70" s="1245"/>
      <c r="P70" s="2664" t="s">
        <v>875</v>
      </c>
      <c r="Q70" s="1245"/>
      <c r="S70" s="2839" t="s">
        <v>1515</v>
      </c>
      <c r="T70" s="2839"/>
      <c r="U70" s="2839"/>
      <c r="V70" s="2839"/>
      <c r="W70" s="2663"/>
      <c r="X70" s="1272"/>
      <c r="Y70" s="1346"/>
      <c r="Z70" s="1346"/>
      <c r="AA70" s="1347"/>
      <c r="AB70" s="1347"/>
      <c r="AC70" s="1347"/>
      <c r="AD70" s="1272"/>
      <c r="AE70" s="1272"/>
      <c r="AF70" s="1272"/>
      <c r="AG70" s="1272"/>
      <c r="AH70" s="1272"/>
      <c r="AI70" s="1272"/>
      <c r="AJ70" s="1272"/>
    </row>
    <row r="71" spans="1:36" ht="15.75" customHeight="1">
      <c r="A71" s="1348"/>
      <c r="B71" s="1348"/>
      <c r="C71" s="2712"/>
      <c r="G71" s="1245"/>
      <c r="H71" s="1245"/>
      <c r="I71" s="1245"/>
      <c r="K71" s="2663"/>
      <c r="L71" s="2663"/>
      <c r="M71" s="2663"/>
      <c r="N71" s="2663"/>
      <c r="O71" s="2663"/>
      <c r="P71" s="2663"/>
      <c r="Q71" s="2663"/>
      <c r="V71" s="2663"/>
      <c r="W71" s="2663"/>
      <c r="Z71" s="1350"/>
    </row>
    <row r="72" spans="1:36" ht="15.75" customHeight="1">
      <c r="K72" s="1341"/>
      <c r="L72" s="1341"/>
      <c r="M72" s="1341"/>
      <c r="Y72" s="1351"/>
      <c r="Z72" s="1352"/>
    </row>
    <row r="73" spans="1:36">
      <c r="D73" s="1353"/>
      <c r="K73" s="1341"/>
      <c r="L73" s="1341"/>
      <c r="M73" s="1341"/>
    </row>
    <row r="74" spans="1:36">
      <c r="D74" s="1353"/>
    </row>
    <row r="75" spans="1:36">
      <c r="D75" s="1353"/>
    </row>
    <row r="76" spans="1:36">
      <c r="D76" s="1353"/>
      <c r="R76" s="2663" t="s">
        <v>21</v>
      </c>
    </row>
    <row r="77" spans="1:36">
      <c r="D77" s="1353"/>
    </row>
  </sheetData>
  <mergeCells count="41">
    <mergeCell ref="S8:U9"/>
    <mergeCell ref="V8:V10"/>
    <mergeCell ref="C10:D10"/>
    <mergeCell ref="B48:B51"/>
    <mergeCell ref="A48:A51"/>
    <mergeCell ref="A37:H37"/>
    <mergeCell ref="A38:A46"/>
    <mergeCell ref="B38:B46"/>
    <mergeCell ref="A47:H47"/>
    <mergeCell ref="A1:V1"/>
    <mergeCell ref="A2:V2"/>
    <mergeCell ref="S63:V63"/>
    <mergeCell ref="S64:V64"/>
    <mergeCell ref="S70:V70"/>
    <mergeCell ref="I8:I10"/>
    <mergeCell ref="J8:J10"/>
    <mergeCell ref="K8:L9"/>
    <mergeCell ref="M8:M10"/>
    <mergeCell ref="N8:N10"/>
    <mergeCell ref="A55:F55"/>
    <mergeCell ref="A56:A57"/>
    <mergeCell ref="B56:B57"/>
    <mergeCell ref="A58:H58"/>
    <mergeCell ref="A59:H59"/>
    <mergeCell ref="A60:H60"/>
    <mergeCell ref="A52:H52"/>
    <mergeCell ref="A53:A54"/>
    <mergeCell ref="B53:B54"/>
    <mergeCell ref="R8:R10"/>
    <mergeCell ref="A12:A25"/>
    <mergeCell ref="B12:B25"/>
    <mergeCell ref="A26:H26"/>
    <mergeCell ref="A27:A35"/>
    <mergeCell ref="B27:B35"/>
    <mergeCell ref="A8:A10"/>
    <mergeCell ref="B8:D9"/>
    <mergeCell ref="E8:E10"/>
    <mergeCell ref="F8:F10"/>
    <mergeCell ref="G8:G10"/>
    <mergeCell ref="H8:H10"/>
    <mergeCell ref="O8:Q9"/>
  </mergeCells>
  <pageMargins left="0.17" right="0.39370078740157483" top="0.9055118110236221" bottom="0.43307086614173229" header="0.31496062992125984" footer="0.31496062992125984"/>
  <pageSetup paperSize="256" scale="2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R43"/>
  <sheetViews>
    <sheetView workbookViewId="0"/>
  </sheetViews>
  <sheetFormatPr defaultColWidth="3.5703125" defaultRowHeight="15.75"/>
  <cols>
    <col min="1" max="1" width="8.28515625" style="9" customWidth="1"/>
    <col min="2" max="2" width="4.5703125" style="9" customWidth="1"/>
    <col min="3" max="3" width="23.28515625" style="9" customWidth="1"/>
    <col min="4" max="4" width="6.42578125" style="9" customWidth="1"/>
    <col min="5" max="5" width="52.7109375" style="9" customWidth="1"/>
    <col min="6" max="6" width="22.28515625" style="9" customWidth="1"/>
    <col min="7" max="7" width="12.140625" style="9" customWidth="1"/>
    <col min="8" max="8" width="26.28515625" style="9" customWidth="1"/>
    <col min="9" max="9" width="15.140625" style="9" customWidth="1"/>
    <col min="10" max="10" width="24.85546875" style="9" customWidth="1"/>
    <col min="11" max="11" width="26" style="9" customWidth="1"/>
    <col min="12" max="252" width="9.140625" style="9" customWidth="1"/>
    <col min="253" max="253" width="4.5703125" style="9" customWidth="1"/>
    <col min="254" max="254" width="21.85546875" style="9" customWidth="1"/>
    <col min="255" max="255" width="22.140625" style="9" customWidth="1"/>
    <col min="256" max="256" width="11.5703125" style="9" customWidth="1"/>
    <col min="257" max="16384" width="3.5703125" style="9"/>
  </cols>
  <sheetData>
    <row r="1" spans="2:11">
      <c r="B1" s="2878" t="s">
        <v>372</v>
      </c>
      <c r="C1" s="2878"/>
      <c r="D1" s="2878"/>
      <c r="E1" s="2878"/>
      <c r="F1" s="2878"/>
      <c r="G1" s="2878"/>
      <c r="H1" s="2878"/>
      <c r="I1" s="2878"/>
      <c r="J1" s="2878"/>
    </row>
    <row r="2" spans="2:11">
      <c r="B2" s="2878" t="s">
        <v>384</v>
      </c>
      <c r="C2" s="2878"/>
      <c r="D2" s="2878"/>
      <c r="E2" s="2878"/>
      <c r="F2" s="2878"/>
      <c r="G2" s="2878"/>
      <c r="H2" s="2878"/>
      <c r="I2" s="2878"/>
      <c r="J2" s="2878"/>
    </row>
    <row r="3" spans="2:11">
      <c r="B3" s="8" t="s">
        <v>51</v>
      </c>
      <c r="D3" s="10" t="s">
        <v>46</v>
      </c>
      <c r="E3" s="9" t="s">
        <v>882</v>
      </c>
    </row>
    <row r="4" spans="2:11">
      <c r="B4" s="1" t="s">
        <v>52</v>
      </c>
      <c r="C4" s="12"/>
      <c r="D4" s="10" t="s">
        <v>46</v>
      </c>
      <c r="E4" s="9" t="s">
        <v>203</v>
      </c>
    </row>
    <row r="5" spans="2:11">
      <c r="B5" s="1" t="s">
        <v>53</v>
      </c>
      <c r="C5" s="12"/>
      <c r="D5" s="10" t="s">
        <v>46</v>
      </c>
      <c r="E5" s="9" t="s">
        <v>54</v>
      </c>
      <c r="J5" s="1"/>
    </row>
    <row r="6" spans="2:11">
      <c r="B6" s="1" t="s">
        <v>373</v>
      </c>
      <c r="C6" s="12"/>
      <c r="D6" s="10" t="s">
        <v>46</v>
      </c>
      <c r="E6" s="9" t="s">
        <v>56</v>
      </c>
      <c r="J6" s="1"/>
    </row>
    <row r="8" spans="2:11">
      <c r="B8" s="2879" t="s">
        <v>57</v>
      </c>
      <c r="C8" s="2880" t="s">
        <v>58</v>
      </c>
      <c r="D8" s="2881"/>
      <c r="E8" s="2882"/>
      <c r="F8" s="2886" t="s">
        <v>59</v>
      </c>
      <c r="G8" s="2879" t="s">
        <v>60</v>
      </c>
      <c r="H8" s="2879" t="s">
        <v>61</v>
      </c>
      <c r="I8" s="2880" t="s">
        <v>374</v>
      </c>
      <c r="J8" s="2880" t="s">
        <v>375</v>
      </c>
      <c r="K8" s="2882"/>
    </row>
    <row r="9" spans="2:11">
      <c r="B9" s="2879"/>
      <c r="C9" s="2883"/>
      <c r="D9" s="2884"/>
      <c r="E9" s="2885"/>
      <c r="F9" s="2887"/>
      <c r="G9" s="2879"/>
      <c r="H9" s="2879"/>
      <c r="I9" s="2889"/>
      <c r="J9" s="2883"/>
      <c r="K9" s="2890"/>
    </row>
    <row r="10" spans="2:11">
      <c r="B10" s="2879"/>
      <c r="C10" s="213" t="s">
        <v>66</v>
      </c>
      <c r="D10" s="213"/>
      <c r="E10" s="213" t="s">
        <v>67</v>
      </c>
      <c r="F10" s="2888"/>
      <c r="G10" s="2879"/>
      <c r="H10" s="2879"/>
      <c r="I10" s="2888"/>
      <c r="J10" s="238" t="s">
        <v>376</v>
      </c>
      <c r="K10" s="239" t="s">
        <v>47</v>
      </c>
    </row>
    <row r="11" spans="2:11" ht="16.5" customHeight="1">
      <c r="B11" s="2896">
        <v>1</v>
      </c>
      <c r="C11" s="2886" t="s">
        <v>86</v>
      </c>
      <c r="D11" s="96"/>
      <c r="E11" s="95"/>
      <c r="F11" s="97"/>
      <c r="G11" s="96"/>
      <c r="H11" s="96"/>
      <c r="I11" s="96"/>
      <c r="J11" s="240"/>
      <c r="K11" s="241"/>
    </row>
    <row r="12" spans="2:11">
      <c r="B12" s="2897"/>
      <c r="C12" s="2887"/>
      <c r="D12" s="82"/>
      <c r="E12" s="81"/>
      <c r="F12" s="83"/>
      <c r="G12" s="82"/>
      <c r="H12" s="82"/>
      <c r="I12" s="82"/>
      <c r="J12" s="222"/>
      <c r="K12" s="94"/>
    </row>
    <row r="13" spans="2:11">
      <c r="B13" s="2897"/>
      <c r="C13" s="2887"/>
      <c r="D13" s="82"/>
      <c r="E13" s="81"/>
      <c r="F13" s="83"/>
      <c r="G13" s="82"/>
      <c r="H13" s="82"/>
      <c r="I13" s="82"/>
      <c r="J13" s="222"/>
      <c r="K13" s="94"/>
    </row>
    <row r="14" spans="2:11">
      <c r="B14" s="2891" t="s">
        <v>377</v>
      </c>
      <c r="C14" s="2892"/>
      <c r="D14" s="2892"/>
      <c r="E14" s="2892"/>
      <c r="F14" s="2892"/>
      <c r="G14" s="2892"/>
      <c r="H14" s="2892"/>
      <c r="I14" s="2892"/>
      <c r="J14" s="223">
        <f>SUM(J11:J13)</f>
        <v>0</v>
      </c>
      <c r="K14" s="74"/>
    </row>
    <row r="15" spans="2:11" ht="20.100000000000001" customHeight="1">
      <c r="B15" s="2900">
        <v>2</v>
      </c>
      <c r="C15" s="2903" t="s">
        <v>48</v>
      </c>
      <c r="D15" s="76">
        <v>1</v>
      </c>
      <c r="E15" s="75" t="s">
        <v>404</v>
      </c>
      <c r="F15" s="243" t="s">
        <v>882</v>
      </c>
      <c r="G15" s="77" t="s">
        <v>385</v>
      </c>
      <c r="H15" s="77" t="s">
        <v>90</v>
      </c>
      <c r="I15" s="76">
        <v>2018</v>
      </c>
      <c r="J15" s="78">
        <v>1500000000</v>
      </c>
      <c r="K15" s="227" t="s">
        <v>378</v>
      </c>
    </row>
    <row r="16" spans="2:11" ht="20.100000000000001" customHeight="1">
      <c r="B16" s="2901"/>
      <c r="C16" s="2904"/>
      <c r="D16" s="82">
        <v>2</v>
      </c>
      <c r="E16" s="228" t="s">
        <v>387</v>
      </c>
      <c r="F16" s="244" t="s">
        <v>388</v>
      </c>
      <c r="G16" s="83" t="s">
        <v>407</v>
      </c>
      <c r="H16" s="83" t="s">
        <v>90</v>
      </c>
      <c r="I16" s="82">
        <v>2018</v>
      </c>
      <c r="J16" s="89">
        <v>700000000</v>
      </c>
      <c r="K16" s="84" t="s">
        <v>414</v>
      </c>
    </row>
    <row r="17" spans="2:18" ht="20.100000000000001" customHeight="1">
      <c r="B17" s="2901"/>
      <c r="C17" s="2904"/>
      <c r="D17" s="82">
        <v>3</v>
      </c>
      <c r="E17" s="228" t="s">
        <v>389</v>
      </c>
      <c r="F17" s="244" t="s">
        <v>388</v>
      </c>
      <c r="G17" s="83" t="s">
        <v>390</v>
      </c>
      <c r="H17" s="83" t="s">
        <v>90</v>
      </c>
      <c r="I17" s="82">
        <v>2018</v>
      </c>
      <c r="J17" s="89">
        <v>600000000</v>
      </c>
      <c r="K17" s="84" t="s">
        <v>386</v>
      </c>
    </row>
    <row r="18" spans="2:18" ht="20.100000000000001" customHeight="1">
      <c r="B18" s="2901"/>
      <c r="C18" s="2904"/>
      <c r="D18" s="82">
        <v>4</v>
      </c>
      <c r="E18" s="228" t="s">
        <v>391</v>
      </c>
      <c r="F18" s="244" t="s">
        <v>392</v>
      </c>
      <c r="G18" s="83" t="s">
        <v>393</v>
      </c>
      <c r="H18" s="83" t="s">
        <v>90</v>
      </c>
      <c r="I18" s="82">
        <v>2018</v>
      </c>
      <c r="J18" s="89">
        <v>180000000</v>
      </c>
      <c r="K18" s="84" t="s">
        <v>386</v>
      </c>
    </row>
    <row r="19" spans="2:18" ht="20.100000000000001" customHeight="1">
      <c r="B19" s="2901"/>
      <c r="C19" s="2904"/>
      <c r="D19" s="82">
        <v>5</v>
      </c>
      <c r="E19" s="228" t="s">
        <v>408</v>
      </c>
      <c r="F19" s="244" t="s">
        <v>882</v>
      </c>
      <c r="G19" s="83" t="s">
        <v>394</v>
      </c>
      <c r="H19" s="83" t="s">
        <v>395</v>
      </c>
      <c r="I19" s="82">
        <v>2018</v>
      </c>
      <c r="J19" s="89">
        <v>200000000</v>
      </c>
      <c r="K19" s="84" t="s">
        <v>386</v>
      </c>
    </row>
    <row r="20" spans="2:18" ht="20.100000000000001" customHeight="1">
      <c r="B20" s="2901"/>
      <c r="C20" s="2904"/>
      <c r="D20" s="82">
        <v>6</v>
      </c>
      <c r="E20" s="228" t="s">
        <v>396</v>
      </c>
      <c r="F20" s="244" t="s">
        <v>882</v>
      </c>
      <c r="G20" s="83" t="s">
        <v>397</v>
      </c>
      <c r="H20" s="83" t="s">
        <v>398</v>
      </c>
      <c r="I20" s="82">
        <v>2018</v>
      </c>
      <c r="J20" s="89">
        <v>40000000</v>
      </c>
      <c r="K20" s="84" t="s">
        <v>386</v>
      </c>
    </row>
    <row r="21" spans="2:18" ht="20.100000000000001" customHeight="1">
      <c r="B21" s="2901"/>
      <c r="C21" s="2904"/>
      <c r="D21" s="82">
        <v>7</v>
      </c>
      <c r="E21" s="88" t="s">
        <v>405</v>
      </c>
      <c r="F21" s="246" t="s">
        <v>399</v>
      </c>
      <c r="G21" s="83" t="s">
        <v>409</v>
      </c>
      <c r="H21" s="83" t="s">
        <v>413</v>
      </c>
      <c r="I21" s="82">
        <v>2018</v>
      </c>
      <c r="J21" s="89">
        <v>56000000</v>
      </c>
      <c r="K21" s="84" t="s">
        <v>386</v>
      </c>
      <c r="N21" s="9" t="s">
        <v>21</v>
      </c>
    </row>
    <row r="22" spans="2:18" ht="20.100000000000001" customHeight="1">
      <c r="B22" s="2901"/>
      <c r="C22" s="2904"/>
      <c r="D22" s="82">
        <v>8</v>
      </c>
      <c r="E22" s="88" t="s">
        <v>400</v>
      </c>
      <c r="F22" s="246" t="s">
        <v>392</v>
      </c>
      <c r="G22" s="83" t="s">
        <v>393</v>
      </c>
      <c r="H22" s="83" t="s">
        <v>401</v>
      </c>
      <c r="I22" s="82">
        <v>2018</v>
      </c>
      <c r="J22" s="89">
        <v>100000000</v>
      </c>
      <c r="K22" s="84" t="s">
        <v>386</v>
      </c>
    </row>
    <row r="23" spans="2:18" ht="20.100000000000001" customHeight="1">
      <c r="B23" s="2901"/>
      <c r="C23" s="2904"/>
      <c r="D23" s="82">
        <v>9</v>
      </c>
      <c r="E23" s="88" t="s">
        <v>428</v>
      </c>
      <c r="F23" s="246" t="s">
        <v>402</v>
      </c>
      <c r="G23" s="83" t="s">
        <v>379</v>
      </c>
      <c r="H23" s="83" t="s">
        <v>403</v>
      </c>
      <c r="I23" s="82">
        <v>2018</v>
      </c>
      <c r="J23" s="89">
        <v>500000000</v>
      </c>
      <c r="K23" s="84" t="s">
        <v>378</v>
      </c>
    </row>
    <row r="24" spans="2:18" ht="20.100000000000001" customHeight="1">
      <c r="B24" s="2901"/>
      <c r="C24" s="2904"/>
      <c r="D24" s="82">
        <v>10</v>
      </c>
      <c r="E24" s="88" t="s">
        <v>406</v>
      </c>
      <c r="F24" s="244" t="s">
        <v>882</v>
      </c>
      <c r="G24" s="83" t="s">
        <v>407</v>
      </c>
      <c r="H24" s="83" t="s">
        <v>403</v>
      </c>
      <c r="I24" s="82">
        <v>2018</v>
      </c>
      <c r="J24" s="89">
        <v>250000000</v>
      </c>
      <c r="K24" s="84" t="s">
        <v>386</v>
      </c>
    </row>
    <row r="25" spans="2:18" ht="20.100000000000001" customHeight="1">
      <c r="B25" s="2902"/>
      <c r="C25" s="2905"/>
      <c r="D25" s="213">
        <v>11</v>
      </c>
      <c r="E25" s="242" t="s">
        <v>411</v>
      </c>
      <c r="F25" s="245" t="s">
        <v>882</v>
      </c>
      <c r="G25" s="231" t="s">
        <v>412</v>
      </c>
      <c r="H25" s="83" t="s">
        <v>90</v>
      </c>
      <c r="I25" s="82">
        <v>2018</v>
      </c>
      <c r="J25" s="230">
        <v>200000000</v>
      </c>
      <c r="K25" s="84" t="s">
        <v>378</v>
      </c>
    </row>
    <row r="26" spans="2:18">
      <c r="B26" s="2893" t="s">
        <v>380</v>
      </c>
      <c r="C26" s="2894"/>
      <c r="D26" s="2894"/>
      <c r="E26" s="2894"/>
      <c r="F26" s="2894"/>
      <c r="G26" s="2894"/>
      <c r="H26" s="2894"/>
      <c r="I26" s="2895"/>
      <c r="J26" s="214">
        <f>SUM(J15:J25)</f>
        <v>4326000000</v>
      </c>
      <c r="K26" s="14"/>
    </row>
    <row r="27" spans="2:18">
      <c r="B27" s="2896">
        <v>3</v>
      </c>
      <c r="C27" s="2898" t="s">
        <v>49</v>
      </c>
      <c r="D27" s="232"/>
      <c r="E27" s="75"/>
      <c r="F27" s="76"/>
      <c r="G27" s="77"/>
      <c r="H27" s="77"/>
      <c r="I27" s="77"/>
      <c r="J27" s="233"/>
      <c r="K27" s="84"/>
    </row>
    <row r="28" spans="2:18">
      <c r="B28" s="2897"/>
      <c r="C28" s="2899"/>
      <c r="D28" s="221"/>
      <c r="E28" s="88"/>
      <c r="F28" s="82"/>
      <c r="G28" s="83"/>
      <c r="H28" s="83"/>
      <c r="I28" s="83"/>
      <c r="J28" s="234"/>
      <c r="K28" s="84"/>
    </row>
    <row r="29" spans="2:18">
      <c r="B29" s="2897"/>
      <c r="C29" s="2899"/>
      <c r="D29" s="221"/>
      <c r="E29" s="88"/>
      <c r="F29" s="82"/>
      <c r="G29" s="83"/>
      <c r="H29" s="83"/>
      <c r="I29" s="83"/>
      <c r="J29" s="234"/>
      <c r="K29" s="84"/>
      <c r="N29" s="9" t="s">
        <v>21</v>
      </c>
    </row>
    <row r="30" spans="2:18">
      <c r="B30" s="2893" t="s">
        <v>381</v>
      </c>
      <c r="C30" s="2894"/>
      <c r="D30" s="2894"/>
      <c r="E30" s="2894"/>
      <c r="F30" s="2894"/>
      <c r="G30" s="2894"/>
      <c r="H30" s="2894"/>
      <c r="I30" s="2895"/>
      <c r="J30" s="215">
        <f>SUM(J27:J29)</f>
        <v>0</v>
      </c>
      <c r="K30" s="14"/>
    </row>
    <row r="31" spans="2:18" ht="31.5">
      <c r="B31" s="2896">
        <v>4</v>
      </c>
      <c r="C31" s="2898" t="s">
        <v>50</v>
      </c>
      <c r="D31" s="232" t="s">
        <v>128</v>
      </c>
      <c r="E31" s="80" t="s">
        <v>247</v>
      </c>
      <c r="F31" s="225" t="s">
        <v>410</v>
      </c>
      <c r="G31" s="225" t="s">
        <v>87</v>
      </c>
      <c r="H31" s="243" t="s">
        <v>88</v>
      </c>
      <c r="I31" s="226">
        <v>2018</v>
      </c>
      <c r="J31" s="235">
        <v>10000000</v>
      </c>
      <c r="K31" s="84" t="s">
        <v>386</v>
      </c>
      <c r="R31" s="9" t="s">
        <v>21</v>
      </c>
    </row>
    <row r="32" spans="2:18">
      <c r="B32" s="2897"/>
      <c r="C32" s="2899"/>
      <c r="D32" s="221"/>
      <c r="E32" s="81"/>
      <c r="F32" s="83"/>
      <c r="G32" s="224"/>
      <c r="H32" s="224"/>
      <c r="I32" s="229"/>
      <c r="J32" s="236"/>
      <c r="K32" s="84"/>
    </row>
    <row r="33" spans="2:15">
      <c r="B33" s="2893" t="s">
        <v>382</v>
      </c>
      <c r="C33" s="2894"/>
      <c r="D33" s="2894"/>
      <c r="E33" s="2894"/>
      <c r="F33" s="2894"/>
      <c r="G33" s="2894"/>
      <c r="H33" s="2894"/>
      <c r="I33" s="2895"/>
      <c r="J33" s="215">
        <f>SUM(J31:J32)</f>
        <v>10000000</v>
      </c>
      <c r="K33" s="14"/>
      <c r="O33" s="9" t="s">
        <v>21</v>
      </c>
    </row>
    <row r="34" spans="2:15">
      <c r="B34" s="2893" t="s">
        <v>93</v>
      </c>
      <c r="C34" s="2894"/>
      <c r="D34" s="2894"/>
      <c r="E34" s="2894"/>
      <c r="F34" s="2894"/>
      <c r="G34" s="2894"/>
      <c r="H34" s="2894"/>
      <c r="I34" s="2895"/>
      <c r="J34" s="237">
        <f>J14+J26+J30+J33</f>
        <v>4336000000</v>
      </c>
      <c r="K34" s="14"/>
    </row>
    <row r="35" spans="2:15">
      <c r="B35" s="216"/>
      <c r="C35" s="216"/>
      <c r="D35" s="216"/>
      <c r="E35" s="216"/>
      <c r="F35" s="216"/>
      <c r="G35" s="216"/>
      <c r="H35" s="216"/>
      <c r="I35" s="216"/>
      <c r="J35" s="217"/>
    </row>
    <row r="36" spans="2:15" s="1" customFormat="1">
      <c r="B36" s="218"/>
      <c r="C36" s="219"/>
      <c r="D36" s="219"/>
      <c r="E36" s="220"/>
      <c r="F36" s="9"/>
      <c r="J36" s="1" t="s">
        <v>883</v>
      </c>
    </row>
    <row r="37" spans="2:15" s="1" customFormat="1">
      <c r="B37" s="9"/>
      <c r="C37" s="2797" t="s">
        <v>383</v>
      </c>
      <c r="D37" s="2797"/>
      <c r="E37" s="2797"/>
      <c r="F37" s="9"/>
      <c r="G37" s="9"/>
      <c r="J37" s="2797" t="s">
        <v>100</v>
      </c>
      <c r="K37" s="2797"/>
    </row>
    <row r="38" spans="2:15" s="1" customFormat="1">
      <c r="B38" s="9"/>
      <c r="C38" s="2797" t="s">
        <v>552</v>
      </c>
      <c r="D38" s="2797"/>
      <c r="E38" s="2797"/>
      <c r="F38" s="9"/>
      <c r="G38" s="9"/>
      <c r="H38" s="9"/>
    </row>
    <row r="39" spans="2:15" s="1" customFormat="1">
      <c r="B39" s="9"/>
      <c r="E39" s="219"/>
      <c r="F39" s="9"/>
      <c r="G39" s="9"/>
      <c r="H39" s="9"/>
    </row>
    <row r="40" spans="2:15" s="1" customFormat="1">
      <c r="B40" s="9"/>
      <c r="E40" s="219"/>
      <c r="F40" s="9"/>
      <c r="G40" s="9"/>
      <c r="H40" s="9"/>
    </row>
    <row r="41" spans="2:15" s="1" customFormat="1">
      <c r="B41" s="9"/>
      <c r="E41" s="219"/>
      <c r="F41" s="9"/>
      <c r="G41" s="9"/>
      <c r="H41" s="9"/>
    </row>
    <row r="42" spans="2:15" s="1" customFormat="1">
      <c r="B42" s="9"/>
      <c r="C42" s="2797" t="str">
        <f>RKP!D58</f>
        <v>TIRTO NADI</v>
      </c>
      <c r="D42" s="2797"/>
      <c r="E42" s="2797"/>
      <c r="F42" s="9"/>
      <c r="G42" s="9"/>
      <c r="J42" s="2797" t="s">
        <v>875</v>
      </c>
      <c r="K42" s="2797"/>
    </row>
    <row r="43" spans="2:15">
      <c r="H43" s="20"/>
      <c r="I43" s="20"/>
      <c r="J43" s="210"/>
    </row>
  </sheetData>
  <customSheetViews>
    <customSheetView guid="{0F09EDAE-127A-4543-88A5-04139BD32AD8}" scale="70" showPageBreaks="1" printArea="1" topLeftCell="A13">
      <colBreaks count="1" manualBreakCount="1">
        <brk id="11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70" orientation="landscape" horizontalDpi="4294967293" verticalDpi="360" r:id="rId1"/>
    </customSheetView>
    <customSheetView guid="{C05430D3-5A25-4A4C-823C-7D6EA772E5F0}" scale="70" showPageBreaks="1" printArea="1" topLeftCell="A13">
      <colBreaks count="1" manualBreakCount="1">
        <brk id="11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70" orientation="landscape" horizontalDpi="4294967293" verticalDpi="360" r:id="rId2"/>
    </customSheetView>
  </customSheetViews>
  <mergeCells count="27">
    <mergeCell ref="J42:K42"/>
    <mergeCell ref="B33:I33"/>
    <mergeCell ref="B15:B25"/>
    <mergeCell ref="C15:C25"/>
    <mergeCell ref="B34:I34"/>
    <mergeCell ref="C37:E37"/>
    <mergeCell ref="C38:E38"/>
    <mergeCell ref="C42:E42"/>
    <mergeCell ref="B31:B32"/>
    <mergeCell ref="C31:C32"/>
    <mergeCell ref="B14:I14"/>
    <mergeCell ref="B26:I26"/>
    <mergeCell ref="J37:K37"/>
    <mergeCell ref="B11:B13"/>
    <mergeCell ref="C11:C13"/>
    <mergeCell ref="B27:B29"/>
    <mergeCell ref="C27:C29"/>
    <mergeCell ref="B30:I30"/>
    <mergeCell ref="B1:J1"/>
    <mergeCell ref="B2:J2"/>
    <mergeCell ref="B8:B10"/>
    <mergeCell ref="C8:E9"/>
    <mergeCell ref="F8:F10"/>
    <mergeCell ref="G8:G10"/>
    <mergeCell ref="H8:H10"/>
    <mergeCell ref="I8:I10"/>
    <mergeCell ref="J8:K9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70" orientation="landscape" horizontalDpi="4294967293" verticalDpi="360" r:id="rId3"/>
  <colBreaks count="1" manualBreakCount="1">
    <brk id="1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"/>
  <sheetViews>
    <sheetView workbookViewId="0"/>
  </sheetViews>
  <sheetFormatPr defaultColWidth="9.140625" defaultRowHeight="15"/>
  <cols>
    <col min="1" max="1" width="1.5703125" style="1804" customWidth="1"/>
    <col min="2" max="2" width="2.140625" style="1816" customWidth="1"/>
    <col min="3" max="3" width="24.42578125" style="1804" customWidth="1"/>
    <col min="4" max="4" width="5.42578125" style="1804" customWidth="1"/>
    <col min="5" max="5" width="84.42578125" style="1804" bestFit="1" customWidth="1"/>
    <col min="6" max="6" width="22" style="1804" bestFit="1" customWidth="1"/>
    <col min="7" max="7" width="2" style="1804" customWidth="1"/>
    <col min="8" max="8" width="1.5703125" style="1804" customWidth="1"/>
    <col min="9" max="9" width="1" style="1804" customWidth="1"/>
    <col min="10" max="10" width="1.85546875" style="1804" customWidth="1"/>
    <col min="11" max="11" width="6.140625" style="1808" bestFit="1" customWidth="1"/>
    <col min="12" max="12" width="50.42578125" style="1808" customWidth="1"/>
    <col min="13" max="13" width="22.5703125" style="1808" customWidth="1"/>
    <col min="14" max="14" width="6.85546875" style="1808" customWidth="1"/>
    <col min="15" max="15" width="20.28515625" style="1804" bestFit="1" customWidth="1"/>
    <col min="16" max="16" width="1.5703125" style="1804" customWidth="1"/>
    <col min="17" max="17" width="2.5703125" style="1804" customWidth="1"/>
    <col min="18" max="18" width="17.5703125" style="1804" bestFit="1" customWidth="1"/>
    <col min="19" max="19" width="15.140625" style="1804" bestFit="1" customWidth="1"/>
    <col min="20" max="21" width="16.28515625" style="1804" bestFit="1" customWidth="1"/>
    <col min="22" max="22" width="15.7109375" style="1804" bestFit="1" customWidth="1"/>
    <col min="23" max="16384" width="9.140625" style="1804"/>
  </cols>
  <sheetData>
    <row r="1" spans="1:21">
      <c r="A1" s="1802"/>
      <c r="B1" s="1803"/>
      <c r="C1" s="1802"/>
      <c r="D1" s="1802"/>
      <c r="E1" s="1802"/>
      <c r="F1" s="1802"/>
      <c r="G1" s="1802"/>
      <c r="H1" s="1802"/>
      <c r="J1" s="1805"/>
      <c r="K1" s="1806"/>
      <c r="L1" s="1806"/>
      <c r="M1" s="1806"/>
      <c r="N1" s="1806"/>
      <c r="O1" s="1805"/>
      <c r="P1" s="1805"/>
    </row>
    <row r="2" spans="1:21" ht="15.75" thickBot="1">
      <c r="A2" s="1802"/>
      <c r="B2" s="1807"/>
      <c r="H2" s="1802"/>
      <c r="J2" s="1805"/>
      <c r="P2" s="1805"/>
    </row>
    <row r="3" spans="1:21" ht="27.75" thickBot="1">
      <c r="A3" s="1802"/>
      <c r="B3" s="1807"/>
      <c r="C3" s="2912" t="s">
        <v>1374</v>
      </c>
      <c r="D3" s="2913"/>
      <c r="E3" s="2913"/>
      <c r="F3" s="2914"/>
      <c r="H3" s="1802"/>
      <c r="J3" s="1805"/>
      <c r="K3" s="2915" t="s">
        <v>1381</v>
      </c>
      <c r="L3" s="2915"/>
      <c r="M3" s="2916" t="s">
        <v>1379</v>
      </c>
      <c r="N3" s="2915"/>
      <c r="O3" s="2915"/>
      <c r="P3" s="1805"/>
    </row>
    <row r="4" spans="1:21" ht="31.5" customHeight="1" thickTop="1">
      <c r="A4" s="1802"/>
      <c r="B4" s="1807"/>
      <c r="C4" s="1810" t="s">
        <v>240</v>
      </c>
      <c r="D4" s="1811" t="s">
        <v>46</v>
      </c>
      <c r="E4" s="1836">
        <v>20000000</v>
      </c>
      <c r="F4" s="2930">
        <v>2020</v>
      </c>
      <c r="H4" s="1802"/>
      <c r="J4" s="1805"/>
      <c r="K4" s="1837"/>
      <c r="L4" s="1837"/>
      <c r="M4" s="1838"/>
      <c r="N4" s="1839"/>
      <c r="O4" s="1840"/>
      <c r="P4" s="1805"/>
      <c r="R4" s="1841" t="s">
        <v>1381</v>
      </c>
      <c r="S4" s="1841" t="s">
        <v>1382</v>
      </c>
      <c r="T4" s="1841" t="s">
        <v>1383</v>
      </c>
      <c r="U4" s="1842" t="s">
        <v>1384</v>
      </c>
    </row>
    <row r="5" spans="1:21" ht="31.5" customHeight="1">
      <c r="A5" s="1802"/>
      <c r="B5" s="1807"/>
      <c r="C5" s="1810" t="s">
        <v>1375</v>
      </c>
      <c r="D5" s="1811" t="s">
        <v>46</v>
      </c>
      <c r="E5" s="1836">
        <v>813987000</v>
      </c>
      <c r="F5" s="2931"/>
      <c r="H5" s="1802"/>
      <c r="J5" s="1805"/>
      <c r="K5" s="2917">
        <f>F10</f>
        <v>1536094000</v>
      </c>
      <c r="L5" s="2917"/>
      <c r="M5" s="2918" t="e">
        <f>M14+M20+M88</f>
        <v>#REF!</v>
      </c>
      <c r="N5" s="2919"/>
      <c r="O5" s="2919"/>
      <c r="P5" s="1805"/>
      <c r="Q5" s="1843"/>
      <c r="R5" s="1844" t="s">
        <v>240</v>
      </c>
      <c r="S5" s="1845"/>
      <c r="T5" s="1846"/>
      <c r="U5" s="1845"/>
    </row>
    <row r="6" spans="1:21" ht="31.5" customHeight="1" thickBot="1">
      <c r="A6" s="1802"/>
      <c r="C6" s="1810" t="s">
        <v>1376</v>
      </c>
      <c r="D6" s="1811" t="s">
        <v>46</v>
      </c>
      <c r="E6" s="1836">
        <v>44114000</v>
      </c>
      <c r="F6" s="2931"/>
      <c r="H6" s="1802"/>
      <c r="J6" s="1805"/>
      <c r="K6" s="1847"/>
      <c r="L6" s="1847"/>
      <c r="M6" s="2920" t="e">
        <f>M5/K5</f>
        <v>#REF!</v>
      </c>
      <c r="N6" s="2921"/>
      <c r="O6" s="2921"/>
      <c r="P6" s="1805"/>
      <c r="R6" s="1844" t="s">
        <v>1375</v>
      </c>
      <c r="S6" s="1845"/>
      <c r="T6" s="1846"/>
      <c r="U6" s="1845"/>
    </row>
    <row r="7" spans="1:21" ht="31.5" customHeight="1" thickTop="1">
      <c r="A7" s="1802"/>
      <c r="C7" s="1810" t="s">
        <v>23</v>
      </c>
      <c r="D7" s="1811" t="s">
        <v>46</v>
      </c>
      <c r="E7" s="1836">
        <v>597993000</v>
      </c>
      <c r="F7" s="2931"/>
      <c r="H7" s="1802"/>
      <c r="J7" s="1805"/>
      <c r="K7" s="2922" t="s">
        <v>1385</v>
      </c>
      <c r="L7" s="2922"/>
      <c r="M7" s="2922"/>
      <c r="N7" s="2922"/>
      <c r="O7" s="2922"/>
      <c r="P7" s="1805"/>
      <c r="R7" s="1844" t="s">
        <v>1376</v>
      </c>
      <c r="S7" s="1848"/>
      <c r="T7" s="1846"/>
      <c r="U7" s="1845"/>
    </row>
    <row r="8" spans="1:21" ht="31.5" customHeight="1">
      <c r="A8" s="1802"/>
      <c r="C8" s="1810" t="s">
        <v>1392</v>
      </c>
      <c r="D8" s="1811" t="s">
        <v>46</v>
      </c>
      <c r="E8" s="1836">
        <f>'Pnj APBDES'!T17</f>
        <v>0</v>
      </c>
      <c r="F8" s="2931"/>
      <c r="H8" s="1802"/>
      <c r="J8" s="1805"/>
      <c r="K8" s="2923"/>
      <c r="L8" s="2923"/>
      <c r="M8" s="2923"/>
      <c r="N8" s="2923"/>
      <c r="O8" s="2923"/>
      <c r="P8" s="1805"/>
      <c r="R8" s="1844" t="s">
        <v>23</v>
      </c>
      <c r="S8" s="1848"/>
      <c r="T8" s="1846"/>
      <c r="U8" s="1845"/>
    </row>
    <row r="9" spans="1:21" ht="31.5" customHeight="1" thickBot="1">
      <c r="A9" s="1802"/>
      <c r="C9" s="1810" t="s">
        <v>327</v>
      </c>
      <c r="D9" s="1811" t="s">
        <v>46</v>
      </c>
      <c r="E9" s="1836">
        <f>'Pnj APBDES'!T15</f>
        <v>60000000</v>
      </c>
      <c r="F9" s="2932"/>
      <c r="H9" s="1802"/>
      <c r="J9" s="1805"/>
      <c r="K9" s="2942" t="e">
        <f>K5-M5</f>
        <v>#REF!</v>
      </c>
      <c r="L9" s="2942"/>
      <c r="M9" s="2942"/>
      <c r="N9" s="2942"/>
      <c r="O9" s="2942"/>
      <c r="P9" s="1805"/>
      <c r="R9" s="1844" t="s">
        <v>1377</v>
      </c>
      <c r="S9" s="1845"/>
      <c r="T9" s="1846"/>
      <c r="U9" s="1845"/>
    </row>
    <row r="10" spans="1:21" ht="27" customHeight="1" thickBot="1">
      <c r="A10" s="1802"/>
      <c r="C10" s="1967" t="s">
        <v>1393</v>
      </c>
      <c r="D10" s="1968" t="s">
        <v>46</v>
      </c>
      <c r="E10" s="1969"/>
      <c r="F10" s="1817">
        <f>SUM(E4:E9)-E10</f>
        <v>1536094000</v>
      </c>
      <c r="H10" s="1802"/>
      <c r="J10" s="1805"/>
      <c r="K10" s="2943" t="e">
        <f>IF(K9=0,"OK","Maaf Masih Selisih Jang !!!")</f>
        <v>#REF!</v>
      </c>
      <c r="L10" s="2943"/>
      <c r="M10" s="2943"/>
      <c r="N10" s="2943"/>
      <c r="O10" s="2943"/>
      <c r="P10" s="1805"/>
      <c r="R10" s="1844" t="s">
        <v>330</v>
      </c>
      <c r="S10" s="1845"/>
      <c r="T10" s="1846"/>
      <c r="U10" s="1845"/>
    </row>
    <row r="11" spans="1:21">
      <c r="A11" s="1802"/>
      <c r="D11" s="1818"/>
      <c r="F11" s="1819"/>
      <c r="H11" s="1802"/>
      <c r="J11" s="1805"/>
      <c r="K11" s="2943"/>
      <c r="L11" s="2943"/>
      <c r="M11" s="2943"/>
      <c r="N11" s="2943"/>
      <c r="O11" s="2943"/>
      <c r="P11" s="1805"/>
      <c r="R11" s="1844"/>
      <c r="S11" s="1844"/>
      <c r="T11" s="1844"/>
      <c r="U11" s="1844"/>
    </row>
    <row r="12" spans="1:21">
      <c r="A12" s="1802"/>
      <c r="B12" s="1820"/>
      <c r="C12" s="1802"/>
      <c r="D12" s="1821"/>
      <c r="E12" s="1802"/>
      <c r="F12" s="1802"/>
      <c r="G12" s="1802"/>
      <c r="H12" s="1802"/>
      <c r="J12" s="1805"/>
      <c r="K12" s="1822"/>
      <c r="L12" s="1822"/>
      <c r="M12" s="1822"/>
      <c r="N12" s="1822"/>
      <c r="O12" s="1823"/>
      <c r="P12" s="1805"/>
      <c r="R12" s="2906"/>
      <c r="S12" s="2909">
        <f>SUM(S5:S11)</f>
        <v>0</v>
      </c>
      <c r="T12" s="2909">
        <f>SUM(T5:T11)</f>
        <v>0</v>
      </c>
      <c r="U12" s="2909">
        <f>SUM(U5:U11)</f>
        <v>0</v>
      </c>
    </row>
    <row r="13" spans="1:21" ht="15.75" thickBot="1">
      <c r="A13" s="1802"/>
      <c r="D13" s="1818"/>
      <c r="H13" s="1802"/>
      <c r="J13" s="1805"/>
      <c r="P13" s="1805"/>
      <c r="R13" s="2907"/>
      <c r="S13" s="2910"/>
      <c r="T13" s="2910"/>
      <c r="U13" s="2910"/>
    </row>
    <row r="14" spans="1:21" ht="21.75" thickBot="1">
      <c r="A14" s="1802"/>
      <c r="C14" s="2912" t="s">
        <v>1378</v>
      </c>
      <c r="D14" s="2913"/>
      <c r="E14" s="2913"/>
      <c r="F14" s="2914"/>
      <c r="H14" s="1802"/>
      <c r="J14" s="1805"/>
      <c r="K14" s="1809">
        <v>0.3</v>
      </c>
      <c r="L14" s="1849">
        <f>F10*K14</f>
        <v>460828200</v>
      </c>
      <c r="M14" s="1849" t="e">
        <f>SUM(M15:M19)</f>
        <v>#REF!</v>
      </c>
      <c r="N14" s="1850"/>
      <c r="O14" s="1851" t="e">
        <f>L14-M14</f>
        <v>#REF!</v>
      </c>
      <c r="P14" s="1805"/>
      <c r="R14" s="2908"/>
      <c r="S14" s="2911"/>
      <c r="T14" s="2911"/>
      <c r="U14" s="2911"/>
    </row>
    <row r="15" spans="1:21" ht="19.5" customHeight="1" thickTop="1">
      <c r="A15" s="1802"/>
      <c r="C15" s="1804" t="s">
        <v>590</v>
      </c>
      <c r="D15" s="1818" t="s">
        <v>46</v>
      </c>
      <c r="E15" s="1824">
        <f>E7</f>
        <v>597993000</v>
      </c>
      <c r="H15" s="1802"/>
      <c r="J15" s="1805"/>
      <c r="K15" s="1852"/>
      <c r="L15" s="1813" t="str">
        <f>E19</f>
        <v>Penyediaan Penghasilan Tetap dan Tunjangan Kepala Desa</v>
      </c>
      <c r="M15" s="1814">
        <f>F19</f>
        <v>43250000</v>
      </c>
      <c r="N15" s="1853" t="s">
        <v>23</v>
      </c>
      <c r="O15" s="2933" t="e">
        <f>SUM(M15:M19)/F10</f>
        <v>#REF!</v>
      </c>
      <c r="P15" s="1805"/>
    </row>
    <row r="16" spans="1:21" ht="19.5" customHeight="1">
      <c r="A16" s="1802"/>
      <c r="C16" s="1804" t="s">
        <v>1379</v>
      </c>
      <c r="D16" s="1818" t="s">
        <v>46</v>
      </c>
      <c r="E16" s="1854" t="e">
        <f>F35+F38+F48+F50</f>
        <v>#REF!</v>
      </c>
      <c r="F16" s="1855" t="e">
        <f>E16/E15</f>
        <v>#REF!</v>
      </c>
      <c r="H16" s="1802"/>
      <c r="J16" s="1805"/>
      <c r="K16" s="1812"/>
      <c r="L16" s="1813" t="str">
        <f t="shared" ref="L16:L17" si="0">E20</f>
        <v>Penyediaan Penghasilan Tetap dan Tunjangan Perangkat Desa</v>
      </c>
      <c r="M16" s="1814">
        <f t="shared" ref="M16:M17" si="1">F20</f>
        <v>280110000</v>
      </c>
      <c r="N16" s="1815" t="s">
        <v>23</v>
      </c>
      <c r="O16" s="2934"/>
      <c r="P16" s="1805"/>
    </row>
    <row r="17" spans="1:22" ht="19.5" customHeight="1" thickBot="1">
      <c r="A17" s="1802"/>
      <c r="C17" s="1804" t="s">
        <v>1380</v>
      </c>
      <c r="D17" s="1818" t="s">
        <v>46</v>
      </c>
      <c r="E17" s="1857" t="e">
        <f>E15-E16</f>
        <v>#REF!</v>
      </c>
      <c r="H17" s="1802"/>
      <c r="J17" s="1805"/>
      <c r="K17" s="1852"/>
      <c r="L17" s="1813" t="str">
        <f t="shared" si="0"/>
        <v>Penyediaan Jaminan Sosial bagi Kepala Desa dan Perangkat Desa</v>
      </c>
      <c r="M17" s="1814">
        <f t="shared" si="1"/>
        <v>29676000</v>
      </c>
      <c r="N17" s="1815" t="s">
        <v>23</v>
      </c>
      <c r="O17" s="2934"/>
      <c r="P17" s="1805"/>
    </row>
    <row r="18" spans="1:22" ht="19.5" customHeight="1">
      <c r="A18" s="1802"/>
      <c r="D18" s="1818"/>
      <c r="H18" s="1802"/>
      <c r="J18" s="1805"/>
      <c r="K18" s="1812"/>
      <c r="L18" s="1813" t="str">
        <f>E23</f>
        <v>Penyediaan Tunjangan BPD</v>
      </c>
      <c r="M18" s="1814">
        <f>F23</f>
        <v>58800000</v>
      </c>
      <c r="N18" s="1858" t="s">
        <v>23</v>
      </c>
      <c r="O18" s="2934"/>
      <c r="P18" s="1805"/>
      <c r="R18" s="1859"/>
      <c r="S18" s="1860"/>
      <c r="T18" s="1859"/>
      <c r="U18" s="1861"/>
      <c r="V18" s="1862"/>
    </row>
    <row r="19" spans="1:22" s="1827" customFormat="1" ht="19.5" customHeight="1" thickBot="1">
      <c r="A19" s="1825"/>
      <c r="B19" s="1863"/>
      <c r="C19" s="2926" t="s">
        <v>86</v>
      </c>
      <c r="D19" s="1864" t="str">
        <f>RKP!C12</f>
        <v>1.1</v>
      </c>
      <c r="E19" s="1865" t="str">
        <f>RKP!D12</f>
        <v>Penyediaan Penghasilan Tetap dan Tunjangan Kepala Desa</v>
      </c>
      <c r="F19" s="1866">
        <f>RKP!I12</f>
        <v>43250000</v>
      </c>
      <c r="H19" s="1825"/>
      <c r="J19" s="1828"/>
      <c r="K19" s="1872"/>
      <c r="L19" s="1813" t="e">
        <f>E24</f>
        <v>#REF!</v>
      </c>
      <c r="M19" s="1814" t="e">
        <f>F24</f>
        <v>#REF!</v>
      </c>
      <c r="N19" s="1815" t="s">
        <v>23</v>
      </c>
      <c r="O19" s="2934"/>
      <c r="P19" s="1828"/>
      <c r="R19" s="1867" t="e">
        <f>E17</f>
        <v>#REF!</v>
      </c>
      <c r="S19" s="1868" t="s">
        <v>23</v>
      </c>
      <c r="T19" s="1869">
        <f>E7</f>
        <v>597993000</v>
      </c>
      <c r="U19" s="1870" t="e">
        <f>SUMIFS($M$15:$M$90,$N$15:$N$90,"ADD")</f>
        <v>#REF!</v>
      </c>
      <c r="V19" s="1871" t="e">
        <f>T19-U19</f>
        <v>#REF!</v>
      </c>
    </row>
    <row r="20" spans="1:22" s="1827" customFormat="1" ht="19.5" customHeight="1" thickBot="1">
      <c r="A20" s="1825"/>
      <c r="B20" s="1863"/>
      <c r="C20" s="2927"/>
      <c r="D20" s="1864" t="str">
        <f>RKP!C13</f>
        <v>1.2</v>
      </c>
      <c r="E20" s="1865" t="str">
        <f>RKP!D13</f>
        <v>Penyediaan Penghasilan Tetap dan Tunjangan Perangkat Desa</v>
      </c>
      <c r="F20" s="1866">
        <f>RKP!I13</f>
        <v>280110000</v>
      </c>
      <c r="H20" s="1825"/>
      <c r="J20" s="1828"/>
      <c r="K20" s="2936">
        <v>0.7</v>
      </c>
      <c r="L20" s="2938">
        <f>K20*F10</f>
        <v>1075265800</v>
      </c>
      <c r="M20" s="2938" t="e">
        <f>SUM(M22:M87)</f>
        <v>#REF!</v>
      </c>
      <c r="N20" s="1875"/>
      <c r="O20" s="2935"/>
      <c r="P20" s="1828"/>
      <c r="R20" s="1867">
        <f>E55</f>
        <v>813987000</v>
      </c>
      <c r="S20" s="1868" t="s">
        <v>22</v>
      </c>
      <c r="T20" s="1874">
        <f>E5</f>
        <v>813987000</v>
      </c>
      <c r="U20" s="1870">
        <f>SUMIFS($M$15:$M$90,$N$15:$N$90,"DD")</f>
        <v>0</v>
      </c>
      <c r="V20" s="1871">
        <f t="shared" ref="V20:V24" si="2">T20-U20</f>
        <v>813987000</v>
      </c>
    </row>
    <row r="21" spans="1:22" s="1827" customFormat="1" ht="19.5" customHeight="1" thickBot="1">
      <c r="A21" s="1825"/>
      <c r="B21" s="1863"/>
      <c r="C21" s="2927"/>
      <c r="D21" s="1864" t="str">
        <f>RKP!C14</f>
        <v>1.3</v>
      </c>
      <c r="E21" s="1865" t="str">
        <f>RKP!D14</f>
        <v>Penyediaan Jaminan Sosial bagi Kepala Desa dan Perangkat Desa</v>
      </c>
      <c r="F21" s="1866">
        <f>RKP!I14</f>
        <v>29676000</v>
      </c>
      <c r="H21" s="1825"/>
      <c r="J21" s="1828"/>
      <c r="K21" s="2937"/>
      <c r="L21" s="2939"/>
      <c r="M21" s="2939"/>
      <c r="N21" s="1876"/>
      <c r="O21" s="2940" t="e">
        <f>L20-M20</f>
        <v>#REF!</v>
      </c>
      <c r="P21" s="1828"/>
      <c r="R21" s="1867">
        <f>E90</f>
        <v>20000000</v>
      </c>
      <c r="S21" s="1868" t="s">
        <v>240</v>
      </c>
      <c r="T21" s="1874">
        <f>E4</f>
        <v>20000000</v>
      </c>
      <c r="U21" s="1870">
        <f>SUMIFS($M$15:$M$90,$N$15:$N$90,"PAD")</f>
        <v>0</v>
      </c>
      <c r="V21" s="1871">
        <f t="shared" si="2"/>
        <v>20000000</v>
      </c>
    </row>
    <row r="22" spans="1:22" s="1827" customFormat="1" ht="19.5" customHeight="1" thickBot="1">
      <c r="A22" s="1825"/>
      <c r="B22" s="1863"/>
      <c r="C22" s="2927"/>
      <c r="D22" s="1864" t="str">
        <f>RKP!C15</f>
        <v>1.4</v>
      </c>
      <c r="E22" s="1976" t="str">
        <f>RKP!D15</f>
        <v>Penyediaan Operasional Pemerintah Desa (ATK, Honor PKPKD, PPKD Dll)</v>
      </c>
      <c r="F22" s="1866">
        <f>RKP!I15</f>
        <v>57143151</v>
      </c>
      <c r="H22" s="1825"/>
      <c r="J22" s="1828"/>
      <c r="K22" s="1878"/>
      <c r="L22" s="1856" t="str">
        <f>E22</f>
        <v>Penyediaan Operasional Pemerintah Desa (ATK, Honor PKPKD, PPKD Dll)</v>
      </c>
      <c r="M22" s="1873">
        <f>F22</f>
        <v>57143151</v>
      </c>
      <c r="N22" s="1815" t="s">
        <v>23</v>
      </c>
      <c r="O22" s="2941">
        <v>8374200</v>
      </c>
      <c r="P22" s="1828"/>
      <c r="Q22" s="1877"/>
      <c r="R22" s="1867">
        <f>E110</f>
        <v>44114000</v>
      </c>
      <c r="S22" s="1868" t="s">
        <v>1376</v>
      </c>
      <c r="T22" s="1869">
        <f>E6</f>
        <v>44114000</v>
      </c>
      <c r="U22" s="1870">
        <f>SUMIFS($M$15:$M$90,$N$15:$N$90,"PDRD")</f>
        <v>0</v>
      </c>
      <c r="V22" s="1871">
        <f t="shared" si="2"/>
        <v>44114000</v>
      </c>
    </row>
    <row r="23" spans="1:22" s="1827" customFormat="1" ht="19.5" customHeight="1">
      <c r="A23" s="1825"/>
      <c r="B23" s="1863"/>
      <c r="C23" s="2927"/>
      <c r="D23" s="1864" t="str">
        <f>RKP!C16</f>
        <v>1.5</v>
      </c>
      <c r="E23" s="1865" t="str">
        <f>RKP!D16</f>
        <v>Penyediaan Tunjangan BPD</v>
      </c>
      <c r="F23" s="1866">
        <f>RKP!I16</f>
        <v>58800000</v>
      </c>
      <c r="H23" s="1825"/>
      <c r="J23" s="1828"/>
      <c r="K23" s="1878"/>
      <c r="L23" s="1856" t="str">
        <f>E25</f>
        <v>Penyediaan Insentif/Operasional RT/RW</v>
      </c>
      <c r="M23" s="1873">
        <f>F25</f>
        <v>76800000</v>
      </c>
      <c r="N23" s="1858" t="s">
        <v>23</v>
      </c>
      <c r="O23" s="2924" t="e">
        <f>SUM(M22:M87)/F10</f>
        <v>#REF!</v>
      </c>
      <c r="P23" s="1828"/>
      <c r="R23" s="1867">
        <f>E129</f>
        <v>60000000</v>
      </c>
      <c r="S23" s="1868" t="s">
        <v>330</v>
      </c>
      <c r="T23" s="1874">
        <f>E9</f>
        <v>60000000</v>
      </c>
      <c r="U23" s="1870">
        <f>SUMIFS($M$15:$M$90,$N$15:$N$90,"PBH")</f>
        <v>0</v>
      </c>
      <c r="V23" s="1871">
        <f t="shared" si="2"/>
        <v>60000000</v>
      </c>
    </row>
    <row r="24" spans="1:22" s="1827" customFormat="1" ht="19.5" customHeight="1">
      <c r="A24" s="1825"/>
      <c r="B24" s="1863"/>
      <c r="C24" s="1829"/>
      <c r="D24" s="1864" t="e">
        <f>RKP!#REF!</f>
        <v>#REF!</v>
      </c>
      <c r="E24" s="1865" t="e">
        <f>RKP!#REF!</f>
        <v>#REF!</v>
      </c>
      <c r="F24" s="1866" t="e">
        <f>RKP!#REF!</f>
        <v>#REF!</v>
      </c>
      <c r="H24" s="1825"/>
      <c r="J24" s="1828"/>
      <c r="K24" s="1878"/>
      <c r="L24" s="1856" t="e">
        <f t="shared" ref="L24:L30" si="3">E26</f>
        <v>#REF!</v>
      </c>
      <c r="M24" s="1873" t="e">
        <f t="shared" ref="M24:M32" si="4">F26</f>
        <v>#REF!</v>
      </c>
      <c r="N24" s="1858" t="s">
        <v>23</v>
      </c>
      <c r="O24" s="2925"/>
      <c r="P24" s="1828"/>
      <c r="R24" s="1879" t="e">
        <f>E145</f>
        <v>#REF!</v>
      </c>
      <c r="S24" s="1880" t="s">
        <v>1386</v>
      </c>
      <c r="T24" s="1881">
        <f>E8</f>
        <v>0</v>
      </c>
      <c r="U24" s="1882">
        <f>SUMIFS($M$15:$M$90,$N$15:$N$90,"BANK")</f>
        <v>0</v>
      </c>
      <c r="V24" s="1883">
        <f t="shared" si="2"/>
        <v>0</v>
      </c>
    </row>
    <row r="25" spans="1:22" s="1827" customFormat="1" ht="19.5" customHeight="1">
      <c r="A25" s="1825"/>
      <c r="B25" s="1863"/>
      <c r="C25" s="1829"/>
      <c r="D25" s="1864" t="str">
        <f>RKP!C17</f>
        <v>1.6</v>
      </c>
      <c r="E25" s="1976" t="str">
        <f>RKP!D17</f>
        <v>Penyediaan Insentif/Operasional RT/RW</v>
      </c>
      <c r="F25" s="1866">
        <f>RKP!I17</f>
        <v>76800000</v>
      </c>
      <c r="H25" s="1825"/>
      <c r="J25" s="1828"/>
      <c r="K25" s="1878"/>
      <c r="L25" s="1856" t="e">
        <f>E31</f>
        <v>#REF!</v>
      </c>
      <c r="M25" s="1873" t="e">
        <f>F31</f>
        <v>#REF!</v>
      </c>
      <c r="N25" s="1858" t="s">
        <v>23</v>
      </c>
      <c r="O25" s="1884"/>
      <c r="P25" s="1828"/>
      <c r="R25" s="1867" t="e">
        <f>SUM(R19:R24)</f>
        <v>#REF!</v>
      </c>
      <c r="S25" s="1868"/>
      <c r="T25" s="1885"/>
      <c r="U25" s="1826"/>
      <c r="V25" s="1871" t="e">
        <f>SUM(V19:V24)</f>
        <v>#REF!</v>
      </c>
    </row>
    <row r="26" spans="1:22" s="1827" customFormat="1" ht="19.5" customHeight="1" thickBot="1">
      <c r="A26" s="1825"/>
      <c r="B26" s="1863"/>
      <c r="C26" s="1829"/>
      <c r="D26" s="1864" t="e">
        <f>RKP!#REF!</f>
        <v>#REF!</v>
      </c>
      <c r="E26" s="1865" t="e">
        <f>RKP!#REF!</f>
        <v>#REF!</v>
      </c>
      <c r="F26" s="1866" t="e">
        <f>RKP!#REF!</f>
        <v>#REF!</v>
      </c>
      <c r="H26" s="1825"/>
      <c r="J26" s="1828"/>
      <c r="K26" s="1878"/>
      <c r="L26" s="1856"/>
      <c r="M26" s="1873"/>
      <c r="N26" s="1858"/>
      <c r="O26" s="1884"/>
      <c r="P26" s="1828"/>
      <c r="R26" s="1887"/>
      <c r="S26" s="1888"/>
      <c r="T26" s="1887"/>
      <c r="U26" s="1889"/>
      <c r="V26" s="1890"/>
    </row>
    <row r="27" spans="1:22" s="1827" customFormat="1" ht="19.5" customHeight="1">
      <c r="A27" s="1825"/>
      <c r="B27" s="1863"/>
      <c r="C27" s="1829"/>
      <c r="D27" s="1864" t="e">
        <f>RKP!#REF!</f>
        <v>#REF!</v>
      </c>
      <c r="E27" s="1865" t="e">
        <f>RKP!#REF!</f>
        <v>#REF!</v>
      </c>
      <c r="F27" s="1866" t="e">
        <f>RKP!#REF!</f>
        <v>#REF!</v>
      </c>
      <c r="H27" s="1825"/>
      <c r="J27" s="1828"/>
      <c r="K27" s="1878"/>
      <c r="L27" s="1856"/>
      <c r="M27" s="1873"/>
      <c r="N27" s="1858"/>
      <c r="O27" s="1884"/>
      <c r="P27" s="1828"/>
      <c r="R27" s="1826"/>
      <c r="S27" s="1826"/>
      <c r="T27" s="1826"/>
      <c r="U27" s="1826"/>
      <c r="V27" s="1826"/>
    </row>
    <row r="28" spans="1:22" s="1827" customFormat="1" ht="19.5" customHeight="1">
      <c r="A28" s="1825"/>
      <c r="B28" s="1863"/>
      <c r="C28" s="1829"/>
      <c r="D28" s="1864" t="e">
        <f>RKP!#REF!</f>
        <v>#REF!</v>
      </c>
      <c r="E28" s="1865" t="e">
        <f>RKP!#REF!</f>
        <v>#REF!</v>
      </c>
      <c r="F28" s="1866" t="e">
        <f>RKP!#REF!</f>
        <v>#REF!</v>
      </c>
      <c r="H28" s="1825"/>
      <c r="J28" s="1828"/>
      <c r="K28" s="1878"/>
      <c r="L28" s="1856"/>
      <c r="M28" s="1873"/>
      <c r="N28" s="1858"/>
      <c r="O28" s="1884"/>
      <c r="P28" s="1828"/>
      <c r="R28" s="1826"/>
      <c r="S28" s="1826"/>
      <c r="T28" s="1826"/>
      <c r="U28" s="1826"/>
      <c r="V28" s="1826"/>
    </row>
    <row r="29" spans="1:22" s="1827" customFormat="1" ht="19.5" customHeight="1">
      <c r="A29" s="1825"/>
      <c r="B29" s="1863"/>
      <c r="C29" s="1829"/>
      <c r="D29" s="1864" t="str">
        <f>RKP!C18</f>
        <v>1.7</v>
      </c>
      <c r="E29" s="1865" t="str">
        <f>RKP!D18</f>
        <v>Pengelolaan/Administrasi/Inventarisasi/Penilaian Aset Desa</v>
      </c>
      <c r="F29" s="1866"/>
      <c r="H29" s="1825"/>
      <c r="J29" s="1828"/>
      <c r="K29" s="1878"/>
      <c r="L29" s="1856"/>
      <c r="M29" s="1873"/>
      <c r="N29" s="1858"/>
      <c r="O29" s="1884"/>
      <c r="P29" s="1828"/>
      <c r="R29" s="1826"/>
      <c r="S29" s="1826"/>
      <c r="T29" s="1826"/>
      <c r="U29" s="1826"/>
      <c r="V29" s="1826"/>
    </row>
    <row r="30" spans="1:22" s="1827" customFormat="1" ht="19.5" customHeight="1">
      <c r="A30" s="1825"/>
      <c r="B30" s="1863"/>
      <c r="C30" s="1829"/>
      <c r="D30" s="1864" t="str">
        <f>RKP!C19</f>
        <v>1.8</v>
      </c>
      <c r="E30" s="1865" t="str">
        <f>RKP!D19</f>
        <v>Dukungan dan sosialisasi pelaksanaan pilkades,Pemilihan ka. Kewilayahan dan BPD</v>
      </c>
      <c r="F30" s="1866">
        <f>RKP!I19</f>
        <v>5649000</v>
      </c>
      <c r="H30" s="1825"/>
      <c r="J30" s="1828"/>
      <c r="K30" s="1878"/>
      <c r="L30" s="1856">
        <f t="shared" si="3"/>
        <v>0</v>
      </c>
      <c r="M30" s="1873">
        <f t="shared" si="4"/>
        <v>0</v>
      </c>
      <c r="N30" s="1858" t="s">
        <v>23</v>
      </c>
      <c r="O30" s="1884"/>
      <c r="P30" s="1828"/>
      <c r="R30" s="1826"/>
      <c r="S30" s="1826"/>
      <c r="T30" s="1826"/>
      <c r="U30" s="1826"/>
      <c r="V30" s="1826"/>
    </row>
    <row r="31" spans="1:22" s="1827" customFormat="1" ht="19.5" customHeight="1">
      <c r="A31" s="1825"/>
      <c r="B31" s="1863"/>
      <c r="C31" s="1829"/>
      <c r="D31" s="1864" t="e">
        <f>RKP!#REF!</f>
        <v>#REF!</v>
      </c>
      <c r="E31" s="1865" t="e">
        <f>RKP!#REF!</f>
        <v>#REF!</v>
      </c>
      <c r="F31" s="1866" t="e">
        <f>RKP!#REF!</f>
        <v>#REF!</v>
      </c>
      <c r="H31" s="1825"/>
      <c r="J31" s="1828"/>
      <c r="K31" s="1878"/>
      <c r="L31" s="1856"/>
      <c r="M31" s="1873">
        <f t="shared" si="4"/>
        <v>0</v>
      </c>
      <c r="N31" s="1858"/>
      <c r="O31" s="1884"/>
      <c r="P31" s="1828"/>
      <c r="R31" s="1826"/>
      <c r="S31" s="1826"/>
      <c r="T31" s="1826"/>
      <c r="U31" s="1826"/>
      <c r="V31" s="1826"/>
    </row>
    <row r="32" spans="1:22" s="1827" customFormat="1" ht="19.5" customHeight="1">
      <c r="A32" s="1825"/>
      <c r="B32" s="1863"/>
      <c r="C32" s="1829"/>
      <c r="D32" s="1864"/>
      <c r="E32" s="1865"/>
      <c r="F32" s="1866"/>
      <c r="H32" s="1825"/>
      <c r="J32" s="1828"/>
      <c r="K32" s="1878"/>
      <c r="L32" s="1856">
        <f>E34</f>
        <v>0</v>
      </c>
      <c r="M32" s="1873">
        <f t="shared" si="4"/>
        <v>0</v>
      </c>
      <c r="N32" s="1858" t="s">
        <v>23</v>
      </c>
      <c r="O32" s="1884"/>
      <c r="P32" s="1828"/>
      <c r="R32" s="1826"/>
      <c r="S32" s="1826"/>
      <c r="T32" s="1826"/>
      <c r="U32" s="1826"/>
      <c r="V32" s="1826"/>
    </row>
    <row r="33" spans="1:22" s="1827" customFormat="1" ht="19.5" customHeight="1">
      <c r="A33" s="1825"/>
      <c r="B33" s="1863"/>
      <c r="C33" s="1829"/>
      <c r="D33" s="1970"/>
      <c r="E33" s="1971"/>
      <c r="F33" s="1972"/>
      <c r="H33" s="1825"/>
      <c r="J33" s="1828"/>
      <c r="K33" s="1878"/>
      <c r="L33" s="1856"/>
      <c r="M33" s="1886"/>
      <c r="N33" s="1858"/>
      <c r="O33" s="1884"/>
      <c r="P33" s="1828"/>
      <c r="R33" s="1826"/>
      <c r="S33" s="1826"/>
      <c r="T33" s="1826"/>
      <c r="U33" s="1826"/>
      <c r="V33" s="1826"/>
    </row>
    <row r="34" spans="1:22" s="1827" customFormat="1" ht="19.5" customHeight="1">
      <c r="A34" s="1825"/>
      <c r="B34" s="1863"/>
      <c r="C34" s="1829"/>
      <c r="D34" s="1864"/>
      <c r="E34" s="1865"/>
      <c r="F34" s="1866"/>
      <c r="H34" s="1825"/>
      <c r="J34" s="1828"/>
      <c r="K34" s="1878"/>
      <c r="L34" s="1856"/>
      <c r="M34" s="1886"/>
      <c r="N34" s="1858"/>
      <c r="O34" s="1884"/>
      <c r="P34" s="1828"/>
      <c r="R34" s="1826"/>
      <c r="S34" s="1826"/>
      <c r="T34" s="1826"/>
      <c r="U34" s="1826"/>
      <c r="V34" s="1826"/>
    </row>
    <row r="35" spans="1:22" s="1827" customFormat="1" ht="19.5" customHeight="1">
      <c r="A35" s="1825"/>
      <c r="B35" s="1826"/>
      <c r="C35" s="1830" t="s">
        <v>377</v>
      </c>
      <c r="D35" s="1830"/>
      <c r="E35" s="1830"/>
      <c r="F35" s="1831" t="e">
        <f>SUM(F19:F34)</f>
        <v>#REF!</v>
      </c>
      <c r="H35" s="1825"/>
      <c r="J35" s="1828"/>
      <c r="K35" s="1896"/>
      <c r="L35" s="1897"/>
      <c r="M35" s="1898"/>
      <c r="N35" s="1899"/>
      <c r="O35" s="1892"/>
      <c r="P35" s="1828"/>
    </row>
    <row r="36" spans="1:22" s="1827" customFormat="1" ht="19.5" customHeight="1">
      <c r="A36" s="1825"/>
      <c r="B36" s="1893"/>
      <c r="C36" s="1832" t="s">
        <v>48</v>
      </c>
      <c r="D36" s="1833"/>
      <c r="E36" s="1894"/>
      <c r="F36" s="1895"/>
      <c r="H36" s="1825"/>
      <c r="J36" s="1828"/>
      <c r="K36" s="1896"/>
      <c r="L36" s="1897"/>
      <c r="M36" s="1898"/>
      <c r="N36" s="1899"/>
      <c r="O36" s="1892"/>
      <c r="P36" s="1828"/>
    </row>
    <row r="37" spans="1:22" s="1827" customFormat="1" ht="19.5" customHeight="1">
      <c r="A37" s="1825"/>
      <c r="B37" s="1826"/>
      <c r="C37" s="1900"/>
      <c r="D37" s="1901"/>
      <c r="F37" s="1902"/>
      <c r="H37" s="1825"/>
      <c r="J37" s="1828"/>
      <c r="K37" s="1896"/>
      <c r="L37" s="1897"/>
      <c r="M37" s="1898"/>
      <c r="N37" s="1899"/>
      <c r="O37" s="1892"/>
      <c r="P37" s="1828"/>
    </row>
    <row r="38" spans="1:22" s="1827" customFormat="1" ht="19.5" customHeight="1">
      <c r="A38" s="1825"/>
      <c r="B38" s="1893"/>
      <c r="C38" s="1830" t="s">
        <v>380</v>
      </c>
      <c r="D38" s="1830"/>
      <c r="E38" s="1830"/>
      <c r="F38" s="1831">
        <f>F36+F37</f>
        <v>0</v>
      </c>
      <c r="H38" s="1825"/>
      <c r="J38" s="1828"/>
      <c r="K38" s="1896"/>
      <c r="L38" s="1897"/>
      <c r="M38" s="1898"/>
      <c r="N38" s="1899"/>
      <c r="O38" s="1892"/>
      <c r="P38" s="1828"/>
    </row>
    <row r="39" spans="1:22" s="1827" customFormat="1" ht="19.5" customHeight="1">
      <c r="A39" s="1825"/>
      <c r="B39" s="1893"/>
      <c r="C39" s="2926" t="s">
        <v>49</v>
      </c>
      <c r="D39" s="1903"/>
      <c r="E39" s="1973" t="str">
        <f>RKP!D32</f>
        <v>Ketenteraman, Ketertiban Umum, dan Pelindungan Masyarakat</v>
      </c>
      <c r="F39" s="1974"/>
      <c r="H39" s="1825"/>
      <c r="J39" s="1828"/>
      <c r="K39" s="1896"/>
      <c r="L39" s="1897"/>
      <c r="M39" s="1898"/>
      <c r="N39" s="1899"/>
      <c r="O39" s="1892"/>
      <c r="P39" s="1828"/>
    </row>
    <row r="40" spans="1:22" s="1827" customFormat="1" ht="19.5" customHeight="1">
      <c r="A40" s="1825"/>
      <c r="B40" s="1893"/>
      <c r="C40" s="2927"/>
      <c r="D40" s="1903"/>
      <c r="E40" s="1973" t="str">
        <f>RKP!D33</f>
        <v>Kebudayaan dan Keagamaan</v>
      </c>
      <c r="F40" s="1974"/>
      <c r="H40" s="1825"/>
      <c r="J40" s="1828"/>
      <c r="K40" s="1896"/>
      <c r="L40" s="1897"/>
      <c r="M40" s="1898"/>
      <c r="N40" s="1899"/>
      <c r="O40" s="1892"/>
      <c r="P40" s="1828"/>
    </row>
    <row r="41" spans="1:22" s="1827" customFormat="1" ht="19.5" customHeight="1">
      <c r="A41" s="1825"/>
      <c r="B41" s="1893"/>
      <c r="C41" s="2927"/>
      <c r="D41" s="1903"/>
      <c r="E41" s="1973" t="e">
        <f>RKP!#REF!</f>
        <v>#REF!</v>
      </c>
      <c r="F41" s="1974" t="e">
        <f>RKP!#REF!</f>
        <v>#REF!</v>
      </c>
      <c r="H41" s="1825"/>
      <c r="J41" s="1828"/>
      <c r="K41" s="1896"/>
      <c r="L41" s="1897"/>
      <c r="M41" s="1898"/>
      <c r="N41" s="1899"/>
      <c r="O41" s="1892"/>
      <c r="P41" s="1828"/>
    </row>
    <row r="42" spans="1:22" s="1827" customFormat="1" ht="19.5" customHeight="1">
      <c r="A42" s="1825"/>
      <c r="B42" s="1893"/>
      <c r="C42" s="2927"/>
      <c r="D42" s="1903"/>
      <c r="E42" s="1973" t="e">
        <f>RKP!#REF!</f>
        <v>#REF!</v>
      </c>
      <c r="F42" s="1974" t="e">
        <f>RKP!#REF!</f>
        <v>#REF!</v>
      </c>
      <c r="H42" s="1825"/>
      <c r="J42" s="1828"/>
      <c r="K42" s="1896"/>
      <c r="L42" s="1897"/>
      <c r="M42" s="1898"/>
      <c r="N42" s="1899"/>
      <c r="O42" s="1892"/>
      <c r="P42" s="1828"/>
    </row>
    <row r="43" spans="1:22" s="1827" customFormat="1" ht="19.5" customHeight="1">
      <c r="A43" s="1825"/>
      <c r="B43" s="1893"/>
      <c r="C43" s="2927"/>
      <c r="D43" s="1903"/>
      <c r="E43" s="1973" t="str">
        <f>RKP!D35</f>
        <v>Penyelenggaraan lembaga Adat</v>
      </c>
      <c r="F43" s="1974">
        <f>RKP!I35</f>
        <v>2400000</v>
      </c>
      <c r="H43" s="1825"/>
      <c r="J43" s="1828"/>
      <c r="K43" s="1896"/>
      <c r="L43" s="1897"/>
      <c r="M43" s="1898"/>
      <c r="N43" s="1899"/>
      <c r="O43" s="1892"/>
      <c r="P43" s="1828"/>
    </row>
    <row r="44" spans="1:22" s="1827" customFormat="1" ht="19.5" customHeight="1">
      <c r="A44" s="1825"/>
      <c r="B44" s="1893"/>
      <c r="C44" s="2927"/>
      <c r="D44" s="1903"/>
      <c r="E44" s="1973" t="str">
        <f>RKP!D36</f>
        <v>Penyelenggaraan lembaga Kemasyarakatan Desa</v>
      </c>
      <c r="F44" s="1974">
        <f>RKP!I36</f>
        <v>3900000</v>
      </c>
      <c r="H44" s="1825"/>
      <c r="J44" s="1828"/>
      <c r="K44" s="1896"/>
      <c r="L44" s="1897"/>
      <c r="M44" s="1898"/>
      <c r="N44" s="1899"/>
      <c r="O44" s="1892"/>
      <c r="P44" s="1828"/>
    </row>
    <row r="45" spans="1:22" s="1827" customFormat="1" ht="19.5" customHeight="1">
      <c r="A45" s="1825"/>
      <c r="B45" s="1893"/>
      <c r="C45" s="2927"/>
      <c r="D45" s="1903"/>
      <c r="E45" s="1973" t="str">
        <f>RKP!D37</f>
        <v>Pembinaan PKK</v>
      </c>
      <c r="F45" s="1974">
        <f>RKP!I37</f>
        <v>11550500</v>
      </c>
      <c r="H45" s="1825"/>
      <c r="J45" s="1828"/>
      <c r="K45" s="1896"/>
      <c r="L45" s="1897"/>
      <c r="M45" s="1898"/>
      <c r="N45" s="1899"/>
      <c r="O45" s="1892"/>
      <c r="P45" s="1828"/>
    </row>
    <row r="46" spans="1:22" s="1827" customFormat="1" ht="19.5" customHeight="1">
      <c r="A46" s="1825"/>
      <c r="B46" s="1893"/>
      <c r="C46" s="2927"/>
      <c r="D46" s="1903"/>
      <c r="E46" s="1973" t="e">
        <f>RKP!#REF!</f>
        <v>#REF!</v>
      </c>
      <c r="F46" s="1974" t="e">
        <f>RKP!#REF!</f>
        <v>#REF!</v>
      </c>
      <c r="H46" s="1825"/>
      <c r="J46" s="1828"/>
      <c r="K46" s="1896"/>
      <c r="L46" s="1897"/>
      <c r="M46" s="1898"/>
      <c r="N46" s="1899"/>
      <c r="O46" s="1892"/>
      <c r="P46" s="1828"/>
    </row>
    <row r="47" spans="1:22" s="1827" customFormat="1" ht="19.5" customHeight="1">
      <c r="A47" s="1825"/>
      <c r="B47" s="1893"/>
      <c r="C47" s="2927"/>
      <c r="D47" s="1903"/>
      <c r="E47" s="1973" t="e">
        <f>RKP!#REF!</f>
        <v>#REF!</v>
      </c>
      <c r="F47" s="1974" t="e">
        <f>RKP!#REF!</f>
        <v>#REF!</v>
      </c>
      <c r="H47" s="1825"/>
      <c r="J47" s="1828"/>
      <c r="K47" s="1905"/>
      <c r="L47" s="1897"/>
      <c r="M47" s="1912"/>
      <c r="N47" s="1899"/>
      <c r="O47" s="1892"/>
      <c r="P47" s="1828"/>
    </row>
    <row r="48" spans="1:22" ht="19.5" customHeight="1">
      <c r="A48" s="1802"/>
      <c r="B48" s="1893"/>
      <c r="C48" s="1830" t="s">
        <v>381</v>
      </c>
      <c r="D48" s="1830"/>
      <c r="E48" s="1830"/>
      <c r="F48" s="1831" t="e">
        <f>SUM(F39:F47)</f>
        <v>#REF!</v>
      </c>
      <c r="G48" s="1827"/>
      <c r="H48" s="1802"/>
      <c r="J48" s="1805"/>
      <c r="K48" s="1905"/>
      <c r="L48" s="1897"/>
      <c r="M48" s="1912"/>
      <c r="N48" s="1899"/>
      <c r="O48" s="1913"/>
      <c r="P48" s="1828"/>
    </row>
    <row r="49" spans="1:16" ht="27" customHeight="1">
      <c r="A49" s="1802"/>
      <c r="B49" s="1826"/>
      <c r="C49" s="1832" t="s">
        <v>50</v>
      </c>
      <c r="D49" s="1833"/>
      <c r="E49" s="1834"/>
      <c r="F49" s="1835"/>
      <c r="G49" s="1827"/>
      <c r="H49" s="1802"/>
      <c r="J49" s="1805"/>
      <c r="K49" s="1905"/>
      <c r="L49" s="1897"/>
      <c r="M49" s="1912"/>
      <c r="N49" s="1899"/>
      <c r="O49" s="1913"/>
      <c r="P49" s="1828"/>
    </row>
    <row r="50" spans="1:16" ht="19.5" customHeight="1">
      <c r="A50" s="1802"/>
      <c r="C50" s="1830" t="s">
        <v>382</v>
      </c>
      <c r="D50" s="1830"/>
      <c r="E50" s="1830"/>
      <c r="F50" s="1831">
        <f>F49</f>
        <v>0</v>
      </c>
      <c r="H50" s="1802"/>
      <c r="J50" s="1805"/>
      <c r="K50" s="1905"/>
      <c r="L50" s="1897"/>
      <c r="M50" s="1912"/>
      <c r="N50" s="1899"/>
      <c r="O50" s="1913"/>
      <c r="P50" s="1805"/>
    </row>
    <row r="51" spans="1:16" ht="19.5" customHeight="1" thickBot="1">
      <c r="A51" s="1802"/>
      <c r="H51" s="1802"/>
      <c r="J51" s="1805"/>
      <c r="K51" s="1905"/>
      <c r="L51" s="1897"/>
      <c r="M51" s="1912"/>
      <c r="N51" s="1899"/>
      <c r="O51" s="1913"/>
      <c r="P51" s="1805"/>
    </row>
    <row r="52" spans="1:16" ht="19.5" customHeight="1" thickBot="1">
      <c r="A52" s="1802"/>
      <c r="C52" s="1914" t="s">
        <v>1387</v>
      </c>
      <c r="D52" s="1915"/>
      <c r="E52" s="1915"/>
      <c r="F52" s="1916"/>
      <c r="H52" s="1802"/>
      <c r="J52" s="1805"/>
      <c r="K52" s="1905"/>
      <c r="L52" s="1897"/>
      <c r="M52" s="1912"/>
      <c r="N52" s="1899"/>
      <c r="O52" s="1913"/>
      <c r="P52" s="1805"/>
    </row>
    <row r="53" spans="1:16" ht="19.5" customHeight="1" thickTop="1">
      <c r="A53" s="1802"/>
      <c r="C53" s="1804" t="s">
        <v>590</v>
      </c>
      <c r="D53" s="1818" t="s">
        <v>46</v>
      </c>
      <c r="E53" s="1854">
        <f>E5</f>
        <v>813987000</v>
      </c>
      <c r="H53" s="1802"/>
      <c r="J53" s="1805"/>
      <c r="K53" s="1905"/>
      <c r="L53" s="1897"/>
      <c r="M53" s="1912"/>
      <c r="N53" s="1899"/>
      <c r="O53" s="1913"/>
      <c r="P53" s="1805"/>
    </row>
    <row r="54" spans="1:16" s="1827" customFormat="1" ht="19.5" customHeight="1">
      <c r="A54" s="1825"/>
      <c r="B54" s="1816"/>
      <c r="C54" s="1804" t="s">
        <v>1379</v>
      </c>
      <c r="D54" s="1818" t="s">
        <v>46</v>
      </c>
      <c r="E54" s="1854">
        <f>F58+F78+F80+F85</f>
        <v>0</v>
      </c>
      <c r="F54" s="1855">
        <f>E54/E53</f>
        <v>0</v>
      </c>
      <c r="G54" s="1804"/>
      <c r="H54" s="1825"/>
      <c r="J54" s="1805"/>
      <c r="K54" s="1905"/>
      <c r="L54" s="1897"/>
      <c r="M54" s="1912"/>
      <c r="N54" s="1899"/>
      <c r="O54" s="1913"/>
      <c r="P54" s="1805"/>
    </row>
    <row r="55" spans="1:16" s="1827" customFormat="1" ht="19.5" customHeight="1">
      <c r="A55" s="1825"/>
      <c r="B55" s="1816"/>
      <c r="C55" s="1804" t="s">
        <v>1380</v>
      </c>
      <c r="D55" s="1818" t="s">
        <v>46</v>
      </c>
      <c r="E55" s="1857">
        <f>E53-E54</f>
        <v>813987000</v>
      </c>
      <c r="F55" s="1804"/>
      <c r="H55" s="1825"/>
      <c r="J55" s="1805"/>
      <c r="K55" s="1905"/>
      <c r="L55" s="1897"/>
      <c r="M55" s="1912"/>
      <c r="N55" s="1899"/>
      <c r="O55" s="1913"/>
      <c r="P55" s="1805"/>
    </row>
    <row r="56" spans="1:16" s="1827" customFormat="1" ht="19.5" customHeight="1">
      <c r="A56" s="1825"/>
      <c r="B56" s="1893"/>
      <c r="C56" s="1804"/>
      <c r="D56" s="1818"/>
      <c r="E56" s="1804"/>
      <c r="F56" s="1804"/>
      <c r="H56" s="1825"/>
      <c r="J56" s="1805"/>
      <c r="K56" s="1905"/>
      <c r="L56" s="1897"/>
      <c r="M56" s="1912"/>
      <c r="N56" s="1899"/>
      <c r="O56" s="1913"/>
      <c r="P56" s="1805"/>
    </row>
    <row r="57" spans="1:16" s="1827" customFormat="1" ht="19.5" customHeight="1">
      <c r="A57" s="1825"/>
      <c r="B57" s="1826"/>
      <c r="C57" s="1917" t="s">
        <v>86</v>
      </c>
      <c r="D57" s="1864"/>
      <c r="E57" s="1865"/>
      <c r="F57" s="1918"/>
      <c r="H57" s="1825"/>
      <c r="J57" s="1805"/>
      <c r="K57" s="1905"/>
      <c r="L57" s="1897"/>
      <c r="M57" s="1912"/>
      <c r="N57" s="1899"/>
      <c r="O57" s="1913"/>
      <c r="P57" s="1805"/>
    </row>
    <row r="58" spans="1:16" s="1827" customFormat="1" ht="19.5" customHeight="1">
      <c r="A58" s="1825"/>
      <c r="B58" s="1893"/>
      <c r="C58" s="1830" t="s">
        <v>377</v>
      </c>
      <c r="D58" s="1830"/>
      <c r="E58" s="1830"/>
      <c r="F58" s="1831">
        <f>F57</f>
        <v>0</v>
      </c>
      <c r="H58" s="1825"/>
      <c r="J58" s="1805"/>
      <c r="K58" s="1905"/>
      <c r="L58" s="1897"/>
      <c r="M58" s="1912"/>
      <c r="N58" s="1920"/>
      <c r="O58" s="1913"/>
      <c r="P58" s="1805"/>
    </row>
    <row r="59" spans="1:16" s="1827" customFormat="1" ht="19.5" customHeight="1">
      <c r="A59" s="1825"/>
      <c r="B59" s="1893"/>
      <c r="C59" s="2926" t="s">
        <v>48</v>
      </c>
      <c r="D59" s="1833"/>
      <c r="E59" s="1894"/>
      <c r="F59" s="1919"/>
      <c r="H59" s="1825"/>
      <c r="J59" s="1805"/>
      <c r="K59" s="1905"/>
      <c r="L59" s="1906"/>
      <c r="M59" s="1912"/>
      <c r="N59" s="1920"/>
      <c r="O59" s="1913"/>
      <c r="P59" s="1805"/>
    </row>
    <row r="60" spans="1:16" s="1827" customFormat="1" ht="19.5" customHeight="1" thickBot="1">
      <c r="A60" s="1825"/>
      <c r="C60" s="2927"/>
      <c r="D60" s="1833"/>
      <c r="E60" s="1894"/>
      <c r="F60" s="1919"/>
      <c r="H60" s="1825"/>
      <c r="J60" s="1828"/>
      <c r="K60" s="1905"/>
      <c r="L60" s="1906"/>
      <c r="M60" s="1912"/>
      <c r="N60" s="1920"/>
      <c r="O60" s="1913"/>
      <c r="P60" s="1805"/>
    </row>
    <row r="61" spans="1:16" s="1827" customFormat="1" ht="19.5" customHeight="1" thickBot="1">
      <c r="A61" s="1825"/>
      <c r="B61" s="1893"/>
      <c r="C61" s="2927"/>
      <c r="D61" s="1833"/>
      <c r="E61" s="1894"/>
      <c r="F61" s="1919"/>
      <c r="H61" s="1825"/>
      <c r="J61" s="1828"/>
      <c r="K61" s="1907"/>
      <c r="L61" s="1908" t="s">
        <v>898</v>
      </c>
      <c r="M61" s="1909"/>
      <c r="N61" s="1910"/>
      <c r="O61" s="1913"/>
      <c r="P61" s="1805"/>
    </row>
    <row r="62" spans="1:16" s="1827" customFormat="1" ht="19.5" customHeight="1">
      <c r="A62" s="1825"/>
      <c r="B62" s="1893"/>
      <c r="C62" s="2927"/>
      <c r="D62" s="1833"/>
      <c r="E62" s="1894"/>
      <c r="F62" s="1921"/>
      <c r="H62" s="1825"/>
      <c r="J62" s="1828"/>
      <c r="K62" s="1911"/>
      <c r="L62" s="1922"/>
      <c r="M62" s="1923"/>
      <c r="N62" s="1924"/>
      <c r="O62" s="1913"/>
      <c r="P62" s="1828"/>
    </row>
    <row r="63" spans="1:16" s="1827" customFormat="1" ht="19.5" customHeight="1">
      <c r="A63" s="1825"/>
      <c r="B63" s="1893"/>
      <c r="C63" s="2927"/>
      <c r="D63" s="1833"/>
      <c r="E63" s="1894"/>
      <c r="F63" s="1921"/>
      <c r="H63" s="1825"/>
      <c r="J63" s="1828"/>
      <c r="K63" s="1925"/>
      <c r="L63" s="1922"/>
      <c r="M63" s="1923"/>
      <c r="N63" s="1926"/>
      <c r="O63" s="1913"/>
      <c r="P63" s="1828"/>
    </row>
    <row r="64" spans="1:16" s="1827" customFormat="1" ht="19.5" customHeight="1">
      <c r="A64" s="1825"/>
      <c r="B64" s="1893"/>
      <c r="C64" s="2927"/>
      <c r="D64" s="1833"/>
      <c r="E64" s="1894"/>
      <c r="F64" s="1921"/>
      <c r="H64" s="1825"/>
      <c r="J64" s="1828"/>
      <c r="K64" s="1925"/>
      <c r="L64" s="1922"/>
      <c r="M64" s="1923"/>
      <c r="N64" s="1926"/>
      <c r="O64" s="1913"/>
      <c r="P64" s="1828"/>
    </row>
    <row r="65" spans="1:16" s="1827" customFormat="1" ht="19.5" customHeight="1">
      <c r="A65" s="1825"/>
      <c r="B65" s="1893"/>
      <c r="C65" s="2927"/>
      <c r="D65" s="1833"/>
      <c r="E65" s="1894"/>
      <c r="F65" s="1921"/>
      <c r="H65" s="1825"/>
      <c r="J65" s="1828"/>
      <c r="K65" s="1925"/>
      <c r="L65" s="1922"/>
      <c r="M65" s="1923"/>
      <c r="N65" s="1926"/>
      <c r="O65" s="1913"/>
      <c r="P65" s="1828"/>
    </row>
    <row r="66" spans="1:16" s="1827" customFormat="1" ht="19.5" customHeight="1">
      <c r="A66" s="1825"/>
      <c r="B66" s="1893"/>
      <c r="C66" s="2927"/>
      <c r="D66" s="1833"/>
      <c r="E66" s="1894"/>
      <c r="F66" s="1921"/>
      <c r="H66" s="1825"/>
      <c r="J66" s="1828"/>
      <c r="K66" s="1925"/>
      <c r="L66" s="1922"/>
      <c r="M66" s="1923"/>
      <c r="N66" s="1926"/>
      <c r="O66" s="1913"/>
      <c r="P66" s="1828"/>
    </row>
    <row r="67" spans="1:16" s="1827" customFormat="1" ht="19.5" customHeight="1">
      <c r="A67" s="1825"/>
      <c r="B67" s="1893"/>
      <c r="C67" s="2927"/>
      <c r="D67" s="1833"/>
      <c r="E67" s="1894"/>
      <c r="F67" s="1921"/>
      <c r="H67" s="1825"/>
      <c r="J67" s="1828"/>
      <c r="K67" s="1925"/>
      <c r="L67" s="1922"/>
      <c r="M67" s="1923"/>
      <c r="N67" s="1926"/>
      <c r="O67" s="1913"/>
      <c r="P67" s="1828"/>
    </row>
    <row r="68" spans="1:16" s="1827" customFormat="1" ht="19.5" customHeight="1">
      <c r="A68" s="1825"/>
      <c r="B68" s="1893"/>
      <c r="C68" s="2927"/>
      <c r="D68" s="1833"/>
      <c r="E68" s="1894"/>
      <c r="F68" s="1921"/>
      <c r="H68" s="1825"/>
      <c r="J68" s="1828"/>
      <c r="K68" s="1925"/>
      <c r="L68" s="1922"/>
      <c r="M68" s="1923"/>
      <c r="N68" s="1926"/>
      <c r="O68" s="1913"/>
      <c r="P68" s="1828"/>
    </row>
    <row r="69" spans="1:16" s="1827" customFormat="1" ht="19.5" customHeight="1">
      <c r="A69" s="1825"/>
      <c r="B69" s="1893"/>
      <c r="C69" s="2927"/>
      <c r="D69" s="1833"/>
      <c r="E69" s="1894"/>
      <c r="F69" s="1921"/>
      <c r="H69" s="1825"/>
      <c r="J69" s="1828"/>
      <c r="K69" s="1925"/>
      <c r="L69" s="1922"/>
      <c r="M69" s="1927"/>
      <c r="N69" s="1926"/>
      <c r="O69" s="1913"/>
      <c r="P69" s="1828"/>
    </row>
    <row r="70" spans="1:16" s="1827" customFormat="1" ht="19.5" customHeight="1">
      <c r="A70" s="1825"/>
      <c r="B70" s="1893"/>
      <c r="C70" s="2927"/>
      <c r="D70" s="1833"/>
      <c r="E70" s="1894"/>
      <c r="F70" s="1921"/>
      <c r="H70" s="1825"/>
      <c r="J70" s="1828"/>
      <c r="K70" s="1925"/>
      <c r="L70" s="1922"/>
      <c r="M70" s="1927"/>
      <c r="N70" s="1926"/>
      <c r="O70" s="1913"/>
      <c r="P70" s="1828"/>
    </row>
    <row r="71" spans="1:16" s="1827" customFormat="1" ht="19.5" customHeight="1">
      <c r="A71" s="1825"/>
      <c r="B71" s="1893"/>
      <c r="C71" s="2927"/>
      <c r="D71" s="1833"/>
      <c r="E71" s="1894"/>
      <c r="F71" s="1921"/>
      <c r="H71" s="1825"/>
      <c r="J71" s="1828"/>
      <c r="K71" s="1925"/>
      <c r="L71" s="1922"/>
      <c r="M71" s="1927"/>
      <c r="N71" s="1926"/>
      <c r="O71" s="1913"/>
      <c r="P71" s="1828"/>
    </row>
    <row r="72" spans="1:16" s="1827" customFormat="1" ht="19.5" customHeight="1">
      <c r="A72" s="1825"/>
      <c r="B72" s="1893"/>
      <c r="C72" s="2927"/>
      <c r="D72" s="1833"/>
      <c r="E72" s="1894"/>
      <c r="F72" s="1921"/>
      <c r="H72" s="1825"/>
      <c r="J72" s="1828"/>
      <c r="K72" s="1925"/>
      <c r="L72" s="1922"/>
      <c r="M72" s="1923"/>
      <c r="N72" s="1926"/>
      <c r="O72" s="1913"/>
      <c r="P72" s="1828"/>
    </row>
    <row r="73" spans="1:16" s="1827" customFormat="1" ht="19.5" customHeight="1">
      <c r="A73" s="1825"/>
      <c r="B73" s="1893"/>
      <c r="C73" s="2927"/>
      <c r="D73" s="1833"/>
      <c r="E73" s="1894"/>
      <c r="F73" s="1921"/>
      <c r="H73" s="1825"/>
      <c r="J73" s="1828"/>
      <c r="K73" s="1925"/>
      <c r="L73" s="1922"/>
      <c r="M73" s="1923"/>
      <c r="N73" s="1926"/>
      <c r="O73" s="1913"/>
      <c r="P73" s="1828"/>
    </row>
    <row r="74" spans="1:16" s="1827" customFormat="1" ht="19.5" customHeight="1">
      <c r="A74" s="1825"/>
      <c r="B74" s="1893"/>
      <c r="C74" s="2927"/>
      <c r="D74" s="1833"/>
      <c r="E74" s="1894"/>
      <c r="F74" s="1921"/>
      <c r="H74" s="1825"/>
      <c r="J74" s="1828"/>
      <c r="K74" s="1925"/>
      <c r="L74" s="1922"/>
      <c r="M74" s="1923"/>
      <c r="N74" s="1926"/>
      <c r="O74" s="1913"/>
      <c r="P74" s="1828"/>
    </row>
    <row r="75" spans="1:16" s="1827" customFormat="1" ht="19.5" customHeight="1">
      <c r="A75" s="1825"/>
      <c r="B75" s="1893"/>
      <c r="C75" s="2927"/>
      <c r="D75" s="1833"/>
      <c r="E75" s="1894"/>
      <c r="F75" s="1921"/>
      <c r="H75" s="1825"/>
      <c r="J75" s="1828"/>
      <c r="K75" s="1925"/>
      <c r="L75" s="1923"/>
      <c r="M75" s="1923"/>
      <c r="N75" s="1926"/>
      <c r="O75" s="1913"/>
      <c r="P75" s="1828"/>
    </row>
    <row r="76" spans="1:16" s="1827" customFormat="1" ht="19.5" customHeight="1">
      <c r="A76" s="1825"/>
      <c r="B76" s="1826"/>
      <c r="C76" s="2927"/>
      <c r="D76" s="1833"/>
      <c r="E76" s="1894"/>
      <c r="F76" s="1921"/>
      <c r="H76" s="1825"/>
      <c r="J76" s="1828"/>
      <c r="K76" s="1925"/>
      <c r="L76" s="1922"/>
      <c r="M76" s="1923"/>
      <c r="N76" s="1926"/>
      <c r="O76" s="1913"/>
      <c r="P76" s="1828"/>
    </row>
    <row r="77" spans="1:16" s="1827" customFormat="1" ht="19.5" customHeight="1">
      <c r="A77" s="1825"/>
      <c r="B77" s="1893"/>
      <c r="C77" s="2928"/>
      <c r="D77" s="1833"/>
      <c r="E77" s="1894"/>
      <c r="F77" s="1921"/>
      <c r="H77" s="1825"/>
      <c r="J77" s="1828"/>
      <c r="K77" s="1925"/>
      <c r="L77" s="1922"/>
      <c r="M77" s="1923"/>
      <c r="N77" s="1926"/>
      <c r="O77" s="1913"/>
      <c r="P77" s="1828"/>
    </row>
    <row r="78" spans="1:16" s="1827" customFormat="1" ht="19.5" customHeight="1">
      <c r="A78" s="1825"/>
      <c r="B78" s="1826"/>
      <c r="C78" s="1830" t="s">
        <v>380</v>
      </c>
      <c r="D78" s="1830"/>
      <c r="E78" s="1830"/>
      <c r="F78" s="1831">
        <f>SUM(F59:F77)</f>
        <v>0</v>
      </c>
      <c r="H78" s="1825"/>
      <c r="J78" s="1828"/>
      <c r="K78" s="1925"/>
      <c r="L78" s="1922"/>
      <c r="M78" s="1923"/>
      <c r="N78" s="1926"/>
      <c r="O78" s="1913"/>
      <c r="P78" s="1828"/>
    </row>
    <row r="79" spans="1:16" s="1827" customFormat="1" ht="19.5" customHeight="1">
      <c r="A79" s="1825"/>
      <c r="B79" s="1893"/>
      <c r="C79" s="1928" t="s">
        <v>49</v>
      </c>
      <c r="D79" s="1903"/>
      <c r="E79" s="1903"/>
      <c r="F79" s="1929"/>
      <c r="H79" s="1825"/>
      <c r="J79" s="1828"/>
      <c r="K79" s="1925"/>
      <c r="L79" s="1923"/>
      <c r="M79" s="1923"/>
      <c r="N79" s="1920"/>
      <c r="O79" s="1913"/>
      <c r="P79" s="1828"/>
    </row>
    <row r="80" spans="1:16" s="1827" customFormat="1" ht="19.5" customHeight="1">
      <c r="A80" s="1825"/>
      <c r="B80" s="1893"/>
      <c r="C80" s="1830" t="s">
        <v>381</v>
      </c>
      <c r="D80" s="1830"/>
      <c r="E80" s="1830"/>
      <c r="F80" s="1831">
        <f>F79</f>
        <v>0</v>
      </c>
      <c r="H80" s="1825"/>
      <c r="J80" s="1828"/>
      <c r="K80" s="1905"/>
      <c r="L80" s="1922"/>
      <c r="M80" s="1923"/>
      <c r="N80" s="1920"/>
      <c r="O80" s="1913"/>
      <c r="P80" s="1828"/>
    </row>
    <row r="81" spans="1:16" ht="19.5" customHeight="1">
      <c r="A81" s="1825"/>
      <c r="B81" s="1893"/>
      <c r="C81" s="2926" t="s">
        <v>50</v>
      </c>
      <c r="D81" s="1833"/>
      <c r="E81" s="1834"/>
      <c r="F81" s="1930"/>
      <c r="G81" s="1827"/>
      <c r="H81" s="1825"/>
      <c r="J81" s="1828"/>
      <c r="K81" s="1931"/>
      <c r="L81" s="1906"/>
      <c r="M81" s="1932"/>
      <c r="N81" s="1920"/>
      <c r="O81" s="1913"/>
      <c r="P81" s="1828"/>
    </row>
    <row r="82" spans="1:16" ht="19.5" customHeight="1" thickBot="1">
      <c r="A82" s="1802"/>
      <c r="B82" s="1893"/>
      <c r="C82" s="2927"/>
      <c r="D82" s="1833"/>
      <c r="E82" s="1834"/>
      <c r="F82" s="1930"/>
      <c r="G82" s="1827"/>
      <c r="H82" s="1802"/>
      <c r="J82" s="1828"/>
      <c r="K82" s="1933"/>
      <c r="L82" s="1934"/>
      <c r="M82" s="1934"/>
      <c r="N82" s="1935"/>
      <c r="O82" s="1913"/>
      <c r="P82" s="1828"/>
    </row>
    <row r="83" spans="1:16" ht="19.5" customHeight="1" thickBot="1">
      <c r="A83" s="1802"/>
      <c r="B83" s="1826"/>
      <c r="C83" s="2927"/>
      <c r="D83" s="1833"/>
      <c r="E83" s="1834"/>
      <c r="F83" s="1930"/>
      <c r="G83" s="1827"/>
      <c r="H83" s="1802"/>
      <c r="J83" s="1828"/>
      <c r="K83" s="1907"/>
      <c r="L83" s="1908" t="s">
        <v>899</v>
      </c>
      <c r="M83" s="1909"/>
      <c r="N83" s="1910"/>
      <c r="O83" s="1913"/>
      <c r="P83" s="1828"/>
    </row>
    <row r="84" spans="1:16" ht="19.5" customHeight="1">
      <c r="A84" s="1802"/>
      <c r="C84" s="2928"/>
      <c r="D84" s="1833"/>
      <c r="E84" s="1834"/>
      <c r="F84" s="1904"/>
      <c r="H84" s="1802"/>
      <c r="J84" s="1828"/>
      <c r="K84" s="1911"/>
      <c r="L84" s="1897"/>
      <c r="M84" s="1898"/>
      <c r="N84" s="1936"/>
      <c r="O84" s="1913"/>
      <c r="P84" s="1828"/>
    </row>
    <row r="85" spans="1:16" ht="19.5" customHeight="1">
      <c r="A85" s="1802"/>
      <c r="C85" s="1830" t="s">
        <v>382</v>
      </c>
      <c r="D85" s="1830"/>
      <c r="E85" s="1830"/>
      <c r="F85" s="1831">
        <f>SUM(F81:F84)</f>
        <v>0</v>
      </c>
      <c r="H85" s="1802"/>
      <c r="J85" s="1828"/>
      <c r="K85" s="1925"/>
      <c r="L85" s="1897"/>
      <c r="M85" s="1898"/>
      <c r="N85" s="1936"/>
      <c r="O85" s="1913"/>
      <c r="P85" s="1828"/>
    </row>
    <row r="86" spans="1:16" ht="19.5" customHeight="1" thickBot="1">
      <c r="A86" s="1802"/>
      <c r="H86" s="1802"/>
      <c r="J86" s="1828"/>
      <c r="K86" s="1925"/>
      <c r="L86" s="1897"/>
      <c r="M86" s="1898"/>
      <c r="N86" s="1936"/>
      <c r="O86" s="1913"/>
      <c r="P86" s="1828"/>
    </row>
    <row r="87" spans="1:16" s="1827" customFormat="1" ht="19.5" customHeight="1" thickBot="1">
      <c r="A87" s="1802"/>
      <c r="B87" s="1816"/>
      <c r="C87" s="1914" t="s">
        <v>1388</v>
      </c>
      <c r="D87" s="1915"/>
      <c r="E87" s="1915"/>
      <c r="F87" s="1916"/>
      <c r="G87" s="1804"/>
      <c r="H87" s="1802"/>
      <c r="J87" s="1805"/>
      <c r="K87" s="1925"/>
      <c r="L87" s="1897"/>
      <c r="M87" s="1912"/>
      <c r="N87" s="1936"/>
      <c r="O87" s="1913"/>
      <c r="P87" s="1828"/>
    </row>
    <row r="88" spans="1:16" s="1827" customFormat="1" ht="19.5" customHeight="1" thickTop="1">
      <c r="A88" s="1825"/>
      <c r="B88" s="1816"/>
      <c r="C88" s="1804" t="s">
        <v>590</v>
      </c>
      <c r="D88" s="1818" t="s">
        <v>46</v>
      </c>
      <c r="E88" s="1854">
        <f>E4</f>
        <v>20000000</v>
      </c>
      <c r="F88" s="1804"/>
      <c r="G88" s="1804"/>
      <c r="H88" s="1825"/>
      <c r="J88" s="1805"/>
      <c r="K88" s="1937"/>
      <c r="L88" s="1938" t="s">
        <v>327</v>
      </c>
      <c r="M88" s="1939">
        <f>SUM(M89:M91)</f>
        <v>0</v>
      </c>
      <c r="N88" s="1940"/>
      <c r="O88" s="1913"/>
      <c r="P88" s="1828"/>
    </row>
    <row r="89" spans="1:16" s="1827" customFormat="1" ht="19.5" customHeight="1">
      <c r="A89" s="1825"/>
      <c r="B89" s="1816"/>
      <c r="C89" s="1804" t="s">
        <v>1379</v>
      </c>
      <c r="D89" s="1818" t="s">
        <v>46</v>
      </c>
      <c r="E89" s="1854">
        <f>F97+F99+F103+F105</f>
        <v>0</v>
      </c>
      <c r="F89" s="1855">
        <f>E89/E88</f>
        <v>0</v>
      </c>
      <c r="G89" s="1804"/>
      <c r="H89" s="1825"/>
      <c r="J89" s="1805"/>
      <c r="K89" s="1943"/>
      <c r="L89" s="1943"/>
      <c r="M89" s="1944"/>
      <c r="N89" s="1943"/>
      <c r="O89" s="1941"/>
      <c r="P89" s="1805"/>
    </row>
    <row r="90" spans="1:16" s="1827" customFormat="1" ht="19.5" customHeight="1">
      <c r="A90" s="1825"/>
      <c r="B90" s="1816"/>
      <c r="C90" s="1804" t="s">
        <v>1380</v>
      </c>
      <c r="D90" s="1818" t="s">
        <v>46</v>
      </c>
      <c r="E90" s="1942">
        <f>E88-E89</f>
        <v>20000000</v>
      </c>
      <c r="F90" s="1804"/>
      <c r="G90" s="1804"/>
      <c r="H90" s="1825"/>
      <c r="J90" s="1805"/>
      <c r="K90" s="1945"/>
      <c r="L90" s="1945"/>
      <c r="M90" s="1946"/>
      <c r="N90" s="1947"/>
      <c r="O90" s="1901"/>
      <c r="P90" s="1805"/>
    </row>
    <row r="91" spans="1:16" s="1827" customFormat="1" ht="19.5" customHeight="1">
      <c r="A91" s="1825"/>
      <c r="B91" s="1893"/>
      <c r="C91" s="1804"/>
      <c r="D91" s="1818"/>
      <c r="E91" s="1804"/>
      <c r="F91" s="1804"/>
      <c r="H91" s="1825"/>
      <c r="J91" s="1805"/>
      <c r="K91" s="1945"/>
      <c r="L91" s="1945"/>
      <c r="M91" s="1946"/>
      <c r="N91" s="1947"/>
      <c r="O91" s="1948"/>
      <c r="P91" s="1805"/>
    </row>
    <row r="92" spans="1:16" s="1827" customFormat="1" ht="19.5" customHeight="1">
      <c r="A92" s="1825"/>
      <c r="B92" s="1893"/>
      <c r="C92" s="1804"/>
      <c r="D92" s="1804"/>
      <c r="E92" s="1804"/>
      <c r="F92" s="1804"/>
      <c r="H92" s="1825"/>
      <c r="J92" s="1805"/>
      <c r="K92" s="1806"/>
      <c r="L92" s="1806"/>
      <c r="M92" s="1806"/>
      <c r="N92" s="1806"/>
      <c r="O92" s="1948"/>
      <c r="P92" s="1805"/>
    </row>
    <row r="93" spans="1:16" s="1827" customFormat="1">
      <c r="A93" s="1825"/>
      <c r="B93" s="1826"/>
      <c r="C93" s="2929" t="s">
        <v>86</v>
      </c>
      <c r="D93" s="1864"/>
      <c r="E93" s="1865"/>
      <c r="F93" s="1949"/>
      <c r="H93" s="1825"/>
      <c r="J93" s="1805"/>
      <c r="O93" s="1805"/>
      <c r="P93" s="1805"/>
    </row>
    <row r="94" spans="1:16" s="1827" customFormat="1">
      <c r="A94" s="1825"/>
      <c r="B94" s="1893"/>
      <c r="C94" s="2929"/>
      <c r="D94" s="1864"/>
      <c r="E94" s="1865"/>
      <c r="F94" s="1949"/>
      <c r="H94" s="1825"/>
    </row>
    <row r="95" spans="1:16" s="1827" customFormat="1">
      <c r="A95" s="1825"/>
      <c r="B95" s="1893"/>
      <c r="C95" s="2929"/>
      <c r="D95" s="1864"/>
      <c r="E95" s="1865"/>
      <c r="F95" s="1949"/>
      <c r="H95" s="1825"/>
      <c r="K95" s="1950"/>
      <c r="L95" s="1950"/>
      <c r="M95" s="1950"/>
      <c r="N95" s="1950"/>
    </row>
    <row r="96" spans="1:16" s="1827" customFormat="1">
      <c r="A96" s="1825"/>
      <c r="C96" s="2929"/>
      <c r="D96" s="1864"/>
      <c r="E96" s="1865"/>
      <c r="F96" s="1949"/>
      <c r="H96" s="1825"/>
      <c r="K96" s="1950"/>
      <c r="L96" s="1950"/>
      <c r="M96" s="1950"/>
      <c r="N96" s="1950"/>
    </row>
    <row r="97" spans="1:14" s="1827" customFormat="1">
      <c r="A97" s="1825"/>
      <c r="B97" s="1826"/>
      <c r="C97" s="1830" t="s">
        <v>377</v>
      </c>
      <c r="D97" s="1830"/>
      <c r="E97" s="1830"/>
      <c r="F97" s="1831">
        <f>SUM(F93:F96)</f>
        <v>0</v>
      </c>
      <c r="H97" s="1825"/>
      <c r="K97" s="1950"/>
      <c r="L97" s="1951">
        <f>E90</f>
        <v>20000000</v>
      </c>
      <c r="M97" s="1950"/>
      <c r="N97" s="1950"/>
    </row>
    <row r="98" spans="1:14" s="1827" customFormat="1">
      <c r="A98" s="1825"/>
      <c r="B98" s="1893"/>
      <c r="C98" s="1832" t="s">
        <v>48</v>
      </c>
      <c r="D98" s="1833"/>
      <c r="E98" s="1894"/>
      <c r="F98" s="1895"/>
      <c r="H98" s="1825"/>
      <c r="K98" s="1808"/>
      <c r="L98" s="1952"/>
      <c r="M98" s="1808"/>
      <c r="N98" s="1808"/>
    </row>
    <row r="99" spans="1:14">
      <c r="A99" s="1825"/>
      <c r="B99" s="1893"/>
      <c r="C99" s="1830" t="s">
        <v>380</v>
      </c>
      <c r="D99" s="1830"/>
      <c r="E99" s="1830"/>
      <c r="F99" s="1831">
        <f>F98</f>
        <v>0</v>
      </c>
      <c r="G99" s="1827"/>
      <c r="H99" s="1825"/>
      <c r="L99" s="1952"/>
    </row>
    <row r="100" spans="1:14" ht="30">
      <c r="A100" s="1825"/>
      <c r="B100" s="1893"/>
      <c r="C100" s="1832" t="s">
        <v>49</v>
      </c>
      <c r="D100" s="1903"/>
      <c r="E100" s="1903"/>
      <c r="F100" s="1953"/>
      <c r="G100" s="1827"/>
      <c r="H100" s="1825"/>
    </row>
    <row r="101" spans="1:14">
      <c r="A101" s="1802"/>
      <c r="B101" s="1826"/>
      <c r="C101" s="1954"/>
      <c r="D101" s="1903"/>
      <c r="E101" s="1903"/>
      <c r="F101" s="1949"/>
      <c r="G101" s="1827"/>
      <c r="H101" s="1802"/>
    </row>
    <row r="102" spans="1:14">
      <c r="A102" s="1802"/>
      <c r="B102" s="1893"/>
      <c r="C102" s="1955"/>
      <c r="D102" s="1903"/>
      <c r="E102" s="1903"/>
      <c r="F102" s="1949"/>
      <c r="G102" s="1827"/>
      <c r="H102" s="1802"/>
    </row>
    <row r="103" spans="1:14">
      <c r="A103" s="1802"/>
      <c r="B103" s="1826"/>
      <c r="C103" s="1830" t="s">
        <v>381</v>
      </c>
      <c r="D103" s="1830"/>
      <c r="E103" s="1830"/>
      <c r="F103" s="1831">
        <f>SUM(F100:F102)</f>
        <v>0</v>
      </c>
      <c r="G103" s="1827"/>
      <c r="H103" s="1802"/>
    </row>
    <row r="104" spans="1:14" ht="30">
      <c r="A104" s="1802"/>
      <c r="C104" s="1832" t="s">
        <v>50</v>
      </c>
      <c r="D104" s="1833"/>
      <c r="E104" s="1834"/>
      <c r="F104" s="1835"/>
      <c r="H104" s="1802"/>
    </row>
    <row r="105" spans="1:14">
      <c r="A105" s="1802"/>
      <c r="C105" s="1830" t="s">
        <v>382</v>
      </c>
      <c r="D105" s="1830"/>
      <c r="E105" s="1830"/>
      <c r="F105" s="1831">
        <f>F104</f>
        <v>0</v>
      </c>
      <c r="H105" s="1802"/>
      <c r="K105" s="1950"/>
      <c r="L105" s="1950"/>
      <c r="M105" s="1950"/>
      <c r="N105" s="1950"/>
    </row>
    <row r="106" spans="1:14" s="1827" customFormat="1" ht="15.75" thickBot="1">
      <c r="A106" s="1802"/>
      <c r="B106" s="1816"/>
      <c r="C106" s="1804"/>
      <c r="D106" s="1804"/>
      <c r="E106" s="1804"/>
      <c r="F106" s="1804"/>
      <c r="G106" s="1804"/>
      <c r="H106" s="1802"/>
      <c r="K106" s="1950"/>
      <c r="L106" s="1950"/>
      <c r="M106" s="1950"/>
      <c r="N106" s="1950"/>
    </row>
    <row r="107" spans="1:14" s="1827" customFormat="1" ht="21.75" thickBot="1">
      <c r="A107" s="1802"/>
      <c r="B107" s="1816"/>
      <c r="C107" s="1914" t="s">
        <v>1390</v>
      </c>
      <c r="D107" s="1915"/>
      <c r="E107" s="1915"/>
      <c r="F107" s="1916"/>
      <c r="G107" s="1804"/>
      <c r="H107" s="1802"/>
      <c r="K107" s="1950"/>
      <c r="L107" s="1950"/>
      <c r="M107" s="1950"/>
      <c r="N107" s="1950"/>
    </row>
    <row r="108" spans="1:14" s="1827" customFormat="1" ht="19.5" thickTop="1">
      <c r="A108" s="1825"/>
      <c r="B108" s="1816"/>
      <c r="C108" s="1804" t="s">
        <v>590</v>
      </c>
      <c r="D108" s="1818" t="s">
        <v>46</v>
      </c>
      <c r="E108" s="1824">
        <f>E6</f>
        <v>44114000</v>
      </c>
      <c r="F108" s="1804"/>
      <c r="G108" s="1804"/>
      <c r="H108" s="1825"/>
      <c r="K108" s="1950"/>
      <c r="L108" s="1950"/>
      <c r="M108" s="1950"/>
      <c r="N108" s="1950"/>
    </row>
    <row r="109" spans="1:14" s="1827" customFormat="1" ht="18.75">
      <c r="A109" s="1825"/>
      <c r="B109" s="1816"/>
      <c r="C109" s="1804" t="s">
        <v>1379</v>
      </c>
      <c r="D109" s="1818" t="s">
        <v>46</v>
      </c>
      <c r="E109" s="1854">
        <f>F117+F119+F121+F123</f>
        <v>0</v>
      </c>
      <c r="F109" s="1855">
        <f>E109/E108</f>
        <v>0</v>
      </c>
      <c r="G109" s="1804"/>
      <c r="H109" s="1825"/>
      <c r="K109" s="1950"/>
      <c r="L109" s="1950"/>
      <c r="M109" s="1950"/>
      <c r="N109" s="1950"/>
    </row>
    <row r="110" spans="1:14" s="1827" customFormat="1" ht="18.75">
      <c r="A110" s="1825"/>
      <c r="B110" s="1816"/>
      <c r="C110" s="1804" t="s">
        <v>1380</v>
      </c>
      <c r="D110" s="1818" t="s">
        <v>46</v>
      </c>
      <c r="E110" s="1857">
        <f>E108-E109</f>
        <v>44114000</v>
      </c>
      <c r="F110" s="1804"/>
      <c r="G110" s="1804"/>
      <c r="H110" s="1825"/>
      <c r="K110" s="1950"/>
      <c r="L110" s="1956"/>
      <c r="M110" s="1950"/>
      <c r="N110" s="1950"/>
    </row>
    <row r="111" spans="1:14" s="1827" customFormat="1">
      <c r="A111" s="1825"/>
      <c r="B111" s="1893"/>
      <c r="C111" s="1804"/>
      <c r="D111" s="1818"/>
      <c r="E111" s="1804"/>
      <c r="F111" s="1804"/>
      <c r="H111" s="1825"/>
      <c r="K111" s="1950"/>
      <c r="L111" s="1956"/>
      <c r="M111" s="1950"/>
      <c r="N111" s="1950"/>
    </row>
    <row r="112" spans="1:14" s="1827" customFormat="1">
      <c r="A112" s="1825"/>
      <c r="B112" s="1826"/>
      <c r="C112" s="1804"/>
      <c r="D112" s="1804"/>
      <c r="E112" s="1804"/>
      <c r="F112" s="1804"/>
      <c r="H112" s="1825"/>
      <c r="K112" s="1950"/>
      <c r="L112" s="1956"/>
      <c r="M112" s="1950"/>
      <c r="N112" s="1950"/>
    </row>
    <row r="113" spans="1:14" s="1827" customFormat="1" ht="30">
      <c r="A113" s="1825"/>
      <c r="B113" s="1893"/>
      <c r="C113" s="1957" t="s">
        <v>86</v>
      </c>
      <c r="D113" s="1864"/>
      <c r="E113" s="1865"/>
      <c r="F113" s="1866"/>
      <c r="H113" s="1825"/>
      <c r="K113" s="1950"/>
      <c r="L113" s="1956"/>
      <c r="M113" s="1950"/>
      <c r="N113" s="1950"/>
    </row>
    <row r="114" spans="1:14" s="1827" customFormat="1">
      <c r="A114" s="1825"/>
      <c r="B114" s="1893"/>
      <c r="C114" s="1957"/>
      <c r="D114" s="1864"/>
      <c r="E114" s="1865"/>
      <c r="F114" s="1866"/>
      <c r="H114" s="1825"/>
      <c r="K114" s="1950"/>
      <c r="L114" s="1950"/>
      <c r="M114" s="1950"/>
      <c r="N114" s="1950"/>
    </row>
    <row r="115" spans="1:14" s="1827" customFormat="1">
      <c r="A115" s="1825"/>
      <c r="B115" s="1893"/>
      <c r="C115" s="1957"/>
      <c r="D115" s="1864"/>
      <c r="E115" s="1865"/>
      <c r="F115" s="1866"/>
      <c r="H115" s="1825"/>
      <c r="K115" s="1950"/>
      <c r="L115" s="1950"/>
      <c r="M115" s="1950"/>
      <c r="N115" s="1950"/>
    </row>
    <row r="116" spans="1:14" s="1827" customFormat="1">
      <c r="A116" s="1825"/>
      <c r="B116" s="1893"/>
      <c r="C116" s="1957"/>
      <c r="D116" s="1864"/>
      <c r="E116" s="1865"/>
      <c r="F116" s="1866"/>
      <c r="H116" s="1825"/>
      <c r="K116" s="1808"/>
      <c r="L116" s="1808"/>
      <c r="M116" s="1808"/>
      <c r="N116" s="1808"/>
    </row>
    <row r="117" spans="1:14">
      <c r="A117" s="1825"/>
      <c r="B117" s="1826"/>
      <c r="C117" s="1830" t="s">
        <v>377</v>
      </c>
      <c r="D117" s="1830"/>
      <c r="E117" s="1830"/>
      <c r="F117" s="1831">
        <f>SUM(F113:F116)</f>
        <v>0</v>
      </c>
      <c r="G117" s="1827"/>
      <c r="H117" s="1825"/>
    </row>
    <row r="118" spans="1:14">
      <c r="A118" s="1825"/>
      <c r="B118" s="1893"/>
      <c r="C118" s="1832" t="s">
        <v>48</v>
      </c>
      <c r="D118" s="1833"/>
      <c r="E118" s="1894"/>
      <c r="F118" s="1921"/>
      <c r="G118" s="1827"/>
      <c r="H118" s="1825"/>
    </row>
    <row r="119" spans="1:14">
      <c r="A119" s="1802"/>
      <c r="B119" s="1826"/>
      <c r="C119" s="1830" t="s">
        <v>380</v>
      </c>
      <c r="D119" s="1830"/>
      <c r="E119" s="1830"/>
      <c r="F119" s="1831">
        <f>F118</f>
        <v>0</v>
      </c>
      <c r="G119" s="1827"/>
      <c r="H119" s="1802"/>
    </row>
    <row r="120" spans="1:14" ht="30">
      <c r="A120" s="1802"/>
      <c r="B120" s="1893"/>
      <c r="C120" s="1832" t="s">
        <v>49</v>
      </c>
      <c r="D120" s="1903"/>
      <c r="E120" s="1833"/>
      <c r="F120" s="1958"/>
      <c r="G120" s="1827"/>
      <c r="H120" s="1802"/>
    </row>
    <row r="121" spans="1:14">
      <c r="A121" s="1802"/>
      <c r="B121" s="1826"/>
      <c r="C121" s="1830" t="s">
        <v>381</v>
      </c>
      <c r="D121" s="1830"/>
      <c r="E121" s="1830"/>
      <c r="F121" s="1831">
        <f>SUM(F120)</f>
        <v>0</v>
      </c>
      <c r="G121" s="1827"/>
      <c r="H121" s="1802"/>
    </row>
    <row r="122" spans="1:14" ht="30">
      <c r="A122" s="1802"/>
      <c r="C122" s="1832" t="s">
        <v>50</v>
      </c>
      <c r="D122" s="1833"/>
      <c r="E122" s="1834"/>
      <c r="F122" s="1835"/>
      <c r="H122" s="1802"/>
    </row>
    <row r="123" spans="1:14">
      <c r="A123" s="1802"/>
      <c r="C123" s="1830" t="s">
        <v>382</v>
      </c>
      <c r="D123" s="1830"/>
      <c r="E123" s="1830"/>
      <c r="F123" s="1831">
        <f>F122</f>
        <v>0</v>
      </c>
      <c r="H123" s="1802"/>
    </row>
    <row r="124" spans="1:14">
      <c r="A124" s="1802"/>
      <c r="H124" s="1802"/>
      <c r="K124" s="1950"/>
      <c r="L124" s="1950"/>
      <c r="M124" s="1950"/>
      <c r="N124" s="1950"/>
    </row>
    <row r="125" spans="1:14" s="1827" customFormat="1" ht="15.75" thickBot="1">
      <c r="A125" s="1802"/>
      <c r="B125" s="1816"/>
      <c r="C125" s="1804"/>
      <c r="D125" s="1804"/>
      <c r="E125" s="1804"/>
      <c r="F125" s="1804"/>
      <c r="G125" s="1804"/>
      <c r="H125" s="1802"/>
      <c r="K125" s="1950"/>
      <c r="L125" s="1950"/>
      <c r="M125" s="1950"/>
      <c r="N125" s="1950"/>
    </row>
    <row r="126" spans="1:14" s="1827" customFormat="1" ht="21.75" thickBot="1">
      <c r="A126" s="1802"/>
      <c r="B126" s="1816"/>
      <c r="C126" s="1914" t="s">
        <v>1389</v>
      </c>
      <c r="D126" s="1915"/>
      <c r="E126" s="1915"/>
      <c r="F126" s="1916"/>
      <c r="G126" s="1804"/>
      <c r="H126" s="1802"/>
      <c r="K126" s="1950"/>
      <c r="L126" s="1950"/>
      <c r="M126" s="1950"/>
      <c r="N126" s="1950"/>
    </row>
    <row r="127" spans="1:14" s="1827" customFormat="1" ht="19.5" thickTop="1">
      <c r="A127" s="1825"/>
      <c r="B127" s="1816"/>
      <c r="C127" s="1804" t="s">
        <v>590</v>
      </c>
      <c r="D127" s="1818" t="s">
        <v>46</v>
      </c>
      <c r="E127" s="1854">
        <f>E9</f>
        <v>60000000</v>
      </c>
      <c r="F127" s="1804"/>
      <c r="G127" s="1804"/>
      <c r="H127" s="1825"/>
      <c r="K127" s="1950"/>
      <c r="L127" s="1950"/>
      <c r="M127" s="1950"/>
      <c r="N127" s="1950"/>
    </row>
    <row r="128" spans="1:14" s="1827" customFormat="1" ht="18.75">
      <c r="A128" s="1825"/>
      <c r="B128" s="1816"/>
      <c r="C128" s="1804" t="s">
        <v>1379</v>
      </c>
      <c r="D128" s="1818" t="s">
        <v>46</v>
      </c>
      <c r="E128" s="1854">
        <f>F133+F135+F137+F140</f>
        <v>0</v>
      </c>
      <c r="F128" s="1855">
        <f>E128/E127</f>
        <v>0</v>
      </c>
      <c r="G128" s="1804"/>
      <c r="H128" s="1825"/>
      <c r="K128" s="1950"/>
      <c r="L128" s="1950"/>
      <c r="M128" s="1950"/>
      <c r="N128" s="1950"/>
    </row>
    <row r="129" spans="1:16" s="1827" customFormat="1" ht="18.75">
      <c r="A129" s="1825"/>
      <c r="B129" s="1816"/>
      <c r="C129" s="1804" t="s">
        <v>1380</v>
      </c>
      <c r="D129" s="1818" t="s">
        <v>46</v>
      </c>
      <c r="E129" s="1959">
        <f>E127-E128</f>
        <v>60000000</v>
      </c>
      <c r="F129" s="1804"/>
      <c r="G129" s="1804"/>
      <c r="H129" s="1825"/>
      <c r="K129" s="1950"/>
      <c r="L129" s="1950"/>
      <c r="M129" s="1950"/>
      <c r="N129" s="1950"/>
    </row>
    <row r="130" spans="1:16" s="1827" customFormat="1">
      <c r="A130" s="1825"/>
      <c r="B130" s="1893"/>
      <c r="C130" s="1804"/>
      <c r="D130" s="1818"/>
      <c r="E130" s="1804"/>
      <c r="F130" s="1804"/>
      <c r="H130" s="1825"/>
      <c r="K130" s="1950"/>
      <c r="L130" s="1950"/>
      <c r="M130" s="1950"/>
      <c r="N130" s="1950"/>
    </row>
    <row r="131" spans="1:16" s="1827" customFormat="1">
      <c r="A131" s="1825"/>
      <c r="B131" s="1826"/>
      <c r="C131" s="1804"/>
      <c r="D131" s="1804"/>
      <c r="E131" s="1804"/>
      <c r="F131" s="1804"/>
      <c r="H131" s="1825"/>
      <c r="K131" s="1950"/>
      <c r="L131" s="1950"/>
      <c r="M131" s="1950"/>
      <c r="N131" s="1950"/>
    </row>
    <row r="132" spans="1:16" s="1827" customFormat="1" ht="30">
      <c r="A132" s="1825"/>
      <c r="B132" s="1893"/>
      <c r="C132" s="1957" t="s">
        <v>86</v>
      </c>
      <c r="D132" s="1864"/>
      <c r="E132" s="1865"/>
      <c r="F132" s="1918"/>
      <c r="H132" s="1825"/>
      <c r="K132" s="1950"/>
      <c r="L132" s="1950"/>
      <c r="M132" s="1950"/>
      <c r="N132" s="1950"/>
    </row>
    <row r="133" spans="1:16" s="1827" customFormat="1">
      <c r="A133" s="1825"/>
      <c r="B133" s="1826"/>
      <c r="C133" s="1830" t="s">
        <v>377</v>
      </c>
      <c r="D133" s="1830"/>
      <c r="E133" s="1830"/>
      <c r="F133" s="1831">
        <f>F132</f>
        <v>0</v>
      </c>
      <c r="H133" s="1825"/>
      <c r="K133" s="1808"/>
      <c r="L133" s="1808"/>
      <c r="M133" s="1808"/>
      <c r="N133" s="1808"/>
    </row>
    <row r="134" spans="1:16">
      <c r="A134" s="1825"/>
      <c r="B134" s="1893"/>
      <c r="C134" s="1832" t="s">
        <v>48</v>
      </c>
      <c r="D134" s="1833"/>
      <c r="E134" s="1894"/>
      <c r="F134" s="1960"/>
      <c r="G134" s="1827"/>
      <c r="H134" s="1825"/>
    </row>
    <row r="135" spans="1:16">
      <c r="A135" s="1825"/>
      <c r="B135" s="1826"/>
      <c r="C135" s="1830" t="s">
        <v>380</v>
      </c>
      <c r="D135" s="1830"/>
      <c r="E135" s="1830"/>
      <c r="F135" s="1831">
        <f>F134</f>
        <v>0</v>
      </c>
      <c r="G135" s="1827"/>
      <c r="H135" s="1825"/>
    </row>
    <row r="136" spans="1:16" ht="30">
      <c r="A136" s="1802"/>
      <c r="B136" s="1893"/>
      <c r="C136" s="1832" t="s">
        <v>49</v>
      </c>
      <c r="D136" s="1903"/>
      <c r="E136" s="1903"/>
      <c r="F136" s="1929"/>
      <c r="G136" s="1827"/>
      <c r="H136" s="1802"/>
    </row>
    <row r="137" spans="1:16">
      <c r="A137" s="1802"/>
      <c r="B137" s="1893"/>
      <c r="C137" s="1830" t="s">
        <v>381</v>
      </c>
      <c r="D137" s="1830"/>
      <c r="E137" s="1830"/>
      <c r="F137" s="1831">
        <f>F136</f>
        <v>0</v>
      </c>
      <c r="G137" s="1827"/>
      <c r="H137" s="1802"/>
    </row>
    <row r="138" spans="1:16" ht="30">
      <c r="A138" s="1802"/>
      <c r="B138" s="1826"/>
      <c r="C138" s="1832" t="s">
        <v>50</v>
      </c>
      <c r="D138" s="1833"/>
      <c r="E138" s="1834"/>
      <c r="F138" s="1961"/>
      <c r="G138" s="1827"/>
      <c r="H138" s="1802"/>
    </row>
    <row r="139" spans="1:16">
      <c r="A139" s="1802"/>
      <c r="C139" s="1955"/>
      <c r="D139" s="1833"/>
      <c r="E139" s="1834"/>
      <c r="F139" s="1904"/>
      <c r="H139" s="1802"/>
    </row>
    <row r="140" spans="1:16">
      <c r="A140" s="1802"/>
      <c r="C140" s="1830" t="s">
        <v>382</v>
      </c>
      <c r="D140" s="1830"/>
      <c r="E140" s="1830"/>
      <c r="F140" s="1831">
        <f>SUM(F138:F139)</f>
        <v>0</v>
      </c>
      <c r="H140" s="1802"/>
      <c r="K140" s="1950"/>
      <c r="L140" s="1950"/>
      <c r="M140" s="1950"/>
      <c r="N140" s="1950"/>
    </row>
    <row r="141" spans="1:16" s="1827" customFormat="1" ht="15.75" thickBot="1">
      <c r="A141" s="1802"/>
      <c r="B141" s="1816"/>
      <c r="C141" s="1804"/>
      <c r="D141" s="1804"/>
      <c r="E141" s="1804"/>
      <c r="F141" s="1804"/>
      <c r="G141" s="1804"/>
      <c r="H141" s="1802"/>
      <c r="K141" s="1950"/>
      <c r="L141" s="1962"/>
      <c r="M141" s="1962"/>
      <c r="N141" s="1962"/>
    </row>
    <row r="142" spans="1:16" s="1827" customFormat="1" ht="21.75" thickBot="1">
      <c r="A142" s="1802"/>
      <c r="B142" s="1816"/>
      <c r="C142" s="1914" t="s">
        <v>1391</v>
      </c>
      <c r="D142" s="1915"/>
      <c r="E142" s="1915"/>
      <c r="F142" s="1916"/>
      <c r="G142" s="1804"/>
      <c r="H142" s="1802"/>
      <c r="K142" s="1950"/>
      <c r="L142" s="1950"/>
      <c r="M142" s="1950"/>
      <c r="N142" s="1950"/>
      <c r="O142" s="1891"/>
      <c r="P142" s="1891"/>
    </row>
    <row r="143" spans="1:16" s="1827" customFormat="1" ht="19.5" thickTop="1">
      <c r="A143" s="1825"/>
      <c r="B143" s="1816"/>
      <c r="C143" s="1804" t="s">
        <v>590</v>
      </c>
      <c r="D143" s="1818" t="s">
        <v>46</v>
      </c>
      <c r="E143" s="1854">
        <f>E8</f>
        <v>0</v>
      </c>
      <c r="F143" s="1804"/>
      <c r="G143" s="1804"/>
      <c r="H143" s="1825"/>
      <c r="K143" s="1950"/>
      <c r="L143" s="1950"/>
      <c r="M143" s="1950"/>
      <c r="N143" s="1950"/>
    </row>
    <row r="144" spans="1:16" s="1827" customFormat="1" ht="18.75">
      <c r="A144" s="1825"/>
      <c r="B144" s="1816"/>
      <c r="C144" s="1804" t="s">
        <v>1379</v>
      </c>
      <c r="D144" s="1818" t="s">
        <v>46</v>
      </c>
      <c r="E144" s="1854" t="e">
        <f>F149+F151+F153+F156</f>
        <v>#REF!</v>
      </c>
      <c r="F144" s="1855" t="e">
        <f>E144/E143</f>
        <v>#REF!</v>
      </c>
      <c r="G144" s="1804"/>
      <c r="H144" s="1825"/>
      <c r="K144" s="1950"/>
      <c r="L144" s="1956"/>
      <c r="M144" s="1950"/>
      <c r="N144" s="1950"/>
    </row>
    <row r="145" spans="1:14" s="1827" customFormat="1" ht="18.75">
      <c r="A145" s="1825"/>
      <c r="B145" s="1816"/>
      <c r="C145" s="1804" t="s">
        <v>1380</v>
      </c>
      <c r="D145" s="1818" t="s">
        <v>46</v>
      </c>
      <c r="E145" s="1959" t="e">
        <f>E143-E144</f>
        <v>#REF!</v>
      </c>
      <c r="F145" s="1804"/>
      <c r="G145" s="1804"/>
      <c r="H145" s="1825"/>
      <c r="K145" s="1950"/>
      <c r="L145" s="1950"/>
      <c r="M145" s="1950"/>
      <c r="N145" s="1950"/>
    </row>
    <row r="146" spans="1:14" s="1827" customFormat="1">
      <c r="A146" s="1825"/>
      <c r="B146" s="1893"/>
      <c r="C146" s="1804"/>
      <c r="D146" s="1818"/>
      <c r="E146" s="1804"/>
      <c r="F146" s="1804"/>
      <c r="H146" s="1825"/>
      <c r="K146" s="1950"/>
      <c r="L146" s="1950"/>
      <c r="M146" s="1950"/>
      <c r="N146" s="1950"/>
    </row>
    <row r="147" spans="1:14" s="1827" customFormat="1">
      <c r="A147" s="1825"/>
      <c r="B147" s="1826"/>
      <c r="C147" s="1804"/>
      <c r="D147" s="1804"/>
      <c r="E147" s="1804"/>
      <c r="F147" s="1804"/>
      <c r="H147" s="1825"/>
      <c r="K147" s="1950"/>
      <c r="L147" s="1950"/>
      <c r="M147" s="1950"/>
      <c r="N147" s="1950"/>
    </row>
    <row r="148" spans="1:14" s="1827" customFormat="1" ht="30">
      <c r="A148" s="1825"/>
      <c r="B148" s="1893"/>
      <c r="C148" s="1957" t="s">
        <v>86</v>
      </c>
      <c r="D148" s="1864"/>
      <c r="E148" s="1865"/>
      <c r="F148" s="1963"/>
      <c r="H148" s="1825"/>
      <c r="K148" s="1950"/>
      <c r="L148" s="1950"/>
      <c r="M148" s="1950"/>
      <c r="N148" s="1950"/>
    </row>
    <row r="149" spans="1:14" s="1827" customFormat="1">
      <c r="A149" s="1825"/>
      <c r="B149" s="1826"/>
      <c r="C149" s="1830" t="s">
        <v>377</v>
      </c>
      <c r="D149" s="1830"/>
      <c r="E149" s="1830"/>
      <c r="F149" s="1831">
        <f>F148</f>
        <v>0</v>
      </c>
      <c r="H149" s="1825"/>
      <c r="K149" s="1808"/>
      <c r="L149" s="1808"/>
      <c r="M149" s="1808"/>
      <c r="N149" s="1808"/>
    </row>
    <row r="150" spans="1:14">
      <c r="A150" s="1825"/>
      <c r="B150" s="1893"/>
      <c r="C150" s="1832" t="s">
        <v>48</v>
      </c>
      <c r="D150" s="1833"/>
      <c r="E150" s="1894"/>
      <c r="F150" s="1964" t="e">
        <v>#REF!</v>
      </c>
      <c r="G150" s="1827"/>
      <c r="H150" s="1825"/>
    </row>
    <row r="151" spans="1:14">
      <c r="A151" s="1825"/>
      <c r="B151" s="1826"/>
      <c r="C151" s="1830" t="s">
        <v>380</v>
      </c>
      <c r="D151" s="1830"/>
      <c r="E151" s="1830"/>
      <c r="F151" s="1831" t="e">
        <f>F150</f>
        <v>#REF!</v>
      </c>
      <c r="G151" s="1827"/>
      <c r="H151" s="1825"/>
    </row>
    <row r="152" spans="1:14" ht="30">
      <c r="A152" s="1802"/>
      <c r="B152" s="1893"/>
      <c r="C152" s="1832" t="s">
        <v>49</v>
      </c>
      <c r="D152" s="1903"/>
      <c r="E152" s="1903"/>
      <c r="F152" s="1965"/>
      <c r="G152" s="1827"/>
      <c r="H152" s="1802"/>
    </row>
    <row r="153" spans="1:14">
      <c r="A153" s="1802"/>
      <c r="B153" s="1893"/>
      <c r="C153" s="1830" t="s">
        <v>381</v>
      </c>
      <c r="D153" s="1830"/>
      <c r="E153" s="1830"/>
      <c r="F153" s="1831">
        <f>F152</f>
        <v>0</v>
      </c>
      <c r="G153" s="1827"/>
      <c r="H153" s="1802"/>
    </row>
    <row r="154" spans="1:14" ht="30">
      <c r="A154" s="1802"/>
      <c r="B154" s="1826"/>
      <c r="C154" s="1832" t="s">
        <v>50</v>
      </c>
      <c r="D154" s="1833"/>
      <c r="E154" s="1834"/>
      <c r="F154" s="1904"/>
      <c r="G154" s="1827"/>
      <c r="H154" s="1802"/>
    </row>
    <row r="155" spans="1:14">
      <c r="A155" s="1802"/>
      <c r="C155" s="1955"/>
      <c r="D155" s="1833"/>
      <c r="E155" s="1834"/>
      <c r="F155" s="1904"/>
      <c r="H155" s="1802"/>
    </row>
    <row r="156" spans="1:14">
      <c r="A156" s="1802"/>
      <c r="C156" s="1830" t="s">
        <v>382</v>
      </c>
      <c r="D156" s="1830"/>
      <c r="E156" s="1830"/>
      <c r="F156" s="1831">
        <f>SUM(F154:F155)</f>
        <v>0</v>
      </c>
      <c r="H156" s="1802"/>
    </row>
    <row r="157" spans="1:14">
      <c r="A157" s="1802"/>
      <c r="C157" s="1826"/>
      <c r="D157" s="1826"/>
      <c r="E157" s="1826"/>
      <c r="F157" s="1966"/>
      <c r="H157" s="1802"/>
    </row>
    <row r="158" spans="1:14">
      <c r="A158" s="1802"/>
      <c r="H158" s="1802"/>
    </row>
  </sheetData>
  <customSheetViews>
    <customSheetView guid="{0F09EDAE-127A-4543-88A5-04139BD32AD8}" scale="90" topLeftCell="A16">
      <selection activeCell="E19" sqref="E19:E24"/>
      <pageMargins left="0.7" right="0.7" top="0.75" bottom="0.75" header="0.3" footer="0.3"/>
    </customSheetView>
    <customSheetView guid="{C05430D3-5A25-4A4C-823C-7D6EA772E5F0}" scale="90" showPageBreaks="1" topLeftCell="A16">
      <selection activeCell="E19" sqref="E19:E24"/>
      <pageMargins left="0.7" right="0.7" top="0.75" bottom="0.75" header="0.3" footer="0.3"/>
      <pageSetup paperSize="9" orientation="portrait" horizontalDpi="0" verticalDpi="0" r:id="rId1"/>
    </customSheetView>
  </customSheetViews>
  <mergeCells count="26">
    <mergeCell ref="O23:O24"/>
    <mergeCell ref="C59:C77"/>
    <mergeCell ref="C81:C84"/>
    <mergeCell ref="C93:C96"/>
    <mergeCell ref="F4:F9"/>
    <mergeCell ref="C19:C23"/>
    <mergeCell ref="C39:C47"/>
    <mergeCell ref="C14:F14"/>
    <mergeCell ref="O15:O20"/>
    <mergeCell ref="K20:K21"/>
    <mergeCell ref="L20:L21"/>
    <mergeCell ref="M20:M21"/>
    <mergeCell ref="O21:O22"/>
    <mergeCell ref="K9:O9"/>
    <mergeCell ref="K10:O11"/>
    <mergeCell ref="R12:R14"/>
    <mergeCell ref="S12:S14"/>
    <mergeCell ref="T12:T14"/>
    <mergeCell ref="U12:U14"/>
    <mergeCell ref="C3:F3"/>
    <mergeCell ref="K3:L3"/>
    <mergeCell ref="M3:O3"/>
    <mergeCell ref="K5:L5"/>
    <mergeCell ref="M5:O5"/>
    <mergeCell ref="M6:O6"/>
    <mergeCell ref="K7:O8"/>
  </mergeCells>
  <pageMargins left="0.7" right="0.7" top="0.75" bottom="0.75" header="0.3" footer="0.3"/>
  <pageSetup paperSize="9" orientation="portrait" horizontalDpi="0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  <pageSetUpPr fitToPage="1"/>
  </sheetPr>
  <dimension ref="A2:AG434"/>
  <sheetViews>
    <sheetView workbookViewId="0"/>
  </sheetViews>
  <sheetFormatPr defaultColWidth="9.140625" defaultRowHeight="15.75"/>
  <cols>
    <col min="1" max="5" width="4.7109375" style="1" customWidth="1"/>
    <col min="6" max="6" width="84.140625" style="1" customWidth="1"/>
    <col min="7" max="7" width="21" style="1" customWidth="1"/>
    <col min="8" max="8" width="13.5703125" style="1" customWidth="1"/>
    <col min="9" max="9" width="2.85546875" style="1" customWidth="1"/>
    <col min="10" max="10" width="0.140625" style="1" hidden="1" customWidth="1"/>
    <col min="11" max="11" width="10.140625" style="1" bestFit="1" customWidth="1"/>
    <col min="12" max="12" width="18" style="1" bestFit="1" customWidth="1"/>
    <col min="13" max="14" width="17.28515625" style="1" customWidth="1"/>
    <col min="15" max="15" width="3.42578125" style="1" customWidth="1"/>
    <col min="16" max="16" width="17.28515625" style="1" hidden="1" customWidth="1"/>
    <col min="17" max="17" width="18.140625" style="1" bestFit="1" customWidth="1"/>
    <col min="18" max="18" width="17.28515625" style="1" bestFit="1" customWidth="1"/>
    <col min="19" max="20" width="17.7109375" style="1" customWidth="1"/>
    <col min="21" max="21" width="17.140625" style="1" bestFit="1" customWidth="1"/>
    <col min="22" max="28" width="9.140625" style="1"/>
    <col min="29" max="29" width="9.140625" style="1" customWidth="1"/>
    <col min="30" max="30" width="83" style="1" customWidth="1"/>
    <col min="31" max="31" width="14.28515625" style="1" bestFit="1" customWidth="1"/>
    <col min="32" max="16384" width="9.140625" style="1"/>
  </cols>
  <sheetData>
    <row r="2" spans="1:33" ht="18.75">
      <c r="A2" s="445"/>
      <c r="B2" s="445"/>
      <c r="C2" s="445"/>
      <c r="D2" s="445"/>
      <c r="E2" s="445"/>
      <c r="F2" s="445"/>
      <c r="G2" s="446"/>
      <c r="H2" s="447"/>
      <c r="I2" s="418"/>
    </row>
    <row r="3" spans="1:33" ht="18.75">
      <c r="A3" s="445"/>
      <c r="B3" s="445"/>
      <c r="C3" s="445"/>
      <c r="D3" s="445"/>
      <c r="E3" s="445"/>
      <c r="F3" s="445"/>
      <c r="G3" s="448"/>
      <c r="H3" s="445"/>
      <c r="I3" s="418"/>
    </row>
    <row r="4" spans="1:33" ht="18.75">
      <c r="A4" s="445"/>
      <c r="B4" s="445"/>
      <c r="C4" s="445"/>
      <c r="D4" s="445"/>
      <c r="E4" s="445"/>
      <c r="F4" s="445"/>
      <c r="G4" s="448"/>
      <c r="H4" s="445"/>
      <c r="I4" s="418"/>
    </row>
    <row r="5" spans="1:33" ht="18.75">
      <c r="A5" s="445"/>
      <c r="B5" s="445"/>
      <c r="C5" s="445"/>
      <c r="D5" s="445"/>
      <c r="E5" s="445"/>
      <c r="F5" s="445"/>
      <c r="G5" s="448"/>
      <c r="H5" s="445"/>
      <c r="I5" s="418"/>
    </row>
    <row r="6" spans="1:33" ht="18.75">
      <c r="A6" s="2778" t="s">
        <v>1342</v>
      </c>
      <c r="B6" s="2778"/>
      <c r="C6" s="2778"/>
      <c r="D6" s="2778"/>
      <c r="E6" s="2778"/>
      <c r="F6" s="2778"/>
      <c r="G6" s="2779"/>
      <c r="H6" s="2778"/>
      <c r="I6" s="418"/>
    </row>
    <row r="7" spans="1:33" ht="18.75">
      <c r="A7" s="2778" t="s">
        <v>957</v>
      </c>
      <c r="B7" s="2778"/>
      <c r="C7" s="2778"/>
      <c r="D7" s="2778"/>
      <c r="E7" s="2778"/>
      <c r="F7" s="2778"/>
      <c r="G7" s="2779"/>
      <c r="H7" s="2778"/>
      <c r="I7" s="418"/>
    </row>
    <row r="8" spans="1:33" ht="18.75">
      <c r="A8" s="2778" t="s">
        <v>1336</v>
      </c>
      <c r="B8" s="2778"/>
      <c r="C8" s="2778"/>
      <c r="D8" s="2778"/>
      <c r="E8" s="2778"/>
      <c r="F8" s="2778"/>
      <c r="G8" s="2779"/>
      <c r="H8" s="2778"/>
      <c r="I8" s="418"/>
      <c r="L8" s="1" t="s">
        <v>21</v>
      </c>
    </row>
    <row r="9" spans="1:33" ht="18.75" customHeight="1">
      <c r="A9" s="2946" t="s">
        <v>0</v>
      </c>
      <c r="B9" s="2947"/>
      <c r="C9" s="2947"/>
      <c r="D9" s="2947"/>
      <c r="E9" s="2948"/>
      <c r="F9" s="2955" t="s">
        <v>1</v>
      </c>
      <c r="G9" s="2957" t="s">
        <v>2</v>
      </c>
      <c r="H9" s="2959" t="s">
        <v>39</v>
      </c>
      <c r="I9" s="418"/>
      <c r="M9" s="860"/>
      <c r="N9" s="860"/>
      <c r="O9" s="860"/>
      <c r="P9" s="860"/>
      <c r="Q9" s="860"/>
      <c r="R9" s="860"/>
      <c r="S9" s="860"/>
      <c r="T9" s="860"/>
      <c r="U9" s="860"/>
      <c r="V9" s="860"/>
      <c r="W9" s="860"/>
      <c r="X9" s="860"/>
      <c r="Y9" s="860"/>
      <c r="Z9" s="860"/>
      <c r="AA9" s="860"/>
      <c r="AB9" s="860"/>
      <c r="AC9" s="860"/>
      <c r="AD9" s="860"/>
      <c r="AE9" s="860"/>
      <c r="AF9" s="860"/>
      <c r="AG9" s="860"/>
    </row>
    <row r="10" spans="1:33" ht="15.75" customHeight="1">
      <c r="A10" s="2949"/>
      <c r="B10" s="2950"/>
      <c r="C10" s="2950"/>
      <c r="D10" s="2950"/>
      <c r="E10" s="2951"/>
      <c r="F10" s="2956"/>
      <c r="G10" s="2958"/>
      <c r="H10" s="2960"/>
      <c r="I10" s="418"/>
      <c r="M10" s="860"/>
      <c r="N10" s="860"/>
      <c r="O10" s="860"/>
      <c r="P10" s="860"/>
      <c r="Q10" s="860"/>
      <c r="R10" s="860"/>
      <c r="S10" s="860"/>
      <c r="T10" s="860"/>
      <c r="U10" s="860"/>
      <c r="V10" s="860"/>
      <c r="W10" s="860"/>
      <c r="X10" s="860"/>
      <c r="Y10" s="860"/>
      <c r="Z10" s="860"/>
      <c r="AA10" s="860"/>
      <c r="AB10" s="860"/>
      <c r="AC10" s="860"/>
      <c r="AD10" s="860"/>
      <c r="AE10" s="860"/>
      <c r="AF10" s="860"/>
      <c r="AG10" s="860"/>
    </row>
    <row r="11" spans="1:33" ht="18.75">
      <c r="A11" s="2949"/>
      <c r="B11" s="2950"/>
      <c r="C11" s="2950"/>
      <c r="D11" s="2950"/>
      <c r="E11" s="2951"/>
      <c r="F11" s="2956"/>
      <c r="G11" s="2958"/>
      <c r="H11" s="2960"/>
      <c r="I11" s="418"/>
      <c r="M11" s="860"/>
      <c r="N11" s="860"/>
      <c r="O11" s="860"/>
      <c r="P11" s="860"/>
      <c r="Q11" s="860"/>
      <c r="R11" s="860"/>
      <c r="S11" s="860"/>
      <c r="T11" s="860"/>
      <c r="U11" s="860"/>
      <c r="V11" s="860"/>
      <c r="W11" s="860"/>
      <c r="X11" s="860"/>
      <c r="Y11" s="860"/>
      <c r="Z11" s="860"/>
      <c r="AA11" s="860"/>
      <c r="AB11" s="860"/>
      <c r="AC11" s="860"/>
      <c r="AD11" s="860"/>
      <c r="AE11" s="860"/>
      <c r="AF11" s="860"/>
      <c r="AG11" s="860"/>
    </row>
    <row r="12" spans="1:33" ht="18.75">
      <c r="A12" s="2952"/>
      <c r="B12" s="2953"/>
      <c r="C12" s="2953"/>
      <c r="D12" s="2953"/>
      <c r="E12" s="2954"/>
      <c r="F12" s="2956"/>
      <c r="G12" s="551" t="s">
        <v>588</v>
      </c>
      <c r="H12" s="2960"/>
      <c r="I12" s="418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60"/>
      <c r="AA12" s="860"/>
      <c r="AB12" s="860"/>
      <c r="AC12" s="860"/>
      <c r="AD12" s="860"/>
      <c r="AE12" s="860"/>
      <c r="AF12" s="860"/>
      <c r="AG12" s="860"/>
    </row>
    <row r="13" spans="1:33" ht="18.75">
      <c r="A13" s="2772">
        <v>1</v>
      </c>
      <c r="B13" s="2773"/>
      <c r="C13" s="2774"/>
      <c r="D13" s="2772">
        <v>2</v>
      </c>
      <c r="E13" s="2774"/>
      <c r="F13" s="449">
        <v>3</v>
      </c>
      <c r="G13" s="450">
        <v>4</v>
      </c>
      <c r="H13" s="449">
        <v>5</v>
      </c>
      <c r="I13" s="418"/>
      <c r="M13" s="860"/>
      <c r="N13" s="860"/>
      <c r="O13" s="861"/>
      <c r="P13" s="860"/>
      <c r="Q13" s="860"/>
      <c r="R13" s="860"/>
      <c r="S13" s="860"/>
      <c r="T13" s="860"/>
      <c r="U13" s="860"/>
      <c r="V13" s="860"/>
      <c r="W13" s="860"/>
      <c r="X13" s="860"/>
      <c r="Y13" s="860"/>
      <c r="Z13" s="860"/>
      <c r="AA13" s="860"/>
      <c r="AB13" s="860"/>
      <c r="AC13" s="860"/>
      <c r="AD13" s="860"/>
      <c r="AE13" s="860"/>
      <c r="AF13" s="860"/>
      <c r="AG13" s="860"/>
    </row>
    <row r="14" spans="1:33" ht="18.75">
      <c r="A14" s="451" t="s">
        <v>72</v>
      </c>
      <c r="B14" s="550" t="s">
        <v>73</v>
      </c>
      <c r="C14" s="550" t="s">
        <v>264</v>
      </c>
      <c r="D14" s="550" t="s">
        <v>72</v>
      </c>
      <c r="E14" s="550" t="s">
        <v>73</v>
      </c>
      <c r="F14" s="550"/>
      <c r="G14" s="523"/>
      <c r="H14" s="550"/>
      <c r="I14" s="418"/>
      <c r="M14" s="860"/>
      <c r="N14" s="860"/>
      <c r="O14" s="861"/>
      <c r="P14" s="860"/>
      <c r="Q14" s="860"/>
      <c r="R14" s="860"/>
      <c r="S14" s="860"/>
      <c r="T14" s="860"/>
      <c r="U14" s="860"/>
      <c r="V14" s="860"/>
      <c r="W14" s="860"/>
      <c r="X14" s="860"/>
      <c r="Y14" s="860"/>
      <c r="Z14" s="860"/>
      <c r="AA14" s="860"/>
      <c r="AB14" s="860"/>
      <c r="AC14" s="860"/>
      <c r="AD14" s="860"/>
      <c r="AE14" s="860"/>
      <c r="AF14" s="860"/>
      <c r="AG14" s="860"/>
    </row>
    <row r="15" spans="1:33" s="144" customFormat="1" ht="18">
      <c r="A15" s="452"/>
      <c r="B15" s="452"/>
      <c r="C15" s="452"/>
      <c r="D15" s="453">
        <v>4</v>
      </c>
      <c r="E15" s="453" t="s">
        <v>589</v>
      </c>
      <c r="F15" s="453" t="s">
        <v>590</v>
      </c>
      <c r="G15" s="524">
        <f>G16+G17+G18</f>
        <v>1536094000</v>
      </c>
      <c r="H15" s="454"/>
      <c r="I15" s="455"/>
      <c r="M15" s="860"/>
      <c r="N15" s="860"/>
      <c r="O15" s="861"/>
      <c r="P15" s="860"/>
      <c r="Q15" s="860"/>
      <c r="R15" s="860"/>
      <c r="S15" s="860"/>
      <c r="T15" s="860"/>
      <c r="U15" s="862"/>
      <c r="V15" s="862"/>
      <c r="W15" s="862"/>
      <c r="X15" s="862"/>
      <c r="Y15" s="862"/>
      <c r="Z15" s="862"/>
      <c r="AA15" s="862"/>
      <c r="AB15" s="862"/>
      <c r="AC15" s="862"/>
      <c r="AD15" s="862"/>
      <c r="AE15" s="862"/>
      <c r="AF15" s="862"/>
      <c r="AG15" s="862"/>
    </row>
    <row r="16" spans="1:33" s="144" customFormat="1" ht="18">
      <c r="A16" s="452"/>
      <c r="B16" s="452"/>
      <c r="C16" s="452"/>
      <c r="D16" s="456">
        <v>4</v>
      </c>
      <c r="E16" s="456">
        <v>1</v>
      </c>
      <c r="F16" s="456" t="s">
        <v>3</v>
      </c>
      <c r="G16" s="525">
        <f>'Pnj APBDES'!T16</f>
        <v>20000000</v>
      </c>
      <c r="H16" s="454"/>
      <c r="I16" s="455"/>
      <c r="M16" s="860"/>
      <c r="N16" s="860"/>
      <c r="O16" s="863"/>
      <c r="P16" s="860"/>
      <c r="Q16" s="860"/>
      <c r="R16" s="860"/>
      <c r="S16" s="860"/>
      <c r="T16" s="860"/>
      <c r="U16" s="862"/>
      <c r="V16" s="862"/>
      <c r="W16" s="862"/>
      <c r="X16" s="862"/>
      <c r="Y16" s="862"/>
      <c r="Z16" s="862"/>
      <c r="AA16" s="862"/>
      <c r="AB16" s="862"/>
      <c r="AC16" s="862"/>
      <c r="AD16" s="862"/>
      <c r="AE16" s="862"/>
      <c r="AF16" s="862"/>
      <c r="AG16" s="862"/>
    </row>
    <row r="17" spans="1:33" ht="18">
      <c r="A17" s="452"/>
      <c r="B17" s="452"/>
      <c r="C17" s="452"/>
      <c r="D17" s="456">
        <v>4</v>
      </c>
      <c r="E17" s="456">
        <v>2</v>
      </c>
      <c r="F17" s="456" t="s">
        <v>591</v>
      </c>
      <c r="G17" s="525">
        <f>'Pnj APBDES'!K36</f>
        <v>1516094000</v>
      </c>
      <c r="H17" s="454"/>
      <c r="I17" s="455"/>
      <c r="M17" s="860"/>
      <c r="N17" s="860"/>
      <c r="O17" s="863"/>
      <c r="P17" s="860"/>
      <c r="Q17" s="860"/>
      <c r="R17" s="860"/>
      <c r="S17" s="860"/>
      <c r="T17" s="860"/>
      <c r="U17" s="860"/>
      <c r="V17" s="860"/>
      <c r="W17" s="860"/>
      <c r="X17" s="860"/>
      <c r="Y17" s="860"/>
      <c r="Z17" s="860"/>
      <c r="AA17" s="860"/>
      <c r="AB17" s="860"/>
      <c r="AC17" s="860"/>
      <c r="AD17" s="860"/>
      <c r="AE17" s="860"/>
      <c r="AF17" s="860"/>
      <c r="AG17" s="860"/>
    </row>
    <row r="18" spans="1:33" s="144" customFormat="1" ht="18">
      <c r="A18" s="452"/>
      <c r="B18" s="452"/>
      <c r="C18" s="452"/>
      <c r="D18" s="456">
        <v>4</v>
      </c>
      <c r="E18" s="456">
        <v>3</v>
      </c>
      <c r="F18" s="456" t="s">
        <v>13</v>
      </c>
      <c r="G18" s="525">
        <f>'Pnj APBDES'!K49</f>
        <v>0</v>
      </c>
      <c r="H18" s="454"/>
      <c r="I18" s="455"/>
      <c r="M18" s="862"/>
      <c r="N18" s="862"/>
      <c r="O18" s="864"/>
      <c r="P18" s="860"/>
      <c r="Q18" s="860"/>
      <c r="R18" s="860"/>
      <c r="S18" s="860"/>
      <c r="T18" s="860"/>
      <c r="U18" s="862"/>
      <c r="V18" s="862"/>
      <c r="W18" s="862"/>
      <c r="X18" s="862"/>
      <c r="Y18" s="862"/>
      <c r="Z18" s="862"/>
      <c r="AA18" s="862"/>
      <c r="AB18" s="862"/>
      <c r="AC18" s="862"/>
      <c r="AD18" s="862"/>
      <c r="AE18" s="862"/>
      <c r="AF18" s="862"/>
      <c r="AG18" s="862"/>
    </row>
    <row r="19" spans="1:33" ht="18">
      <c r="A19" s="457"/>
      <c r="B19" s="457"/>
      <c r="C19" s="457"/>
      <c r="D19" s="456"/>
      <c r="E19" s="456"/>
      <c r="F19" s="453" t="s">
        <v>6</v>
      </c>
      <c r="G19" s="524">
        <f>G15</f>
        <v>1536094000</v>
      </c>
      <c r="H19" s="458"/>
      <c r="I19" s="445"/>
      <c r="M19" s="860"/>
      <c r="N19" s="860"/>
      <c r="O19" s="860"/>
      <c r="P19" s="860"/>
      <c r="Q19" s="860"/>
      <c r="R19" s="860"/>
      <c r="S19" s="860"/>
      <c r="T19" s="860"/>
      <c r="U19" s="860"/>
      <c r="V19" s="860"/>
      <c r="W19" s="860"/>
      <c r="X19" s="860"/>
      <c r="Y19" s="860"/>
      <c r="Z19" s="860"/>
      <c r="AA19" s="860"/>
      <c r="AB19" s="860"/>
      <c r="AC19" s="860"/>
      <c r="AD19" s="860"/>
      <c r="AE19" s="860"/>
      <c r="AF19" s="860"/>
      <c r="AG19" s="860"/>
    </row>
    <row r="20" spans="1:33" ht="18">
      <c r="A20" s="452"/>
      <c r="B20" s="452"/>
      <c r="C20" s="452"/>
      <c r="D20" s="452">
        <v>5</v>
      </c>
      <c r="E20" s="452"/>
      <c r="F20" s="453" t="s">
        <v>7</v>
      </c>
      <c r="G20" s="524" t="e">
        <f>G21+G57+G74+G97+G108</f>
        <v>#REF!</v>
      </c>
      <c r="H20" s="454"/>
      <c r="I20" s="455"/>
      <c r="L20" s="2" t="e">
        <f>G20-'Pnj APBDES'!K311</f>
        <v>#REF!</v>
      </c>
      <c r="M20" s="860"/>
      <c r="N20" s="860"/>
      <c r="O20" s="861"/>
      <c r="P20" s="860"/>
      <c r="Q20" s="860"/>
      <c r="R20" s="860"/>
      <c r="S20" s="860"/>
      <c r="T20" s="860"/>
      <c r="U20" s="860"/>
      <c r="V20" s="860"/>
      <c r="W20" s="860"/>
      <c r="X20" s="860"/>
      <c r="Y20" s="860"/>
      <c r="Z20" s="860"/>
      <c r="AA20" s="860"/>
      <c r="AB20" s="860"/>
      <c r="AC20" s="860"/>
      <c r="AD20" s="860"/>
      <c r="AE20" s="860"/>
      <c r="AF20" s="860"/>
      <c r="AG20" s="860"/>
    </row>
    <row r="21" spans="1:33" ht="18">
      <c r="A21" s="1456">
        <v>1</v>
      </c>
      <c r="B21" s="1456"/>
      <c r="C21" s="1456"/>
      <c r="D21" s="1456"/>
      <c r="E21" s="1456"/>
      <c r="F21" s="1458" t="s">
        <v>977</v>
      </c>
      <c r="G21" s="1461" t="e">
        <f>G22+G37+G40+G43+G52</f>
        <v>#REF!</v>
      </c>
      <c r="H21" s="1460"/>
      <c r="I21" s="455"/>
      <c r="M21" s="860"/>
      <c r="N21" s="860"/>
      <c r="O21" s="861"/>
      <c r="P21" s="860"/>
      <c r="Q21" s="860"/>
      <c r="R21" s="860"/>
      <c r="S21" s="860"/>
      <c r="T21" s="860"/>
      <c r="U21" s="860"/>
      <c r="V21" s="860"/>
      <c r="W21" s="860"/>
      <c r="X21" s="860"/>
      <c r="Y21" s="860"/>
      <c r="Z21" s="860"/>
      <c r="AA21" s="860"/>
      <c r="AB21" s="860"/>
      <c r="AC21" s="860"/>
      <c r="AD21" s="860"/>
      <c r="AE21" s="860"/>
      <c r="AF21" s="860"/>
      <c r="AG21" s="860"/>
    </row>
    <row r="22" spans="1:33" ht="31.5">
      <c r="A22" s="452">
        <v>1</v>
      </c>
      <c r="B22" s="459">
        <v>1</v>
      </c>
      <c r="C22" s="452"/>
      <c r="D22" s="452"/>
      <c r="E22" s="452"/>
      <c r="F22" s="460" t="s">
        <v>592</v>
      </c>
      <c r="G22" s="526">
        <f>G23+G25+G27+G29+G31+G33+G35</f>
        <v>562009000</v>
      </c>
      <c r="H22" s="461"/>
      <c r="I22" s="455"/>
      <c r="L22" s="2" t="e">
        <f>G21-'Pnj APBDES'!K67</f>
        <v>#REF!</v>
      </c>
      <c r="M22" s="860"/>
      <c r="N22" s="860"/>
      <c r="O22" s="863"/>
      <c r="P22" s="865"/>
      <c r="Q22" s="866"/>
      <c r="R22" s="860"/>
      <c r="S22" s="860"/>
      <c r="T22" s="860"/>
      <c r="U22" s="860"/>
      <c r="V22" s="860"/>
      <c r="W22" s="860"/>
      <c r="X22" s="860"/>
      <c r="Y22" s="860"/>
      <c r="Z22" s="860"/>
      <c r="AA22" s="860"/>
      <c r="AB22" s="860"/>
      <c r="AC22" s="860"/>
      <c r="AD22" s="860"/>
      <c r="AE22" s="860"/>
      <c r="AF22" s="860"/>
      <c r="AG22" s="860"/>
    </row>
    <row r="23" spans="1:33" ht="18">
      <c r="A23" s="457">
        <v>1</v>
      </c>
      <c r="B23" s="462">
        <v>1</v>
      </c>
      <c r="C23" s="462" t="s">
        <v>593</v>
      </c>
      <c r="D23" s="457"/>
      <c r="E23" s="457"/>
      <c r="F23" s="456" t="s">
        <v>548</v>
      </c>
      <c r="G23" s="525">
        <f>G24</f>
        <v>43250000</v>
      </c>
      <c r="H23" s="458"/>
      <c r="I23" s="445"/>
      <c r="M23" s="860"/>
      <c r="N23" s="860"/>
      <c r="O23" s="863"/>
      <c r="P23" s="860"/>
      <c r="Q23" s="866"/>
      <c r="R23" s="861"/>
      <c r="S23" s="860"/>
      <c r="T23" s="860"/>
      <c r="U23" s="860"/>
      <c r="V23" s="860"/>
      <c r="W23" s="860"/>
      <c r="X23" s="860"/>
      <c r="Y23" s="860"/>
      <c r="Z23" s="860"/>
      <c r="AA23" s="860"/>
      <c r="AB23" s="860"/>
      <c r="AC23" s="860"/>
      <c r="AD23" s="860"/>
      <c r="AE23" s="860"/>
      <c r="AF23" s="860"/>
      <c r="AG23" s="860"/>
    </row>
    <row r="24" spans="1:33" ht="18">
      <c r="A24" s="457">
        <v>1</v>
      </c>
      <c r="B24" s="462">
        <v>1</v>
      </c>
      <c r="C24" s="462" t="s">
        <v>593</v>
      </c>
      <c r="D24" s="457">
        <v>5</v>
      </c>
      <c r="E24" s="457">
        <v>1</v>
      </c>
      <c r="F24" s="456" t="s">
        <v>312</v>
      </c>
      <c r="G24" s="525">
        <f>'Pnj APBDES'!K70</f>
        <v>43250000</v>
      </c>
      <c r="H24" s="458" t="s">
        <v>23</v>
      </c>
      <c r="I24" s="445"/>
      <c r="M24" s="862"/>
      <c r="N24" s="862"/>
      <c r="O24" s="864"/>
      <c r="P24" s="862"/>
      <c r="Q24" s="862"/>
      <c r="R24" s="867"/>
      <c r="S24" s="860"/>
      <c r="T24" s="860"/>
      <c r="U24" s="860"/>
      <c r="V24" s="860"/>
      <c r="W24" s="860"/>
      <c r="X24" s="860"/>
      <c r="Y24" s="860"/>
      <c r="Z24" s="860"/>
      <c r="AA24" s="860"/>
      <c r="AB24" s="860"/>
      <c r="AC24" s="860"/>
      <c r="AD24" s="860"/>
      <c r="AE24" s="860"/>
      <c r="AF24" s="860"/>
      <c r="AG24" s="860"/>
    </row>
    <row r="25" spans="1:33" ht="18">
      <c r="A25" s="457">
        <v>1</v>
      </c>
      <c r="B25" s="462">
        <v>1</v>
      </c>
      <c r="C25" s="462" t="s">
        <v>594</v>
      </c>
      <c r="D25" s="457"/>
      <c r="E25" s="457"/>
      <c r="F25" s="456" t="s">
        <v>547</v>
      </c>
      <c r="G25" s="525">
        <f>G26</f>
        <v>280110000</v>
      </c>
      <c r="H25" s="458"/>
      <c r="I25" s="445"/>
      <c r="M25" s="860"/>
      <c r="N25" s="860"/>
      <c r="O25" s="860"/>
      <c r="P25" s="868"/>
      <c r="Q25" s="860"/>
      <c r="R25" s="861"/>
      <c r="S25" s="860"/>
      <c r="T25" s="860"/>
      <c r="U25" s="860"/>
      <c r="V25" s="860"/>
      <c r="W25" s="860"/>
      <c r="X25" s="860"/>
      <c r="Y25" s="860"/>
      <c r="Z25" s="860"/>
      <c r="AA25" s="860"/>
      <c r="AB25" s="860"/>
      <c r="AC25" s="860"/>
      <c r="AD25" s="860"/>
      <c r="AE25" s="860"/>
      <c r="AF25" s="860"/>
      <c r="AG25" s="860"/>
    </row>
    <row r="26" spans="1:33" ht="18">
      <c r="A26" s="457">
        <v>1</v>
      </c>
      <c r="B26" s="462">
        <v>1</v>
      </c>
      <c r="C26" s="462" t="s">
        <v>594</v>
      </c>
      <c r="D26" s="457">
        <v>5</v>
      </c>
      <c r="E26" s="457">
        <v>1</v>
      </c>
      <c r="F26" s="456" t="s">
        <v>312</v>
      </c>
      <c r="G26" s="525">
        <f>'Pnj APBDES'!K76</f>
        <v>280110000</v>
      </c>
      <c r="H26" s="458" t="s">
        <v>23</v>
      </c>
      <c r="I26" s="445"/>
      <c r="M26" s="860"/>
      <c r="N26" s="860"/>
      <c r="O26" s="869"/>
      <c r="P26" s="861"/>
      <c r="Q26" s="861"/>
      <c r="R26" s="860"/>
      <c r="S26" s="860"/>
      <c r="T26" s="860"/>
      <c r="U26" s="860"/>
      <c r="V26" s="860"/>
      <c r="W26" s="860"/>
      <c r="X26" s="860"/>
      <c r="Y26" s="860"/>
      <c r="Z26" s="860"/>
      <c r="AA26" s="860"/>
      <c r="AB26" s="860"/>
      <c r="AC26" s="860"/>
      <c r="AD26" s="860"/>
      <c r="AE26" s="860"/>
      <c r="AF26" s="860"/>
      <c r="AG26" s="860"/>
    </row>
    <row r="27" spans="1:33" ht="18">
      <c r="A27" s="457">
        <v>1</v>
      </c>
      <c r="B27" s="462">
        <v>1</v>
      </c>
      <c r="C27" s="462" t="s">
        <v>595</v>
      </c>
      <c r="D27" s="457"/>
      <c r="E27" s="457"/>
      <c r="F27" s="456" t="s">
        <v>546</v>
      </c>
      <c r="G27" s="525">
        <f>G28</f>
        <v>29676000</v>
      </c>
      <c r="H27" s="458"/>
      <c r="I27" s="445"/>
      <c r="M27" s="860"/>
      <c r="N27" s="860"/>
      <c r="O27" s="861"/>
      <c r="P27" s="860"/>
      <c r="Q27" s="860"/>
      <c r="R27" s="860"/>
      <c r="S27" s="860"/>
      <c r="T27" s="860"/>
      <c r="U27" s="860"/>
      <c r="V27" s="860"/>
      <c r="W27" s="860"/>
      <c r="X27" s="860"/>
      <c r="Y27" s="860"/>
      <c r="Z27" s="860"/>
      <c r="AA27" s="860"/>
      <c r="AB27" s="860"/>
      <c r="AC27" s="860"/>
      <c r="AD27" s="860"/>
      <c r="AE27" s="860"/>
      <c r="AF27" s="860"/>
      <c r="AG27" s="860"/>
    </row>
    <row r="28" spans="1:33" ht="18">
      <c r="A28" s="457">
        <v>1</v>
      </c>
      <c r="B28" s="462">
        <v>1</v>
      </c>
      <c r="C28" s="462" t="s">
        <v>595</v>
      </c>
      <c r="D28" s="457">
        <v>5</v>
      </c>
      <c r="E28" s="457">
        <v>1</v>
      </c>
      <c r="F28" s="456" t="s">
        <v>312</v>
      </c>
      <c r="G28" s="525">
        <f>'Pnj APBDES'!K82</f>
        <v>29676000</v>
      </c>
      <c r="H28" s="458" t="s">
        <v>23</v>
      </c>
      <c r="I28" s="445"/>
      <c r="M28" s="860"/>
      <c r="N28" s="860"/>
      <c r="O28" s="861"/>
      <c r="P28" s="870"/>
      <c r="Q28" s="860"/>
      <c r="R28" s="860"/>
      <c r="S28" s="860"/>
      <c r="T28" s="860"/>
      <c r="U28" s="860"/>
      <c r="V28" s="860"/>
      <c r="W28" s="860"/>
      <c r="X28" s="860"/>
      <c r="Y28" s="860"/>
      <c r="Z28" s="860"/>
      <c r="AA28" s="860"/>
      <c r="AB28" s="860"/>
      <c r="AC28" s="860"/>
      <c r="AD28" s="860"/>
      <c r="AE28" s="860"/>
      <c r="AF28" s="860"/>
      <c r="AG28" s="860"/>
    </row>
    <row r="29" spans="1:33" ht="18">
      <c r="A29" s="457">
        <v>1</v>
      </c>
      <c r="B29" s="462">
        <v>1</v>
      </c>
      <c r="C29" s="462" t="s">
        <v>596</v>
      </c>
      <c r="D29" s="457"/>
      <c r="E29" s="457"/>
      <c r="F29" s="456" t="s">
        <v>549</v>
      </c>
      <c r="G29" s="525">
        <f>G30</f>
        <v>69933500</v>
      </c>
      <c r="H29" s="458"/>
      <c r="I29" s="445"/>
      <c r="M29" s="860"/>
      <c r="N29" s="860"/>
      <c r="O29" s="861"/>
      <c r="P29" s="870"/>
      <c r="Q29" s="860"/>
      <c r="R29" s="860"/>
      <c r="S29" s="860"/>
      <c r="T29" s="860"/>
      <c r="U29" s="860"/>
      <c r="V29" s="860"/>
      <c r="W29" s="860"/>
      <c r="X29" s="860"/>
      <c r="Y29" s="860"/>
      <c r="Z29" s="860"/>
      <c r="AA29" s="860"/>
      <c r="AB29" s="860"/>
      <c r="AC29" s="860"/>
      <c r="AD29" s="860"/>
      <c r="AE29" s="860"/>
      <c r="AF29" s="860"/>
      <c r="AG29" s="860"/>
    </row>
    <row r="30" spans="1:33" ht="15.75" customHeight="1">
      <c r="A30" s="457">
        <v>1</v>
      </c>
      <c r="B30" s="462">
        <v>1</v>
      </c>
      <c r="C30" s="462" t="s">
        <v>596</v>
      </c>
      <c r="D30" s="457">
        <v>5</v>
      </c>
      <c r="E30" s="457">
        <v>2</v>
      </c>
      <c r="F30" s="456" t="s">
        <v>8</v>
      </c>
      <c r="G30" s="525">
        <f>'Pnj APBDES'!K91</f>
        <v>69933500</v>
      </c>
      <c r="H30" s="458" t="s">
        <v>23</v>
      </c>
      <c r="I30" s="445"/>
      <c r="M30" s="860"/>
      <c r="N30" s="860"/>
      <c r="O30" s="861"/>
      <c r="P30" s="860"/>
      <c r="Q30" s="860"/>
      <c r="R30" s="860"/>
      <c r="S30" s="860"/>
      <c r="T30" s="860"/>
      <c r="U30" s="860"/>
      <c r="V30" s="860"/>
      <c r="W30" s="860"/>
      <c r="X30" s="860"/>
      <c r="Y30" s="860"/>
      <c r="Z30" s="860"/>
      <c r="AA30" s="860"/>
      <c r="AB30" s="860"/>
      <c r="AC30" s="860"/>
      <c r="AD30" s="860"/>
      <c r="AE30" s="860"/>
      <c r="AF30" s="860"/>
      <c r="AG30" s="860"/>
    </row>
    <row r="31" spans="1:33" ht="18.75" customHeight="1">
      <c r="A31" s="457">
        <v>1</v>
      </c>
      <c r="B31" s="462">
        <v>1</v>
      </c>
      <c r="C31" s="462" t="s">
        <v>597</v>
      </c>
      <c r="D31" s="457"/>
      <c r="E31" s="457"/>
      <c r="F31" s="456" t="s">
        <v>545</v>
      </c>
      <c r="G31" s="525">
        <f>G32</f>
        <v>58800000</v>
      </c>
      <c r="H31" s="458"/>
      <c r="I31" s="445"/>
      <c r="M31" s="2944"/>
      <c r="N31" s="2944"/>
      <c r="O31" s="2944"/>
      <c r="P31" s="860"/>
      <c r="Q31" s="860"/>
      <c r="R31" s="860"/>
      <c r="S31" s="860"/>
      <c r="T31" s="860"/>
      <c r="U31" s="860"/>
      <c r="V31" s="860"/>
      <c r="W31" s="860"/>
      <c r="X31" s="860"/>
      <c r="Y31" s="860"/>
      <c r="Z31" s="860"/>
      <c r="AA31" s="860"/>
      <c r="AB31" s="860"/>
      <c r="AC31" s="860"/>
      <c r="AD31" s="860"/>
      <c r="AE31" s="860"/>
      <c r="AF31" s="860"/>
      <c r="AG31" s="860"/>
    </row>
    <row r="32" spans="1:33" ht="15.75" customHeight="1">
      <c r="A32" s="457">
        <v>1</v>
      </c>
      <c r="B32" s="462">
        <v>1</v>
      </c>
      <c r="C32" s="462" t="s">
        <v>597</v>
      </c>
      <c r="D32" s="457">
        <v>5</v>
      </c>
      <c r="E32" s="457">
        <v>1</v>
      </c>
      <c r="F32" s="456" t="s">
        <v>312</v>
      </c>
      <c r="G32" s="525">
        <f>'Pnj APBDES'!K115</f>
        <v>58800000</v>
      </c>
      <c r="H32" s="458" t="s">
        <v>23</v>
      </c>
      <c r="I32" s="445"/>
      <c r="M32" s="871"/>
      <c r="N32" s="871"/>
      <c r="O32" s="871"/>
      <c r="P32" s="860"/>
      <c r="Q32" s="860"/>
      <c r="R32" s="860"/>
      <c r="S32" s="860"/>
      <c r="T32" s="860"/>
      <c r="U32" s="860"/>
      <c r="V32" s="860"/>
      <c r="W32" s="860"/>
      <c r="X32" s="860"/>
      <c r="Y32" s="860"/>
      <c r="Z32" s="860"/>
      <c r="AA32" s="860"/>
      <c r="AB32" s="860"/>
      <c r="AC32" s="860"/>
      <c r="AD32" s="860"/>
      <c r="AE32" s="860"/>
      <c r="AF32" s="860"/>
      <c r="AG32" s="860"/>
    </row>
    <row r="33" spans="1:33" ht="31.5">
      <c r="A33" s="457">
        <v>1</v>
      </c>
      <c r="B33" s="462">
        <v>1</v>
      </c>
      <c r="C33" s="462" t="s">
        <v>598</v>
      </c>
      <c r="D33" s="457"/>
      <c r="E33" s="457"/>
      <c r="F33" s="456" t="s">
        <v>599</v>
      </c>
      <c r="G33" s="525">
        <f>G34</f>
        <v>3439500</v>
      </c>
      <c r="H33" s="458"/>
      <c r="I33" s="445"/>
      <c r="M33" s="872"/>
      <c r="N33" s="872"/>
      <c r="O33" s="872"/>
      <c r="P33" s="860"/>
      <c r="Q33" s="860"/>
      <c r="R33" s="860"/>
      <c r="S33" s="860"/>
      <c r="T33" s="860"/>
      <c r="U33" s="860"/>
      <c r="V33" s="860"/>
      <c r="W33" s="860"/>
      <c r="X33" s="860"/>
      <c r="Y33" s="860"/>
      <c r="Z33" s="860"/>
      <c r="AA33" s="860"/>
      <c r="AB33" s="860"/>
      <c r="AC33" s="860"/>
      <c r="AD33" s="860"/>
      <c r="AE33" s="860"/>
      <c r="AF33" s="860"/>
      <c r="AG33" s="860"/>
    </row>
    <row r="34" spans="1:33" ht="15.75" customHeight="1">
      <c r="A34" s="457">
        <v>1</v>
      </c>
      <c r="B34" s="462">
        <v>1</v>
      </c>
      <c r="C34" s="462" t="s">
        <v>598</v>
      </c>
      <c r="D34" s="457">
        <v>5</v>
      </c>
      <c r="E34" s="457">
        <v>2</v>
      </c>
      <c r="F34" s="456" t="s">
        <v>8</v>
      </c>
      <c r="G34" s="525">
        <f>'Pnj APBDES'!K119</f>
        <v>3439500</v>
      </c>
      <c r="H34" s="458" t="s">
        <v>23</v>
      </c>
      <c r="I34" s="445"/>
      <c r="M34" s="873"/>
      <c r="N34" s="873"/>
      <c r="O34" s="874"/>
      <c r="P34" s="860"/>
      <c r="Q34" s="860"/>
      <c r="R34" s="860"/>
      <c r="S34" s="860"/>
      <c r="T34" s="860"/>
      <c r="U34" s="860"/>
      <c r="V34" s="860"/>
      <c r="W34" s="860"/>
      <c r="X34" s="860"/>
      <c r="Y34" s="860"/>
      <c r="Z34" s="860"/>
      <c r="AA34" s="860"/>
      <c r="AB34" s="860"/>
      <c r="AC34" s="860"/>
      <c r="AD34" s="860"/>
      <c r="AE34" s="860"/>
      <c r="AF34" s="860"/>
      <c r="AG34" s="860"/>
    </row>
    <row r="35" spans="1:33" ht="18">
      <c r="A35" s="457">
        <v>1</v>
      </c>
      <c r="B35" s="462">
        <v>1</v>
      </c>
      <c r="C35" s="462" t="s">
        <v>600</v>
      </c>
      <c r="D35" s="457"/>
      <c r="E35" s="457"/>
      <c r="F35" s="456" t="s">
        <v>551</v>
      </c>
      <c r="G35" s="525">
        <f>G36</f>
        <v>76800000</v>
      </c>
      <c r="H35" s="458"/>
      <c r="I35" s="445"/>
      <c r="M35" s="873"/>
      <c r="N35" s="873"/>
      <c r="O35" s="874"/>
      <c r="P35" s="860"/>
      <c r="Q35" s="860"/>
      <c r="R35" s="860"/>
      <c r="S35" s="860"/>
      <c r="T35" s="860"/>
      <c r="U35" s="860"/>
      <c r="V35" s="860"/>
      <c r="W35" s="860"/>
      <c r="X35" s="860"/>
      <c r="Y35" s="860"/>
      <c r="Z35" s="860"/>
      <c r="AA35" s="860"/>
      <c r="AB35" s="860"/>
      <c r="AC35" s="860"/>
      <c r="AD35" s="860"/>
      <c r="AE35" s="860"/>
      <c r="AF35" s="860"/>
      <c r="AG35" s="860"/>
    </row>
    <row r="36" spans="1:33" ht="18">
      <c r="A36" s="457">
        <v>1</v>
      </c>
      <c r="B36" s="462">
        <v>1</v>
      </c>
      <c r="C36" s="462" t="s">
        <v>600</v>
      </c>
      <c r="D36" s="457">
        <v>5</v>
      </c>
      <c r="E36" s="457">
        <v>2</v>
      </c>
      <c r="F36" s="456" t="s">
        <v>8</v>
      </c>
      <c r="G36" s="525">
        <f>'Pnj APBDES'!K129</f>
        <v>76800000</v>
      </c>
      <c r="H36" s="458" t="s">
        <v>23</v>
      </c>
      <c r="I36" s="445"/>
      <c r="M36" s="871"/>
      <c r="N36" s="871"/>
      <c r="O36" s="875"/>
      <c r="P36" s="860"/>
      <c r="Q36" s="861"/>
      <c r="R36" s="860"/>
      <c r="S36" s="860"/>
      <c r="T36" s="860"/>
      <c r="U36" s="860"/>
      <c r="V36" s="860"/>
      <c r="W36" s="860"/>
      <c r="X36" s="860"/>
      <c r="Y36" s="860"/>
      <c r="Z36" s="860"/>
      <c r="AA36" s="860"/>
      <c r="AB36" s="860"/>
      <c r="AC36" s="860"/>
      <c r="AD36" s="860"/>
      <c r="AE36" s="860"/>
      <c r="AF36" s="860"/>
      <c r="AG36" s="860"/>
    </row>
    <row r="37" spans="1:33" ht="15.75" customHeight="1">
      <c r="A37" s="452">
        <v>1</v>
      </c>
      <c r="B37" s="459">
        <v>2</v>
      </c>
      <c r="C37" s="459"/>
      <c r="D37" s="452"/>
      <c r="E37" s="452"/>
      <c r="F37" s="453" t="s">
        <v>602</v>
      </c>
      <c r="G37" s="524">
        <f>G38</f>
        <v>0</v>
      </c>
      <c r="H37" s="454"/>
      <c r="I37" s="455"/>
      <c r="M37" s="860"/>
      <c r="N37" s="860"/>
      <c r="O37" s="860"/>
      <c r="P37" s="860"/>
      <c r="Q37" s="860"/>
      <c r="R37" s="860"/>
      <c r="S37" s="860"/>
      <c r="T37" s="860"/>
      <c r="U37" s="860"/>
      <c r="V37" s="860"/>
      <c r="W37" s="860"/>
      <c r="X37" s="860"/>
      <c r="Y37" s="860"/>
      <c r="Z37" s="860"/>
      <c r="AA37" s="860"/>
      <c r="AB37" s="860"/>
      <c r="AC37" s="860"/>
      <c r="AD37" s="860"/>
      <c r="AE37" s="860"/>
      <c r="AF37" s="860"/>
      <c r="AG37" s="860"/>
    </row>
    <row r="38" spans="1:33" ht="15.75" customHeight="1">
      <c r="A38" s="457">
        <v>1</v>
      </c>
      <c r="B38" s="462">
        <v>2</v>
      </c>
      <c r="C38" s="462" t="s">
        <v>593</v>
      </c>
      <c r="D38" s="457"/>
      <c r="E38" s="457"/>
      <c r="F38" s="456" t="s">
        <v>544</v>
      </c>
      <c r="G38" s="525">
        <f>G39</f>
        <v>0</v>
      </c>
      <c r="H38" s="458"/>
      <c r="I38" s="445"/>
      <c r="M38" s="860"/>
      <c r="N38" s="860"/>
      <c r="O38" s="860"/>
      <c r="P38" s="860"/>
      <c r="Q38" s="860"/>
      <c r="R38" s="860"/>
      <c r="S38" s="860"/>
      <c r="T38" s="860"/>
      <c r="U38" s="860"/>
      <c r="V38" s="860"/>
      <c r="W38" s="860"/>
      <c r="X38" s="860"/>
      <c r="Y38" s="860"/>
      <c r="Z38" s="860"/>
      <c r="AA38" s="860"/>
      <c r="AB38" s="860"/>
      <c r="AC38" s="860"/>
      <c r="AD38" s="860"/>
      <c r="AE38" s="860"/>
      <c r="AF38" s="860"/>
      <c r="AG38" s="860"/>
    </row>
    <row r="39" spans="1:33" ht="18">
      <c r="A39" s="457">
        <v>1</v>
      </c>
      <c r="B39" s="462">
        <v>2</v>
      </c>
      <c r="C39" s="462" t="s">
        <v>593</v>
      </c>
      <c r="D39" s="457">
        <v>5</v>
      </c>
      <c r="E39" s="457">
        <v>3</v>
      </c>
      <c r="F39" s="456" t="s">
        <v>9</v>
      </c>
      <c r="G39" s="525">
        <f>'Pnj APBDES'!K132</f>
        <v>0</v>
      </c>
      <c r="H39" s="458" t="s">
        <v>23</v>
      </c>
      <c r="I39" s="445"/>
      <c r="M39" s="860"/>
      <c r="N39" s="860"/>
      <c r="O39" s="868"/>
      <c r="P39" s="872"/>
      <c r="Q39" s="872"/>
      <c r="R39" s="860"/>
      <c r="S39" s="860"/>
      <c r="T39" s="860"/>
      <c r="U39" s="860"/>
      <c r="V39" s="860"/>
      <c r="W39" s="860"/>
      <c r="X39" s="860"/>
      <c r="Y39" s="860"/>
      <c r="Z39" s="860"/>
      <c r="AA39" s="860"/>
      <c r="AB39" s="860"/>
      <c r="AC39" s="860"/>
      <c r="AD39" s="860"/>
      <c r="AE39" s="860"/>
      <c r="AF39" s="860"/>
      <c r="AG39" s="860"/>
    </row>
    <row r="40" spans="1:33" ht="18.75" customHeight="1">
      <c r="A40" s="452">
        <v>1</v>
      </c>
      <c r="B40" s="459">
        <v>3</v>
      </c>
      <c r="C40" s="459"/>
      <c r="D40" s="452"/>
      <c r="E40" s="452"/>
      <c r="F40" s="453" t="s">
        <v>605</v>
      </c>
      <c r="G40" s="524" t="e">
        <f>G41</f>
        <v>#REF!</v>
      </c>
      <c r="H40" s="454"/>
      <c r="I40" s="445"/>
      <c r="M40" s="2945"/>
      <c r="N40" s="2945"/>
      <c r="O40" s="2945"/>
      <c r="P40" s="871"/>
      <c r="Q40" s="871"/>
      <c r="R40" s="871"/>
      <c r="S40" s="871"/>
      <c r="T40" s="871"/>
      <c r="U40" s="872"/>
      <c r="V40" s="860"/>
      <c r="W40" s="860"/>
      <c r="X40" s="860"/>
      <c r="Y40" s="860"/>
      <c r="Z40" s="860"/>
      <c r="AA40" s="860"/>
      <c r="AB40" s="860"/>
      <c r="AC40" s="860"/>
      <c r="AD40" s="860"/>
      <c r="AE40" s="860"/>
      <c r="AF40" s="860"/>
      <c r="AG40" s="860"/>
    </row>
    <row r="41" spans="1:33" ht="31.5">
      <c r="A41" s="457">
        <v>1</v>
      </c>
      <c r="B41" s="462">
        <v>3</v>
      </c>
      <c r="C41" s="462" t="s">
        <v>594</v>
      </c>
      <c r="D41" s="457"/>
      <c r="E41" s="457"/>
      <c r="F41" s="456" t="s">
        <v>607</v>
      </c>
      <c r="G41" s="525" t="e">
        <f>G42</f>
        <v>#REF!</v>
      </c>
      <c r="H41" s="458"/>
      <c r="I41" s="445"/>
      <c r="K41" s="261"/>
      <c r="L41" s="2"/>
      <c r="M41" s="876"/>
      <c r="N41" s="876"/>
      <c r="O41" s="874"/>
      <c r="P41" s="874"/>
      <c r="Q41" s="874"/>
      <c r="R41" s="874"/>
      <c r="S41" s="874"/>
      <c r="T41" s="874"/>
      <c r="U41" s="861"/>
      <c r="V41" s="860"/>
      <c r="W41" s="860"/>
      <c r="X41" s="860"/>
      <c r="Y41" s="860"/>
      <c r="Z41" s="860"/>
      <c r="AA41" s="860"/>
      <c r="AB41" s="860"/>
      <c r="AC41" s="860"/>
      <c r="AD41" s="860"/>
      <c r="AE41" s="860"/>
      <c r="AF41" s="860"/>
      <c r="AG41" s="860"/>
    </row>
    <row r="42" spans="1:33" ht="18.75" customHeight="1">
      <c r="A42" s="457">
        <v>1</v>
      </c>
      <c r="B42" s="462">
        <v>3</v>
      </c>
      <c r="C42" s="462" t="s">
        <v>594</v>
      </c>
      <c r="D42" s="457">
        <v>5</v>
      </c>
      <c r="E42" s="457">
        <v>2</v>
      </c>
      <c r="F42" s="456" t="s">
        <v>8</v>
      </c>
      <c r="G42" s="525" t="e">
        <f>'Pnj APBDES'!#REF!</f>
        <v>#REF!</v>
      </c>
      <c r="H42" s="458" t="s">
        <v>23</v>
      </c>
      <c r="I42" s="445"/>
      <c r="J42" s="2797"/>
      <c r="K42" s="2797"/>
      <c r="L42" s="2"/>
      <c r="M42" s="876"/>
      <c r="N42" s="876"/>
      <c r="O42" s="874"/>
      <c r="P42" s="874"/>
      <c r="Q42" s="874"/>
      <c r="R42" s="874"/>
      <c r="S42" s="874"/>
      <c r="T42" s="874"/>
      <c r="U42" s="861"/>
      <c r="V42" s="860"/>
      <c r="W42" s="860"/>
      <c r="X42" s="860"/>
      <c r="Y42" s="860"/>
      <c r="Z42" s="860"/>
      <c r="AA42" s="860"/>
      <c r="AB42" s="860"/>
      <c r="AC42" s="860"/>
      <c r="AD42" s="860"/>
      <c r="AE42" s="860"/>
      <c r="AF42" s="860"/>
      <c r="AG42" s="860"/>
    </row>
    <row r="43" spans="1:33" ht="18.75">
      <c r="A43" s="467">
        <v>1</v>
      </c>
      <c r="B43" s="468">
        <v>4</v>
      </c>
      <c r="C43" s="468"/>
      <c r="D43" s="467"/>
      <c r="E43" s="467"/>
      <c r="F43" s="469" t="s">
        <v>609</v>
      </c>
      <c r="G43" s="527">
        <f>G44+G46+G48+G50</f>
        <v>18729000</v>
      </c>
      <c r="H43" s="470"/>
      <c r="I43" s="445"/>
      <c r="L43" s="2"/>
      <c r="M43" s="876"/>
      <c r="N43" s="876"/>
      <c r="O43" s="874"/>
      <c r="P43" s="874"/>
      <c r="Q43" s="874"/>
      <c r="R43" s="874"/>
      <c r="S43" s="874"/>
      <c r="T43" s="874"/>
      <c r="U43" s="861"/>
      <c r="V43" s="860"/>
      <c r="W43" s="860"/>
      <c r="X43" s="860"/>
      <c r="Y43" s="860"/>
      <c r="Z43" s="860"/>
      <c r="AA43" s="860"/>
      <c r="AB43" s="860"/>
      <c r="AC43" s="860"/>
      <c r="AD43" s="860"/>
      <c r="AE43" s="860"/>
      <c r="AF43" s="860"/>
      <c r="AG43" s="860"/>
    </row>
    <row r="44" spans="1:33" ht="32.25" customHeight="1">
      <c r="A44" s="472">
        <v>1</v>
      </c>
      <c r="B44" s="464">
        <v>4</v>
      </c>
      <c r="C44" s="472" t="s">
        <v>593</v>
      </c>
      <c r="D44" s="457"/>
      <c r="E44" s="457"/>
      <c r="F44" s="473" t="s">
        <v>610</v>
      </c>
      <c r="G44" s="528">
        <f>G45</f>
        <v>6500000</v>
      </c>
      <c r="H44" s="458"/>
      <c r="I44" s="445"/>
      <c r="K44" s="262"/>
      <c r="M44" s="876"/>
      <c r="N44" s="876"/>
      <c r="O44" s="874"/>
      <c r="P44" s="874"/>
      <c r="Q44" s="874"/>
      <c r="R44" s="874"/>
      <c r="S44" s="874"/>
      <c r="T44" s="874"/>
      <c r="U44" s="861"/>
      <c r="V44" s="860"/>
      <c r="W44" s="860"/>
      <c r="X44" s="860"/>
      <c r="Y44" s="860"/>
      <c r="Z44" s="860"/>
      <c r="AA44" s="860"/>
      <c r="AB44" s="860"/>
      <c r="AC44" s="860"/>
      <c r="AD44" s="860"/>
      <c r="AE44" s="860"/>
      <c r="AF44" s="860"/>
      <c r="AG44" s="860"/>
    </row>
    <row r="45" spans="1:33" ht="19.5" customHeight="1">
      <c r="A45" s="472">
        <v>1</v>
      </c>
      <c r="B45" s="464">
        <v>4</v>
      </c>
      <c r="C45" s="472" t="s">
        <v>593</v>
      </c>
      <c r="D45" s="457">
        <v>5</v>
      </c>
      <c r="E45" s="457">
        <v>2</v>
      </c>
      <c r="F45" s="456" t="s">
        <v>8</v>
      </c>
      <c r="G45" s="525">
        <f>'Pnj APBDES'!K141</f>
        <v>6500000</v>
      </c>
      <c r="H45" s="458" t="s">
        <v>23</v>
      </c>
      <c r="I45" s="445"/>
      <c r="M45" s="876"/>
      <c r="N45" s="876"/>
      <c r="O45" s="874"/>
      <c r="P45" s="874"/>
      <c r="Q45" s="874"/>
      <c r="R45" s="874"/>
      <c r="S45" s="874"/>
      <c r="T45" s="874"/>
      <c r="U45" s="860"/>
      <c r="V45" s="860"/>
      <c r="W45" s="860"/>
      <c r="X45" s="860"/>
      <c r="Y45" s="860"/>
      <c r="Z45" s="860"/>
      <c r="AA45" s="860"/>
      <c r="AB45" s="860"/>
      <c r="AC45" s="860"/>
      <c r="AD45" s="860"/>
      <c r="AE45" s="860"/>
      <c r="AF45" s="860"/>
      <c r="AG45" s="860"/>
    </row>
    <row r="46" spans="1:33" ht="19.5" customHeight="1">
      <c r="A46" s="472">
        <v>1</v>
      </c>
      <c r="B46" s="464">
        <v>4</v>
      </c>
      <c r="C46" s="472" t="s">
        <v>595</v>
      </c>
      <c r="D46" s="457"/>
      <c r="E46" s="457"/>
      <c r="F46" s="476" t="s">
        <v>612</v>
      </c>
      <c r="G46" s="477">
        <f>G47</f>
        <v>3880000</v>
      </c>
      <c r="H46" s="458"/>
      <c r="I46" s="455"/>
      <c r="M46" s="860"/>
      <c r="N46" s="860"/>
      <c r="O46" s="861"/>
      <c r="P46" s="861"/>
      <c r="Q46" s="861"/>
      <c r="R46" s="861"/>
      <c r="S46" s="861"/>
      <c r="T46" s="861"/>
      <c r="U46" s="860"/>
      <c r="V46" s="860"/>
      <c r="W46" s="860"/>
      <c r="X46" s="860"/>
      <c r="Y46" s="860"/>
      <c r="Z46" s="860"/>
      <c r="AA46" s="860"/>
      <c r="AB46" s="860"/>
      <c r="AC46" s="860"/>
      <c r="AD46" s="860"/>
      <c r="AE46" s="860"/>
      <c r="AF46" s="860"/>
      <c r="AG46" s="860"/>
    </row>
    <row r="47" spans="1:33" ht="19.5" customHeight="1">
      <c r="A47" s="472">
        <v>1</v>
      </c>
      <c r="B47" s="464">
        <v>4</v>
      </c>
      <c r="C47" s="472" t="s">
        <v>595</v>
      </c>
      <c r="D47" s="457">
        <v>5</v>
      </c>
      <c r="E47" s="457">
        <v>2</v>
      </c>
      <c r="F47" s="456" t="s">
        <v>8</v>
      </c>
      <c r="G47" s="525">
        <f>'Pnj APBDES'!K149</f>
        <v>3880000</v>
      </c>
      <c r="H47" s="458" t="s">
        <v>23</v>
      </c>
      <c r="I47" s="445"/>
      <c r="M47" s="860"/>
      <c r="N47" s="860"/>
      <c r="O47" s="868"/>
      <c r="P47" s="868"/>
      <c r="Q47" s="868"/>
      <c r="R47" s="868"/>
      <c r="S47" s="868"/>
      <c r="T47" s="868"/>
      <c r="U47" s="860"/>
      <c r="V47" s="860"/>
      <c r="W47" s="860"/>
      <c r="X47" s="860"/>
      <c r="Y47" s="860"/>
      <c r="Z47" s="860"/>
      <c r="AA47" s="860"/>
      <c r="AB47" s="860"/>
      <c r="AC47" s="860"/>
      <c r="AD47" s="860"/>
      <c r="AE47" s="860"/>
      <c r="AF47" s="860"/>
      <c r="AG47" s="860"/>
    </row>
    <row r="48" spans="1:33" ht="15.75" customHeight="1">
      <c r="A48" s="472">
        <v>1</v>
      </c>
      <c r="B48" s="464">
        <v>4</v>
      </c>
      <c r="C48" s="472" t="s">
        <v>597</v>
      </c>
      <c r="D48" s="457"/>
      <c r="E48" s="457"/>
      <c r="F48" s="465" t="s">
        <v>539</v>
      </c>
      <c r="G48" s="525">
        <f>G49</f>
        <v>2700000</v>
      </c>
      <c r="H48" s="458"/>
      <c r="I48" s="445"/>
      <c r="M48" s="2944"/>
      <c r="N48" s="2944"/>
      <c r="O48" s="2944"/>
      <c r="P48" s="2944"/>
      <c r="Q48" s="861"/>
      <c r="R48" s="860"/>
      <c r="S48" s="860"/>
      <c r="T48" s="860"/>
      <c r="U48" s="860"/>
      <c r="V48" s="860"/>
      <c r="W48" s="860"/>
      <c r="X48" s="860"/>
      <c r="Y48" s="860"/>
      <c r="Z48" s="860"/>
      <c r="AA48" s="860"/>
      <c r="AB48" s="860"/>
      <c r="AC48" s="860"/>
      <c r="AD48" s="860"/>
      <c r="AE48" s="860"/>
      <c r="AF48" s="860"/>
      <c r="AG48" s="860"/>
    </row>
    <row r="49" spans="1:33" ht="18">
      <c r="A49" s="472">
        <v>1</v>
      </c>
      <c r="B49" s="464">
        <v>4</v>
      </c>
      <c r="C49" s="472" t="s">
        <v>597</v>
      </c>
      <c r="D49" s="457">
        <v>5</v>
      </c>
      <c r="E49" s="457">
        <v>2</v>
      </c>
      <c r="F49" s="456" t="s">
        <v>8</v>
      </c>
      <c r="G49" s="525">
        <f>'Pnj APBDES'!K153</f>
        <v>2700000</v>
      </c>
      <c r="H49" s="458" t="s">
        <v>330</v>
      </c>
      <c r="I49" s="445"/>
      <c r="M49" s="877"/>
      <c r="N49" s="877"/>
      <c r="O49" s="877"/>
      <c r="P49" s="877"/>
      <c r="Q49" s="860"/>
      <c r="R49" s="860"/>
      <c r="S49" s="860"/>
      <c r="T49" s="860"/>
      <c r="U49" s="860"/>
      <c r="V49" s="860"/>
      <c r="W49" s="860"/>
      <c r="X49" s="860"/>
      <c r="Y49" s="860"/>
      <c r="Z49" s="860"/>
      <c r="AA49" s="860"/>
      <c r="AB49" s="860"/>
      <c r="AC49" s="860"/>
      <c r="AD49" s="860"/>
      <c r="AE49" s="860"/>
      <c r="AF49" s="860"/>
      <c r="AG49" s="860"/>
    </row>
    <row r="50" spans="1:33" ht="18">
      <c r="A50" s="1450">
        <v>1</v>
      </c>
      <c r="B50" s="1451">
        <v>4</v>
      </c>
      <c r="C50" s="1450">
        <v>11</v>
      </c>
      <c r="D50" s="1452">
        <v>5</v>
      </c>
      <c r="E50" s="1452"/>
      <c r="F50" s="1453" t="s">
        <v>1337</v>
      </c>
      <c r="G50" s="1454">
        <f>G51</f>
        <v>5649000</v>
      </c>
      <c r="H50" s="1455"/>
      <c r="I50" s="445"/>
      <c r="M50" s="877"/>
      <c r="N50" s="877"/>
      <c r="O50" s="877"/>
      <c r="P50" s="877"/>
      <c r="Q50" s="860"/>
      <c r="R50" s="860"/>
      <c r="S50" s="860"/>
      <c r="T50" s="860"/>
      <c r="U50" s="860"/>
      <c r="V50" s="860"/>
      <c r="W50" s="860"/>
      <c r="X50" s="860"/>
      <c r="Y50" s="860"/>
      <c r="Z50" s="860"/>
      <c r="AA50" s="860"/>
      <c r="AB50" s="860"/>
      <c r="AC50" s="860"/>
      <c r="AD50" s="860"/>
      <c r="AE50" s="860"/>
      <c r="AF50" s="860"/>
      <c r="AG50" s="860"/>
    </row>
    <row r="51" spans="1:33" ht="18">
      <c r="A51" s="472">
        <v>1</v>
      </c>
      <c r="B51" s="464">
        <v>4</v>
      </c>
      <c r="C51" s="472">
        <v>11</v>
      </c>
      <c r="D51" s="457">
        <v>5</v>
      </c>
      <c r="E51" s="457">
        <v>2</v>
      </c>
      <c r="F51" s="920" t="s">
        <v>8</v>
      </c>
      <c r="G51" s="500">
        <f>'1.12 Pemilihan BPD'!H44</f>
        <v>5649000</v>
      </c>
      <c r="H51" s="458" t="s">
        <v>23</v>
      </c>
      <c r="I51" s="445"/>
      <c r="M51" s="877"/>
      <c r="N51" s="877"/>
      <c r="O51" s="877"/>
      <c r="P51" s="877"/>
      <c r="Q51" s="860"/>
      <c r="R51" s="860"/>
      <c r="S51" s="860"/>
      <c r="T51" s="860"/>
      <c r="U51" s="860"/>
      <c r="V51" s="860"/>
      <c r="W51" s="860"/>
      <c r="X51" s="860"/>
      <c r="Y51" s="860"/>
      <c r="Z51" s="860"/>
      <c r="AA51" s="860"/>
      <c r="AB51" s="860"/>
      <c r="AC51" s="860"/>
      <c r="AD51" s="860"/>
      <c r="AE51" s="860"/>
      <c r="AF51" s="860"/>
      <c r="AG51" s="860"/>
    </row>
    <row r="52" spans="1:33" ht="15.75" customHeight="1">
      <c r="A52" s="480">
        <v>1</v>
      </c>
      <c r="B52" s="481">
        <v>5</v>
      </c>
      <c r="C52" s="482"/>
      <c r="D52" s="452"/>
      <c r="E52" s="452"/>
      <c r="F52" s="483" t="s">
        <v>621</v>
      </c>
      <c r="G52" s="529">
        <f>G53+G55</f>
        <v>9809000</v>
      </c>
      <c r="H52" s="454"/>
      <c r="I52" s="445"/>
      <c r="M52" s="860"/>
      <c r="N52" s="860"/>
      <c r="O52" s="874"/>
      <c r="P52" s="868"/>
      <c r="Q52" s="860"/>
      <c r="R52" s="860"/>
      <c r="S52" s="860"/>
      <c r="T52" s="860"/>
      <c r="U52" s="860"/>
      <c r="V52" s="860"/>
      <c r="W52" s="860"/>
      <c r="X52" s="860"/>
      <c r="Y52" s="860"/>
      <c r="Z52" s="878"/>
      <c r="AA52" s="878"/>
      <c r="AB52" s="878"/>
      <c r="AC52" s="878"/>
      <c r="AD52" s="879"/>
      <c r="AE52" s="880"/>
      <c r="AF52" s="881"/>
      <c r="AG52" s="860"/>
    </row>
    <row r="53" spans="1:33" ht="15.75" customHeight="1">
      <c r="A53" s="478">
        <v>1</v>
      </c>
      <c r="B53" s="464">
        <v>5</v>
      </c>
      <c r="C53" s="479" t="s">
        <v>598</v>
      </c>
      <c r="D53" s="457"/>
      <c r="E53" s="457"/>
      <c r="F53" s="476" t="s">
        <v>530</v>
      </c>
      <c r="G53" s="500">
        <f>G54</f>
        <v>1209000</v>
      </c>
      <c r="H53" s="458"/>
      <c r="I53" s="445"/>
      <c r="K53" s="8" t="s">
        <v>21</v>
      </c>
      <c r="L53" s="8"/>
      <c r="M53" s="860"/>
      <c r="N53" s="860"/>
      <c r="O53" s="874"/>
      <c r="P53" s="868"/>
      <c r="Q53" s="860"/>
      <c r="R53" s="860"/>
      <c r="S53" s="860"/>
      <c r="T53" s="860"/>
      <c r="U53" s="860"/>
      <c r="V53" s="860"/>
      <c r="W53" s="860"/>
      <c r="X53" s="860"/>
      <c r="Y53" s="860"/>
      <c r="Z53" s="860"/>
      <c r="AA53" s="860"/>
      <c r="AB53" s="860"/>
      <c r="AC53" s="860"/>
      <c r="AD53" s="860"/>
      <c r="AE53" s="860"/>
      <c r="AF53" s="860"/>
      <c r="AG53" s="860"/>
    </row>
    <row r="54" spans="1:33" ht="18">
      <c r="A54" s="478">
        <v>1</v>
      </c>
      <c r="B54" s="464">
        <v>5</v>
      </c>
      <c r="C54" s="479" t="s">
        <v>598</v>
      </c>
      <c r="D54" s="457">
        <v>5</v>
      </c>
      <c r="E54" s="457">
        <v>2</v>
      </c>
      <c r="F54" s="456" t="s">
        <v>8</v>
      </c>
      <c r="G54" s="525">
        <f>'Pnj APBDES'!K183</f>
        <v>1209000</v>
      </c>
      <c r="H54" s="458" t="s">
        <v>330</v>
      </c>
      <c r="I54" s="445"/>
      <c r="K54" s="8"/>
      <c r="L54" s="8"/>
      <c r="M54" s="860"/>
      <c r="N54" s="860"/>
      <c r="O54" s="874"/>
      <c r="P54" s="868"/>
      <c r="Q54" s="860"/>
      <c r="R54" s="860"/>
      <c r="S54" s="860"/>
      <c r="T54" s="860"/>
      <c r="U54" s="860"/>
      <c r="V54" s="860"/>
      <c r="W54" s="860"/>
      <c r="X54" s="860"/>
      <c r="Y54" s="860"/>
      <c r="Z54" s="860"/>
      <c r="AA54" s="860"/>
      <c r="AB54" s="860"/>
      <c r="AC54" s="860"/>
      <c r="AD54" s="860"/>
      <c r="AE54" s="860"/>
      <c r="AF54" s="860"/>
      <c r="AG54" s="860"/>
    </row>
    <row r="55" spans="1:33" ht="18">
      <c r="A55" s="478">
        <v>1</v>
      </c>
      <c r="B55" s="464">
        <v>5</v>
      </c>
      <c r="C55" s="479">
        <v>90</v>
      </c>
      <c r="D55" s="457"/>
      <c r="E55" s="457"/>
      <c r="F55" s="564" t="s">
        <v>1044</v>
      </c>
      <c r="G55" s="500">
        <f>G56</f>
        <v>8600000</v>
      </c>
      <c r="H55" s="458"/>
      <c r="I55" s="445"/>
      <c r="K55" s="8"/>
      <c r="L55" s="8"/>
      <c r="M55" s="860"/>
      <c r="N55" s="860"/>
      <c r="O55" s="874"/>
      <c r="P55" s="868"/>
      <c r="Q55" s="860"/>
      <c r="R55" s="860"/>
      <c r="S55" s="860"/>
      <c r="T55" s="860"/>
      <c r="U55" s="860"/>
      <c r="V55" s="860"/>
      <c r="W55" s="860"/>
      <c r="X55" s="860"/>
      <c r="Y55" s="860"/>
      <c r="Z55" s="860"/>
      <c r="AA55" s="860"/>
      <c r="AB55" s="860"/>
      <c r="AC55" s="860"/>
      <c r="AD55" s="860"/>
      <c r="AE55" s="860"/>
      <c r="AF55" s="860"/>
      <c r="AG55" s="860"/>
    </row>
    <row r="56" spans="1:33" ht="18">
      <c r="A56" s="478">
        <v>1</v>
      </c>
      <c r="B56" s="464">
        <v>5</v>
      </c>
      <c r="C56" s="479">
        <v>90</v>
      </c>
      <c r="D56" s="457">
        <v>5</v>
      </c>
      <c r="E56" s="457">
        <v>3</v>
      </c>
      <c r="F56" s="456" t="s">
        <v>9</v>
      </c>
      <c r="G56" s="500">
        <f>'Pnj APBDES'!K189</f>
        <v>8600000</v>
      </c>
      <c r="H56" s="458" t="s">
        <v>240</v>
      </c>
      <c r="I56" s="445"/>
      <c r="K56" s="8"/>
      <c r="L56" s="8"/>
      <c r="M56" s="860"/>
      <c r="N56" s="860"/>
      <c r="O56" s="874"/>
      <c r="P56" s="868"/>
      <c r="Q56" s="860"/>
      <c r="R56" s="860"/>
      <c r="S56" s="860"/>
      <c r="T56" s="860"/>
      <c r="U56" s="860"/>
      <c r="V56" s="860"/>
      <c r="W56" s="860"/>
      <c r="X56" s="860"/>
      <c r="Y56" s="860"/>
      <c r="Z56" s="860"/>
      <c r="AA56" s="860"/>
      <c r="AB56" s="860"/>
      <c r="AC56" s="860"/>
      <c r="AD56" s="860"/>
      <c r="AE56" s="860"/>
      <c r="AF56" s="860"/>
      <c r="AG56" s="860"/>
    </row>
    <row r="57" spans="1:33" ht="21.75" customHeight="1">
      <c r="A57" s="1456">
        <v>2</v>
      </c>
      <c r="B57" s="1457"/>
      <c r="C57" s="1457"/>
      <c r="D57" s="1456"/>
      <c r="E57" s="1456"/>
      <c r="F57" s="1458" t="s">
        <v>978</v>
      </c>
      <c r="G57" s="1459" t="e">
        <f>G58+G62+G67+G70+G72</f>
        <v>#REF!</v>
      </c>
      <c r="H57" s="1460"/>
      <c r="I57" s="445"/>
      <c r="K57" s="8"/>
      <c r="L57" s="1465" t="e">
        <f>G57-'Pnj APBDES'!K191</f>
        <v>#REF!</v>
      </c>
      <c r="M57" s="860"/>
      <c r="N57" s="860"/>
      <c r="O57" s="874"/>
      <c r="P57" s="868"/>
      <c r="Q57" s="860"/>
      <c r="R57" s="860"/>
      <c r="S57" s="860"/>
      <c r="T57" s="860"/>
      <c r="U57" s="860"/>
      <c r="V57" s="860"/>
      <c r="W57" s="860"/>
      <c r="X57" s="860"/>
      <c r="Y57" s="860"/>
      <c r="Z57" s="860"/>
      <c r="AA57" s="860"/>
      <c r="AB57" s="860"/>
      <c r="AC57" s="860"/>
      <c r="AD57" s="860"/>
      <c r="AE57" s="860"/>
      <c r="AF57" s="860"/>
      <c r="AG57" s="860"/>
    </row>
    <row r="58" spans="1:33" ht="15" customHeight="1">
      <c r="A58" s="452">
        <v>2</v>
      </c>
      <c r="B58" s="459">
        <v>1</v>
      </c>
      <c r="C58" s="459"/>
      <c r="D58" s="452"/>
      <c r="E58" s="452"/>
      <c r="F58" s="453" t="s">
        <v>624</v>
      </c>
      <c r="G58" s="529">
        <f>G59</f>
        <v>57951050</v>
      </c>
      <c r="H58" s="454"/>
      <c r="I58" s="445"/>
      <c r="K58" s="8"/>
      <c r="L58" s="8"/>
      <c r="M58" s="860"/>
      <c r="N58" s="860"/>
      <c r="O58" s="874"/>
      <c r="P58" s="868"/>
      <c r="Q58" s="860"/>
      <c r="R58" s="860"/>
      <c r="S58" s="860"/>
      <c r="T58" s="860"/>
      <c r="U58" s="860"/>
      <c r="V58" s="860"/>
      <c r="W58" s="860"/>
      <c r="X58" s="860"/>
      <c r="Y58" s="860"/>
      <c r="Z58" s="860"/>
      <c r="AA58" s="860"/>
      <c r="AB58" s="860"/>
      <c r="AC58" s="860"/>
      <c r="AD58" s="860"/>
      <c r="AE58" s="860"/>
      <c r="AF58" s="860"/>
      <c r="AG58" s="860"/>
    </row>
    <row r="59" spans="1:33" ht="18">
      <c r="A59" s="463">
        <v>2</v>
      </c>
      <c r="B59" s="464">
        <v>1</v>
      </c>
      <c r="C59" s="464" t="s">
        <v>593</v>
      </c>
      <c r="D59" s="457"/>
      <c r="E59" s="457"/>
      <c r="F59" s="444" t="s">
        <v>969</v>
      </c>
      <c r="G59" s="477">
        <f>G60+G61</f>
        <v>57951050</v>
      </c>
      <c r="H59" s="458"/>
      <c r="I59" s="445"/>
      <c r="K59" s="8"/>
      <c r="L59" s="8"/>
      <c r="M59" s="860"/>
      <c r="N59" s="860"/>
      <c r="O59" s="860"/>
      <c r="P59" s="860"/>
      <c r="Q59" s="860"/>
      <c r="R59" s="860"/>
      <c r="S59" s="860"/>
      <c r="T59" s="860"/>
      <c r="U59" s="860"/>
      <c r="V59" s="860"/>
      <c r="W59" s="860"/>
      <c r="X59" s="860"/>
      <c r="Y59" s="860"/>
      <c r="Z59" s="860"/>
      <c r="AA59" s="860"/>
      <c r="AB59" s="860"/>
      <c r="AC59" s="860"/>
      <c r="AD59" s="860"/>
      <c r="AE59" s="860"/>
      <c r="AF59" s="860"/>
      <c r="AG59" s="860"/>
    </row>
    <row r="60" spans="1:33" ht="18">
      <c r="A60" s="463">
        <v>2</v>
      </c>
      <c r="B60" s="464">
        <v>1</v>
      </c>
      <c r="C60" s="464" t="s">
        <v>593</v>
      </c>
      <c r="D60" s="457">
        <v>5</v>
      </c>
      <c r="E60" s="457">
        <v>2</v>
      </c>
      <c r="F60" s="456" t="s">
        <v>8</v>
      </c>
      <c r="G60" s="500">
        <f>'Pnj APBDES'!K195</f>
        <v>22800000</v>
      </c>
      <c r="H60" s="458"/>
      <c r="I60" s="445"/>
      <c r="K60" s="8"/>
      <c r="L60" s="8"/>
      <c r="M60" s="860"/>
      <c r="N60" s="860"/>
      <c r="O60" s="860"/>
      <c r="P60" s="860"/>
      <c r="Q60" s="860"/>
      <c r="R60" s="860"/>
      <c r="S60" s="860"/>
      <c r="T60" s="860"/>
      <c r="U60" s="860"/>
      <c r="V60" s="860"/>
      <c r="W60" s="860"/>
      <c r="X60" s="860"/>
      <c r="Y60" s="860"/>
      <c r="Z60" s="860"/>
      <c r="AA60" s="860"/>
      <c r="AB60" s="860"/>
      <c r="AC60" s="860"/>
      <c r="AD60" s="860"/>
      <c r="AE60" s="860"/>
      <c r="AF60" s="860"/>
      <c r="AG60" s="860"/>
    </row>
    <row r="61" spans="1:33" ht="18">
      <c r="A61" s="1462"/>
      <c r="B61" s="1451"/>
      <c r="C61" s="1451"/>
      <c r="D61" s="1452"/>
      <c r="E61" s="1452"/>
      <c r="F61" s="1463" t="s">
        <v>9</v>
      </c>
      <c r="G61" s="1464">
        <f>'2.2 PAUD DAN TK (Teralis TK)'!H59</f>
        <v>35151050</v>
      </c>
      <c r="H61" s="458"/>
      <c r="I61" s="445"/>
      <c r="K61" s="8"/>
      <c r="L61" s="8"/>
      <c r="M61" s="860"/>
      <c r="N61" s="860"/>
      <c r="O61" s="860"/>
      <c r="P61" s="860"/>
      <c r="Q61" s="860"/>
      <c r="R61" s="860"/>
      <c r="S61" s="860"/>
      <c r="T61" s="860"/>
      <c r="U61" s="860"/>
      <c r="V61" s="860"/>
      <c r="W61" s="860"/>
      <c r="X61" s="860"/>
      <c r="Y61" s="860"/>
      <c r="Z61" s="860"/>
      <c r="AA61" s="860"/>
      <c r="AB61" s="860"/>
      <c r="AC61" s="860"/>
      <c r="AD61" s="860"/>
      <c r="AE61" s="860"/>
      <c r="AF61" s="860"/>
      <c r="AG61" s="860"/>
    </row>
    <row r="62" spans="1:33" ht="18">
      <c r="A62" s="488">
        <v>2</v>
      </c>
      <c r="B62" s="481">
        <v>2</v>
      </c>
      <c r="C62" s="481"/>
      <c r="D62" s="452"/>
      <c r="E62" s="452"/>
      <c r="F62" s="453" t="s">
        <v>629</v>
      </c>
      <c r="G62" s="529" t="e">
        <f>G63+G65</f>
        <v>#REF!</v>
      </c>
      <c r="H62" s="454"/>
      <c r="I62" s="445"/>
      <c r="K62" s="8"/>
      <c r="L62" s="8"/>
      <c r="M62" s="860"/>
      <c r="N62" s="860"/>
      <c r="O62" s="860"/>
      <c r="P62" s="860"/>
      <c r="Q62" s="860"/>
      <c r="R62" s="860"/>
      <c r="S62" s="860"/>
      <c r="T62" s="860"/>
      <c r="U62" s="860"/>
      <c r="V62" s="860"/>
      <c r="W62" s="860"/>
      <c r="X62" s="860"/>
      <c r="Y62" s="860"/>
      <c r="Z62" s="860"/>
      <c r="AA62" s="860"/>
      <c r="AB62" s="860"/>
      <c r="AC62" s="860"/>
      <c r="AD62" s="860"/>
      <c r="AE62" s="860"/>
      <c r="AF62" s="860"/>
      <c r="AG62" s="860"/>
    </row>
    <row r="63" spans="1:33" ht="31.5">
      <c r="A63" s="575">
        <v>2</v>
      </c>
      <c r="B63" s="573">
        <v>2</v>
      </c>
      <c r="C63" s="573" t="s">
        <v>594</v>
      </c>
      <c r="D63" s="563"/>
      <c r="E63" s="563"/>
      <c r="F63" s="937" t="s">
        <v>970</v>
      </c>
      <c r="G63" s="500">
        <f>G64</f>
        <v>15280000</v>
      </c>
      <c r="H63" s="458"/>
      <c r="I63" s="445"/>
      <c r="K63" s="8"/>
      <c r="L63" s="8"/>
      <c r="M63" s="860"/>
      <c r="N63" s="860"/>
      <c r="O63" s="860"/>
      <c r="P63" s="860"/>
      <c r="Q63" s="860"/>
      <c r="R63" s="860"/>
      <c r="S63" s="860"/>
      <c r="T63" s="860"/>
      <c r="U63" s="860"/>
      <c r="V63" s="860"/>
      <c r="W63" s="860"/>
      <c r="X63" s="860"/>
      <c r="Y63" s="860"/>
      <c r="Z63" s="860"/>
      <c r="AA63" s="860"/>
      <c r="AB63" s="860"/>
      <c r="AC63" s="860"/>
      <c r="AD63" s="860"/>
      <c r="AE63" s="860"/>
      <c r="AF63" s="860"/>
      <c r="AG63" s="860"/>
    </row>
    <row r="64" spans="1:33" ht="18">
      <c r="A64" s="575">
        <v>2</v>
      </c>
      <c r="B64" s="573">
        <v>2</v>
      </c>
      <c r="C64" s="573" t="s">
        <v>594</v>
      </c>
      <c r="D64" s="563">
        <v>5</v>
      </c>
      <c r="E64" s="563">
        <v>2</v>
      </c>
      <c r="F64" s="444" t="s">
        <v>8</v>
      </c>
      <c r="G64" s="500">
        <f>'Pnj APBDES'!K205</f>
        <v>15280000</v>
      </c>
      <c r="H64" s="458"/>
      <c r="I64" s="445"/>
      <c r="K64" s="8"/>
      <c r="L64" s="8"/>
      <c r="M64" s="860"/>
      <c r="N64" s="860"/>
      <c r="O64" s="860"/>
      <c r="P64" s="860"/>
      <c r="Q64" s="860"/>
      <c r="R64" s="860"/>
      <c r="S64" s="860"/>
      <c r="T64" s="860"/>
      <c r="U64" s="860"/>
      <c r="V64" s="860"/>
      <c r="W64" s="860"/>
      <c r="X64" s="860"/>
      <c r="Y64" s="860"/>
      <c r="Z64" s="860"/>
      <c r="AA64" s="860"/>
      <c r="AB64" s="860"/>
      <c r="AC64" s="860"/>
      <c r="AD64" s="860"/>
      <c r="AE64" s="860"/>
      <c r="AF64" s="860"/>
      <c r="AG64" s="860"/>
    </row>
    <row r="65" spans="1:33" ht="18">
      <c r="A65" s="575">
        <v>2</v>
      </c>
      <c r="B65" s="573">
        <v>2</v>
      </c>
      <c r="C65" s="573" t="s">
        <v>616</v>
      </c>
      <c r="D65" s="563"/>
      <c r="E65" s="563"/>
      <c r="F65" s="564" t="s">
        <v>972</v>
      </c>
      <c r="G65" s="500" t="e">
        <f>G66</f>
        <v>#REF!</v>
      </c>
      <c r="H65" s="458"/>
      <c r="I65" s="445"/>
      <c r="K65" s="8"/>
      <c r="L65" s="8"/>
      <c r="M65" s="860"/>
      <c r="N65" s="860"/>
      <c r="O65" s="860"/>
      <c r="P65" s="860"/>
      <c r="Q65" s="860"/>
      <c r="R65" s="860"/>
      <c r="S65" s="860"/>
      <c r="T65" s="860"/>
      <c r="U65" s="860"/>
      <c r="V65" s="860"/>
      <c r="W65" s="860"/>
      <c r="X65" s="860"/>
      <c r="Y65" s="860"/>
      <c r="Z65" s="860"/>
      <c r="AA65" s="860"/>
      <c r="AB65" s="860"/>
      <c r="AC65" s="860"/>
      <c r="AD65" s="860"/>
      <c r="AE65" s="860"/>
      <c r="AF65" s="860"/>
      <c r="AG65" s="860"/>
    </row>
    <row r="66" spans="1:33" ht="18">
      <c r="A66" s="575">
        <v>2</v>
      </c>
      <c r="B66" s="573">
        <v>2</v>
      </c>
      <c r="C66" s="573" t="s">
        <v>616</v>
      </c>
      <c r="D66" s="563">
        <v>5</v>
      </c>
      <c r="E66" s="563"/>
      <c r="F66" s="564" t="s">
        <v>9</v>
      </c>
      <c r="G66" s="500" t="e">
        <f>'Pnj APBDES'!#REF!</f>
        <v>#REF!</v>
      </c>
      <c r="H66" s="458"/>
      <c r="I66" s="445"/>
      <c r="K66" s="8"/>
      <c r="L66" s="8"/>
      <c r="M66" s="860"/>
      <c r="N66" s="860"/>
      <c r="O66" s="860"/>
      <c r="P66" s="860"/>
      <c r="Q66" s="860"/>
      <c r="R66" s="860"/>
      <c r="S66" s="860"/>
      <c r="T66" s="860"/>
      <c r="U66" s="860"/>
      <c r="V66" s="860"/>
      <c r="W66" s="860"/>
      <c r="X66" s="860"/>
      <c r="Y66" s="860"/>
      <c r="Z66" s="860"/>
      <c r="AA66" s="860"/>
      <c r="AB66" s="860"/>
      <c r="AC66" s="860"/>
      <c r="AD66" s="860"/>
      <c r="AE66" s="860"/>
      <c r="AF66" s="860"/>
      <c r="AG66" s="860"/>
    </row>
    <row r="67" spans="1:33" ht="18">
      <c r="A67" s="488">
        <v>2</v>
      </c>
      <c r="B67" s="481">
        <v>3</v>
      </c>
      <c r="C67" s="481"/>
      <c r="D67" s="452"/>
      <c r="E67" s="452"/>
      <c r="F67" s="489" t="s">
        <v>979</v>
      </c>
      <c r="G67" s="529">
        <f>G68</f>
        <v>514747000</v>
      </c>
      <c r="H67" s="454"/>
      <c r="I67" s="445"/>
      <c r="K67" s="8"/>
      <c r="L67" s="8"/>
      <c r="M67" s="860"/>
      <c r="N67" s="860"/>
      <c r="O67" s="860"/>
      <c r="P67" s="860"/>
      <c r="Q67" s="860"/>
      <c r="R67" s="860"/>
      <c r="S67" s="860"/>
      <c r="T67" s="860"/>
      <c r="U67" s="860"/>
      <c r="V67" s="860"/>
      <c r="W67" s="860"/>
      <c r="X67" s="860"/>
      <c r="Y67" s="860"/>
      <c r="Z67" s="860"/>
      <c r="AA67" s="860"/>
      <c r="AB67" s="860"/>
      <c r="AC67" s="860"/>
      <c r="AD67" s="860"/>
      <c r="AE67" s="860"/>
      <c r="AF67" s="860"/>
      <c r="AG67" s="860"/>
    </row>
    <row r="68" spans="1:33" ht="18">
      <c r="A68" s="463">
        <v>2</v>
      </c>
      <c r="B68" s="464">
        <v>3</v>
      </c>
      <c r="C68" s="464">
        <v>10</v>
      </c>
      <c r="D68" s="457"/>
      <c r="E68" s="457"/>
      <c r="F68" s="473" t="s">
        <v>1091</v>
      </c>
      <c r="G68" s="500">
        <f>G69</f>
        <v>514747000</v>
      </c>
      <c r="H68" s="458"/>
      <c r="I68" s="445"/>
      <c r="K68" s="8"/>
      <c r="L68" s="8"/>
      <c r="M68" s="860"/>
      <c r="N68" s="860"/>
      <c r="O68" s="882"/>
      <c r="P68" s="860"/>
      <c r="Q68" s="860"/>
      <c r="R68" s="860"/>
      <c r="S68" s="860"/>
      <c r="T68" s="860"/>
      <c r="U68" s="860"/>
      <c r="V68" s="860"/>
      <c r="W68" s="860"/>
      <c r="X68" s="860"/>
      <c r="Y68" s="860"/>
      <c r="Z68" s="860"/>
      <c r="AA68" s="860"/>
      <c r="AB68" s="860"/>
      <c r="AC68" s="860"/>
      <c r="AD68" s="860"/>
      <c r="AE68" s="860"/>
      <c r="AF68" s="860"/>
      <c r="AG68" s="860"/>
    </row>
    <row r="69" spans="1:33" ht="18">
      <c r="A69" s="463">
        <v>2</v>
      </c>
      <c r="B69" s="464">
        <v>3</v>
      </c>
      <c r="C69" s="464" t="s">
        <v>1104</v>
      </c>
      <c r="D69" s="457">
        <v>5</v>
      </c>
      <c r="E69" s="457">
        <v>3</v>
      </c>
      <c r="F69" s="456" t="s">
        <v>9</v>
      </c>
      <c r="G69" s="500">
        <f>'Pnj APBDES'!K212</f>
        <v>514747000</v>
      </c>
      <c r="H69" s="458" t="s">
        <v>22</v>
      </c>
      <c r="I69" s="445"/>
      <c r="K69" s="8"/>
      <c r="L69" s="1465">
        <f>G69-'Pnj APBDES'!K212</f>
        <v>0</v>
      </c>
      <c r="M69" s="883"/>
      <c r="N69" s="883"/>
      <c r="O69" s="861"/>
      <c r="P69" s="860"/>
      <c r="Q69" s="874"/>
      <c r="R69" s="860"/>
      <c r="S69" s="860"/>
      <c r="T69" s="860"/>
      <c r="U69" s="860"/>
      <c r="V69" s="860"/>
      <c r="W69" s="860"/>
      <c r="X69" s="860"/>
      <c r="Y69" s="860"/>
      <c r="Z69" s="860"/>
      <c r="AA69" s="860"/>
      <c r="AB69" s="860"/>
      <c r="AC69" s="860"/>
      <c r="AD69" s="860"/>
      <c r="AE69" s="860"/>
      <c r="AF69" s="860"/>
      <c r="AG69" s="860"/>
    </row>
    <row r="70" spans="1:33" s="144" customFormat="1" ht="18">
      <c r="A70" s="488">
        <v>2</v>
      </c>
      <c r="B70" s="481">
        <v>4</v>
      </c>
      <c r="C70" s="481"/>
      <c r="D70" s="452"/>
      <c r="E70" s="452"/>
      <c r="F70" s="1467" t="s">
        <v>1331</v>
      </c>
      <c r="G70" s="529" t="e">
        <f>G71</f>
        <v>#REF!</v>
      </c>
      <c r="H70" s="454"/>
      <c r="I70" s="455"/>
      <c r="K70" s="1466"/>
      <c r="L70" s="1466"/>
      <c r="M70" s="883"/>
      <c r="N70" s="883"/>
      <c r="O70" s="867"/>
      <c r="P70" s="862"/>
      <c r="Q70" s="848"/>
      <c r="R70" s="862"/>
      <c r="S70" s="862"/>
      <c r="T70" s="862"/>
      <c r="U70" s="862"/>
      <c r="V70" s="862"/>
      <c r="W70" s="862"/>
      <c r="X70" s="862"/>
      <c r="Y70" s="862"/>
      <c r="Z70" s="862"/>
      <c r="AA70" s="862"/>
      <c r="AB70" s="862"/>
      <c r="AC70" s="862"/>
      <c r="AD70" s="862"/>
      <c r="AE70" s="862"/>
      <c r="AF70" s="862"/>
      <c r="AG70" s="862"/>
    </row>
    <row r="71" spans="1:33" ht="18">
      <c r="A71" s="463"/>
      <c r="B71" s="464"/>
      <c r="C71" s="464"/>
      <c r="D71" s="457"/>
      <c r="E71" s="457"/>
      <c r="F71" s="456" t="s">
        <v>9</v>
      </c>
      <c r="G71" s="500" t="e">
        <f>'Pnj APBDES'!#REF!</f>
        <v>#REF!</v>
      </c>
      <c r="H71" s="458" t="s">
        <v>22</v>
      </c>
      <c r="I71" s="445"/>
      <c r="K71" s="8"/>
      <c r="L71" s="8"/>
      <c r="M71" s="883"/>
      <c r="N71" s="883"/>
      <c r="O71" s="861"/>
      <c r="P71" s="860"/>
      <c r="Q71" s="874"/>
      <c r="R71" s="860"/>
      <c r="S71" s="860"/>
      <c r="T71" s="860"/>
      <c r="U71" s="860"/>
      <c r="V71" s="860"/>
      <c r="W71" s="860"/>
      <c r="X71" s="860"/>
      <c r="Y71" s="860"/>
      <c r="Z71" s="860"/>
      <c r="AA71" s="860"/>
      <c r="AB71" s="860"/>
      <c r="AC71" s="860"/>
      <c r="AD71" s="860"/>
      <c r="AE71" s="860"/>
      <c r="AF71" s="860"/>
      <c r="AG71" s="860"/>
    </row>
    <row r="72" spans="1:33" s="144" customFormat="1" ht="18">
      <c r="A72" s="488">
        <v>2</v>
      </c>
      <c r="B72" s="481">
        <v>5</v>
      </c>
      <c r="C72" s="481"/>
      <c r="D72" s="452"/>
      <c r="E72" s="452"/>
      <c r="F72" s="441" t="s">
        <v>1210</v>
      </c>
      <c r="G72" s="529">
        <f>G73</f>
        <v>203804386</v>
      </c>
      <c r="H72" s="454"/>
      <c r="I72" s="455"/>
      <c r="K72" s="1466"/>
      <c r="L72" s="1466"/>
      <c r="M72" s="883"/>
      <c r="N72" s="883"/>
      <c r="O72" s="867"/>
      <c r="P72" s="862"/>
      <c r="Q72" s="848"/>
      <c r="R72" s="862"/>
      <c r="S72" s="862"/>
      <c r="T72" s="862"/>
      <c r="U72" s="862"/>
      <c r="V72" s="862"/>
      <c r="W72" s="862"/>
      <c r="X72" s="862"/>
      <c r="Y72" s="862"/>
      <c r="Z72" s="862"/>
      <c r="AA72" s="862"/>
      <c r="AB72" s="862"/>
      <c r="AC72" s="862"/>
      <c r="AD72" s="862"/>
      <c r="AE72" s="862"/>
      <c r="AF72" s="862"/>
      <c r="AG72" s="862"/>
    </row>
    <row r="73" spans="1:33" ht="18">
      <c r="A73" s="463"/>
      <c r="B73" s="464"/>
      <c r="C73" s="464"/>
      <c r="D73" s="457"/>
      <c r="E73" s="457"/>
      <c r="F73" s="456" t="s">
        <v>9</v>
      </c>
      <c r="G73" s="500">
        <f>'Pnj APBDES'!K255</f>
        <v>203804386</v>
      </c>
      <c r="H73" s="458" t="s">
        <v>22</v>
      </c>
      <c r="I73" s="445"/>
      <c r="K73" s="8"/>
      <c r="L73" s="8"/>
      <c r="M73" s="883"/>
      <c r="N73" s="883"/>
      <c r="O73" s="861"/>
      <c r="P73" s="860"/>
      <c r="Q73" s="874"/>
      <c r="R73" s="860"/>
      <c r="S73" s="860"/>
      <c r="T73" s="860"/>
      <c r="U73" s="860"/>
      <c r="V73" s="860"/>
      <c r="W73" s="860"/>
      <c r="X73" s="860"/>
      <c r="Y73" s="860"/>
      <c r="Z73" s="860"/>
      <c r="AA73" s="860"/>
      <c r="AB73" s="860"/>
      <c r="AC73" s="860"/>
      <c r="AD73" s="860"/>
      <c r="AE73" s="860"/>
      <c r="AF73" s="860"/>
      <c r="AG73" s="860"/>
    </row>
    <row r="74" spans="1:33" ht="15.75" customHeight="1">
      <c r="A74" s="1456">
        <v>3</v>
      </c>
      <c r="B74" s="1457"/>
      <c r="C74" s="1457"/>
      <c r="D74" s="1456"/>
      <c r="E74" s="1456"/>
      <c r="F74" s="1458" t="s">
        <v>662</v>
      </c>
      <c r="G74" s="1459" t="e">
        <f>G75+G78+G85+G88</f>
        <v>#REF!</v>
      </c>
      <c r="H74" s="1460"/>
      <c r="I74" s="445"/>
      <c r="K74" s="8"/>
      <c r="L74" s="1465" t="e">
        <f>'Pnj APBDES'!K226-G74</f>
        <v>#REF!</v>
      </c>
      <c r="M74" s="187"/>
      <c r="N74" s="187"/>
    </row>
    <row r="75" spans="1:33" ht="18">
      <c r="A75" s="452">
        <v>3</v>
      </c>
      <c r="B75" s="459">
        <v>1</v>
      </c>
      <c r="C75" s="459"/>
      <c r="D75" s="452"/>
      <c r="E75" s="452"/>
      <c r="F75" s="453" t="s">
        <v>663</v>
      </c>
      <c r="G75" s="529">
        <f>G76</f>
        <v>8700000</v>
      </c>
      <c r="H75" s="454"/>
      <c r="I75" s="445"/>
      <c r="K75" s="8"/>
      <c r="L75" s="8"/>
    </row>
    <row r="76" spans="1:33" ht="15.75" customHeight="1">
      <c r="A76" s="463">
        <v>3</v>
      </c>
      <c r="B76" s="464">
        <v>1</v>
      </c>
      <c r="C76" s="464" t="s">
        <v>594</v>
      </c>
      <c r="D76" s="457"/>
      <c r="E76" s="457"/>
      <c r="F76" s="473" t="s">
        <v>479</v>
      </c>
      <c r="G76" s="477">
        <f>G77</f>
        <v>8700000</v>
      </c>
      <c r="H76" s="458"/>
      <c r="I76" s="445"/>
      <c r="K76" s="8"/>
      <c r="L76" s="8"/>
    </row>
    <row r="77" spans="1:33" ht="18">
      <c r="A77" s="463">
        <v>3</v>
      </c>
      <c r="B77" s="464">
        <v>1</v>
      </c>
      <c r="C77" s="464" t="s">
        <v>594</v>
      </c>
      <c r="D77" s="457">
        <v>5</v>
      </c>
      <c r="E77" s="457">
        <v>2</v>
      </c>
      <c r="F77" s="456" t="s">
        <v>8</v>
      </c>
      <c r="G77" s="500">
        <f>'Pnj APBDES'!K229</f>
        <v>8700000</v>
      </c>
      <c r="H77" s="458" t="s">
        <v>23</v>
      </c>
      <c r="I77" s="445"/>
      <c r="K77" s="8"/>
      <c r="L77" s="8"/>
    </row>
    <row r="78" spans="1:33" ht="18">
      <c r="A78" s="457">
        <v>3</v>
      </c>
      <c r="B78" s="462">
        <v>2</v>
      </c>
      <c r="C78" s="464"/>
      <c r="D78" s="457"/>
      <c r="E78" s="457"/>
      <c r="F78" s="497" t="s">
        <v>665</v>
      </c>
      <c r="G78" s="529" t="e">
        <f>G79+G83+G81</f>
        <v>#REF!</v>
      </c>
      <c r="H78" s="458"/>
      <c r="I78" s="445"/>
      <c r="K78" s="8"/>
      <c r="L78" s="8"/>
    </row>
    <row r="79" spans="1:33" ht="18">
      <c r="A79" s="457">
        <v>3</v>
      </c>
      <c r="B79" s="462">
        <v>2</v>
      </c>
      <c r="C79" s="464">
        <v>90</v>
      </c>
      <c r="D79" s="457"/>
      <c r="E79" s="457"/>
      <c r="F79" s="443" t="s">
        <v>967</v>
      </c>
      <c r="G79" s="528">
        <f>G80</f>
        <v>24300000</v>
      </c>
      <c r="H79" s="458"/>
      <c r="I79" s="445"/>
      <c r="K79" s="8"/>
      <c r="L79" s="8"/>
    </row>
    <row r="80" spans="1:33" ht="15.75" customHeight="1">
      <c r="A80" s="463">
        <v>3</v>
      </c>
      <c r="B80" s="464">
        <v>2</v>
      </c>
      <c r="C80" s="464">
        <v>90</v>
      </c>
      <c r="D80" s="457">
        <v>5</v>
      </c>
      <c r="E80" s="457">
        <v>2</v>
      </c>
      <c r="F80" s="456" t="s">
        <v>8</v>
      </c>
      <c r="G80" s="500">
        <f>'Pnj APBDES'!K234</f>
        <v>24300000</v>
      </c>
      <c r="H80" s="458" t="s">
        <v>23</v>
      </c>
      <c r="I80" s="445"/>
      <c r="K80" s="8"/>
      <c r="L80" s="8"/>
    </row>
    <row r="81" spans="1:14" ht="15.75" customHeight="1">
      <c r="A81" s="463">
        <v>3</v>
      </c>
      <c r="B81" s="464">
        <v>2</v>
      </c>
      <c r="C81" s="464">
        <v>0</v>
      </c>
      <c r="D81" s="457"/>
      <c r="E81" s="457"/>
      <c r="F81" s="456" t="s">
        <v>1340</v>
      </c>
      <c r="G81" s="500" t="e">
        <f>G82</f>
        <v>#REF!</v>
      </c>
      <c r="H81" s="458"/>
      <c r="I81" s="445"/>
      <c r="K81" s="8"/>
      <c r="L81" s="8"/>
    </row>
    <row r="82" spans="1:14" ht="15.75" customHeight="1">
      <c r="A82" s="463">
        <v>3</v>
      </c>
      <c r="B82" s="464">
        <v>2</v>
      </c>
      <c r="C82" s="464">
        <v>0</v>
      </c>
      <c r="D82" s="457">
        <v>0</v>
      </c>
      <c r="E82" s="457">
        <v>0</v>
      </c>
      <c r="F82" s="456" t="s">
        <v>8</v>
      </c>
      <c r="G82" s="500" t="e">
        <f>'Pnj APBDES'!#REF!</f>
        <v>#REF!</v>
      </c>
      <c r="H82" s="458" t="s">
        <v>23</v>
      </c>
      <c r="I82" s="445"/>
      <c r="K82" s="8"/>
      <c r="L82" s="8"/>
    </row>
    <row r="83" spans="1:14" ht="47.25">
      <c r="A83" s="457">
        <v>3</v>
      </c>
      <c r="B83" s="462">
        <v>2</v>
      </c>
      <c r="C83" s="464" t="s">
        <v>595</v>
      </c>
      <c r="D83" s="457"/>
      <c r="E83" s="457"/>
      <c r="F83" s="473" t="s">
        <v>470</v>
      </c>
      <c r="G83" s="477">
        <f>G84</f>
        <v>7020000</v>
      </c>
      <c r="H83" s="458"/>
      <c r="I83" s="445"/>
      <c r="K83" s="8"/>
      <c r="L83" s="8"/>
      <c r="M83" s="2"/>
      <c r="N83" s="2"/>
    </row>
    <row r="84" spans="1:14" ht="15.75" customHeight="1">
      <c r="A84" s="463">
        <v>3</v>
      </c>
      <c r="B84" s="464">
        <v>2</v>
      </c>
      <c r="C84" s="464" t="s">
        <v>595</v>
      </c>
      <c r="D84" s="457">
        <v>5</v>
      </c>
      <c r="E84" s="457">
        <v>2</v>
      </c>
      <c r="F84" s="456" t="s">
        <v>8</v>
      </c>
      <c r="G84" s="500">
        <f>'Pnj APBDES'!K238</f>
        <v>7020000</v>
      </c>
      <c r="H84" s="458" t="s">
        <v>23</v>
      </c>
      <c r="I84" s="445"/>
      <c r="K84" s="8"/>
      <c r="L84" s="8"/>
    </row>
    <row r="85" spans="1:14" ht="18">
      <c r="A85" s="463">
        <v>3</v>
      </c>
      <c r="B85" s="462">
        <v>3</v>
      </c>
      <c r="C85" s="464"/>
      <c r="D85" s="457"/>
      <c r="E85" s="457"/>
      <c r="F85" s="453" t="s">
        <v>668</v>
      </c>
      <c r="G85" s="529">
        <f>G86</f>
        <v>1200000</v>
      </c>
      <c r="H85" s="458"/>
      <c r="I85" s="445"/>
      <c r="K85" s="8"/>
      <c r="L85" s="8"/>
    </row>
    <row r="86" spans="1:14" ht="15.75" customHeight="1">
      <c r="A86" s="463">
        <v>3</v>
      </c>
      <c r="B86" s="462">
        <v>3</v>
      </c>
      <c r="C86" s="464" t="s">
        <v>598</v>
      </c>
      <c r="D86" s="457"/>
      <c r="E86" s="457"/>
      <c r="F86" s="476" t="s">
        <v>464</v>
      </c>
      <c r="G86" s="528">
        <f>G87</f>
        <v>1200000</v>
      </c>
      <c r="H86" s="458"/>
      <c r="I86" s="445"/>
      <c r="K86" s="8"/>
      <c r="L86" s="8"/>
    </row>
    <row r="87" spans="1:14" ht="18">
      <c r="A87" s="463">
        <v>3</v>
      </c>
      <c r="B87" s="462">
        <v>3</v>
      </c>
      <c r="C87" s="464" t="s">
        <v>598</v>
      </c>
      <c r="D87" s="457">
        <v>5</v>
      </c>
      <c r="E87" s="457">
        <v>2</v>
      </c>
      <c r="F87" s="456" t="s">
        <v>8</v>
      </c>
      <c r="G87" s="500">
        <f>'Pnj APBDES'!K252</f>
        <v>1200000</v>
      </c>
      <c r="H87" s="458"/>
      <c r="I87" s="445"/>
      <c r="K87" s="8"/>
      <c r="L87" s="8"/>
    </row>
    <row r="88" spans="1:14" ht="18">
      <c r="A88" s="488">
        <v>3</v>
      </c>
      <c r="B88" s="459">
        <v>4</v>
      </c>
      <c r="C88" s="481"/>
      <c r="D88" s="452"/>
      <c r="E88" s="452"/>
      <c r="F88" s="498" t="s">
        <v>671</v>
      </c>
      <c r="G88" s="524" t="e">
        <f>G89+G91+G93+G95</f>
        <v>#REF!</v>
      </c>
      <c r="H88" s="454"/>
      <c r="I88" s="445"/>
      <c r="K88" s="8"/>
      <c r="L88" s="8"/>
    </row>
    <row r="89" spans="1:14" ht="18">
      <c r="A89" s="463">
        <v>3</v>
      </c>
      <c r="B89" s="462">
        <v>4</v>
      </c>
      <c r="C89" s="464" t="s">
        <v>593</v>
      </c>
      <c r="D89" s="457"/>
      <c r="E89" s="457"/>
      <c r="F89" s="465" t="s">
        <v>463</v>
      </c>
      <c r="G89" s="525">
        <f>G90</f>
        <v>2400000</v>
      </c>
      <c r="H89" s="458"/>
      <c r="I89" s="445"/>
      <c r="K89" s="8"/>
      <c r="L89" s="8"/>
    </row>
    <row r="90" spans="1:14" ht="15.75" customHeight="1">
      <c r="A90" s="463">
        <v>3</v>
      </c>
      <c r="B90" s="462">
        <v>4</v>
      </c>
      <c r="C90" s="464" t="s">
        <v>593</v>
      </c>
      <c r="D90" s="457">
        <v>5</v>
      </c>
      <c r="E90" s="457">
        <v>2</v>
      </c>
      <c r="F90" s="456" t="s">
        <v>8</v>
      </c>
      <c r="G90" s="500">
        <f>'Pnj APBDES'!K262</f>
        <v>2400000</v>
      </c>
      <c r="H90" s="458" t="s">
        <v>23</v>
      </c>
      <c r="I90" s="455"/>
      <c r="K90" s="8"/>
      <c r="L90" s="8"/>
    </row>
    <row r="91" spans="1:14" ht="18">
      <c r="A91" s="463">
        <v>3</v>
      </c>
      <c r="B91" s="462">
        <v>4</v>
      </c>
      <c r="C91" s="464" t="s">
        <v>594</v>
      </c>
      <c r="D91" s="457"/>
      <c r="E91" s="457"/>
      <c r="F91" s="465" t="s">
        <v>462</v>
      </c>
      <c r="G91" s="525">
        <f>G92</f>
        <v>3900000</v>
      </c>
      <c r="H91" s="458"/>
      <c r="I91" s="445"/>
      <c r="K91" s="8"/>
      <c r="L91" s="8"/>
    </row>
    <row r="92" spans="1:14" ht="15.75" customHeight="1">
      <c r="A92" s="463">
        <v>3</v>
      </c>
      <c r="B92" s="462">
        <v>4</v>
      </c>
      <c r="C92" s="464" t="s">
        <v>594</v>
      </c>
      <c r="D92" s="457">
        <v>5</v>
      </c>
      <c r="E92" s="457">
        <v>2</v>
      </c>
      <c r="F92" s="456" t="s">
        <v>8</v>
      </c>
      <c r="G92" s="500">
        <f>'Pnj APBDES'!K266</f>
        <v>3900000</v>
      </c>
      <c r="H92" s="458" t="s">
        <v>23</v>
      </c>
      <c r="I92" s="445"/>
      <c r="K92" s="8"/>
      <c r="L92" s="8"/>
    </row>
    <row r="93" spans="1:14" ht="18">
      <c r="A93" s="463">
        <v>3</v>
      </c>
      <c r="B93" s="462">
        <v>4</v>
      </c>
      <c r="C93" s="464" t="s">
        <v>595</v>
      </c>
      <c r="D93" s="457"/>
      <c r="E93" s="457"/>
      <c r="F93" s="465" t="s">
        <v>461</v>
      </c>
      <c r="G93" s="525">
        <f>G94</f>
        <v>17485000</v>
      </c>
      <c r="H93" s="458"/>
      <c r="I93" s="445"/>
      <c r="K93" s="8"/>
      <c r="L93" s="8"/>
    </row>
    <row r="94" spans="1:14" ht="15.75" customHeight="1">
      <c r="A94" s="463">
        <v>3</v>
      </c>
      <c r="B94" s="462">
        <v>4</v>
      </c>
      <c r="C94" s="464" t="s">
        <v>595</v>
      </c>
      <c r="D94" s="457">
        <v>5</v>
      </c>
      <c r="E94" s="457">
        <v>2</v>
      </c>
      <c r="F94" s="456" t="s">
        <v>8</v>
      </c>
      <c r="G94" s="500">
        <f>'Pnj APBDES'!K270</f>
        <v>17485000</v>
      </c>
      <c r="H94" s="458" t="s">
        <v>23</v>
      </c>
      <c r="I94" s="445"/>
      <c r="K94" s="8"/>
      <c r="L94" s="8"/>
    </row>
    <row r="95" spans="1:14" ht="18">
      <c r="A95" s="463">
        <v>3</v>
      </c>
      <c r="B95" s="462">
        <v>4</v>
      </c>
      <c r="C95" s="464" t="s">
        <v>981</v>
      </c>
      <c r="D95" s="457"/>
      <c r="E95" s="457"/>
      <c r="F95" s="465" t="s">
        <v>980</v>
      </c>
      <c r="G95" s="525" t="e">
        <f>G96</f>
        <v>#REF!</v>
      </c>
      <c r="H95" s="458"/>
      <c r="I95" s="445"/>
      <c r="K95" s="8"/>
      <c r="L95" s="8"/>
    </row>
    <row r="96" spans="1:14" ht="15.75" customHeight="1">
      <c r="A96" s="463">
        <v>3</v>
      </c>
      <c r="B96" s="462">
        <v>4</v>
      </c>
      <c r="C96" s="464" t="s">
        <v>981</v>
      </c>
      <c r="D96" s="457">
        <v>5</v>
      </c>
      <c r="E96" s="457">
        <v>2</v>
      </c>
      <c r="F96" s="456" t="s">
        <v>8</v>
      </c>
      <c r="G96" s="500" t="e">
        <f>'Pnj APBDES'!#REF!</f>
        <v>#REF!</v>
      </c>
      <c r="H96" s="458" t="s">
        <v>23</v>
      </c>
      <c r="I96" s="445"/>
      <c r="K96" s="8"/>
      <c r="L96" s="8"/>
    </row>
    <row r="97" spans="1:19" ht="18">
      <c r="A97" s="1456">
        <v>4</v>
      </c>
      <c r="B97" s="1457"/>
      <c r="C97" s="1457"/>
      <c r="D97" s="1456"/>
      <c r="E97" s="1456"/>
      <c r="F97" s="1458" t="s">
        <v>672</v>
      </c>
      <c r="G97" s="1461" t="e">
        <f>G98+G103+G105</f>
        <v>#REF!</v>
      </c>
      <c r="H97" s="1460"/>
      <c r="I97" s="445"/>
      <c r="J97" s="218"/>
      <c r="K97" s="8"/>
      <c r="L97" s="1465" t="e">
        <f>G97-'Pnj APBDES'!K285</f>
        <v>#REF!</v>
      </c>
      <c r="M97" s="218"/>
      <c r="N97" s="218"/>
      <c r="O97" s="218"/>
      <c r="P97" s="218"/>
      <c r="Q97" s="218"/>
      <c r="R97" s="218"/>
      <c r="S97" s="218"/>
    </row>
    <row r="98" spans="1:19" ht="15.75" customHeight="1">
      <c r="A98" s="452">
        <v>4</v>
      </c>
      <c r="B98" s="459">
        <v>3</v>
      </c>
      <c r="C98" s="459"/>
      <c r="D98" s="452"/>
      <c r="E98" s="452"/>
      <c r="F98" s="453" t="s">
        <v>683</v>
      </c>
      <c r="G98" s="524" t="e">
        <f>G99+G101</f>
        <v>#REF!</v>
      </c>
      <c r="H98" s="454"/>
      <c r="I98" s="445"/>
      <c r="J98" s="218"/>
      <c r="K98" s="218"/>
      <c r="L98" s="218"/>
      <c r="M98" s="218"/>
      <c r="N98" s="218"/>
      <c r="O98" s="218"/>
      <c r="P98" s="218"/>
      <c r="Q98" s="218"/>
      <c r="R98" s="218"/>
      <c r="S98" s="218"/>
    </row>
    <row r="99" spans="1:19" ht="18">
      <c r="A99" s="463">
        <v>4</v>
      </c>
      <c r="B99" s="464">
        <v>3</v>
      </c>
      <c r="C99" s="464" t="s">
        <v>593</v>
      </c>
      <c r="D99" s="457"/>
      <c r="E99" s="457"/>
      <c r="F99" s="499" t="s">
        <v>684</v>
      </c>
      <c r="G99" s="525" t="e">
        <f>'Pnj APBDES'!#REF!</f>
        <v>#REF!</v>
      </c>
      <c r="H99" s="458"/>
      <c r="I99" s="445"/>
      <c r="J99" s="218"/>
      <c r="K99" s="218"/>
      <c r="L99" s="218"/>
      <c r="M99" s="218"/>
      <c r="N99" s="218"/>
      <c r="O99" s="218"/>
      <c r="P99" s="218"/>
      <c r="Q99" s="218"/>
      <c r="R99" s="218"/>
      <c r="S99" s="218"/>
    </row>
    <row r="100" spans="1:19" ht="18">
      <c r="A100" s="463">
        <v>4</v>
      </c>
      <c r="B100" s="464">
        <v>3</v>
      </c>
      <c r="C100" s="464" t="s">
        <v>593</v>
      </c>
      <c r="D100" s="457">
        <v>5</v>
      </c>
      <c r="E100" s="457">
        <v>2</v>
      </c>
      <c r="F100" s="456" t="s">
        <v>8</v>
      </c>
      <c r="G100" s="500" t="e">
        <f>'Pnj APBDES'!#REF!</f>
        <v>#REF!</v>
      </c>
      <c r="H100" s="458" t="s">
        <v>22</v>
      </c>
      <c r="I100" s="445"/>
      <c r="J100" s="218"/>
      <c r="K100" s="218"/>
      <c r="L100" s="218"/>
      <c r="M100" s="218"/>
      <c r="N100" s="218"/>
      <c r="O100" s="218"/>
      <c r="P100" s="218"/>
      <c r="Q100" s="218"/>
      <c r="R100" s="218"/>
      <c r="S100" s="218"/>
    </row>
    <row r="101" spans="1:19" s="144" customFormat="1" ht="18">
      <c r="A101" s="488">
        <v>4</v>
      </c>
      <c r="B101" s="481">
        <v>3</v>
      </c>
      <c r="C101" s="481" t="s">
        <v>593</v>
      </c>
      <c r="D101" s="452"/>
      <c r="E101" s="452"/>
      <c r="F101" s="501" t="s">
        <v>685</v>
      </c>
      <c r="G101" s="524" t="e">
        <f>G102</f>
        <v>#REF!</v>
      </c>
      <c r="H101" s="454"/>
      <c r="I101" s="455"/>
      <c r="J101" s="1468"/>
      <c r="K101" s="1468"/>
      <c r="L101" s="1468"/>
      <c r="M101" s="1468"/>
      <c r="N101" s="1468"/>
      <c r="O101" s="1468"/>
      <c r="P101" s="1468"/>
      <c r="Q101" s="1468"/>
      <c r="R101" s="1468"/>
      <c r="S101" s="1468"/>
    </row>
    <row r="102" spans="1:19" ht="18">
      <c r="A102" s="463">
        <v>4</v>
      </c>
      <c r="B102" s="464">
        <v>3</v>
      </c>
      <c r="C102" s="464" t="s">
        <v>594</v>
      </c>
      <c r="D102" s="457">
        <v>5</v>
      </c>
      <c r="E102" s="457">
        <v>2</v>
      </c>
      <c r="F102" s="456" t="s">
        <v>8</v>
      </c>
      <c r="G102" s="500" t="e">
        <f>'Pnj APBDES'!#REF!</f>
        <v>#REF!</v>
      </c>
      <c r="H102" s="458" t="s">
        <v>22</v>
      </c>
      <c r="I102" s="445"/>
      <c r="J102" s="218"/>
      <c r="K102" s="218"/>
      <c r="L102" s="218"/>
      <c r="M102" s="218"/>
      <c r="N102" s="218"/>
      <c r="O102" s="218"/>
      <c r="P102" s="218"/>
      <c r="Q102" s="218"/>
      <c r="R102" s="218"/>
      <c r="S102" s="218"/>
    </row>
    <row r="103" spans="1:19" s="144" customFormat="1" ht="18">
      <c r="A103" s="488">
        <v>4</v>
      </c>
      <c r="B103" s="481">
        <v>3</v>
      </c>
      <c r="C103" s="481" t="s">
        <v>595</v>
      </c>
      <c r="D103" s="452"/>
      <c r="E103" s="452"/>
      <c r="F103" s="501" t="s">
        <v>1338</v>
      </c>
      <c r="G103" s="524" t="e">
        <f>G104</f>
        <v>#REF!</v>
      </c>
      <c r="H103" s="454"/>
      <c r="I103" s="455"/>
      <c r="J103" s="1468"/>
      <c r="K103" s="1468"/>
      <c r="L103" s="1468"/>
      <c r="M103" s="1469"/>
      <c r="N103" s="1469"/>
      <c r="O103" s="1469"/>
      <c r="P103" s="1468"/>
      <c r="Q103" s="1469"/>
      <c r="R103" s="1468"/>
      <c r="S103" s="1468"/>
    </row>
    <row r="104" spans="1:19" ht="18">
      <c r="A104" s="463">
        <v>4</v>
      </c>
      <c r="B104" s="464">
        <v>3</v>
      </c>
      <c r="C104" s="464" t="s">
        <v>595</v>
      </c>
      <c r="D104" s="457">
        <v>5</v>
      </c>
      <c r="E104" s="457">
        <v>2</v>
      </c>
      <c r="F104" s="456" t="s">
        <v>8</v>
      </c>
      <c r="G104" s="500" t="e">
        <f>'Pnj APBDES'!#REF!</f>
        <v>#REF!</v>
      </c>
      <c r="H104" s="458" t="s">
        <v>22</v>
      </c>
      <c r="I104" s="445"/>
      <c r="J104" s="218"/>
      <c r="K104" s="860"/>
      <c r="L104" s="861"/>
      <c r="M104" s="860"/>
      <c r="N104" s="860"/>
      <c r="O104" s="250"/>
      <c r="P104" s="218"/>
      <c r="Q104" s="218"/>
      <c r="R104" s="218"/>
      <c r="S104" s="218"/>
    </row>
    <row r="105" spans="1:19" ht="15.75" customHeight="1">
      <c r="A105" s="452">
        <v>4</v>
      </c>
      <c r="B105" s="459">
        <v>4</v>
      </c>
      <c r="C105" s="462"/>
      <c r="D105" s="457"/>
      <c r="E105" s="457"/>
      <c r="F105" s="501" t="s">
        <v>688</v>
      </c>
      <c r="G105" s="524">
        <f>G106</f>
        <v>17600000</v>
      </c>
      <c r="H105" s="458"/>
      <c r="I105" s="445"/>
      <c r="J105" s="218"/>
      <c r="K105" s="921"/>
      <c r="L105" s="861"/>
      <c r="M105" s="922"/>
      <c r="N105" s="922"/>
      <c r="O105" s="903"/>
      <c r="P105" s="903"/>
      <c r="Q105" s="946"/>
      <c r="R105" s="904"/>
      <c r="S105" s="218"/>
    </row>
    <row r="106" spans="1:19" ht="18">
      <c r="A106" s="457">
        <v>4</v>
      </c>
      <c r="B106" s="462">
        <v>4</v>
      </c>
      <c r="C106" s="462" t="s">
        <v>593</v>
      </c>
      <c r="D106" s="457"/>
      <c r="E106" s="457"/>
      <c r="F106" s="499" t="s">
        <v>450</v>
      </c>
      <c r="G106" s="525">
        <f>G107</f>
        <v>17600000</v>
      </c>
      <c r="H106" s="458"/>
      <c r="I106" s="445"/>
      <c r="J106" s="218"/>
      <c r="K106" s="860"/>
      <c r="L106" s="860"/>
      <c r="M106" s="861"/>
      <c r="N106" s="861"/>
      <c r="O106" s="250"/>
      <c r="P106" s="250"/>
      <c r="Q106" s="905"/>
      <c r="R106" s="905"/>
      <c r="S106" s="218"/>
    </row>
    <row r="107" spans="1:19" ht="18">
      <c r="A107" s="463">
        <v>4</v>
      </c>
      <c r="B107" s="462">
        <v>4</v>
      </c>
      <c r="C107" s="462" t="s">
        <v>593</v>
      </c>
      <c r="D107" s="457">
        <v>5</v>
      </c>
      <c r="E107" s="457">
        <v>2</v>
      </c>
      <c r="F107" s="456" t="s">
        <v>8</v>
      </c>
      <c r="G107" s="500">
        <f>'Pnj APBDES'!K288</f>
        <v>17600000</v>
      </c>
      <c r="H107" s="458" t="s">
        <v>894</v>
      </c>
      <c r="I107" s="455"/>
      <c r="J107" s="218"/>
      <c r="K107" s="921"/>
      <c r="L107" s="921"/>
      <c r="M107" s="861"/>
      <c r="N107" s="861"/>
      <c r="O107" s="250"/>
      <c r="P107" s="250"/>
      <c r="Q107" s="905"/>
      <c r="R107" s="905"/>
      <c r="S107" s="218"/>
    </row>
    <row r="108" spans="1:19" ht="31.5">
      <c r="A108" s="452">
        <v>5</v>
      </c>
      <c r="B108" s="459"/>
      <c r="C108" s="459"/>
      <c r="D108" s="452"/>
      <c r="E108" s="452"/>
      <c r="F108" s="453" t="s">
        <v>694</v>
      </c>
      <c r="G108" s="524">
        <f>G109+G112+G115</f>
        <v>0</v>
      </c>
      <c r="H108" s="454"/>
      <c r="I108" s="455"/>
      <c r="J108" s="218"/>
      <c r="K108" s="860"/>
      <c r="L108" s="921"/>
      <c r="M108" s="861"/>
      <c r="N108" s="861"/>
      <c r="O108" s="250"/>
      <c r="P108" s="250"/>
      <c r="Q108" s="905"/>
      <c r="R108" s="905"/>
      <c r="S108" s="218"/>
    </row>
    <row r="109" spans="1:19" ht="15.75" customHeight="1">
      <c r="A109" s="452">
        <v>5</v>
      </c>
      <c r="B109" s="459">
        <v>1</v>
      </c>
      <c r="C109" s="452"/>
      <c r="D109" s="452"/>
      <c r="E109" s="452"/>
      <c r="F109" s="453" t="s">
        <v>435</v>
      </c>
      <c r="G109" s="524">
        <f>G110</f>
        <v>0</v>
      </c>
      <c r="H109" s="454"/>
      <c r="I109" s="445"/>
      <c r="J109" s="218"/>
      <c r="K109" s="860"/>
      <c r="L109" s="860"/>
      <c r="M109" s="861"/>
      <c r="N109" s="861"/>
      <c r="O109" s="250"/>
      <c r="P109" s="250"/>
      <c r="Q109" s="905"/>
      <c r="R109" s="905"/>
      <c r="S109" s="218"/>
    </row>
    <row r="110" spans="1:19" ht="18">
      <c r="A110" s="452">
        <v>5</v>
      </c>
      <c r="B110" s="459">
        <v>1</v>
      </c>
      <c r="C110" s="459" t="s">
        <v>695</v>
      </c>
      <c r="D110" s="452"/>
      <c r="E110" s="452"/>
      <c r="F110" s="453" t="s">
        <v>435</v>
      </c>
      <c r="G110" s="524">
        <f>G111</f>
        <v>0</v>
      </c>
      <c r="H110" s="454"/>
      <c r="I110" s="445"/>
      <c r="J110" s="218"/>
      <c r="K110" s="860"/>
      <c r="L110" s="860"/>
      <c r="M110" s="861"/>
      <c r="N110" s="861"/>
      <c r="O110" s="250"/>
      <c r="P110" s="250"/>
      <c r="Q110" s="905"/>
      <c r="R110" s="905"/>
      <c r="S110" s="218"/>
    </row>
    <row r="111" spans="1:19" ht="18">
      <c r="A111" s="457">
        <v>5</v>
      </c>
      <c r="B111" s="462">
        <v>1</v>
      </c>
      <c r="C111" s="462" t="s">
        <v>695</v>
      </c>
      <c r="D111" s="457">
        <v>5</v>
      </c>
      <c r="E111" s="457">
        <v>4</v>
      </c>
      <c r="F111" s="456" t="s">
        <v>696</v>
      </c>
      <c r="G111" s="525"/>
      <c r="H111" s="458"/>
      <c r="I111" s="445"/>
      <c r="J111" s="218"/>
      <c r="K111" s="860"/>
      <c r="L111" s="923"/>
      <c r="M111" s="924"/>
      <c r="N111" s="924"/>
      <c r="O111" s="906"/>
      <c r="P111" s="906"/>
      <c r="Q111" s="907"/>
      <c r="R111" s="907"/>
      <c r="S111" s="218"/>
    </row>
    <row r="112" spans="1:19" ht="18">
      <c r="A112" s="452">
        <v>5</v>
      </c>
      <c r="B112" s="459">
        <v>2</v>
      </c>
      <c r="C112" s="452"/>
      <c r="D112" s="452"/>
      <c r="E112" s="452"/>
      <c r="F112" s="453" t="s">
        <v>434</v>
      </c>
      <c r="G112" s="524">
        <f>G113</f>
        <v>0</v>
      </c>
      <c r="H112" s="454"/>
      <c r="I112" s="445"/>
      <c r="J112" s="218"/>
      <c r="K112" s="921"/>
      <c r="L112" s="861"/>
      <c r="M112" s="861"/>
      <c r="N112" s="861"/>
      <c r="O112" s="250"/>
      <c r="P112" s="250"/>
      <c r="Q112" s="905"/>
      <c r="R112" s="905"/>
      <c r="S112" s="218"/>
    </row>
    <row r="113" spans="1:19" ht="18">
      <c r="A113" s="452">
        <v>5</v>
      </c>
      <c r="B113" s="459">
        <v>2</v>
      </c>
      <c r="C113" s="459" t="s">
        <v>695</v>
      </c>
      <c r="D113" s="452"/>
      <c r="E113" s="452"/>
      <c r="F113" s="453" t="s">
        <v>435</v>
      </c>
      <c r="G113" s="524">
        <f>G114</f>
        <v>0</v>
      </c>
      <c r="H113" s="454"/>
      <c r="I113" s="445"/>
      <c r="J113" s="218"/>
      <c r="K113" s="860"/>
      <c r="L113" s="860"/>
      <c r="M113" s="860"/>
      <c r="N113" s="860"/>
      <c r="O113" s="250"/>
      <c r="P113" s="218"/>
      <c r="Q113" s="905"/>
      <c r="R113" s="218"/>
      <c r="S113" s="218"/>
    </row>
    <row r="114" spans="1:19" ht="18">
      <c r="A114" s="457">
        <v>5</v>
      </c>
      <c r="B114" s="462">
        <v>2</v>
      </c>
      <c r="C114" s="462" t="s">
        <v>695</v>
      </c>
      <c r="D114" s="457">
        <v>5</v>
      </c>
      <c r="E114" s="457">
        <v>4</v>
      </c>
      <c r="F114" s="456" t="s">
        <v>696</v>
      </c>
      <c r="G114" s="525"/>
      <c r="H114" s="458"/>
      <c r="I114" s="445"/>
      <c r="J114" s="218"/>
      <c r="K114" s="921"/>
      <c r="L114" s="860"/>
      <c r="M114" s="860"/>
      <c r="N114" s="860"/>
      <c r="O114" s="250"/>
      <c r="P114" s="218"/>
      <c r="Q114" s="905"/>
      <c r="R114" s="218"/>
      <c r="S114" s="218"/>
    </row>
    <row r="115" spans="1:19" ht="18">
      <c r="A115" s="452">
        <v>5</v>
      </c>
      <c r="B115" s="459">
        <v>3</v>
      </c>
      <c r="C115" s="452"/>
      <c r="D115" s="452"/>
      <c r="E115" s="452"/>
      <c r="F115" s="453" t="s">
        <v>697</v>
      </c>
      <c r="G115" s="524">
        <f>G116</f>
        <v>0</v>
      </c>
      <c r="H115" s="454"/>
      <c r="I115" s="445"/>
      <c r="J115" s="218"/>
      <c r="K115" s="860"/>
      <c r="L115" s="860"/>
      <c r="M115" s="860"/>
      <c r="N115" s="860"/>
      <c r="O115" s="250"/>
      <c r="P115" s="218"/>
      <c r="Q115" s="905"/>
      <c r="R115" s="218"/>
      <c r="S115" s="218"/>
    </row>
    <row r="116" spans="1:19" ht="18">
      <c r="A116" s="452">
        <v>5</v>
      </c>
      <c r="B116" s="459">
        <v>3</v>
      </c>
      <c r="C116" s="459" t="s">
        <v>695</v>
      </c>
      <c r="D116" s="452"/>
      <c r="E116" s="452"/>
      <c r="F116" s="453" t="s">
        <v>435</v>
      </c>
      <c r="G116" s="524">
        <f>G117</f>
        <v>0</v>
      </c>
      <c r="H116" s="454"/>
      <c r="I116" s="445"/>
      <c r="J116" s="218"/>
      <c r="K116" s="860"/>
      <c r="L116" s="860"/>
      <c r="M116" s="860"/>
      <c r="N116" s="860"/>
      <c r="O116" s="250"/>
      <c r="P116" s="218"/>
      <c r="Q116" s="905"/>
      <c r="R116" s="218"/>
      <c r="S116" s="218"/>
    </row>
    <row r="117" spans="1:19" ht="15.75" customHeight="1">
      <c r="A117" s="457">
        <v>5</v>
      </c>
      <c r="B117" s="462">
        <v>3</v>
      </c>
      <c r="C117" s="462" t="s">
        <v>695</v>
      </c>
      <c r="D117" s="457">
        <v>5</v>
      </c>
      <c r="E117" s="457">
        <v>4</v>
      </c>
      <c r="F117" s="456" t="s">
        <v>696</v>
      </c>
      <c r="G117" s="525"/>
      <c r="H117" s="458"/>
      <c r="I117" s="445"/>
      <c r="J117" s="218"/>
      <c r="K117" s="860"/>
      <c r="L117" s="860"/>
      <c r="M117" s="860"/>
      <c r="N117" s="860"/>
      <c r="O117" s="250"/>
      <c r="P117" s="218"/>
      <c r="Q117" s="905"/>
      <c r="R117" s="218"/>
      <c r="S117" s="218"/>
    </row>
    <row r="118" spans="1:19" ht="18">
      <c r="A118" s="457"/>
      <c r="B118" s="457"/>
      <c r="C118" s="457"/>
      <c r="D118" s="457"/>
      <c r="E118" s="457"/>
      <c r="F118" s="456" t="s">
        <v>10</v>
      </c>
      <c r="G118" s="525" t="e">
        <f>G20</f>
        <v>#REF!</v>
      </c>
      <c r="H118" s="458"/>
      <c r="I118" s="445"/>
      <c r="J118" s="218"/>
      <c r="K118" s="860"/>
      <c r="L118" s="860"/>
      <c r="M118" s="860"/>
      <c r="N118" s="860"/>
      <c r="O118" s="218"/>
      <c r="P118" s="218"/>
      <c r="Q118" s="218"/>
      <c r="R118" s="218"/>
      <c r="S118" s="218"/>
    </row>
    <row r="119" spans="1:19" ht="15.75" customHeight="1">
      <c r="A119" s="457"/>
      <c r="B119" s="457"/>
      <c r="C119" s="457"/>
      <c r="D119" s="457"/>
      <c r="E119" s="457"/>
      <c r="F119" s="456" t="s">
        <v>698</v>
      </c>
      <c r="G119" s="525" t="e">
        <f>G19-G118</f>
        <v>#REF!</v>
      </c>
      <c r="H119" s="458"/>
      <c r="I119" s="445"/>
      <c r="K119" s="925"/>
      <c r="L119" s="926"/>
      <c r="M119" s="926"/>
      <c r="N119" s="926"/>
    </row>
    <row r="120" spans="1:19" ht="18">
      <c r="A120" s="457"/>
      <c r="B120" s="457"/>
      <c r="C120" s="457"/>
      <c r="D120" s="457"/>
      <c r="E120" s="457"/>
      <c r="F120" s="456"/>
      <c r="G120" s="525"/>
      <c r="H120" s="458"/>
      <c r="I120" s="445"/>
      <c r="K120" s="926"/>
      <c r="L120" s="926"/>
      <c r="M120" s="926"/>
      <c r="N120" s="926"/>
    </row>
    <row r="121" spans="1:19" ht="18">
      <c r="A121" s="457"/>
      <c r="B121" s="457"/>
      <c r="C121" s="457"/>
      <c r="D121" s="457">
        <v>6</v>
      </c>
      <c r="E121" s="457"/>
      <c r="F121" s="456" t="s">
        <v>11</v>
      </c>
      <c r="G121" s="525">
        <f>G122-G123</f>
        <v>5000000</v>
      </c>
      <c r="H121" s="458"/>
      <c r="I121" s="445"/>
      <c r="K121" s="925"/>
      <c r="L121" s="926"/>
      <c r="M121" s="926"/>
      <c r="N121" s="926"/>
    </row>
    <row r="122" spans="1:19" ht="18">
      <c r="A122" s="457"/>
      <c r="B122" s="457"/>
      <c r="C122" s="457"/>
      <c r="D122" s="457">
        <v>6</v>
      </c>
      <c r="E122" s="457">
        <v>1</v>
      </c>
      <c r="F122" s="456" t="s">
        <v>16</v>
      </c>
      <c r="G122" s="525">
        <v>45000000</v>
      </c>
      <c r="H122" s="458"/>
      <c r="I122" s="445"/>
      <c r="K122" s="926"/>
      <c r="L122" s="926"/>
      <c r="M122" s="926"/>
      <c r="N122" s="926"/>
    </row>
    <row r="123" spans="1:19" ht="15.75" customHeight="1">
      <c r="A123" s="457"/>
      <c r="B123" s="457"/>
      <c r="C123" s="457"/>
      <c r="D123" s="457">
        <v>6</v>
      </c>
      <c r="E123" s="457">
        <v>2</v>
      </c>
      <c r="F123" s="456" t="s">
        <v>18</v>
      </c>
      <c r="G123" s="525">
        <v>40000000</v>
      </c>
      <c r="H123" s="458"/>
      <c r="I123" s="445"/>
      <c r="K123" s="926"/>
      <c r="L123" s="926"/>
      <c r="M123" s="926"/>
      <c r="N123" s="926"/>
    </row>
    <row r="124" spans="1:19" ht="18">
      <c r="A124" s="504"/>
      <c r="B124" s="505"/>
      <c r="C124" s="505"/>
      <c r="D124" s="505"/>
      <c r="E124" s="505"/>
      <c r="F124" s="506"/>
      <c r="G124" s="533"/>
      <c r="H124" s="507"/>
      <c r="I124" s="445"/>
      <c r="K124" s="926"/>
      <c r="L124" s="926"/>
      <c r="M124" s="926"/>
      <c r="N124" s="926"/>
    </row>
    <row r="125" spans="1:19" ht="18">
      <c r="A125" s="457"/>
      <c r="B125" s="1470"/>
      <c r="C125" s="1470"/>
      <c r="D125" s="1470"/>
      <c r="E125" s="1470"/>
      <c r="F125" s="1471" t="s">
        <v>699</v>
      </c>
      <c r="G125" s="1472" t="e">
        <f>G119+G121</f>
        <v>#REF!</v>
      </c>
      <c r="H125" s="1473"/>
      <c r="I125" s="445"/>
      <c r="K125" s="926"/>
      <c r="L125" s="926"/>
      <c r="M125" s="926"/>
      <c r="N125" s="926"/>
    </row>
    <row r="126" spans="1:19" ht="18">
      <c r="A126" s="549"/>
      <c r="B126" s="549"/>
      <c r="C126" s="549"/>
      <c r="D126" s="549"/>
      <c r="E126" s="549"/>
      <c r="F126" s="510"/>
      <c r="G126" s="511"/>
      <c r="H126" s="510"/>
      <c r="I126" s="445"/>
      <c r="K126" s="925"/>
      <c r="L126" s="926"/>
      <c r="M126" s="926"/>
      <c r="N126" s="926"/>
    </row>
    <row r="127" spans="1:19" ht="18">
      <c r="A127" s="512"/>
      <c r="B127" s="512"/>
      <c r="C127" s="512"/>
      <c r="D127" s="512"/>
      <c r="E127" s="512"/>
      <c r="F127" s="2787" t="s">
        <v>1339</v>
      </c>
      <c r="G127" s="2787"/>
      <c r="H127" s="2787"/>
      <c r="I127" s="445"/>
      <c r="K127" s="926"/>
      <c r="L127" s="926"/>
      <c r="M127" s="926"/>
      <c r="N127" s="926"/>
    </row>
    <row r="128" spans="1:19" ht="18">
      <c r="A128" s="512"/>
      <c r="B128" s="512"/>
      <c r="C128" s="512"/>
      <c r="D128" s="512"/>
      <c r="E128" s="512"/>
      <c r="F128" s="2788" t="s">
        <v>1341</v>
      </c>
      <c r="G128" s="2788"/>
      <c r="H128" s="2788"/>
      <c r="I128" s="445"/>
      <c r="K128" s="925"/>
      <c r="L128" s="926"/>
      <c r="M128" s="926"/>
      <c r="N128" s="926"/>
    </row>
    <row r="129" spans="1:14" ht="18">
      <c r="A129" s="512"/>
      <c r="B129" s="512"/>
      <c r="C129" s="512"/>
      <c r="D129" s="512"/>
      <c r="E129" s="512"/>
      <c r="F129" s="512"/>
      <c r="G129" s="548"/>
      <c r="H129" s="549"/>
      <c r="I129" s="445"/>
      <c r="K129" s="926"/>
      <c r="L129" s="926"/>
      <c r="M129" s="926"/>
      <c r="N129" s="926"/>
    </row>
    <row r="130" spans="1:14" ht="18">
      <c r="A130" s="512"/>
      <c r="B130" s="512"/>
      <c r="C130" s="512"/>
      <c r="D130" s="512"/>
      <c r="E130" s="512"/>
      <c r="F130" s="512"/>
      <c r="G130" s="1447"/>
      <c r="H130" s="1448"/>
      <c r="I130" s="445"/>
      <c r="K130" s="926"/>
      <c r="L130" s="926"/>
      <c r="M130" s="926"/>
      <c r="N130" s="926"/>
    </row>
    <row r="131" spans="1:14" ht="15.75" customHeight="1">
      <c r="A131" s="512"/>
      <c r="B131" s="512"/>
      <c r="C131" s="512"/>
      <c r="D131" s="512"/>
      <c r="E131" s="512"/>
      <c r="F131" s="512"/>
      <c r="G131" s="548"/>
      <c r="H131" s="549"/>
      <c r="I131" s="445"/>
      <c r="K131" s="926"/>
      <c r="L131" s="926"/>
      <c r="M131" s="926"/>
      <c r="N131" s="926"/>
    </row>
    <row r="132" spans="1:14" ht="18">
      <c r="A132" s="512"/>
      <c r="B132" s="512"/>
      <c r="C132" s="512"/>
      <c r="D132" s="512"/>
      <c r="E132" s="512"/>
      <c r="F132" s="512"/>
      <c r="G132" s="2789" t="s">
        <v>876</v>
      </c>
      <c r="H132" s="2790"/>
      <c r="I132" s="445"/>
    </row>
    <row r="133" spans="1:14" ht="18">
      <c r="A133" s="512"/>
      <c r="B133" s="512"/>
      <c r="C133" s="512"/>
      <c r="D133" s="512"/>
      <c r="E133" s="512"/>
      <c r="F133" s="512"/>
      <c r="I133" s="455"/>
    </row>
    <row r="134" spans="1:14" ht="15.75" customHeight="1">
      <c r="A134" s="513"/>
      <c r="B134" s="513"/>
      <c r="C134" s="513"/>
      <c r="D134" s="513"/>
      <c r="E134" s="513"/>
      <c r="F134" s="513"/>
      <c r="G134" s="514"/>
      <c r="H134" s="513"/>
      <c r="I134" s="445"/>
      <c r="K134" s="925"/>
      <c r="L134" s="2"/>
    </row>
    <row r="135" spans="1:14" ht="18">
      <c r="I135" s="445"/>
    </row>
    <row r="136" spans="1:14" ht="29.25" customHeight="1">
      <c r="I136" s="445"/>
      <c r="K136" s="248"/>
    </row>
    <row r="137" spans="1:14" ht="18">
      <c r="I137" s="445"/>
    </row>
    <row r="138" spans="1:14" ht="15.75" customHeight="1">
      <c r="I138" s="445"/>
    </row>
    <row r="139" spans="1:14" ht="18">
      <c r="I139" s="445"/>
    </row>
    <row r="140" spans="1:14" ht="18">
      <c r="I140" s="445"/>
    </row>
    <row r="141" spans="1:14" ht="15.75" customHeight="1">
      <c r="I141" s="445"/>
    </row>
    <row r="142" spans="1:14" ht="18">
      <c r="I142" s="445"/>
      <c r="K142" s="925"/>
    </row>
    <row r="143" spans="1:14" ht="18">
      <c r="I143" s="445"/>
    </row>
    <row r="144" spans="1:14" ht="31.5" customHeight="1">
      <c r="I144" s="445"/>
      <c r="K144" s="248"/>
    </row>
    <row r="145" spans="9:16" ht="18">
      <c r="I145" s="445"/>
    </row>
    <row r="146" spans="9:16" ht="15.75" customHeight="1">
      <c r="I146" s="445"/>
    </row>
    <row r="147" spans="9:16" ht="18">
      <c r="I147" s="445"/>
    </row>
    <row r="148" spans="9:16" ht="18">
      <c r="I148" s="445"/>
    </row>
    <row r="149" spans="9:16" ht="15.75" customHeight="1">
      <c r="I149" s="445"/>
    </row>
    <row r="150" spans="9:16" ht="18">
      <c r="I150" s="445"/>
    </row>
    <row r="151" spans="9:16" ht="18">
      <c r="I151" s="445"/>
    </row>
    <row r="152" spans="9:16" ht="15.75" customHeight="1">
      <c r="I152" s="445"/>
      <c r="M152" s="218"/>
      <c r="N152" s="218"/>
      <c r="O152" s="218"/>
      <c r="P152" s="218"/>
    </row>
    <row r="153" spans="9:16" ht="18">
      <c r="I153" s="445"/>
      <c r="M153" s="250"/>
      <c r="N153" s="250"/>
      <c r="O153" s="908"/>
      <c r="P153" s="250"/>
    </row>
    <row r="154" spans="9:16" ht="18">
      <c r="I154" s="445"/>
      <c r="M154" s="218"/>
      <c r="N154" s="218"/>
      <c r="O154" s="218"/>
      <c r="P154" s="218"/>
    </row>
    <row r="155" spans="9:16" ht="18">
      <c r="I155" s="455"/>
      <c r="M155" s="218"/>
      <c r="N155" s="218"/>
      <c r="O155" s="218"/>
      <c r="P155" s="218"/>
    </row>
    <row r="156" spans="9:16" ht="15.75" customHeight="1">
      <c r="I156" s="445"/>
      <c r="M156" s="860"/>
      <c r="N156" s="860"/>
      <c r="O156" s="218"/>
      <c r="P156" s="218"/>
    </row>
    <row r="157" spans="9:16" ht="18">
      <c r="I157" s="445"/>
      <c r="M157" s="250"/>
      <c r="N157" s="250"/>
      <c r="O157" s="218"/>
      <c r="P157" s="218"/>
    </row>
    <row r="158" spans="9:16" ht="18">
      <c r="I158" s="445"/>
      <c r="M158" s="218"/>
      <c r="N158" s="218"/>
      <c r="O158" s="218"/>
      <c r="P158" s="218"/>
    </row>
    <row r="159" spans="9:16" ht="18">
      <c r="I159" s="445"/>
      <c r="M159" s="250"/>
      <c r="N159" s="250"/>
      <c r="O159" s="218"/>
      <c r="P159" s="218"/>
    </row>
    <row r="160" spans="9:16" ht="15.75" customHeight="1">
      <c r="I160" s="445"/>
      <c r="M160" s="250"/>
      <c r="N160" s="250"/>
      <c r="O160" s="218"/>
      <c r="P160" s="218"/>
    </row>
    <row r="161" spans="9:16" ht="18">
      <c r="I161" s="445"/>
      <c r="M161" s="250"/>
      <c r="N161" s="250"/>
      <c r="O161" s="218"/>
      <c r="P161" s="218"/>
    </row>
    <row r="162" spans="9:16" ht="18">
      <c r="I162" s="445"/>
      <c r="M162" s="250"/>
      <c r="N162" s="250"/>
      <c r="O162" s="218"/>
      <c r="P162" s="218"/>
    </row>
    <row r="163" spans="9:16" ht="18">
      <c r="I163" s="445"/>
      <c r="M163" s="218"/>
      <c r="N163" s="218"/>
      <c r="O163" s="218"/>
      <c r="P163" s="218"/>
    </row>
    <row r="164" spans="9:16" ht="18">
      <c r="I164" s="445"/>
      <c r="M164" s="218"/>
      <c r="N164" s="218"/>
      <c r="O164" s="218"/>
      <c r="P164" s="218"/>
    </row>
    <row r="165" spans="9:16" ht="15.75" customHeight="1">
      <c r="I165" s="445"/>
      <c r="M165" s="250"/>
      <c r="N165" s="250"/>
      <c r="O165" s="218"/>
      <c r="P165" s="218"/>
    </row>
    <row r="166" spans="9:16" ht="18">
      <c r="I166" s="445"/>
      <c r="M166" s="250"/>
      <c r="N166" s="250"/>
      <c r="O166" s="218"/>
      <c r="P166" s="218"/>
    </row>
    <row r="167" spans="9:16" ht="18">
      <c r="I167" s="445"/>
      <c r="K167" s="926"/>
    </row>
    <row r="168" spans="9:16" ht="18">
      <c r="I168" s="445"/>
    </row>
    <row r="169" spans="9:16" ht="15.75" customHeight="1">
      <c r="I169" s="445"/>
    </row>
    <row r="170" spans="9:16" ht="18">
      <c r="I170" s="445"/>
    </row>
    <row r="171" spans="9:16" ht="18">
      <c r="I171" s="445"/>
    </row>
    <row r="172" spans="9:16" ht="15.75" customHeight="1">
      <c r="I172" s="445"/>
    </row>
    <row r="173" spans="9:16" ht="18">
      <c r="I173" s="445"/>
    </row>
    <row r="174" spans="9:16" ht="15.75" customHeight="1">
      <c r="I174" s="445"/>
    </row>
    <row r="175" spans="9:16" ht="18">
      <c r="I175" s="445"/>
    </row>
    <row r="176" spans="9:16" ht="18">
      <c r="I176" s="445"/>
    </row>
    <row r="177" spans="9:9" ht="18">
      <c r="I177" s="445"/>
    </row>
    <row r="178" spans="9:9" ht="18">
      <c r="I178" s="445"/>
    </row>
    <row r="179" spans="9:9" ht="18">
      <c r="I179" s="445"/>
    </row>
    <row r="180" spans="9:9" ht="18">
      <c r="I180" s="445"/>
    </row>
    <row r="181" spans="9:9" ht="18">
      <c r="I181" s="445"/>
    </row>
    <row r="182" spans="9:9" ht="18">
      <c r="I182" s="445"/>
    </row>
    <row r="183" spans="9:9" ht="15.75" customHeight="1">
      <c r="I183" s="445"/>
    </row>
    <row r="184" spans="9:9" ht="18">
      <c r="I184" s="445"/>
    </row>
    <row r="185" spans="9:9" ht="18">
      <c r="I185" s="445"/>
    </row>
    <row r="186" spans="9:9" ht="18">
      <c r="I186" s="445"/>
    </row>
    <row r="187" spans="9:9" ht="18">
      <c r="I187" s="445"/>
    </row>
    <row r="188" spans="9:9" ht="15.75" customHeight="1">
      <c r="I188" s="445"/>
    </row>
    <row r="189" spans="9:9" ht="18">
      <c r="I189" s="445"/>
    </row>
    <row r="190" spans="9:9" ht="18">
      <c r="I190" s="445"/>
    </row>
    <row r="191" spans="9:9" ht="18">
      <c r="I191" s="445"/>
    </row>
    <row r="192" spans="9:9" ht="18">
      <c r="I192" s="445"/>
    </row>
    <row r="193" spans="9:9" ht="18">
      <c r="I193" s="445"/>
    </row>
    <row r="194" spans="9:9" ht="18">
      <c r="I194" s="445"/>
    </row>
    <row r="195" spans="9:9" ht="15.75" customHeight="1">
      <c r="I195" s="445"/>
    </row>
    <row r="196" spans="9:9" ht="18">
      <c r="I196" s="455"/>
    </row>
    <row r="197" spans="9:9" ht="18">
      <c r="I197" s="445"/>
    </row>
    <row r="198" spans="9:9" ht="18">
      <c r="I198" s="445"/>
    </row>
    <row r="199" spans="9:9" ht="15.75" customHeight="1">
      <c r="I199" s="445"/>
    </row>
    <row r="200" spans="9:9" ht="18">
      <c r="I200" s="445"/>
    </row>
    <row r="201" spans="9:9" ht="18">
      <c r="I201" s="445"/>
    </row>
    <row r="202" spans="9:9" ht="18">
      <c r="I202" s="445"/>
    </row>
    <row r="203" spans="9:9" ht="18">
      <c r="I203" s="445"/>
    </row>
    <row r="204" spans="9:9" ht="18">
      <c r="I204" s="445"/>
    </row>
    <row r="205" spans="9:9" ht="18">
      <c r="I205" s="445"/>
    </row>
    <row r="206" spans="9:9" ht="15.75" customHeight="1">
      <c r="I206" s="445"/>
    </row>
    <row r="207" spans="9:9" ht="18">
      <c r="I207" s="445"/>
    </row>
    <row r="208" spans="9:9" ht="15.75" customHeight="1">
      <c r="I208" s="445"/>
    </row>
    <row r="209" spans="9:9" ht="15.75" customHeight="1">
      <c r="I209" s="445"/>
    </row>
    <row r="210" spans="9:9" ht="15.75" customHeight="1">
      <c r="I210" s="445"/>
    </row>
    <row r="211" spans="9:9" ht="15.75" customHeight="1">
      <c r="I211" s="445"/>
    </row>
    <row r="212" spans="9:9" ht="15.75" customHeight="1">
      <c r="I212" s="445"/>
    </row>
    <row r="213" spans="9:9" ht="15.75" customHeight="1">
      <c r="I213" s="445"/>
    </row>
    <row r="214" spans="9:9" ht="18">
      <c r="I214" s="445"/>
    </row>
    <row r="215" spans="9:9" ht="30" customHeight="1">
      <c r="I215" s="445"/>
    </row>
    <row r="216" spans="9:9" ht="18">
      <c r="I216" s="445"/>
    </row>
    <row r="217" spans="9:9" ht="18">
      <c r="I217" s="445"/>
    </row>
    <row r="218" spans="9:9" ht="18">
      <c r="I218" s="445"/>
    </row>
    <row r="219" spans="9:9" ht="18">
      <c r="I219" s="445"/>
    </row>
    <row r="220" spans="9:9" ht="18">
      <c r="I220" s="445"/>
    </row>
    <row r="221" spans="9:9" ht="18">
      <c r="I221" s="445"/>
    </row>
    <row r="222" spans="9:9" ht="18">
      <c r="I222" s="445"/>
    </row>
    <row r="223" spans="9:9" ht="18">
      <c r="I223" s="445"/>
    </row>
    <row r="224" spans="9:9" ht="31.5" customHeight="1">
      <c r="I224" s="445"/>
    </row>
    <row r="225" spans="1:9" ht="18">
      <c r="I225" s="445"/>
    </row>
    <row r="226" spans="1:9" ht="18">
      <c r="I226" s="445"/>
    </row>
    <row r="227" spans="1:9" ht="18">
      <c r="I227" s="445"/>
    </row>
    <row r="228" spans="1:9" ht="18">
      <c r="I228" s="445"/>
    </row>
    <row r="229" spans="1:9" ht="18">
      <c r="I229" s="445"/>
    </row>
    <row r="230" spans="1:9" ht="18">
      <c r="I230" s="445"/>
    </row>
    <row r="231" spans="1:9" ht="30.75" customHeight="1">
      <c r="I231" s="445"/>
    </row>
    <row r="232" spans="1:9" ht="18">
      <c r="I232" s="445"/>
    </row>
    <row r="233" spans="1:9" ht="31.5" customHeight="1">
      <c r="I233" s="494"/>
    </row>
    <row r="234" spans="1:9" ht="18">
      <c r="I234" s="494"/>
    </row>
    <row r="235" spans="1:9" ht="18">
      <c r="I235" s="445"/>
    </row>
    <row r="236" spans="1:9" ht="15.75" customHeight="1">
      <c r="I236" s="494"/>
    </row>
    <row r="237" spans="1:9" ht="18">
      <c r="I237" s="445"/>
    </row>
    <row r="238" spans="1:9" ht="18">
      <c r="I238" s="494"/>
    </row>
    <row r="239" spans="1:9" s="144" customFormat="1" ht="18">
      <c r="A239" s="1"/>
      <c r="B239" s="1"/>
      <c r="C239" s="1"/>
      <c r="D239" s="1"/>
      <c r="E239" s="1"/>
      <c r="F239" s="1"/>
      <c r="G239" s="1"/>
      <c r="H239" s="1"/>
      <c r="I239" s="445"/>
    </row>
    <row r="240" spans="1:9" ht="18">
      <c r="I240" s="494"/>
    </row>
    <row r="241" spans="1:20" ht="18">
      <c r="I241" s="445"/>
    </row>
    <row r="242" spans="1:20" s="144" customFormat="1" ht="18">
      <c r="A242" s="1"/>
      <c r="B242" s="1"/>
      <c r="C242" s="1"/>
      <c r="D242" s="1"/>
      <c r="E242" s="1"/>
      <c r="F242" s="1"/>
      <c r="G242" s="1"/>
      <c r="H242" s="1"/>
      <c r="I242" s="494"/>
      <c r="M242" s="1"/>
      <c r="N242" s="1"/>
      <c r="O242" s="1"/>
      <c r="P242" s="1"/>
      <c r="Q242" s="1"/>
      <c r="R242" s="1"/>
      <c r="S242" s="1"/>
      <c r="T242" s="1"/>
    </row>
    <row r="243" spans="1:20" ht="18">
      <c r="I243" s="494"/>
      <c r="Q243" s="144"/>
      <c r="R243" s="144"/>
      <c r="S243" s="144"/>
      <c r="T243" s="144"/>
    </row>
    <row r="244" spans="1:20" ht="18">
      <c r="I244" s="445"/>
      <c r="M244" s="144"/>
      <c r="N244" s="144"/>
      <c r="O244" s="144"/>
      <c r="P244" s="144"/>
    </row>
    <row r="245" spans="1:20" ht="18">
      <c r="I245" s="494"/>
    </row>
    <row r="246" spans="1:20" ht="18">
      <c r="I246" s="445"/>
    </row>
    <row r="247" spans="1:20" ht="18">
      <c r="I247" s="494"/>
    </row>
    <row r="248" spans="1:20" ht="18">
      <c r="I248" s="445"/>
    </row>
    <row r="249" spans="1:20" ht="18">
      <c r="I249" s="445"/>
    </row>
    <row r="250" spans="1:20" ht="18">
      <c r="I250" s="494"/>
      <c r="M250" s="1" t="s">
        <v>21</v>
      </c>
    </row>
    <row r="251" spans="1:20" ht="15.75" customHeight="1">
      <c r="I251" s="445"/>
      <c r="M251" s="1" t="s">
        <v>21</v>
      </c>
    </row>
    <row r="252" spans="1:20" ht="18">
      <c r="I252" s="445"/>
    </row>
    <row r="253" spans="1:20" ht="18">
      <c r="I253" s="445"/>
    </row>
    <row r="254" spans="1:20" ht="15.75" customHeight="1">
      <c r="I254" s="445"/>
    </row>
    <row r="255" spans="1:20" s="144" customFormat="1" ht="15.75" customHeight="1">
      <c r="A255" s="1"/>
      <c r="B255" s="1"/>
      <c r="C255" s="1"/>
      <c r="D255" s="1"/>
      <c r="E255" s="1"/>
      <c r="F255" s="1"/>
      <c r="G255" s="1"/>
      <c r="H255" s="1"/>
      <c r="I255" s="445"/>
      <c r="M255" s="1"/>
      <c r="N255" s="1"/>
      <c r="O255" s="1"/>
      <c r="P255" s="1"/>
      <c r="Q255" s="1"/>
      <c r="R255" s="1"/>
      <c r="S255" s="1"/>
      <c r="T255" s="1"/>
    </row>
    <row r="256" spans="1:20" ht="18">
      <c r="I256" s="445"/>
      <c r="Q256" s="144"/>
      <c r="R256" s="144"/>
      <c r="S256" s="144"/>
      <c r="T256" s="144"/>
    </row>
    <row r="257" spans="9:16" ht="18">
      <c r="I257" s="445"/>
      <c r="M257" s="144"/>
      <c r="N257" s="144"/>
      <c r="O257" s="144"/>
      <c r="P257" s="144"/>
    </row>
    <row r="258" spans="9:16" ht="18">
      <c r="I258" s="445"/>
    </row>
    <row r="259" spans="9:16" ht="30" customHeight="1">
      <c r="I259" s="445"/>
    </row>
    <row r="260" spans="9:16" ht="18">
      <c r="I260" s="445"/>
    </row>
    <row r="261" spans="9:16" ht="18">
      <c r="I261" s="445"/>
    </row>
    <row r="262" spans="9:16" ht="18">
      <c r="I262" s="445"/>
    </row>
    <row r="263" spans="9:16" ht="25.5" customHeight="1">
      <c r="I263" s="445"/>
    </row>
    <row r="264" spans="9:16" ht="21" customHeight="1">
      <c r="I264" s="445"/>
    </row>
    <row r="265" spans="9:16" ht="18">
      <c r="I265" s="445"/>
    </row>
    <row r="266" spans="9:16" ht="18">
      <c r="I266" s="445"/>
    </row>
    <row r="267" spans="9:16" ht="18">
      <c r="I267" s="445"/>
    </row>
    <row r="268" spans="9:16" ht="18">
      <c r="I268" s="445"/>
    </row>
    <row r="269" spans="9:16" ht="18">
      <c r="I269" s="455"/>
    </row>
    <row r="270" spans="9:16" ht="18">
      <c r="I270" s="455"/>
    </row>
    <row r="271" spans="9:16" ht="18">
      <c r="I271" s="445"/>
    </row>
    <row r="272" spans="9:16" ht="18">
      <c r="I272" s="445"/>
    </row>
    <row r="273" spans="9:15" ht="18">
      <c r="I273" s="445"/>
      <c r="O273" s="1" t="s">
        <v>21</v>
      </c>
    </row>
    <row r="274" spans="9:15" ht="18">
      <c r="I274" s="445"/>
    </row>
    <row r="275" spans="9:15" ht="18">
      <c r="I275" s="445"/>
    </row>
    <row r="276" spans="9:15" ht="18">
      <c r="I276" s="445"/>
    </row>
    <row r="277" spans="9:15" ht="18">
      <c r="I277" s="445"/>
    </row>
    <row r="278" spans="9:15" ht="18">
      <c r="I278" s="445"/>
    </row>
    <row r="279" spans="9:15" ht="18">
      <c r="I279" s="445"/>
    </row>
    <row r="280" spans="9:15" ht="18">
      <c r="I280" s="445"/>
    </row>
    <row r="281" spans="9:15" ht="18">
      <c r="I281" s="445"/>
    </row>
    <row r="282" spans="9:15" ht="18">
      <c r="I282" s="445"/>
    </row>
    <row r="283" spans="9:15" ht="18">
      <c r="I283" s="445"/>
    </row>
    <row r="284" spans="9:15" ht="18">
      <c r="I284" s="445"/>
    </row>
    <row r="285" spans="9:15" ht="18">
      <c r="I285" s="445"/>
    </row>
    <row r="286" spans="9:15" ht="18">
      <c r="I286" s="445"/>
    </row>
    <row r="287" spans="9:15" ht="18">
      <c r="I287" s="445"/>
    </row>
    <row r="288" spans="9:15" ht="18">
      <c r="I288" s="445"/>
    </row>
    <row r="289" spans="9:9" ht="18">
      <c r="I289" s="445"/>
    </row>
    <row r="290" spans="9:9" ht="18">
      <c r="I290" s="445"/>
    </row>
    <row r="291" spans="9:9" ht="18">
      <c r="I291" s="445"/>
    </row>
    <row r="292" spans="9:9" ht="18">
      <c r="I292" s="445"/>
    </row>
    <row r="293" spans="9:9" ht="18">
      <c r="I293" s="445"/>
    </row>
    <row r="294" spans="9:9" ht="18">
      <c r="I294" s="445"/>
    </row>
    <row r="295" spans="9:9" ht="18">
      <c r="I295" s="445"/>
    </row>
    <row r="296" spans="9:9" ht="18">
      <c r="I296" s="445"/>
    </row>
    <row r="297" spans="9:9" ht="18">
      <c r="I297" s="445"/>
    </row>
    <row r="298" spans="9:9" ht="18">
      <c r="I298" s="445"/>
    </row>
    <row r="299" spans="9:9" ht="18">
      <c r="I299" s="445"/>
    </row>
    <row r="300" spans="9:9" ht="18">
      <c r="I300" s="445"/>
    </row>
    <row r="301" spans="9:9" ht="18">
      <c r="I301" s="445"/>
    </row>
    <row r="302" spans="9:9" ht="18">
      <c r="I302" s="445"/>
    </row>
    <row r="303" spans="9:9" ht="18">
      <c r="I303" s="445"/>
    </row>
    <row r="304" spans="9:9" ht="18">
      <c r="I304" s="445"/>
    </row>
    <row r="305" spans="9:9" ht="18">
      <c r="I305" s="445"/>
    </row>
    <row r="306" spans="9:9" ht="18">
      <c r="I306" s="445"/>
    </row>
    <row r="307" spans="9:9" ht="18">
      <c r="I307" s="445"/>
    </row>
    <row r="308" spans="9:9" ht="18">
      <c r="I308" s="445"/>
    </row>
    <row r="309" spans="9:9" ht="18">
      <c r="I309" s="445"/>
    </row>
    <row r="310" spans="9:9" ht="18">
      <c r="I310" s="445"/>
    </row>
    <row r="311" spans="9:9" ht="18">
      <c r="I311" s="445"/>
    </row>
    <row r="312" spans="9:9" ht="18">
      <c r="I312" s="445"/>
    </row>
    <row r="313" spans="9:9" ht="18">
      <c r="I313" s="445"/>
    </row>
    <row r="314" spans="9:9" ht="18">
      <c r="I314" s="445"/>
    </row>
    <row r="315" spans="9:9" ht="18">
      <c r="I315" s="445"/>
    </row>
    <row r="316" spans="9:9" ht="18">
      <c r="I316" s="445"/>
    </row>
    <row r="317" spans="9:9" ht="18">
      <c r="I317" s="445"/>
    </row>
    <row r="318" spans="9:9" ht="18">
      <c r="I318" s="445"/>
    </row>
    <row r="319" spans="9:9" ht="18">
      <c r="I319" s="445"/>
    </row>
    <row r="320" spans="9:9" ht="18">
      <c r="I320" s="445"/>
    </row>
    <row r="321" spans="9:9" ht="18">
      <c r="I321" s="445"/>
    </row>
    <row r="322" spans="9:9" ht="18">
      <c r="I322" s="445"/>
    </row>
    <row r="323" spans="9:9" ht="18">
      <c r="I323" s="445"/>
    </row>
    <row r="324" spans="9:9" ht="18">
      <c r="I324" s="445"/>
    </row>
    <row r="325" spans="9:9" ht="18">
      <c r="I325" s="445"/>
    </row>
    <row r="326" spans="9:9" ht="18">
      <c r="I326" s="445"/>
    </row>
    <row r="327" spans="9:9" ht="18">
      <c r="I327" s="445"/>
    </row>
    <row r="328" spans="9:9" ht="18">
      <c r="I328" s="455"/>
    </row>
    <row r="329" spans="9:9" ht="18">
      <c r="I329" s="455"/>
    </row>
    <row r="330" spans="9:9" ht="18">
      <c r="I330" s="445"/>
    </row>
    <row r="331" spans="9:9" ht="18">
      <c r="I331" s="445"/>
    </row>
    <row r="332" spans="9:9" ht="18">
      <c r="I332" s="445"/>
    </row>
    <row r="333" spans="9:9" ht="18">
      <c r="I333" s="445"/>
    </row>
    <row r="334" spans="9:9" ht="18">
      <c r="I334" s="445"/>
    </row>
    <row r="335" spans="9:9" ht="18">
      <c r="I335" s="445"/>
    </row>
    <row r="336" spans="9:9" ht="18">
      <c r="I336" s="445"/>
    </row>
    <row r="337" spans="9:9" ht="18">
      <c r="I337" s="445"/>
    </row>
    <row r="338" spans="9:9" ht="18">
      <c r="I338" s="445"/>
    </row>
    <row r="339" spans="9:9" ht="18">
      <c r="I339" s="445"/>
    </row>
    <row r="340" spans="9:9" ht="18">
      <c r="I340" s="445"/>
    </row>
    <row r="341" spans="9:9" ht="18">
      <c r="I341" s="445"/>
    </row>
    <row r="342" spans="9:9" ht="18">
      <c r="I342" s="445"/>
    </row>
    <row r="343" spans="9:9" ht="18">
      <c r="I343" s="445"/>
    </row>
    <row r="344" spans="9:9" ht="18">
      <c r="I344" s="445"/>
    </row>
    <row r="345" spans="9:9" ht="18">
      <c r="I345" s="455"/>
    </row>
    <row r="346" spans="9:9" ht="18">
      <c r="I346" s="445"/>
    </row>
    <row r="347" spans="9:9" ht="18">
      <c r="I347" s="445"/>
    </row>
    <row r="348" spans="9:9" ht="18">
      <c r="I348" s="445"/>
    </row>
    <row r="349" spans="9:9" ht="18">
      <c r="I349" s="445"/>
    </row>
    <row r="350" spans="9:9" ht="18">
      <c r="I350" s="445"/>
    </row>
    <row r="351" spans="9:9" ht="18">
      <c r="I351" s="445"/>
    </row>
    <row r="352" spans="9:9" ht="18">
      <c r="I352" s="445"/>
    </row>
    <row r="353" spans="9:9" ht="18">
      <c r="I353" s="445"/>
    </row>
    <row r="354" spans="9:9" ht="18">
      <c r="I354" s="445"/>
    </row>
    <row r="355" spans="9:9" ht="18">
      <c r="I355" s="445"/>
    </row>
    <row r="356" spans="9:9" ht="18">
      <c r="I356" s="445"/>
    </row>
    <row r="357" spans="9:9" ht="18">
      <c r="I357" s="445"/>
    </row>
    <row r="358" spans="9:9" ht="18">
      <c r="I358" s="445"/>
    </row>
    <row r="359" spans="9:9" ht="18">
      <c r="I359" s="445"/>
    </row>
    <row r="360" spans="9:9" ht="18">
      <c r="I360" s="455"/>
    </row>
    <row r="361" spans="9:9" ht="18">
      <c r="I361" s="445"/>
    </row>
    <row r="362" spans="9:9" ht="18">
      <c r="I362" s="445"/>
    </row>
    <row r="363" spans="9:9" ht="18">
      <c r="I363" s="445"/>
    </row>
    <row r="364" spans="9:9" ht="18">
      <c r="I364" s="445"/>
    </row>
    <row r="365" spans="9:9" ht="18">
      <c r="I365" s="445"/>
    </row>
    <row r="366" spans="9:9" ht="18">
      <c r="I366" s="445"/>
    </row>
    <row r="367" spans="9:9" ht="18">
      <c r="I367" s="445"/>
    </row>
    <row r="368" spans="9:9" ht="18">
      <c r="I368" s="445"/>
    </row>
    <row r="369" spans="9:9" ht="18">
      <c r="I369" s="445"/>
    </row>
    <row r="370" spans="9:9" ht="18">
      <c r="I370" s="445"/>
    </row>
    <row r="371" spans="9:9" ht="18">
      <c r="I371" s="445"/>
    </row>
    <row r="372" spans="9:9" ht="18">
      <c r="I372" s="445"/>
    </row>
    <row r="373" spans="9:9" ht="18">
      <c r="I373" s="445"/>
    </row>
    <row r="374" spans="9:9" ht="18">
      <c r="I374" s="445"/>
    </row>
    <row r="375" spans="9:9" ht="18">
      <c r="I375" s="445"/>
    </row>
    <row r="376" spans="9:9" ht="18">
      <c r="I376" s="445"/>
    </row>
    <row r="377" spans="9:9" ht="18">
      <c r="I377" s="445"/>
    </row>
    <row r="378" spans="9:9" ht="18">
      <c r="I378" s="445"/>
    </row>
    <row r="379" spans="9:9" ht="18">
      <c r="I379" s="445"/>
    </row>
    <row r="380" spans="9:9" ht="18">
      <c r="I380" s="445"/>
    </row>
    <row r="381" spans="9:9" ht="18">
      <c r="I381" s="445"/>
    </row>
    <row r="382" spans="9:9" ht="18">
      <c r="I382" s="445"/>
    </row>
    <row r="383" spans="9:9" ht="18">
      <c r="I383" s="445"/>
    </row>
    <row r="384" spans="9:9" ht="18">
      <c r="I384" s="445"/>
    </row>
    <row r="385" spans="9:9" ht="18">
      <c r="I385" s="445"/>
    </row>
    <row r="386" spans="9:9" ht="18">
      <c r="I386" s="445"/>
    </row>
    <row r="387" spans="9:9" ht="18">
      <c r="I387" s="445"/>
    </row>
    <row r="388" spans="9:9" ht="18">
      <c r="I388" s="445"/>
    </row>
    <row r="389" spans="9:9" ht="18">
      <c r="I389" s="445"/>
    </row>
    <row r="390" spans="9:9" ht="18">
      <c r="I390" s="445"/>
    </row>
    <row r="391" spans="9:9" ht="18">
      <c r="I391" s="445"/>
    </row>
    <row r="392" spans="9:9" ht="18">
      <c r="I392" s="445"/>
    </row>
    <row r="393" spans="9:9" ht="18">
      <c r="I393" s="445"/>
    </row>
    <row r="394" spans="9:9" ht="18">
      <c r="I394" s="445"/>
    </row>
    <row r="395" spans="9:9" ht="18">
      <c r="I395" s="445"/>
    </row>
    <row r="396" spans="9:9" ht="18">
      <c r="I396" s="445"/>
    </row>
    <row r="397" spans="9:9" ht="18">
      <c r="I397" s="445"/>
    </row>
    <row r="398" spans="9:9" ht="18">
      <c r="I398" s="445"/>
    </row>
    <row r="399" spans="9:9" ht="18">
      <c r="I399" s="445"/>
    </row>
    <row r="400" spans="9:9" ht="18">
      <c r="I400" s="445"/>
    </row>
    <row r="401" spans="9:9" ht="18">
      <c r="I401" s="445"/>
    </row>
    <row r="402" spans="9:9" ht="18">
      <c r="I402" s="445"/>
    </row>
    <row r="403" spans="9:9" ht="18">
      <c r="I403" s="445"/>
    </row>
    <row r="404" spans="9:9" ht="18">
      <c r="I404" s="445"/>
    </row>
    <row r="405" spans="9:9" ht="18">
      <c r="I405" s="445"/>
    </row>
    <row r="406" spans="9:9" ht="18">
      <c r="I406" s="455"/>
    </row>
    <row r="407" spans="9:9" ht="18">
      <c r="I407" s="455"/>
    </row>
    <row r="408" spans="9:9" ht="18">
      <c r="I408" s="455"/>
    </row>
    <row r="409" spans="9:9" ht="18">
      <c r="I409" s="445"/>
    </row>
    <row r="410" spans="9:9" ht="18">
      <c r="I410" s="455"/>
    </row>
    <row r="411" spans="9:9" ht="18">
      <c r="I411" s="455"/>
    </row>
    <row r="412" spans="9:9" ht="18">
      <c r="I412" s="445"/>
    </row>
    <row r="413" spans="9:9" ht="18">
      <c r="I413" s="455"/>
    </row>
    <row r="414" spans="9:9" ht="18">
      <c r="I414" s="455"/>
    </row>
    <row r="415" spans="9:9" ht="18">
      <c r="I415" s="445"/>
    </row>
    <row r="416" spans="9:9" ht="18">
      <c r="I416" s="445"/>
    </row>
    <row r="417" spans="9:9" ht="18">
      <c r="I417" s="445"/>
    </row>
    <row r="418" spans="9:9" ht="18">
      <c r="I418" s="445"/>
    </row>
    <row r="419" spans="9:9" ht="18">
      <c r="I419" s="445"/>
    </row>
    <row r="420" spans="9:9" ht="18">
      <c r="I420" s="445"/>
    </row>
    <row r="421" spans="9:9" ht="18">
      <c r="I421" s="445"/>
    </row>
    <row r="422" spans="9:9" ht="18">
      <c r="I422" s="445"/>
    </row>
    <row r="423" spans="9:9" ht="18">
      <c r="I423" s="445"/>
    </row>
    <row r="424" spans="9:9" ht="18.75">
      <c r="I424" s="418"/>
    </row>
    <row r="425" spans="9:9" ht="18.75">
      <c r="I425" s="418"/>
    </row>
    <row r="426" spans="9:9" ht="18.75">
      <c r="I426" s="418"/>
    </row>
    <row r="427" spans="9:9" ht="18.75">
      <c r="I427" s="418"/>
    </row>
    <row r="428" spans="9:9" ht="18.75">
      <c r="I428" s="418"/>
    </row>
    <row r="429" spans="9:9" ht="18.75">
      <c r="I429" s="418"/>
    </row>
    <row r="430" spans="9:9" ht="18.75">
      <c r="I430" s="418"/>
    </row>
    <row r="431" spans="9:9" ht="18.75">
      <c r="I431" s="418"/>
    </row>
    <row r="432" spans="9:9" ht="18.75">
      <c r="I432" s="418"/>
    </row>
    <row r="433" spans="9:9" ht="18.75">
      <c r="I433" s="418"/>
    </row>
    <row r="434" spans="9:9" ht="18.75">
      <c r="I434" s="418"/>
    </row>
  </sheetData>
  <customSheetViews>
    <customSheetView guid="{0F09EDAE-127A-4543-88A5-04139BD32AD8}" scale="85" fitToPage="1" hiddenColumns="1" topLeftCell="A55">
      <selection activeCell="G70" sqref="G70"/>
      <pageMargins left="0.39370078740157499" right="0.35433070866141703" top="0.65748031500000004" bottom="1.7716535433070899" header="0.31496062992126" footer="0.31496062992126"/>
      <pageSetup paperSize="5" scale="46" fitToHeight="0" orientation="portrait" horizontalDpi="360" verticalDpi="360" r:id="rId1"/>
    </customSheetView>
    <customSheetView guid="{C05430D3-5A25-4A4C-823C-7D6EA772E5F0}" scale="85" showPageBreaks="1" fitToPage="1" hiddenColumns="1" topLeftCell="A55">
      <selection activeCell="G70" sqref="G70"/>
      <pageMargins left="0.39370078740157499" right="0.35433070866141703" top="0.65748031500000004" bottom="1.7716535433070899" header="0.31496062992126" footer="0.31496062992126"/>
      <pageSetup paperSize="5" scale="47" fitToHeight="0" orientation="portrait" horizontalDpi="360" verticalDpi="360" r:id="rId2"/>
    </customSheetView>
  </customSheetViews>
  <mergeCells count="16">
    <mergeCell ref="M31:O31"/>
    <mergeCell ref="M40:O40"/>
    <mergeCell ref="J42:K42"/>
    <mergeCell ref="M48:P48"/>
    <mergeCell ref="A6:H6"/>
    <mergeCell ref="A7:H7"/>
    <mergeCell ref="A8:H8"/>
    <mergeCell ref="A9:E12"/>
    <mergeCell ref="F9:F12"/>
    <mergeCell ref="G9:G11"/>
    <mergeCell ref="H9:H12"/>
    <mergeCell ref="F127:H127"/>
    <mergeCell ref="F128:H128"/>
    <mergeCell ref="G132:H132"/>
    <mergeCell ref="A13:C13"/>
    <mergeCell ref="D13:E13"/>
  </mergeCells>
  <pageMargins left="0.39370078740157499" right="0.35433070866141703" top="0.65748031500000004" bottom="1.7716535433070899" header="0.31496062992126" footer="0.31496062992126"/>
  <pageSetup paperSize="5" scale="47" fitToHeight="0" orientation="portrait" horizontalDpi="360" verticalDpi="360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M74"/>
  <sheetViews>
    <sheetView workbookViewId="0">
      <selection sqref="A1:H1"/>
    </sheetView>
  </sheetViews>
  <sheetFormatPr defaultColWidth="9.140625" defaultRowHeight="15"/>
  <cols>
    <col min="1" max="1" width="5.28515625" style="1172" customWidth="1"/>
    <col min="2" max="2" width="40" style="264" bestFit="1" customWidth="1"/>
    <col min="3" max="3" width="1.28515625" style="264" customWidth="1"/>
    <col min="4" max="5" width="7.7109375" style="264" customWidth="1"/>
    <col min="6" max="6" width="13" style="264" customWidth="1"/>
    <col min="7" max="7" width="13.85546875" style="264" customWidth="1"/>
    <col min="8" max="8" width="15.28515625" style="264" customWidth="1"/>
    <col min="9" max="9" width="9.140625" style="264"/>
    <col min="10" max="10" width="19" style="402" bestFit="1" customWidth="1"/>
    <col min="11" max="11" width="12.28515625" style="264" bestFit="1" customWidth="1"/>
    <col min="12" max="16384" width="9.140625" style="264"/>
  </cols>
  <sheetData>
    <row r="1" spans="1:10" ht="15.75">
      <c r="A1" s="2961" t="s">
        <v>1023</v>
      </c>
      <c r="B1" s="2961"/>
      <c r="C1" s="2961"/>
      <c r="D1" s="2961"/>
      <c r="E1" s="2961"/>
      <c r="F1" s="2961"/>
      <c r="G1" s="2961"/>
      <c r="H1" s="2961"/>
      <c r="I1" s="385"/>
      <c r="J1" s="386"/>
    </row>
    <row r="2" spans="1:10" ht="15.75">
      <c r="A2" s="2961" t="s">
        <v>1024</v>
      </c>
      <c r="B2" s="2961"/>
      <c r="C2" s="2961"/>
      <c r="D2" s="2961"/>
      <c r="E2" s="2961"/>
      <c r="F2" s="2961"/>
      <c r="G2" s="2961"/>
      <c r="H2" s="2961"/>
      <c r="I2" s="385"/>
      <c r="J2" s="386"/>
    </row>
    <row r="3" spans="1:10" ht="15.75">
      <c r="A3" s="2961"/>
      <c r="B3" s="2961"/>
      <c r="C3" s="2961"/>
      <c r="D3" s="2961"/>
      <c r="E3" s="2961"/>
      <c r="F3" s="2961"/>
      <c r="G3" s="2961"/>
      <c r="H3" s="2961"/>
      <c r="I3" s="385"/>
      <c r="J3" s="386"/>
    </row>
    <row r="4" spans="1:10" ht="15.75">
      <c r="A4" s="1149"/>
      <c r="B4" s="277"/>
      <c r="C4" s="277"/>
      <c r="D4" s="277"/>
      <c r="E4" s="277" t="s">
        <v>21</v>
      </c>
      <c r="F4" s="277"/>
      <c r="G4" s="277"/>
      <c r="H4" s="277"/>
      <c r="I4" s="385"/>
      <c r="J4" s="386"/>
    </row>
    <row r="5" spans="1:10" ht="15.75">
      <c r="A5" s="618"/>
      <c r="B5" s="279"/>
      <c r="C5" s="281"/>
      <c r="D5" s="279"/>
      <c r="E5" s="279"/>
      <c r="F5" s="947"/>
      <c r="G5" s="279"/>
      <c r="I5" s="385"/>
      <c r="J5" s="386"/>
    </row>
    <row r="6" spans="1:10" ht="15.75">
      <c r="A6" s="1150"/>
      <c r="B6" s="279"/>
      <c r="C6" s="281"/>
      <c r="D6" s="351"/>
      <c r="E6" s="351"/>
      <c r="F6" s="279"/>
      <c r="G6" s="351"/>
      <c r="H6" s="351"/>
      <c r="I6" s="385"/>
      <c r="J6" s="386"/>
    </row>
    <row r="7" spans="1:10" ht="15.75">
      <c r="A7" s="618"/>
      <c r="B7" s="279"/>
      <c r="C7" s="281"/>
      <c r="D7" s="618"/>
      <c r="E7" s="279"/>
      <c r="F7" s="947"/>
      <c r="G7" s="351"/>
      <c r="H7" s="351"/>
      <c r="I7" s="385"/>
      <c r="J7" s="386"/>
    </row>
    <row r="8" spans="1:10" ht="15.75">
      <c r="A8" s="618"/>
      <c r="B8" s="279"/>
      <c r="C8" s="281"/>
      <c r="D8" s="279"/>
      <c r="E8" s="279"/>
      <c r="F8" s="279"/>
      <c r="G8" s="351"/>
      <c r="H8" s="351"/>
      <c r="I8" s="385"/>
      <c r="J8" s="386"/>
    </row>
    <row r="9" spans="1:10" ht="15.75">
      <c r="A9" s="618"/>
      <c r="B9" s="279"/>
      <c r="C9" s="279"/>
      <c r="D9" s="279"/>
      <c r="E9" s="279"/>
      <c r="F9" s="279"/>
      <c r="G9" s="279"/>
      <c r="H9" s="279"/>
      <c r="I9" s="385"/>
      <c r="J9" s="386"/>
    </row>
    <row r="10" spans="1:10" ht="15.75">
      <c r="A10" s="618"/>
      <c r="B10" s="279"/>
      <c r="C10" s="279"/>
      <c r="D10" s="279"/>
      <c r="E10" s="279"/>
      <c r="F10" s="279"/>
      <c r="G10" s="279"/>
      <c r="H10" s="279"/>
      <c r="I10" s="385"/>
      <c r="J10" s="386"/>
    </row>
    <row r="11" spans="1:10" ht="15.75">
      <c r="A11" s="2980" t="s">
        <v>110</v>
      </c>
      <c r="B11" s="2980"/>
      <c r="C11" s="281" t="s">
        <v>46</v>
      </c>
      <c r="D11" s="2981">
        <f>H64</f>
        <v>17600000</v>
      </c>
      <c r="E11" s="2981"/>
      <c r="F11" s="689"/>
      <c r="G11" s="282"/>
      <c r="H11" s="282"/>
      <c r="I11" s="385"/>
      <c r="J11" s="386"/>
    </row>
    <row r="12" spans="1:10" ht="16.5" thickBot="1">
      <c r="A12" s="1151"/>
      <c r="B12" s="26"/>
      <c r="C12" s="27"/>
      <c r="D12" s="2970"/>
      <c r="E12" s="2970"/>
      <c r="F12" s="28"/>
      <c r="G12" s="28"/>
      <c r="H12"/>
      <c r="I12" s="385"/>
      <c r="J12" s="386"/>
    </row>
    <row r="13" spans="1:10" ht="15.75" customHeight="1">
      <c r="A13" s="2971" t="s">
        <v>1</v>
      </c>
      <c r="B13" s="2972"/>
      <c r="C13" s="2973"/>
      <c r="D13" s="2964" t="s">
        <v>60</v>
      </c>
      <c r="E13" s="2964" t="s">
        <v>97</v>
      </c>
      <c r="F13" s="2964" t="s">
        <v>261</v>
      </c>
      <c r="G13" s="2964" t="s">
        <v>262</v>
      </c>
      <c r="H13" s="2967" t="s">
        <v>263</v>
      </c>
      <c r="I13" s="385"/>
      <c r="J13" s="386"/>
    </row>
    <row r="14" spans="1:10" ht="15.75">
      <c r="A14" s="2974"/>
      <c r="B14" s="2975"/>
      <c r="C14" s="2976"/>
      <c r="D14" s="2965"/>
      <c r="E14" s="2965"/>
      <c r="F14" s="2965"/>
      <c r="G14" s="2965"/>
      <c r="H14" s="2968"/>
      <c r="I14" s="385"/>
      <c r="J14" s="386"/>
    </row>
    <row r="15" spans="1:10" ht="16.5" thickBot="1">
      <c r="A15" s="2977"/>
      <c r="B15" s="2978"/>
      <c r="C15" s="2979"/>
      <c r="D15" s="2966"/>
      <c r="E15" s="2966"/>
      <c r="F15" s="2966"/>
      <c r="G15" s="2966"/>
      <c r="H15" s="2969"/>
      <c r="I15" s="385"/>
      <c r="J15" s="386"/>
    </row>
    <row r="16" spans="1:10" ht="16.5" thickBot="1">
      <c r="A16" s="2985" t="s">
        <v>72</v>
      </c>
      <c r="B16" s="2986"/>
      <c r="C16" s="2987"/>
      <c r="D16" s="388" t="s">
        <v>73</v>
      </c>
      <c r="E16" s="389" t="s">
        <v>264</v>
      </c>
      <c r="F16" s="390" t="s">
        <v>75</v>
      </c>
      <c r="G16" s="389" t="s">
        <v>265</v>
      </c>
      <c r="H16" s="391" t="s">
        <v>77</v>
      </c>
      <c r="I16" s="392"/>
      <c r="J16" s="393"/>
    </row>
    <row r="17" spans="1:13" ht="15.75">
      <c r="A17" s="1152" t="s">
        <v>251</v>
      </c>
      <c r="B17" s="709" t="s">
        <v>334</v>
      </c>
      <c r="C17" s="710"/>
      <c r="D17" s="711"/>
      <c r="E17" s="711"/>
      <c r="F17" s="711"/>
      <c r="G17" s="711"/>
      <c r="H17" s="712"/>
      <c r="I17" s="392"/>
      <c r="J17" s="393"/>
      <c r="M17" s="264" t="s">
        <v>21</v>
      </c>
    </row>
    <row r="18" spans="1:13" ht="15.75">
      <c r="A18" s="1153" t="s">
        <v>115</v>
      </c>
      <c r="B18" s="713" t="s">
        <v>335</v>
      </c>
      <c r="C18" s="706"/>
      <c r="D18" s="395">
        <v>14</v>
      </c>
      <c r="E18" s="395" t="s">
        <v>336</v>
      </c>
      <c r="F18" s="755">
        <v>350000</v>
      </c>
      <c r="G18" s="755">
        <f>D18*F18</f>
        <v>4900000</v>
      </c>
      <c r="H18" s="756"/>
      <c r="I18" s="385"/>
      <c r="J18" s="386">
        <f>49*65000</f>
        <v>3185000</v>
      </c>
    </row>
    <row r="19" spans="1:13" ht="15.75">
      <c r="A19" s="1154"/>
      <c r="B19" s="723"/>
      <c r="C19" s="724"/>
      <c r="D19" s="725"/>
      <c r="E19" s="725"/>
      <c r="F19" s="757"/>
      <c r="G19" s="757"/>
      <c r="H19" s="758"/>
      <c r="I19" s="385"/>
      <c r="J19" s="386"/>
    </row>
    <row r="20" spans="1:13" ht="15.75">
      <c r="A20" s="1155"/>
      <c r="B20" s="728"/>
      <c r="C20" s="729"/>
      <c r="D20" s="730"/>
      <c r="E20" s="731"/>
      <c r="F20" s="759" t="s">
        <v>98</v>
      </c>
      <c r="G20" s="760">
        <f>G18</f>
        <v>4900000</v>
      </c>
      <c r="H20" s="761">
        <f>G20</f>
        <v>4900000</v>
      </c>
      <c r="I20" s="398"/>
      <c r="J20" s="399"/>
    </row>
    <row r="21" spans="1:13" ht="15.75">
      <c r="A21" s="1156" t="s">
        <v>253</v>
      </c>
      <c r="B21" s="726" t="s">
        <v>337</v>
      </c>
      <c r="C21" s="727"/>
      <c r="D21" s="394"/>
      <c r="E21" s="394"/>
      <c r="F21" s="762"/>
      <c r="G21" s="762"/>
      <c r="H21" s="763"/>
      <c r="I21" s="392"/>
      <c r="J21" s="393"/>
    </row>
    <row r="22" spans="1:13" ht="15.75">
      <c r="A22" s="1157" t="s">
        <v>121</v>
      </c>
      <c r="B22" s="715" t="s">
        <v>1441</v>
      </c>
      <c r="C22" s="705"/>
      <c r="D22" s="400">
        <v>1</v>
      </c>
      <c r="E22" s="395" t="s">
        <v>339</v>
      </c>
      <c r="F22" s="764">
        <v>50000</v>
      </c>
      <c r="G22" s="755">
        <f t="shared" ref="G22:G30" si="0">D22*F22</f>
        <v>50000</v>
      </c>
      <c r="H22" s="756"/>
      <c r="I22" s="385"/>
      <c r="J22" s="401">
        <v>45000</v>
      </c>
    </row>
    <row r="23" spans="1:13" ht="15.75">
      <c r="A23" s="1157" t="s">
        <v>124</v>
      </c>
      <c r="B23" s="715" t="s">
        <v>340</v>
      </c>
      <c r="C23" s="705"/>
      <c r="D23" s="400">
        <v>1</v>
      </c>
      <c r="E23" s="395" t="s">
        <v>266</v>
      </c>
      <c r="F23" s="764">
        <v>15000</v>
      </c>
      <c r="G23" s="755">
        <f t="shared" si="0"/>
        <v>15000</v>
      </c>
      <c r="H23" s="756"/>
      <c r="I23" s="385"/>
      <c r="J23" s="401">
        <v>15000</v>
      </c>
    </row>
    <row r="24" spans="1:13" ht="15.75">
      <c r="A24" s="1157" t="s">
        <v>183</v>
      </c>
      <c r="B24" s="715" t="s">
        <v>341</v>
      </c>
      <c r="C24" s="705"/>
      <c r="D24" s="400">
        <v>26</v>
      </c>
      <c r="E24" s="395" t="s">
        <v>295</v>
      </c>
      <c r="F24" s="764">
        <v>10000</v>
      </c>
      <c r="G24" s="755">
        <f t="shared" si="0"/>
        <v>260000</v>
      </c>
      <c r="H24" s="756"/>
      <c r="I24" s="385"/>
      <c r="J24" s="386"/>
    </row>
    <row r="25" spans="1:13" ht="15.75">
      <c r="A25" s="1157" t="s">
        <v>184</v>
      </c>
      <c r="B25" s="715" t="s">
        <v>342</v>
      </c>
      <c r="C25" s="705"/>
      <c r="D25" s="400">
        <v>26</v>
      </c>
      <c r="E25" s="395" t="s">
        <v>295</v>
      </c>
      <c r="F25" s="764">
        <v>5000</v>
      </c>
      <c r="G25" s="755">
        <f t="shared" si="0"/>
        <v>130000</v>
      </c>
      <c r="H25" s="756"/>
      <c r="I25" s="385"/>
      <c r="J25" s="386">
        <f>F25*10</f>
        <v>50000</v>
      </c>
    </row>
    <row r="26" spans="1:13" ht="15.75">
      <c r="A26" s="1157" t="s">
        <v>185</v>
      </c>
      <c r="B26" s="715" t="s">
        <v>288</v>
      </c>
      <c r="C26" s="705"/>
      <c r="D26" s="400">
        <v>26</v>
      </c>
      <c r="E26" s="395" t="s">
        <v>295</v>
      </c>
      <c r="F26" s="764">
        <v>15000</v>
      </c>
      <c r="G26" s="755">
        <f t="shared" si="0"/>
        <v>390000</v>
      </c>
      <c r="H26" s="756"/>
      <c r="I26" s="385"/>
      <c r="J26" s="386">
        <f>F26*10</f>
        <v>150000</v>
      </c>
    </row>
    <row r="27" spans="1:13" ht="15.75">
      <c r="A27" s="1157" t="s">
        <v>364</v>
      </c>
      <c r="B27" s="732" t="s">
        <v>291</v>
      </c>
      <c r="C27" s="733"/>
      <c r="D27" s="400">
        <v>26</v>
      </c>
      <c r="E27" s="395" t="s">
        <v>295</v>
      </c>
      <c r="F27" s="765">
        <v>2000</v>
      </c>
      <c r="G27" s="757">
        <f t="shared" si="0"/>
        <v>52000</v>
      </c>
      <c r="H27" s="758"/>
      <c r="I27" s="385"/>
      <c r="J27" s="386"/>
    </row>
    <row r="28" spans="1:13" ht="15.75">
      <c r="A28" s="1157" t="s">
        <v>365</v>
      </c>
      <c r="B28" s="732" t="s">
        <v>1105</v>
      </c>
      <c r="C28" s="733"/>
      <c r="D28" s="400">
        <v>26</v>
      </c>
      <c r="E28" s="395" t="s">
        <v>295</v>
      </c>
      <c r="F28" s="765">
        <v>3000</v>
      </c>
      <c r="G28" s="757">
        <f t="shared" si="0"/>
        <v>78000</v>
      </c>
      <c r="H28" s="758"/>
      <c r="I28" s="385"/>
      <c r="J28" s="386"/>
    </row>
    <row r="29" spans="1:13" ht="15.75">
      <c r="A29" s="1157" t="s">
        <v>366</v>
      </c>
      <c r="B29" s="732" t="s">
        <v>1106</v>
      </c>
      <c r="C29" s="733"/>
      <c r="D29" s="400">
        <v>26</v>
      </c>
      <c r="E29" s="395" t="s">
        <v>295</v>
      </c>
      <c r="F29" s="765">
        <v>2000</v>
      </c>
      <c r="G29" s="757">
        <f t="shared" si="0"/>
        <v>52000</v>
      </c>
      <c r="H29" s="758"/>
      <c r="I29" s="385"/>
      <c r="J29" s="386"/>
    </row>
    <row r="30" spans="1:13" ht="15.75">
      <c r="A30" s="1157" t="s">
        <v>367</v>
      </c>
      <c r="B30" s="732" t="s">
        <v>293</v>
      </c>
      <c r="C30" s="733"/>
      <c r="D30" s="400">
        <v>26</v>
      </c>
      <c r="E30" s="395" t="s">
        <v>295</v>
      </c>
      <c r="F30" s="765">
        <v>1000</v>
      </c>
      <c r="G30" s="757">
        <f t="shared" si="0"/>
        <v>26000</v>
      </c>
      <c r="H30" s="758"/>
      <c r="I30" s="385"/>
      <c r="J30" s="386"/>
    </row>
    <row r="31" spans="1:13" ht="15.75">
      <c r="A31" s="1155"/>
      <c r="B31" s="728"/>
      <c r="C31" s="729"/>
      <c r="D31" s="730"/>
      <c r="E31" s="731"/>
      <c r="F31" s="759" t="s">
        <v>99</v>
      </c>
      <c r="G31" s="760">
        <f>SUM(G22:G30)</f>
        <v>1053000</v>
      </c>
      <c r="H31" s="761">
        <f>G31</f>
        <v>1053000</v>
      </c>
      <c r="I31" s="398"/>
      <c r="J31" s="399"/>
    </row>
    <row r="32" spans="1:13">
      <c r="A32" s="1158">
        <v>3</v>
      </c>
      <c r="B32" s="734" t="s">
        <v>343</v>
      </c>
      <c r="C32" s="735"/>
      <c r="D32" s="736"/>
      <c r="E32" s="737"/>
      <c r="F32" s="766"/>
      <c r="G32" s="766"/>
      <c r="H32" s="767"/>
    </row>
    <row r="33" spans="1:10">
      <c r="A33" s="1997"/>
      <c r="B33" s="1998" t="s">
        <v>1436</v>
      </c>
      <c r="C33" s="1999"/>
      <c r="D33" s="1996">
        <v>1</v>
      </c>
      <c r="E33" s="1996" t="s">
        <v>1158</v>
      </c>
      <c r="F33" s="2000">
        <v>450000</v>
      </c>
      <c r="G33" s="755">
        <f t="shared" ref="G33:G41" si="1">D33*F33</f>
        <v>450000</v>
      </c>
      <c r="H33" s="2001"/>
    </row>
    <row r="34" spans="1:10">
      <c r="A34" s="1997"/>
      <c r="B34" s="1998" t="s">
        <v>1438</v>
      </c>
      <c r="C34" s="1999"/>
      <c r="D34" s="1996">
        <v>12</v>
      </c>
      <c r="E34" s="1996" t="s">
        <v>1275</v>
      </c>
      <c r="F34" s="2000">
        <v>35000</v>
      </c>
      <c r="G34" s="755">
        <f t="shared" si="1"/>
        <v>420000</v>
      </c>
      <c r="H34" s="2001"/>
    </row>
    <row r="35" spans="1:10">
      <c r="A35" s="1997"/>
      <c r="B35" s="1998" t="s">
        <v>1246</v>
      </c>
      <c r="C35" s="1999"/>
      <c r="D35" s="1996">
        <v>1</v>
      </c>
      <c r="E35" s="1996" t="s">
        <v>1276</v>
      </c>
      <c r="F35" s="2000">
        <v>25000</v>
      </c>
      <c r="G35" s="755">
        <f t="shared" si="1"/>
        <v>25000</v>
      </c>
      <c r="H35" s="2001"/>
    </row>
    <row r="36" spans="1:10">
      <c r="A36" s="1997"/>
      <c r="B36" s="1998" t="s">
        <v>1433</v>
      </c>
      <c r="C36" s="1999"/>
      <c r="D36" s="1996">
        <v>10</v>
      </c>
      <c r="E36" s="1996" t="s">
        <v>1276</v>
      </c>
      <c r="F36" s="2000">
        <v>15000</v>
      </c>
      <c r="G36" s="755">
        <f t="shared" si="1"/>
        <v>150000</v>
      </c>
      <c r="H36" s="2001"/>
    </row>
    <row r="37" spans="1:10">
      <c r="A37" s="1997"/>
      <c r="B37" s="1998" t="s">
        <v>1244</v>
      </c>
      <c r="C37" s="1999"/>
      <c r="D37" s="1996">
        <v>14</v>
      </c>
      <c r="E37" s="1996" t="s">
        <v>1277</v>
      </c>
      <c r="F37" s="2000">
        <v>35000</v>
      </c>
      <c r="G37" s="755">
        <f t="shared" si="1"/>
        <v>490000</v>
      </c>
      <c r="H37" s="2001"/>
    </row>
    <row r="38" spans="1:10">
      <c r="A38" s="1997"/>
      <c r="B38" s="1998" t="s">
        <v>1434</v>
      </c>
      <c r="C38" s="1999"/>
      <c r="D38" s="1996">
        <v>2000</v>
      </c>
      <c r="E38" s="1996" t="s">
        <v>1435</v>
      </c>
      <c r="F38" s="2000">
        <v>300</v>
      </c>
      <c r="G38" s="755">
        <f t="shared" si="1"/>
        <v>600000</v>
      </c>
      <c r="H38" s="2001"/>
    </row>
    <row r="39" spans="1:10">
      <c r="A39" s="1997"/>
      <c r="B39" s="1998" t="s">
        <v>1437</v>
      </c>
      <c r="C39" s="1999"/>
      <c r="D39" s="1996">
        <v>2</v>
      </c>
      <c r="E39" s="1996" t="s">
        <v>1158</v>
      </c>
      <c r="F39" s="2000">
        <v>15000</v>
      </c>
      <c r="G39" s="755">
        <f t="shared" si="1"/>
        <v>30000</v>
      </c>
      <c r="H39" s="2001"/>
    </row>
    <row r="40" spans="1:10">
      <c r="A40" s="1997"/>
      <c r="B40" s="1998" t="s">
        <v>1439</v>
      </c>
      <c r="C40" s="1999"/>
      <c r="D40" s="1996">
        <v>3</v>
      </c>
      <c r="E40" s="1996" t="s">
        <v>1158</v>
      </c>
      <c r="F40" s="2000">
        <v>25000</v>
      </c>
      <c r="G40" s="755">
        <f t="shared" si="1"/>
        <v>75000</v>
      </c>
      <c r="H40" s="2001"/>
    </row>
    <row r="41" spans="1:10" ht="15.75" thickBot="1">
      <c r="A41" s="1997"/>
      <c r="B41" s="1998" t="s">
        <v>1440</v>
      </c>
      <c r="C41" s="1999"/>
      <c r="D41" s="1996">
        <v>2</v>
      </c>
      <c r="E41" s="1996" t="s">
        <v>1158</v>
      </c>
      <c r="F41" s="2000">
        <v>10000</v>
      </c>
      <c r="G41" s="755">
        <f t="shared" si="1"/>
        <v>20000</v>
      </c>
      <c r="H41" s="2001"/>
    </row>
    <row r="42" spans="1:10" ht="15.75" thickBot="1">
      <c r="A42" s="1155"/>
      <c r="B42" s="728"/>
      <c r="C42" s="729"/>
      <c r="D42" s="730"/>
      <c r="E42" s="731"/>
      <c r="F42" s="759" t="s">
        <v>102</v>
      </c>
      <c r="G42" s="768">
        <f>SUM(G33:G41)</f>
        <v>2260000</v>
      </c>
      <c r="H42" s="761">
        <f>G42</f>
        <v>2260000</v>
      </c>
      <c r="J42" s="403">
        <f>H42</f>
        <v>2260000</v>
      </c>
    </row>
    <row r="43" spans="1:10">
      <c r="A43" s="1159">
        <v>4</v>
      </c>
      <c r="B43" s="739" t="s">
        <v>345</v>
      </c>
      <c r="C43" s="740"/>
      <c r="D43" s="741"/>
      <c r="E43" s="742"/>
      <c r="F43" s="769"/>
      <c r="G43" s="766"/>
      <c r="H43" s="770"/>
    </row>
    <row r="44" spans="1:10">
      <c r="A44" s="1160" t="s">
        <v>128</v>
      </c>
      <c r="B44" s="714" t="s">
        <v>1150</v>
      </c>
      <c r="C44" s="404"/>
      <c r="D44" s="405">
        <v>31</v>
      </c>
      <c r="E44" s="395" t="s">
        <v>295</v>
      </c>
      <c r="F44" s="764">
        <v>80000</v>
      </c>
      <c r="G44" s="755">
        <f>D44*F44</f>
        <v>2480000</v>
      </c>
      <c r="H44" s="756"/>
      <c r="J44" s="406">
        <v>1500000</v>
      </c>
    </row>
    <row r="45" spans="1:10">
      <c r="A45" s="1155"/>
      <c r="B45" s="728"/>
      <c r="C45" s="729"/>
      <c r="D45" s="730"/>
      <c r="E45" s="731"/>
      <c r="F45" s="759" t="s">
        <v>130</v>
      </c>
      <c r="G45" s="760">
        <f>SUM(G44:G44)</f>
        <v>2480000</v>
      </c>
      <c r="H45" s="761">
        <f>G45</f>
        <v>2480000</v>
      </c>
    </row>
    <row r="46" spans="1:10">
      <c r="A46" s="1159">
        <v>5</v>
      </c>
      <c r="B46" s="739" t="s">
        <v>578</v>
      </c>
      <c r="C46" s="740"/>
      <c r="D46" s="741"/>
      <c r="E46" s="742"/>
      <c r="F46" s="769"/>
      <c r="G46" s="766"/>
      <c r="H46" s="770"/>
    </row>
    <row r="47" spans="1:10">
      <c r="A47" s="1159" t="s">
        <v>170</v>
      </c>
      <c r="B47" s="739" t="s">
        <v>1432</v>
      </c>
      <c r="C47" s="740"/>
      <c r="D47" s="741">
        <v>1</v>
      </c>
      <c r="E47" s="1995" t="s">
        <v>301</v>
      </c>
      <c r="F47" s="769">
        <v>340000</v>
      </c>
      <c r="G47" s="766">
        <f>D47*F47</f>
        <v>340000</v>
      </c>
      <c r="H47" s="770"/>
    </row>
    <row r="48" spans="1:10">
      <c r="A48" s="1160" t="s">
        <v>219</v>
      </c>
      <c r="B48" s="714" t="s">
        <v>177</v>
      </c>
      <c r="C48" s="404"/>
      <c r="D48" s="405">
        <v>1</v>
      </c>
      <c r="E48" s="395" t="s">
        <v>301</v>
      </c>
      <c r="F48" s="764">
        <v>275000</v>
      </c>
      <c r="G48" s="755">
        <f>D48*F48</f>
        <v>275000</v>
      </c>
      <c r="H48" s="756"/>
    </row>
    <row r="49" spans="1:12">
      <c r="A49" s="1159" t="s">
        <v>223</v>
      </c>
      <c r="B49" s="714" t="s">
        <v>178</v>
      </c>
      <c r="C49" s="404"/>
      <c r="D49" s="405">
        <v>1</v>
      </c>
      <c r="E49" s="395" t="s">
        <v>301</v>
      </c>
      <c r="F49" s="764">
        <v>250000</v>
      </c>
      <c r="G49" s="755">
        <f>D49*F49</f>
        <v>250000</v>
      </c>
      <c r="H49" s="756"/>
      <c r="K49" s="264" t="s">
        <v>21</v>
      </c>
    </row>
    <row r="50" spans="1:12">
      <c r="A50" s="1160" t="s">
        <v>270</v>
      </c>
      <c r="B50" s="723" t="s">
        <v>179</v>
      </c>
      <c r="C50" s="724"/>
      <c r="D50" s="738">
        <v>3</v>
      </c>
      <c r="E50" s="725" t="s">
        <v>301</v>
      </c>
      <c r="F50" s="765">
        <v>225000</v>
      </c>
      <c r="G50" s="757">
        <f>D50*F50</f>
        <v>675000</v>
      </c>
      <c r="H50" s="758"/>
    </row>
    <row r="51" spans="1:12">
      <c r="A51" s="1155"/>
      <c r="B51" s="728"/>
      <c r="C51" s="729"/>
      <c r="D51" s="730"/>
      <c r="E51" s="731"/>
      <c r="F51" s="759" t="s">
        <v>269</v>
      </c>
      <c r="G51" s="760">
        <f>SUM(G47:G50)</f>
        <v>1540000</v>
      </c>
      <c r="H51" s="761">
        <f>G51</f>
        <v>1540000</v>
      </c>
    </row>
    <row r="52" spans="1:12">
      <c r="A52" s="1161">
        <v>6</v>
      </c>
      <c r="B52" s="743" t="s">
        <v>348</v>
      </c>
      <c r="C52" s="744"/>
      <c r="D52" s="745"/>
      <c r="E52" s="746"/>
      <c r="F52" s="771"/>
      <c r="G52" s="772"/>
      <c r="H52" s="770"/>
    </row>
    <row r="53" spans="1:12">
      <c r="A53" s="1162" t="s">
        <v>243</v>
      </c>
      <c r="B53" s="747" t="s">
        <v>349</v>
      </c>
      <c r="C53" s="748"/>
      <c r="D53" s="749">
        <v>26</v>
      </c>
      <c r="E53" s="749" t="s">
        <v>281</v>
      </c>
      <c r="F53" s="773">
        <v>80000</v>
      </c>
      <c r="G53" s="757">
        <f>D53*F53</f>
        <v>2080000</v>
      </c>
      <c r="H53" s="758"/>
      <c r="J53" s="402">
        <f>70*50000</f>
        <v>3500000</v>
      </c>
    </row>
    <row r="54" spans="1:12">
      <c r="A54" s="1155"/>
      <c r="B54" s="728"/>
      <c r="C54" s="729"/>
      <c r="D54" s="730"/>
      <c r="E54" s="731"/>
      <c r="F54" s="759" t="s">
        <v>282</v>
      </c>
      <c r="G54" s="760">
        <f>G53</f>
        <v>2080000</v>
      </c>
      <c r="H54" s="761">
        <f>G54</f>
        <v>2080000</v>
      </c>
    </row>
    <row r="55" spans="1:12">
      <c r="A55" s="1163">
        <v>7</v>
      </c>
      <c r="B55" s="734" t="s">
        <v>351</v>
      </c>
      <c r="C55" s="735"/>
      <c r="D55" s="737"/>
      <c r="E55" s="746"/>
      <c r="F55" s="774"/>
      <c r="G55" s="772"/>
      <c r="H55" s="770"/>
    </row>
    <row r="56" spans="1:12">
      <c r="A56" s="1164" t="s">
        <v>242</v>
      </c>
      <c r="B56" s="720" t="s">
        <v>272</v>
      </c>
      <c r="C56" s="707"/>
      <c r="D56" s="407">
        <v>6</v>
      </c>
      <c r="E56" s="1994" t="s">
        <v>1330</v>
      </c>
      <c r="F56" s="764">
        <v>30000</v>
      </c>
      <c r="G56" s="755">
        <f>D56*F56</f>
        <v>180000</v>
      </c>
      <c r="H56" s="756"/>
      <c r="J56" s="408">
        <v>150000</v>
      </c>
    </row>
    <row r="57" spans="1:12">
      <c r="A57" s="1165" t="s">
        <v>333</v>
      </c>
      <c r="B57" s="713" t="s">
        <v>352</v>
      </c>
      <c r="C57" s="706"/>
      <c r="D57" s="400">
        <v>2012</v>
      </c>
      <c r="E57" s="718" t="s">
        <v>346</v>
      </c>
      <c r="F57" s="775">
        <v>250</v>
      </c>
      <c r="G57" s="755">
        <f>D57*F57</f>
        <v>503000</v>
      </c>
      <c r="H57" s="756"/>
      <c r="J57" s="402">
        <v>206000</v>
      </c>
    </row>
    <row r="58" spans="1:12">
      <c r="A58" s="1155"/>
      <c r="B58" s="728"/>
      <c r="C58" s="729"/>
      <c r="D58" s="730"/>
      <c r="E58" s="731"/>
      <c r="F58" s="759" t="s">
        <v>347</v>
      </c>
      <c r="G58" s="760">
        <f>SUM(G56:G57)</f>
        <v>683000</v>
      </c>
      <c r="H58" s="761">
        <f>G58</f>
        <v>683000</v>
      </c>
    </row>
    <row r="59" spans="1:12" ht="15.75">
      <c r="A59" s="1166">
        <v>8</v>
      </c>
      <c r="B59" s="751" t="s">
        <v>353</v>
      </c>
      <c r="C59" s="752"/>
      <c r="D59" s="753"/>
      <c r="E59" s="754"/>
      <c r="F59" s="774"/>
      <c r="G59" s="772"/>
      <c r="H59" s="770"/>
      <c r="I59" s="385"/>
      <c r="J59" s="386"/>
    </row>
    <row r="60" spans="1:12" ht="15.75">
      <c r="A60" s="1167" t="s">
        <v>216</v>
      </c>
      <c r="B60" s="721" t="s">
        <v>354</v>
      </c>
      <c r="C60" s="708"/>
      <c r="D60" s="409">
        <v>140</v>
      </c>
      <c r="E60" s="718" t="s">
        <v>266</v>
      </c>
      <c r="F60" s="776">
        <v>7000</v>
      </c>
      <c r="G60" s="755">
        <f>D60*F60</f>
        <v>980000</v>
      </c>
      <c r="H60" s="756"/>
      <c r="I60" s="385"/>
      <c r="J60" s="386"/>
    </row>
    <row r="61" spans="1:12" ht="15.75">
      <c r="A61" s="1173" t="s">
        <v>580</v>
      </c>
      <c r="B61" s="1174" t="s">
        <v>946</v>
      </c>
      <c r="C61" s="1175"/>
      <c r="D61" s="1176">
        <v>8</v>
      </c>
      <c r="E61" s="750" t="s">
        <v>1107</v>
      </c>
      <c r="F61" s="1177">
        <v>28000</v>
      </c>
      <c r="G61" s="755">
        <f>D61*F61</f>
        <v>224000</v>
      </c>
      <c r="H61" s="758"/>
      <c r="I61" s="385"/>
      <c r="J61" s="386"/>
    </row>
    <row r="62" spans="1:12" ht="16.5" thickBot="1">
      <c r="A62" s="1168" t="s">
        <v>917</v>
      </c>
      <c r="B62" s="722" t="s">
        <v>355</v>
      </c>
      <c r="C62" s="716"/>
      <c r="D62" s="717">
        <v>70</v>
      </c>
      <c r="E62" s="719" t="s">
        <v>266</v>
      </c>
      <c r="F62" s="777">
        <v>20000</v>
      </c>
      <c r="G62" s="778">
        <f>D62*F62</f>
        <v>1400000</v>
      </c>
      <c r="H62" s="779"/>
      <c r="I62" s="385"/>
      <c r="J62" s="386">
        <f>75*8000</f>
        <v>600000</v>
      </c>
      <c r="K62" s="264">
        <v>5000</v>
      </c>
      <c r="L62" s="264" t="e">
        <v>#REF!</v>
      </c>
    </row>
    <row r="63" spans="1:12" ht="16.5" thickBot="1">
      <c r="A63" s="1169"/>
      <c r="B63" s="396"/>
      <c r="C63" s="396"/>
      <c r="D63" s="396"/>
      <c r="E63" s="397"/>
      <c r="F63" s="780" t="s">
        <v>350</v>
      </c>
      <c r="G63" s="781">
        <f>SUM(G60:G62)</f>
        <v>2604000</v>
      </c>
      <c r="H63" s="782">
        <f>G63</f>
        <v>2604000</v>
      </c>
      <c r="I63" s="398"/>
      <c r="J63" s="399">
        <f>75*20000</f>
        <v>1500000</v>
      </c>
    </row>
    <row r="64" spans="1:12" ht="16.5" thickBot="1">
      <c r="A64" s="2982" t="s">
        <v>320</v>
      </c>
      <c r="B64" s="2983"/>
      <c r="C64" s="2983"/>
      <c r="D64" s="2983"/>
      <c r="E64" s="2983"/>
      <c r="F64" s="2983"/>
      <c r="G64" s="2983"/>
      <c r="H64" s="783">
        <f>SUM(H17:H63)</f>
        <v>17600000</v>
      </c>
      <c r="I64" s="385"/>
      <c r="J64" s="386">
        <f>SUM(J18:J63)</f>
        <v>13161000</v>
      </c>
      <c r="K64" s="321">
        <f>15000000-J64</f>
        <v>1839000</v>
      </c>
    </row>
    <row r="65" spans="1:11" ht="15.75">
      <c r="A65" s="1170"/>
      <c r="B65" s="387"/>
      <c r="C65" s="387"/>
      <c r="D65" s="387"/>
      <c r="E65" s="387"/>
      <c r="F65" s="387"/>
      <c r="G65" s="410"/>
      <c r="H65" s="411"/>
      <c r="I65" s="385"/>
      <c r="J65" s="386"/>
    </row>
    <row r="66" spans="1:11" ht="15.75">
      <c r="A66" s="1170"/>
      <c r="B66" s="387"/>
      <c r="C66" s="387"/>
      <c r="D66" s="387"/>
      <c r="E66" s="412"/>
      <c r="F66" s="2984"/>
      <c r="G66" s="2984"/>
      <c r="H66" s="2984"/>
      <c r="I66" s="413"/>
      <c r="J66" s="386"/>
    </row>
    <row r="67" spans="1:11">
      <c r="A67" s="2962"/>
      <c r="B67" s="2962"/>
      <c r="C67" s="692"/>
      <c r="D67" s="433"/>
      <c r="F67" s="2962"/>
      <c r="G67" s="2962"/>
      <c r="H67" s="2962"/>
      <c r="I67" s="307"/>
      <c r="J67" s="307"/>
    </row>
    <row r="68" spans="1:11">
      <c r="A68" s="2962"/>
      <c r="B68" s="2962"/>
      <c r="C68" s="692"/>
      <c r="D68" s="433"/>
      <c r="F68" s="2962"/>
      <c r="G68" s="2962"/>
      <c r="H68" s="2962"/>
      <c r="I68" s="307"/>
      <c r="J68" s="307"/>
      <c r="K68" s="1993">
        <f>H64+3374000</f>
        <v>20974000</v>
      </c>
    </row>
    <row r="69" spans="1:11">
      <c r="A69" s="1171"/>
      <c r="B69" s="433"/>
      <c r="C69" s="692"/>
      <c r="D69" s="433"/>
      <c r="F69" s="307"/>
      <c r="G69" s="308"/>
      <c r="H69" s="308"/>
      <c r="I69" s="308"/>
      <c r="J69" s="264"/>
      <c r="K69" s="1993">
        <f>K68/22</f>
        <v>953363.63636363635</v>
      </c>
    </row>
    <row r="70" spans="1:11">
      <c r="A70" s="1171"/>
      <c r="B70" s="433"/>
      <c r="C70" s="692"/>
      <c r="D70" s="433"/>
      <c r="F70" s="433"/>
      <c r="G70" s="308"/>
      <c r="H70" s="308"/>
      <c r="I70" s="308"/>
      <c r="J70" s="264"/>
      <c r="K70" s="264">
        <f>3374000/800000</f>
        <v>4.2175000000000002</v>
      </c>
    </row>
    <row r="71" spans="1:11">
      <c r="A71" s="1171"/>
      <c r="B71" s="307"/>
      <c r="C71" s="307"/>
      <c r="D71" s="307"/>
      <c r="F71" s="308"/>
      <c r="G71" s="308"/>
      <c r="H71" s="308"/>
      <c r="I71" s="308"/>
      <c r="J71" s="264"/>
    </row>
    <row r="72" spans="1:11">
      <c r="A72" s="1171"/>
      <c r="B72" s="307"/>
      <c r="C72" s="307"/>
      <c r="D72" s="307"/>
      <c r="F72" s="308"/>
      <c r="G72" s="308"/>
      <c r="H72" s="308"/>
      <c r="I72" s="308"/>
      <c r="J72" s="264"/>
    </row>
    <row r="73" spans="1:11">
      <c r="A73" s="2963"/>
      <c r="B73" s="2963"/>
      <c r="C73" s="693"/>
      <c r="D73" s="434"/>
      <c r="F73" s="2963"/>
      <c r="G73" s="2963"/>
      <c r="H73" s="2963"/>
      <c r="I73" s="622"/>
      <c r="J73" s="622"/>
    </row>
    <row r="74" spans="1:11">
      <c r="A74" s="1171"/>
      <c r="B74" s="433"/>
      <c r="C74" s="692"/>
      <c r="D74" s="433"/>
      <c r="E74" s="2962"/>
      <c r="F74" s="2962"/>
      <c r="G74" s="2962"/>
      <c r="H74" s="2962"/>
      <c r="I74" s="2962"/>
      <c r="J74" s="264"/>
    </row>
  </sheetData>
  <customSheetViews>
    <customSheetView guid="{0F09EDAE-127A-4543-88A5-04139BD32AD8}" scale="130" showPageBreaks="1" printArea="1" topLeftCell="A64">
      <selection sqref="A1:H73"/>
      <colBreaks count="1" manualBreakCount="1">
        <brk id="8" max="1048575" man="1"/>
      </colBreaks>
      <pageMargins left="0.70866141732283472" right="0.70866141732283472" top="0.15748031496062992" bottom="0.74803149606299213" header="0.31496062992125984" footer="0.31496062992125984"/>
      <pageSetup paperSize="5" scale="80" orientation="portrait" horizontalDpi="360" verticalDpi="360" r:id="rId1"/>
    </customSheetView>
    <customSheetView guid="{C05430D3-5A25-4A4C-823C-7D6EA772E5F0}" scale="130" showPageBreaks="1" printArea="1" topLeftCell="A64">
      <selection sqref="A1:H73"/>
      <colBreaks count="1" manualBreakCount="1">
        <brk id="8" max="1048575" man="1"/>
      </colBreaks>
      <pageMargins left="0.70866141732283472" right="0.70866141732283472" top="0.15748031496062992" bottom="0.74803149606299213" header="0.31496062992125984" footer="0.31496062992125984"/>
      <pageSetup paperSize="5" scale="80" orientation="portrait" horizontalDpi="360" verticalDpi="360" r:id="rId2"/>
    </customSheetView>
  </customSheetViews>
  <mergeCells count="22">
    <mergeCell ref="D11:E11"/>
    <mergeCell ref="A64:G64"/>
    <mergeCell ref="F66:H66"/>
    <mergeCell ref="A67:B67"/>
    <mergeCell ref="A16:C16"/>
    <mergeCell ref="F67:H67"/>
    <mergeCell ref="A1:H1"/>
    <mergeCell ref="A68:B68"/>
    <mergeCell ref="A73:B73"/>
    <mergeCell ref="E74:I74"/>
    <mergeCell ref="F68:H68"/>
    <mergeCell ref="F73:H73"/>
    <mergeCell ref="A2:H2"/>
    <mergeCell ref="D13:D15"/>
    <mergeCell ref="E13:E15"/>
    <mergeCell ref="F13:F15"/>
    <mergeCell ref="G13:G15"/>
    <mergeCell ref="H13:H15"/>
    <mergeCell ref="D12:E12"/>
    <mergeCell ref="A13:C15"/>
    <mergeCell ref="A3:H3"/>
    <mergeCell ref="A11:B11"/>
  </mergeCells>
  <pageMargins left="0.70866141732283472" right="0.70866141732283472" top="0.15748031496062992" bottom="0.74803149606299213" header="0.31496062992125984" footer="0.31496062992125984"/>
  <pageSetup paperSize="5" scale="80" orientation="portrait" horizontalDpi="360" verticalDpi="360" r:id="rId3"/>
  <colBreaks count="1" manualBreakCount="1">
    <brk id="8" max="1048575" man="1"/>
  </colBreaks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FFFF00"/>
  </sheetPr>
  <dimension ref="A1:U53"/>
  <sheetViews>
    <sheetView workbookViewId="0">
      <selection sqref="A1:H1"/>
    </sheetView>
  </sheetViews>
  <sheetFormatPr defaultRowHeight="15"/>
  <cols>
    <col min="1" max="1" width="4.7109375" customWidth="1"/>
    <col min="2" max="2" width="46.140625" customWidth="1"/>
    <col min="3" max="3" width="1.85546875" customWidth="1"/>
    <col min="4" max="4" width="8.28515625" customWidth="1"/>
    <col min="5" max="5" width="8.85546875" customWidth="1"/>
    <col min="6" max="6" width="10.7109375" customWidth="1"/>
    <col min="7" max="8" width="13" customWidth="1"/>
    <col min="9" max="9" width="11.7109375" bestFit="1" customWidth="1"/>
    <col min="10" max="10" width="12.28515625" bestFit="1" customWidth="1"/>
  </cols>
  <sheetData>
    <row r="1" spans="1:19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9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19">
      <c r="A3" s="2961"/>
      <c r="B3" s="2961"/>
      <c r="C3" s="2961"/>
      <c r="D3" s="2961"/>
      <c r="E3" s="2961"/>
      <c r="F3" s="2961"/>
      <c r="G3" s="2961"/>
      <c r="H3" s="2961"/>
    </row>
    <row r="4" spans="1:19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19">
      <c r="A5" s="278"/>
      <c r="B5" s="279"/>
      <c r="C5" s="281"/>
      <c r="D5" s="279"/>
      <c r="E5" s="279"/>
      <c r="F5" s="947"/>
      <c r="G5" s="279"/>
      <c r="H5" s="264"/>
    </row>
    <row r="6" spans="1:19">
      <c r="A6" s="617"/>
      <c r="B6" s="279"/>
      <c r="C6" s="281"/>
      <c r="D6" s="351"/>
      <c r="E6" s="351"/>
      <c r="F6" s="279"/>
      <c r="G6" s="351"/>
      <c r="H6" s="351"/>
    </row>
    <row r="7" spans="1:19">
      <c r="A7" s="278"/>
      <c r="B7" s="279"/>
      <c r="C7" s="281"/>
      <c r="D7" s="618"/>
      <c r="E7" s="279"/>
      <c r="F7" s="947"/>
      <c r="G7" s="351"/>
      <c r="H7" s="351"/>
    </row>
    <row r="8" spans="1:19">
      <c r="A8" s="278"/>
      <c r="B8" s="279"/>
      <c r="C8" s="281"/>
      <c r="D8" s="279"/>
      <c r="E8" s="279"/>
      <c r="F8" s="279"/>
      <c r="G8" s="351"/>
      <c r="H8" s="351"/>
    </row>
    <row r="9" spans="1:19" ht="15" customHeight="1">
      <c r="A9" s="278"/>
      <c r="B9" s="279"/>
      <c r="C9" s="279"/>
      <c r="D9" s="279"/>
      <c r="E9" s="279"/>
      <c r="F9" s="279"/>
      <c r="G9" s="279"/>
      <c r="H9" s="279"/>
    </row>
    <row r="10" spans="1:19">
      <c r="A10" s="278"/>
      <c r="B10" s="279"/>
      <c r="C10" s="279"/>
      <c r="D10" s="279"/>
      <c r="E10" s="279"/>
      <c r="F10" s="279"/>
      <c r="G10" s="279"/>
      <c r="H10" s="279"/>
    </row>
    <row r="11" spans="1:19">
      <c r="A11" s="2980" t="s">
        <v>110</v>
      </c>
      <c r="B11" s="2980"/>
      <c r="C11" s="281" t="s">
        <v>46</v>
      </c>
      <c r="D11" s="2988">
        <f>H42</f>
        <v>7204564</v>
      </c>
      <c r="E11" s="2988"/>
      <c r="F11" s="689"/>
      <c r="G11" s="282"/>
      <c r="H11" s="282"/>
    </row>
    <row r="12" spans="1:19" ht="15.75" thickBot="1">
      <c r="A12" s="28"/>
      <c r="B12" s="26"/>
      <c r="C12" s="27"/>
      <c r="D12" s="2970"/>
      <c r="E12" s="2970"/>
      <c r="F12" s="28"/>
      <c r="G12" s="28"/>
    </row>
    <row r="13" spans="1:19">
      <c r="A13" s="2989" t="s">
        <v>1</v>
      </c>
      <c r="B13" s="2990"/>
      <c r="C13" s="2991"/>
      <c r="D13" s="2998" t="s">
        <v>60</v>
      </c>
      <c r="E13" s="2998" t="s">
        <v>97</v>
      </c>
      <c r="F13" s="2989" t="s">
        <v>112</v>
      </c>
      <c r="G13" s="2998" t="s">
        <v>113</v>
      </c>
      <c r="H13" s="2991" t="s">
        <v>114</v>
      </c>
    </row>
    <row r="14" spans="1:19">
      <c r="A14" s="2992"/>
      <c r="B14" s="2993"/>
      <c r="C14" s="2994"/>
      <c r="D14" s="2999"/>
      <c r="E14" s="2999"/>
      <c r="F14" s="2992"/>
      <c r="G14" s="2999"/>
      <c r="H14" s="2994"/>
      <c r="S14" t="s">
        <v>21</v>
      </c>
    </row>
    <row r="15" spans="1:19">
      <c r="A15" s="2995"/>
      <c r="B15" s="2996"/>
      <c r="C15" s="2997"/>
      <c r="D15" s="3000"/>
      <c r="E15" s="3000"/>
      <c r="F15" s="2995"/>
      <c r="G15" s="3000"/>
      <c r="H15" s="2997"/>
    </row>
    <row r="16" spans="1:19" ht="15.75">
      <c r="A16" s="116">
        <v>1</v>
      </c>
      <c r="B16" s="143" t="s">
        <v>317</v>
      </c>
      <c r="C16" s="117"/>
      <c r="D16" s="118"/>
      <c r="E16" s="119"/>
      <c r="F16" s="120"/>
      <c r="G16" s="122"/>
      <c r="H16" s="123"/>
    </row>
    <row r="17" spans="1:21" ht="15.75">
      <c r="A17" s="124" t="s">
        <v>115</v>
      </c>
      <c r="B17" s="125" t="s">
        <v>304</v>
      </c>
      <c r="C17" s="126"/>
      <c r="D17" s="127">
        <v>12</v>
      </c>
      <c r="E17" s="128" t="s">
        <v>302</v>
      </c>
      <c r="F17" s="129">
        <v>350000</v>
      </c>
      <c r="G17" s="120">
        <f>+F17*D17</f>
        <v>4200000</v>
      </c>
      <c r="H17" s="131"/>
      <c r="K17">
        <v>41</v>
      </c>
    </row>
    <row r="18" spans="1:21" ht="15.75">
      <c r="A18" s="124"/>
      <c r="B18" s="125"/>
      <c r="C18" s="126"/>
      <c r="D18" s="127"/>
      <c r="E18" s="128"/>
      <c r="F18" s="129"/>
      <c r="G18" s="120"/>
      <c r="H18" s="131"/>
    </row>
    <row r="19" spans="1:21">
      <c r="A19" s="3001" t="s">
        <v>98</v>
      </c>
      <c r="B19" s="3002"/>
      <c r="C19" s="3002"/>
      <c r="D19" s="3002"/>
      <c r="E19" s="3002"/>
      <c r="F19" s="3003"/>
      <c r="G19" s="132">
        <f>SUM(G17:G18)</f>
        <v>4200000</v>
      </c>
      <c r="H19" s="133">
        <f>G19</f>
        <v>4200000</v>
      </c>
    </row>
    <row r="20" spans="1:21" ht="15.75">
      <c r="A20" s="124">
        <v>2</v>
      </c>
      <c r="B20" s="125" t="s">
        <v>299</v>
      </c>
      <c r="C20" s="126"/>
      <c r="D20" s="127"/>
      <c r="E20" s="128"/>
      <c r="F20" s="129"/>
      <c r="G20" s="120"/>
      <c r="H20" s="131"/>
    </row>
    <row r="21" spans="1:21" ht="15.75">
      <c r="A21" s="124" t="s">
        <v>121</v>
      </c>
      <c r="B21" s="125" t="s">
        <v>1214</v>
      </c>
      <c r="C21" s="126"/>
      <c r="D21" s="127">
        <v>13</v>
      </c>
      <c r="E21" s="128" t="s">
        <v>281</v>
      </c>
      <c r="F21" s="129">
        <v>50000</v>
      </c>
      <c r="G21" s="120">
        <f>+F21*D21</f>
        <v>650000</v>
      </c>
      <c r="H21" s="131"/>
    </row>
    <row r="22" spans="1:21" ht="15.75">
      <c r="A22" s="124"/>
      <c r="B22" s="125"/>
      <c r="C22" s="126"/>
      <c r="D22" s="127"/>
      <c r="E22" s="128"/>
      <c r="F22" s="129"/>
      <c r="G22" s="120"/>
      <c r="H22" s="131"/>
      <c r="K22" s="124" t="s">
        <v>122</v>
      </c>
      <c r="L22" s="125" t="s">
        <v>291</v>
      </c>
      <c r="M22" s="126"/>
      <c r="N22" s="127">
        <v>4</v>
      </c>
      <c r="O22" s="128" t="s">
        <v>136</v>
      </c>
      <c r="P22" s="129">
        <v>25000</v>
      </c>
      <c r="Q22" s="130"/>
      <c r="R22" s="120">
        <f>+P22*N22</f>
        <v>100000</v>
      </c>
      <c r="S22" s="131"/>
    </row>
    <row r="23" spans="1:21" ht="15.75">
      <c r="A23" s="3001" t="s">
        <v>99</v>
      </c>
      <c r="B23" s="3002"/>
      <c r="C23" s="3002"/>
      <c r="D23" s="3002"/>
      <c r="E23" s="3002"/>
      <c r="F23" s="3003"/>
      <c r="G23" s="132">
        <f>SUM(G21:G22)</f>
        <v>650000</v>
      </c>
      <c r="H23" s="133">
        <f>G23</f>
        <v>650000</v>
      </c>
      <c r="K23" s="124" t="s">
        <v>123</v>
      </c>
      <c r="L23" s="125" t="s">
        <v>292</v>
      </c>
      <c r="M23" s="126"/>
      <c r="N23" s="127">
        <v>4</v>
      </c>
      <c r="O23" s="128" t="s">
        <v>136</v>
      </c>
      <c r="P23" s="129">
        <v>3000</v>
      </c>
      <c r="Q23" s="130"/>
      <c r="R23" s="120">
        <f>+P23*N23</f>
        <v>12000</v>
      </c>
      <c r="S23" s="131"/>
    </row>
    <row r="24" spans="1:21" ht="15.75">
      <c r="A24" s="116">
        <v>3</v>
      </c>
      <c r="B24" s="125" t="s">
        <v>300</v>
      </c>
      <c r="C24" s="117"/>
      <c r="D24" s="118"/>
      <c r="E24" s="119"/>
      <c r="F24" s="120"/>
      <c r="G24" s="122"/>
      <c r="H24" s="123"/>
    </row>
    <row r="25" spans="1:21" ht="15.75">
      <c r="A25" s="124" t="s">
        <v>126</v>
      </c>
      <c r="B25" s="125" t="s">
        <v>955</v>
      </c>
      <c r="C25" s="126"/>
      <c r="D25" s="127">
        <v>16</v>
      </c>
      <c r="E25" s="128" t="s">
        <v>148</v>
      </c>
      <c r="F25" s="129">
        <v>20000</v>
      </c>
      <c r="G25" s="120">
        <f>+F25*D25</f>
        <v>320000</v>
      </c>
      <c r="H25" s="131"/>
    </row>
    <row r="26" spans="1:21" ht="15.75">
      <c r="A26" s="124" t="s">
        <v>127</v>
      </c>
      <c r="B26" s="125" t="s">
        <v>271</v>
      </c>
      <c r="C26" s="126"/>
      <c r="D26" s="127">
        <v>16</v>
      </c>
      <c r="E26" s="128" t="s">
        <v>148</v>
      </c>
      <c r="F26" s="129">
        <v>7500</v>
      </c>
      <c r="G26" s="120">
        <f>+F26*D26</f>
        <v>120000</v>
      </c>
      <c r="H26" s="131"/>
    </row>
    <row r="27" spans="1:21" ht="15.75">
      <c r="A27" s="124" t="s">
        <v>127</v>
      </c>
      <c r="B27" s="125" t="s">
        <v>236</v>
      </c>
      <c r="C27" s="126"/>
      <c r="D27" s="127">
        <v>4</v>
      </c>
      <c r="E27" s="128" t="s">
        <v>255</v>
      </c>
      <c r="F27" s="129">
        <v>25000</v>
      </c>
      <c r="G27" s="120">
        <f>+F27*D27</f>
        <v>100000</v>
      </c>
      <c r="H27" s="131"/>
    </row>
    <row r="28" spans="1:21" ht="15.75">
      <c r="A28" s="124"/>
      <c r="B28" s="125"/>
      <c r="C28" s="126"/>
      <c r="D28" s="127"/>
      <c r="E28" s="128"/>
      <c r="F28" s="129"/>
      <c r="G28" s="120"/>
      <c r="H28" s="131"/>
      <c r="J28" t="s">
        <v>21</v>
      </c>
      <c r="K28" t="s">
        <v>21</v>
      </c>
    </row>
    <row r="29" spans="1:21">
      <c r="A29" s="3001" t="s">
        <v>102</v>
      </c>
      <c r="B29" s="3002"/>
      <c r="C29" s="3002"/>
      <c r="D29" s="3002"/>
      <c r="E29" s="3002"/>
      <c r="F29" s="3003"/>
      <c r="G29" s="132">
        <f>SUM(G25:G27)</f>
        <v>540000</v>
      </c>
      <c r="H29" s="133">
        <f>G29</f>
        <v>540000</v>
      </c>
    </row>
    <row r="30" spans="1:21" ht="15.75">
      <c r="A30" s="124">
        <v>4</v>
      </c>
      <c r="B30" s="125" t="s">
        <v>296</v>
      </c>
      <c r="C30" s="126"/>
      <c r="D30" s="127"/>
      <c r="E30" s="128"/>
      <c r="F30" s="129"/>
      <c r="G30" s="120"/>
      <c r="H30" s="131"/>
      <c r="U30" t="s">
        <v>21</v>
      </c>
    </row>
    <row r="31" spans="1:21" ht="15.75">
      <c r="A31" s="124" t="s">
        <v>128</v>
      </c>
      <c r="B31" s="125" t="s">
        <v>289</v>
      </c>
      <c r="C31" s="126"/>
      <c r="D31" s="127">
        <v>13</v>
      </c>
      <c r="E31" s="128" t="s">
        <v>141</v>
      </c>
      <c r="F31" s="129">
        <v>30000</v>
      </c>
      <c r="G31" s="120">
        <f>+F31*D31</f>
        <v>390000</v>
      </c>
      <c r="H31" s="131"/>
    </row>
    <row r="32" spans="1:21" ht="15.75">
      <c r="A32" s="124" t="s">
        <v>129</v>
      </c>
      <c r="B32" s="125" t="s">
        <v>272</v>
      </c>
      <c r="C32" s="126"/>
      <c r="D32" s="127">
        <v>1</v>
      </c>
      <c r="E32" s="128" t="s">
        <v>136</v>
      </c>
      <c r="F32" s="61">
        <f>119564+5000</f>
        <v>124564</v>
      </c>
      <c r="G32" s="120">
        <f>D32*F32</f>
        <v>124564</v>
      </c>
      <c r="H32" s="131"/>
      <c r="J32" s="61">
        <f>G32/200</f>
        <v>622.82000000000005</v>
      </c>
      <c r="K32" s="61">
        <f>J32/6</f>
        <v>103.80333333333334</v>
      </c>
      <c r="L32" s="61">
        <f>K32/3</f>
        <v>34.601111111111116</v>
      </c>
    </row>
    <row r="33" spans="1:20">
      <c r="A33" s="3001" t="s">
        <v>130</v>
      </c>
      <c r="B33" s="3002"/>
      <c r="C33" s="3002"/>
      <c r="D33" s="3002"/>
      <c r="E33" s="3002"/>
      <c r="F33" s="3003"/>
      <c r="G33" s="132">
        <f>SUM(G31:G32)</f>
        <v>514564</v>
      </c>
      <c r="H33" s="133">
        <f>G33</f>
        <v>514564</v>
      </c>
    </row>
    <row r="34" spans="1:20" ht="15.75">
      <c r="A34" s="124">
        <v>5</v>
      </c>
      <c r="B34" s="125" t="s">
        <v>215</v>
      </c>
      <c r="C34" s="126"/>
      <c r="D34" s="127"/>
      <c r="E34" s="128"/>
      <c r="F34" s="129"/>
      <c r="G34" s="120"/>
      <c r="H34" s="131"/>
    </row>
    <row r="35" spans="1:20" ht="15.75">
      <c r="A35" s="124" t="s">
        <v>170</v>
      </c>
      <c r="B35" s="125" t="s">
        <v>286</v>
      </c>
      <c r="C35" s="126"/>
      <c r="D35" s="127">
        <v>13</v>
      </c>
      <c r="E35" s="128" t="s">
        <v>136</v>
      </c>
      <c r="F35" s="129">
        <v>15000</v>
      </c>
      <c r="G35" s="120">
        <f>+F35*D35</f>
        <v>195000</v>
      </c>
      <c r="H35" s="131"/>
      <c r="L35" t="s">
        <v>21</v>
      </c>
    </row>
    <row r="36" spans="1:20" ht="15.75">
      <c r="A36" s="124" t="s">
        <v>219</v>
      </c>
      <c r="B36" s="125" t="s">
        <v>147</v>
      </c>
      <c r="C36" s="126"/>
      <c r="D36" s="127">
        <v>13</v>
      </c>
      <c r="E36" s="128" t="s">
        <v>136</v>
      </c>
      <c r="F36" s="129">
        <v>5000</v>
      </c>
      <c r="G36" s="120">
        <f>+F36*D36</f>
        <v>65000</v>
      </c>
      <c r="H36" s="131"/>
      <c r="L36" t="s">
        <v>21</v>
      </c>
      <c r="T36" t="s">
        <v>21</v>
      </c>
    </row>
    <row r="37" spans="1:20">
      <c r="A37" s="3001" t="s">
        <v>269</v>
      </c>
      <c r="B37" s="3002"/>
      <c r="C37" s="3002"/>
      <c r="D37" s="3002"/>
      <c r="E37" s="3002"/>
      <c r="F37" s="3003"/>
      <c r="G37" s="132">
        <f>SUM(G35:G36)</f>
        <v>260000</v>
      </c>
      <c r="H37" s="133">
        <f>G37</f>
        <v>260000</v>
      </c>
    </row>
    <row r="38" spans="1:20" ht="15.75">
      <c r="A38" s="116">
        <v>6</v>
      </c>
      <c r="B38" s="125" t="s">
        <v>325</v>
      </c>
      <c r="C38" s="117"/>
      <c r="D38" s="118"/>
      <c r="E38" s="119"/>
      <c r="F38" s="120"/>
      <c r="G38" s="122"/>
      <c r="H38" s="123"/>
      <c r="J38" s="61">
        <f>J42/3</f>
        <v>-734854.66666666663</v>
      </c>
    </row>
    <row r="39" spans="1:20" ht="15.75">
      <c r="A39" s="124" t="s">
        <v>243</v>
      </c>
      <c r="B39" s="125" t="s">
        <v>290</v>
      </c>
      <c r="C39" s="126"/>
      <c r="D39" s="127">
        <v>16</v>
      </c>
      <c r="E39" s="128" t="s">
        <v>171</v>
      </c>
      <c r="F39" s="129">
        <v>65000</v>
      </c>
      <c r="G39" s="120">
        <f>+F39*D39</f>
        <v>1040000</v>
      </c>
      <c r="H39" s="131"/>
      <c r="M39" t="s">
        <v>21</v>
      </c>
    </row>
    <row r="40" spans="1:20" ht="15.75">
      <c r="A40" s="124"/>
      <c r="B40" s="125"/>
      <c r="C40" s="126"/>
      <c r="D40" s="127">
        <v>1</v>
      </c>
      <c r="E40" s="128"/>
      <c r="F40" s="129"/>
      <c r="G40" s="120">
        <f>+F40*D40</f>
        <v>0</v>
      </c>
      <c r="H40" s="131"/>
      <c r="K40" t="s">
        <v>21</v>
      </c>
      <c r="S40" t="s">
        <v>21</v>
      </c>
    </row>
    <row r="41" spans="1:20">
      <c r="A41" s="3001" t="s">
        <v>282</v>
      </c>
      <c r="B41" s="3002"/>
      <c r="C41" s="3002"/>
      <c r="D41" s="3002"/>
      <c r="E41" s="3002"/>
      <c r="F41" s="3003"/>
      <c r="G41" s="132">
        <f>SUM(G39:G40)</f>
        <v>1040000</v>
      </c>
      <c r="H41" s="133">
        <f>G41</f>
        <v>1040000</v>
      </c>
    </row>
    <row r="42" spans="1:20">
      <c r="A42" s="3004" t="s">
        <v>131</v>
      </c>
      <c r="B42" s="3005"/>
      <c r="C42" s="3005"/>
      <c r="D42" s="3005"/>
      <c r="E42" s="3005"/>
      <c r="F42" s="3005"/>
      <c r="G42" s="135">
        <f>G19+G23+G29+G33+G37+G41</f>
        <v>7204564</v>
      </c>
      <c r="H42" s="136">
        <f>SUM(H17:H41)</f>
        <v>7204564</v>
      </c>
      <c r="I42" s="1253"/>
      <c r="J42" s="61">
        <f>5000000-H42</f>
        <v>-2204564</v>
      </c>
    </row>
    <row r="43" spans="1:20">
      <c r="A43" s="115"/>
      <c r="B43" s="137"/>
      <c r="C43" s="137"/>
      <c r="D43" s="137"/>
      <c r="E43" s="137"/>
      <c r="F43" s="137"/>
      <c r="G43" s="137"/>
      <c r="H43" s="114"/>
    </row>
    <row r="44" spans="1:20">
      <c r="A44" s="113"/>
      <c r="B44" s="113"/>
      <c r="C44" s="113"/>
      <c r="D44" s="113"/>
      <c r="E44" s="113"/>
      <c r="F44" s="113"/>
      <c r="G44" s="113"/>
      <c r="H44" s="114"/>
    </row>
    <row r="45" spans="1:20">
      <c r="A45" s="2962"/>
      <c r="B45" s="2962"/>
      <c r="C45" s="433"/>
      <c r="D45" s="2962"/>
      <c r="E45" s="2962"/>
      <c r="F45" s="2962"/>
      <c r="G45" s="2962"/>
      <c r="H45" s="2962"/>
    </row>
    <row r="46" spans="1:20">
      <c r="A46" s="2962"/>
      <c r="B46" s="2962"/>
      <c r="C46" s="433"/>
      <c r="D46" s="2962"/>
      <c r="E46" s="2962"/>
      <c r="F46" s="2962"/>
      <c r="G46" s="2962"/>
      <c r="H46" s="2962"/>
      <c r="K46" t="s">
        <v>21</v>
      </c>
    </row>
    <row r="47" spans="1:20">
      <c r="A47" s="306"/>
      <c r="B47" s="433"/>
      <c r="C47" s="433"/>
      <c r="D47" s="307"/>
      <c r="E47" s="308"/>
      <c r="F47" s="308"/>
      <c r="G47" s="308"/>
      <c r="H47" s="264"/>
    </row>
    <row r="48" spans="1:20">
      <c r="A48" s="306"/>
      <c r="B48" s="433"/>
      <c r="C48" s="433"/>
      <c r="D48" s="433"/>
      <c r="E48" s="308"/>
      <c r="F48" s="308"/>
      <c r="G48" s="308"/>
      <c r="H48" s="264"/>
      <c r="J48" s="61"/>
    </row>
    <row r="49" spans="1:8">
      <c r="A49" s="306"/>
      <c r="B49" s="307"/>
      <c r="C49" s="307"/>
      <c r="D49" s="308"/>
      <c r="E49" s="308"/>
      <c r="F49" s="308"/>
      <c r="G49" s="308"/>
      <c r="H49" s="264"/>
    </row>
    <row r="50" spans="1:8">
      <c r="A50" s="306"/>
      <c r="B50" s="307"/>
      <c r="C50" s="307"/>
      <c r="D50" s="308"/>
      <c r="E50" s="308"/>
      <c r="F50" s="308"/>
      <c r="G50" s="308"/>
      <c r="H50" s="264"/>
    </row>
    <row r="51" spans="1:8">
      <c r="A51" s="2963"/>
      <c r="B51" s="2963"/>
      <c r="C51" s="434"/>
      <c r="D51" s="2963"/>
      <c r="E51" s="2963"/>
      <c r="F51" s="2963"/>
      <c r="G51" s="2963"/>
      <c r="H51" s="2963"/>
    </row>
    <row r="52" spans="1:8">
      <c r="A52" s="306"/>
      <c r="B52" s="433"/>
      <c r="C52" s="433"/>
      <c r="D52" s="2962"/>
      <c r="E52" s="2962"/>
      <c r="F52" s="2962"/>
      <c r="G52" s="2962"/>
      <c r="H52" s="264"/>
    </row>
    <row r="53" spans="1:8">
      <c r="A53" s="384"/>
      <c r="B53" s="384"/>
      <c r="C53" s="384"/>
      <c r="D53" s="384"/>
      <c r="E53" s="384"/>
      <c r="F53" s="384"/>
      <c r="G53" s="384"/>
      <c r="H53" s="384"/>
    </row>
  </sheetData>
  <customSheetViews>
    <customSheetView guid="{0F09EDAE-127A-4543-88A5-04139BD32AD8}" scale="85" showPageBreaks="1" printArea="1">
      <selection activeCell="H53" sqref="A1:H53"/>
      <pageMargins left="0.70866141732283472" right="0.70866141732283472" top="0.74803149606299213" bottom="0.74803149606299213" header="0.31496062992125984" footer="0.31496062992125984"/>
      <printOptions horizontalCentered="1"/>
      <pageSetup paperSize="5" scale="82" orientation="portrait" r:id="rId1"/>
    </customSheetView>
    <customSheetView guid="{C05430D3-5A25-4A4C-823C-7D6EA772E5F0}" scale="85" showPageBreaks="1" printArea="1">
      <selection activeCell="H53" sqref="A1:H53"/>
      <pageMargins left="0.70866141732283472" right="0.70866141732283472" top="0.74803149606299213" bottom="0.74803149606299213" header="0.31496062992125984" footer="0.31496062992125984"/>
      <printOptions horizontalCentered="1"/>
      <pageSetup paperSize="5" scale="82" orientation="portrait" r:id="rId2"/>
    </customSheetView>
  </customSheetViews>
  <mergeCells count="26">
    <mergeCell ref="A23:F23"/>
    <mergeCell ref="A29:F29"/>
    <mergeCell ref="A33:F33"/>
    <mergeCell ref="A46:B46"/>
    <mergeCell ref="D46:H46"/>
    <mergeCell ref="A37:F37"/>
    <mergeCell ref="A41:F41"/>
    <mergeCell ref="A42:F42"/>
    <mergeCell ref="A45:B45"/>
    <mergeCell ref="D45:H45"/>
    <mergeCell ref="A1:H1"/>
    <mergeCell ref="A3:H3"/>
    <mergeCell ref="A11:B11"/>
    <mergeCell ref="D11:E11"/>
    <mergeCell ref="D52:G52"/>
    <mergeCell ref="A2:H2"/>
    <mergeCell ref="D12:E12"/>
    <mergeCell ref="A13:C15"/>
    <mergeCell ref="D13:D15"/>
    <mergeCell ref="E13:E15"/>
    <mergeCell ref="F13:F15"/>
    <mergeCell ref="G13:G15"/>
    <mergeCell ref="H13:H15"/>
    <mergeCell ref="A51:B51"/>
    <mergeCell ref="D51:H51"/>
    <mergeCell ref="A19:F19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2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396"/>
  <sheetViews>
    <sheetView workbookViewId="0"/>
  </sheetViews>
  <sheetFormatPr defaultColWidth="7.85546875" defaultRowHeight="12.75"/>
  <cols>
    <col min="1" max="2" width="2.7109375" style="1501" customWidth="1"/>
    <col min="3" max="3" width="3.85546875" style="1501" customWidth="1"/>
    <col min="4" max="6" width="2.7109375" style="1501" customWidth="1"/>
    <col min="7" max="7" width="2.7109375" style="1502" customWidth="1"/>
    <col min="8" max="8" width="63.5703125" style="1503" customWidth="1"/>
    <col min="9" max="9" width="14.85546875" style="1504" customWidth="1"/>
    <col min="10" max="10" width="6" style="1741" customWidth="1"/>
    <col min="11" max="11" width="16.140625" style="1504" bestFit="1" customWidth="1"/>
    <col min="12" max="21" width="15.5703125" style="1504" bestFit="1" customWidth="1"/>
    <col min="22" max="22" width="11.42578125" style="1504" customWidth="1"/>
    <col min="23" max="23" width="13.7109375" style="1504" customWidth="1"/>
    <col min="24" max="24" width="19.28515625" style="1504" customWidth="1"/>
    <col min="25" max="25" width="15.5703125" style="1504" customWidth="1"/>
    <col min="26" max="16384" width="7.85546875" style="1504"/>
  </cols>
  <sheetData>
    <row r="1" spans="1:24" ht="7.5" customHeight="1"/>
    <row r="2" spans="1:24" ht="18" customHeight="1">
      <c r="A2" s="3016"/>
      <c r="B2" s="3017"/>
      <c r="C2" s="3017"/>
      <c r="D2" s="3017"/>
      <c r="E2" s="3017"/>
      <c r="F2" s="3017"/>
      <c r="G2" s="3017"/>
      <c r="H2" s="3017"/>
      <c r="I2" s="3017"/>
      <c r="J2" s="3017"/>
      <c r="K2" s="3017"/>
      <c r="L2" s="3017"/>
      <c r="M2" s="3017"/>
      <c r="N2" s="3017"/>
      <c r="O2" s="3017"/>
      <c r="P2" s="3017"/>
      <c r="Q2" s="3017"/>
      <c r="R2" s="3017"/>
      <c r="S2" s="3017"/>
      <c r="T2" s="3017"/>
      <c r="U2" s="3017"/>
      <c r="V2" s="3017"/>
      <c r="W2" s="3018"/>
    </row>
    <row r="3" spans="1:24" ht="19.5" customHeight="1">
      <c r="A3" s="3019" t="s">
        <v>1347</v>
      </c>
      <c r="B3" s="3020"/>
      <c r="C3" s="3020"/>
      <c r="D3" s="3020"/>
      <c r="E3" s="3020"/>
      <c r="F3" s="3020"/>
      <c r="G3" s="3020"/>
      <c r="H3" s="3020"/>
      <c r="I3" s="3020"/>
      <c r="J3" s="3020"/>
      <c r="K3" s="3020"/>
      <c r="L3" s="3020"/>
      <c r="M3" s="3020"/>
      <c r="N3" s="3020"/>
      <c r="O3" s="3020"/>
      <c r="P3" s="3020"/>
      <c r="Q3" s="3020"/>
      <c r="R3" s="3020"/>
      <c r="S3" s="3020"/>
      <c r="T3" s="3020"/>
      <c r="U3" s="3020"/>
      <c r="V3" s="3020"/>
      <c r="W3" s="3021"/>
    </row>
    <row r="4" spans="1:24" ht="16.5" customHeight="1">
      <c r="A4" s="3019" t="s">
        <v>587</v>
      </c>
      <c r="B4" s="3020"/>
      <c r="C4" s="3020"/>
      <c r="D4" s="3020"/>
      <c r="E4" s="3020"/>
      <c r="F4" s="3020"/>
      <c r="G4" s="3020"/>
      <c r="H4" s="3020"/>
      <c r="I4" s="3020"/>
      <c r="J4" s="3020"/>
      <c r="K4" s="3020"/>
      <c r="L4" s="3020"/>
      <c r="M4" s="3020"/>
      <c r="N4" s="3020"/>
      <c r="O4" s="3020"/>
      <c r="P4" s="3020"/>
      <c r="Q4" s="3020"/>
      <c r="R4" s="3020"/>
      <c r="S4" s="3020"/>
      <c r="T4" s="3020"/>
      <c r="U4" s="3020"/>
      <c r="V4" s="3020"/>
      <c r="W4" s="3021"/>
    </row>
    <row r="5" spans="1:24">
      <c r="A5" s="1505" t="s">
        <v>1092</v>
      </c>
      <c r="B5" s="1506"/>
      <c r="C5" s="1506"/>
      <c r="D5" s="1506"/>
      <c r="E5" s="1506"/>
      <c r="F5" s="1506"/>
      <c r="G5" s="1507" t="s">
        <v>46</v>
      </c>
      <c r="H5" s="1511" t="s">
        <v>1205</v>
      </c>
      <c r="I5" s="1508"/>
      <c r="J5" s="1508"/>
      <c r="K5" s="1508"/>
      <c r="L5" s="1508"/>
      <c r="M5" s="1508"/>
      <c r="N5" s="1508"/>
      <c r="O5" s="1508"/>
      <c r="P5" s="1508"/>
      <c r="Q5" s="1508"/>
      <c r="R5" s="1508"/>
      <c r="S5" s="1508"/>
      <c r="T5" s="1508"/>
      <c r="U5" s="1508"/>
      <c r="V5" s="1508"/>
      <c r="W5" s="1509"/>
    </row>
    <row r="6" spans="1:24">
      <c r="A6" s="1510" t="s">
        <v>1093</v>
      </c>
      <c r="B6" s="1504"/>
      <c r="C6" s="1504"/>
      <c r="D6" s="1504"/>
      <c r="E6" s="1504"/>
      <c r="F6" s="1504"/>
      <c r="G6" s="1507" t="s">
        <v>46</v>
      </c>
      <c r="H6" s="1511" t="s">
        <v>203</v>
      </c>
      <c r="I6" s="1506"/>
      <c r="J6" s="1506"/>
      <c r="K6" s="1512"/>
      <c r="L6" s="1512"/>
      <c r="M6" s="1512"/>
      <c r="N6" s="1512"/>
      <c r="O6" s="1512"/>
      <c r="P6" s="1512"/>
      <c r="Q6" s="1512"/>
      <c r="R6" s="1512"/>
      <c r="S6" s="1512"/>
      <c r="T6" s="1512"/>
      <c r="U6" s="1512"/>
      <c r="V6" s="1512"/>
      <c r="W6" s="1513"/>
    </row>
    <row r="7" spans="1:24">
      <c r="A7" s="1505" t="s">
        <v>1094</v>
      </c>
      <c r="B7" s="1506"/>
      <c r="C7" s="1506"/>
      <c r="D7" s="1506"/>
      <c r="E7" s="1506"/>
      <c r="F7" s="1506"/>
      <c r="G7" s="1507" t="s">
        <v>46</v>
      </c>
      <c r="H7" s="1511" t="s">
        <v>54</v>
      </c>
      <c r="I7" s="1506"/>
      <c r="J7" s="1506"/>
      <c r="K7" s="1512"/>
      <c r="L7" s="1512"/>
      <c r="M7" s="1512"/>
      <c r="N7" s="1512"/>
      <c r="O7" s="1512"/>
      <c r="P7" s="1512"/>
      <c r="Q7" s="1512"/>
      <c r="R7" s="1512"/>
      <c r="S7" s="1512"/>
      <c r="T7" s="1512"/>
      <c r="U7" s="1512"/>
      <c r="V7" s="1512"/>
      <c r="W7" s="1513"/>
    </row>
    <row r="8" spans="1:24">
      <c r="A8" s="1505" t="s">
        <v>373</v>
      </c>
      <c r="B8" s="1506"/>
      <c r="C8" s="1506"/>
      <c r="D8" s="1506"/>
      <c r="E8" s="1506"/>
      <c r="F8" s="1506"/>
      <c r="G8" s="1507" t="s">
        <v>46</v>
      </c>
      <c r="H8" s="1511" t="s">
        <v>56</v>
      </c>
      <c r="I8" s="1506" t="s">
        <v>21</v>
      </c>
      <c r="J8" s="1506"/>
      <c r="K8" s="1512"/>
      <c r="L8" s="1512"/>
      <c r="M8" s="1512"/>
      <c r="N8" s="1512"/>
      <c r="O8" s="1512"/>
      <c r="P8" s="1512"/>
      <c r="Q8" s="1512"/>
      <c r="R8" s="1512"/>
      <c r="S8" s="1512"/>
      <c r="T8" s="1512"/>
      <c r="U8" s="1512"/>
      <c r="V8" s="1512"/>
      <c r="W8" s="1513"/>
    </row>
    <row r="9" spans="1:24">
      <c r="A9" s="1514"/>
      <c r="B9" s="1515"/>
      <c r="C9" s="1515"/>
      <c r="D9" s="1515"/>
      <c r="E9" s="1515"/>
      <c r="F9" s="1515"/>
      <c r="G9" s="1516"/>
      <c r="H9" s="1517"/>
      <c r="I9" s="1518"/>
      <c r="J9" s="1518"/>
      <c r="K9" s="1519"/>
      <c r="L9" s="1519"/>
      <c r="M9" s="1519"/>
      <c r="N9" s="1519"/>
      <c r="O9" s="1519"/>
      <c r="P9" s="1519"/>
      <c r="Q9" s="1519"/>
      <c r="R9" s="1519"/>
      <c r="S9" s="1519"/>
      <c r="T9" s="1519"/>
      <c r="U9" s="1519"/>
      <c r="V9" s="1519"/>
      <c r="W9" s="1520"/>
    </row>
    <row r="10" spans="1:24">
      <c r="A10" s="3022"/>
      <c r="B10" s="3023"/>
      <c r="C10" s="3023"/>
      <c r="D10" s="3023"/>
      <c r="E10" s="3023"/>
      <c r="F10" s="3023"/>
      <c r="G10" s="3023"/>
      <c r="H10" s="3023"/>
      <c r="I10" s="3023"/>
      <c r="J10" s="3023"/>
      <c r="K10" s="3023"/>
      <c r="L10" s="3023"/>
      <c r="M10" s="3023"/>
      <c r="N10" s="3023"/>
      <c r="O10" s="3023"/>
      <c r="P10" s="3023"/>
      <c r="Q10" s="3023"/>
      <c r="R10" s="3023"/>
      <c r="S10" s="3023"/>
      <c r="T10" s="3023"/>
      <c r="U10" s="3023"/>
      <c r="V10" s="3023"/>
      <c r="W10" s="3024"/>
    </row>
    <row r="11" spans="1:24" ht="13.5" thickBot="1">
      <c r="A11" s="3025"/>
      <c r="B11" s="3026"/>
      <c r="C11" s="3026"/>
      <c r="D11" s="3026"/>
      <c r="E11" s="3026"/>
      <c r="F11" s="3026"/>
      <c r="G11" s="3026"/>
      <c r="H11" s="3026"/>
      <c r="I11" s="3026"/>
      <c r="J11" s="3026"/>
      <c r="K11" s="3026"/>
      <c r="L11" s="3026"/>
      <c r="M11" s="3026"/>
      <c r="N11" s="3026"/>
      <c r="O11" s="3026"/>
      <c r="P11" s="3026"/>
      <c r="Q11" s="3026"/>
      <c r="R11" s="3026"/>
      <c r="S11" s="3026"/>
      <c r="T11" s="3026"/>
      <c r="U11" s="3026"/>
      <c r="V11" s="3026"/>
      <c r="W11" s="3027"/>
    </row>
    <row r="12" spans="1:24" ht="25.5" customHeight="1">
      <c r="A12" s="3028" t="s">
        <v>1349</v>
      </c>
      <c r="B12" s="3029"/>
      <c r="C12" s="3029"/>
      <c r="D12" s="3029"/>
      <c r="E12" s="3029"/>
      <c r="F12" s="3029"/>
      <c r="G12" s="3029"/>
      <c r="H12" s="3028" t="s">
        <v>1350</v>
      </c>
      <c r="I12" s="3034" t="s">
        <v>2</v>
      </c>
      <c r="J12" s="3035"/>
      <c r="K12" s="3038" t="s">
        <v>1351</v>
      </c>
      <c r="L12" s="3039"/>
      <c r="M12" s="3039"/>
      <c r="N12" s="3039"/>
      <c r="O12" s="3039"/>
      <c r="P12" s="3039"/>
      <c r="Q12" s="3039"/>
      <c r="R12" s="3039"/>
      <c r="S12" s="3039"/>
      <c r="T12" s="3039"/>
      <c r="U12" s="3039"/>
      <c r="V12" s="3039"/>
      <c r="W12" s="3040" t="s">
        <v>1352</v>
      </c>
    </row>
    <row r="13" spans="1:24" ht="13.5" customHeight="1" thickBot="1">
      <c r="A13" s="3030"/>
      <c r="B13" s="3031"/>
      <c r="C13" s="3031"/>
      <c r="D13" s="3031"/>
      <c r="E13" s="3031"/>
      <c r="F13" s="3031"/>
      <c r="G13" s="3031"/>
      <c r="H13" s="3030"/>
      <c r="I13" s="3036"/>
      <c r="J13" s="3037"/>
      <c r="K13" s="1521" t="s">
        <v>870</v>
      </c>
      <c r="L13" s="1521" t="s">
        <v>1353</v>
      </c>
      <c r="M13" s="1521" t="s">
        <v>874</v>
      </c>
      <c r="N13" s="1521" t="s">
        <v>1354</v>
      </c>
      <c r="O13" s="1521" t="s">
        <v>1355</v>
      </c>
      <c r="P13" s="1521" t="s">
        <v>1047</v>
      </c>
      <c r="Q13" s="1521" t="s">
        <v>960</v>
      </c>
      <c r="R13" s="1521" t="s">
        <v>1048</v>
      </c>
      <c r="S13" s="1521" t="s">
        <v>873</v>
      </c>
      <c r="T13" s="1521" t="s">
        <v>1356</v>
      </c>
      <c r="U13" s="1521" t="s">
        <v>872</v>
      </c>
      <c r="V13" s="1522" t="s">
        <v>871</v>
      </c>
      <c r="W13" s="3041"/>
    </row>
    <row r="14" spans="1:24" ht="24">
      <c r="A14" s="3032"/>
      <c r="B14" s="3033"/>
      <c r="C14" s="3033"/>
      <c r="D14" s="3033"/>
      <c r="E14" s="3033"/>
      <c r="F14" s="3033"/>
      <c r="G14" s="3033"/>
      <c r="H14" s="3032"/>
      <c r="I14" s="1523" t="s">
        <v>376</v>
      </c>
      <c r="J14" s="1524" t="s">
        <v>47</v>
      </c>
      <c r="K14" s="1525" t="s">
        <v>1357</v>
      </c>
      <c r="L14" s="1525" t="s">
        <v>1357</v>
      </c>
      <c r="M14" s="1525" t="s">
        <v>1357</v>
      </c>
      <c r="N14" s="1525" t="s">
        <v>1357</v>
      </c>
      <c r="O14" s="1525" t="s">
        <v>1357</v>
      </c>
      <c r="P14" s="1525" t="s">
        <v>1357</v>
      </c>
      <c r="Q14" s="1525" t="s">
        <v>1357</v>
      </c>
      <c r="R14" s="1525" t="s">
        <v>1357</v>
      </c>
      <c r="S14" s="1525" t="s">
        <v>1357</v>
      </c>
      <c r="T14" s="1525" t="s">
        <v>1357</v>
      </c>
      <c r="U14" s="1525" t="s">
        <v>1357</v>
      </c>
      <c r="V14" s="1526" t="s">
        <v>1357</v>
      </c>
      <c r="W14" s="3042"/>
    </row>
    <row r="15" spans="1:24">
      <c r="A15" s="3007">
        <v>1</v>
      </c>
      <c r="B15" s="3008"/>
      <c r="C15" s="3009"/>
      <c r="D15" s="3007">
        <v>2</v>
      </c>
      <c r="E15" s="3008"/>
      <c r="F15" s="3008"/>
      <c r="G15" s="3008"/>
      <c r="H15" s="1527">
        <v>3</v>
      </c>
      <c r="I15" s="1527">
        <v>4</v>
      </c>
      <c r="J15" s="1743">
        <v>5</v>
      </c>
      <c r="K15" s="3007">
        <v>6</v>
      </c>
      <c r="L15" s="3008"/>
      <c r="M15" s="3008"/>
      <c r="N15" s="3008"/>
      <c r="O15" s="3008"/>
      <c r="P15" s="3008"/>
      <c r="Q15" s="3008"/>
      <c r="R15" s="3008"/>
      <c r="S15" s="3008"/>
      <c r="T15" s="3008"/>
      <c r="U15" s="3008"/>
      <c r="V15" s="3009"/>
      <c r="W15" s="1528">
        <v>7</v>
      </c>
    </row>
    <row r="16" spans="1:24" s="1540" customFormat="1" ht="22.5" customHeight="1">
      <c r="A16" s="1669">
        <f>IF('Pnj APBDES'!A67="","",'Pnj APBDES'!A67)</f>
        <v>1</v>
      </c>
      <c r="B16" s="1669" t="str">
        <f>IF('Pnj APBDES'!B67="","",'Pnj APBDES'!B67)</f>
        <v/>
      </c>
      <c r="C16" s="1669" t="str">
        <f>IF('Pnj APBDES'!C67="","",'Pnj APBDES'!C67)</f>
        <v/>
      </c>
      <c r="D16" s="1669" t="str">
        <f>IF('Pnj APBDES'!D67="","",'Pnj APBDES'!D67)</f>
        <v/>
      </c>
      <c r="E16" s="1669" t="str">
        <f>IF('Pnj APBDES'!E67="","",'Pnj APBDES'!E67)</f>
        <v/>
      </c>
      <c r="F16" s="1669" t="str">
        <f>IF('Pnj APBDES'!F67="","",'Pnj APBDES'!F67)</f>
        <v/>
      </c>
      <c r="G16" s="1669" t="str">
        <f>IF('Pnj APBDES'!G67="","",'Pnj APBDES'!G67)</f>
        <v/>
      </c>
      <c r="H16" s="1670" t="str">
        <f>IF('Pnj APBDES'!H67="","",'Pnj APBDES'!H67)</f>
        <v>PENYELENGGARAAN PEMERINTAHAN DESA</v>
      </c>
      <c r="I16" s="1671">
        <f>'Pnj APBDES'!K67</f>
        <v>597552000</v>
      </c>
      <c r="J16" s="1744" t="str">
        <f>IF('Pnj APBDES'!N67="","",'Pnj APBDES'!N67)</f>
        <v/>
      </c>
      <c r="K16" s="1671">
        <f t="shared" ref="K16:V16" si="0">K17+K73+K79+K84+K108</f>
        <v>42906000</v>
      </c>
      <c r="L16" s="1671">
        <f t="shared" si="0"/>
        <v>42906000</v>
      </c>
      <c r="M16" s="1671">
        <f t="shared" si="0"/>
        <v>51289000</v>
      </c>
      <c r="N16" s="1671" t="e">
        <f t="shared" si="0"/>
        <v>#REF!</v>
      </c>
      <c r="O16" s="1671">
        <f t="shared" si="0"/>
        <v>46006000</v>
      </c>
      <c r="P16" s="1671">
        <f t="shared" si="0"/>
        <v>66226000</v>
      </c>
      <c r="Q16" s="1671">
        <f t="shared" si="0"/>
        <v>48256000</v>
      </c>
      <c r="R16" s="1671">
        <f t="shared" si="0"/>
        <v>45655000</v>
      </c>
      <c r="S16" s="1671">
        <f t="shared" si="0"/>
        <v>49885500</v>
      </c>
      <c r="T16" s="1671">
        <f t="shared" si="0"/>
        <v>60041000</v>
      </c>
      <c r="U16" s="1671">
        <f t="shared" si="0"/>
        <v>46116000</v>
      </c>
      <c r="V16" s="1671">
        <f t="shared" si="0"/>
        <v>44831000</v>
      </c>
      <c r="W16" s="1671" t="e">
        <f>SUM(K16:V16)</f>
        <v>#REF!</v>
      </c>
      <c r="X16" s="1751" t="e">
        <f>IF(W16=I16,"Sama","Salah")</f>
        <v>#REF!</v>
      </c>
    </row>
    <row r="17" spans="1:24" s="1540" customFormat="1" ht="22.5" customHeight="1">
      <c r="A17" s="1672">
        <f>IF('Pnj APBDES'!A68="","",'Pnj APBDES'!A68)</f>
        <v>1</v>
      </c>
      <c r="B17" s="1673">
        <f>IF('Pnj APBDES'!B68="","",'Pnj APBDES'!B68)</f>
        <v>1</v>
      </c>
      <c r="C17" s="1672" t="str">
        <f>IF('Pnj APBDES'!C68="","",'Pnj APBDES'!C68)</f>
        <v/>
      </c>
      <c r="D17" s="1672" t="str">
        <f>IF('Pnj APBDES'!D68="","",'Pnj APBDES'!D68)</f>
        <v/>
      </c>
      <c r="E17" s="1672" t="str">
        <f>IF('Pnj APBDES'!E68="","",'Pnj APBDES'!E68)</f>
        <v/>
      </c>
      <c r="F17" s="1672" t="str">
        <f>IF('Pnj APBDES'!F68="","",'Pnj APBDES'!F68)</f>
        <v/>
      </c>
      <c r="G17" s="1672" t="str">
        <f>IF('Pnj APBDES'!G68="","",'Pnj APBDES'!G68)</f>
        <v/>
      </c>
      <c r="H17" s="1674" t="str">
        <f>IF('Pnj APBDES'!H68="","",'Pnj APBDES'!H68)</f>
        <v>Penyelenggaraan Belanja Penghasilan Tetap, Tunjangan dan Operasional Pemerintahan Desa</v>
      </c>
      <c r="I17" s="1675">
        <f>'Pnj APBDES'!K68</f>
        <v>422969500</v>
      </c>
      <c r="J17" s="1745" t="str">
        <f>IF('Pnj APBDES'!N68="","",'Pnj APBDES'!N68)</f>
        <v/>
      </c>
      <c r="K17" s="1675">
        <f t="shared" ref="K17:V17" si="1">K18+K23+K28+K35+K57+K61+K69</f>
        <v>42906000</v>
      </c>
      <c r="L17" s="1675">
        <f t="shared" si="1"/>
        <v>42906000</v>
      </c>
      <c r="M17" s="1675">
        <f t="shared" si="1"/>
        <v>51289000</v>
      </c>
      <c r="N17" s="1675">
        <f t="shared" si="1"/>
        <v>44386000</v>
      </c>
      <c r="O17" s="1675">
        <f t="shared" si="1"/>
        <v>46006000</v>
      </c>
      <c r="P17" s="1675">
        <f t="shared" si="1"/>
        <v>45056000</v>
      </c>
      <c r="Q17" s="1675">
        <f t="shared" si="1"/>
        <v>48256000</v>
      </c>
      <c r="R17" s="1675">
        <f t="shared" si="1"/>
        <v>44446000</v>
      </c>
      <c r="S17" s="1675">
        <f t="shared" si="1"/>
        <v>47385500</v>
      </c>
      <c r="T17" s="1675">
        <f t="shared" si="1"/>
        <v>46386000</v>
      </c>
      <c r="U17" s="1675">
        <f t="shared" si="1"/>
        <v>46116000</v>
      </c>
      <c r="V17" s="1675">
        <f t="shared" si="1"/>
        <v>44831000</v>
      </c>
      <c r="W17" s="1675">
        <f t="shared" ref="W17:W80" si="2">SUM(K17:V17)</f>
        <v>549969500</v>
      </c>
      <c r="X17" s="1751" t="str">
        <f t="shared" ref="X17:X79" si="3">IF(W17=I17,"Sama","Salah")</f>
        <v>Salah</v>
      </c>
    </row>
    <row r="18" spans="1:24" s="1540" customFormat="1">
      <c r="A18" s="1672">
        <f>IF('Pnj APBDES'!A69="","",'Pnj APBDES'!A69)</f>
        <v>1</v>
      </c>
      <c r="B18" s="1673">
        <f>IF('Pnj APBDES'!B69="","",'Pnj APBDES'!B69)</f>
        <v>1</v>
      </c>
      <c r="C18" s="1673" t="str">
        <f>IF('Pnj APBDES'!C69="","",'Pnj APBDES'!C69)</f>
        <v>01</v>
      </c>
      <c r="D18" s="1672">
        <f>IF('Pnj APBDES'!D69="","",'Pnj APBDES'!D69)</f>
        <v>5</v>
      </c>
      <c r="E18" s="1672" t="str">
        <f>IF('Pnj APBDES'!E69="","",'Pnj APBDES'!E69)</f>
        <v/>
      </c>
      <c r="F18" s="1672" t="str">
        <f>IF('Pnj APBDES'!F69="","",'Pnj APBDES'!F69)</f>
        <v/>
      </c>
      <c r="G18" s="1672" t="str">
        <f>IF('Pnj APBDES'!G69="","",'Pnj APBDES'!G69)</f>
        <v/>
      </c>
      <c r="H18" s="1674" t="str">
        <f>IF('Pnj APBDES'!H69="","",'Pnj APBDES'!H69)</f>
        <v>Penyediaan Penghasilan Tetap dan Tunjangan Kepala Desa</v>
      </c>
      <c r="I18" s="1675">
        <f>'Pnj APBDES'!K69</f>
        <v>43250000</v>
      </c>
      <c r="J18" s="1745" t="str">
        <f>IF('Pnj APBDES'!N69="","",'Pnj APBDES'!N69)</f>
        <v/>
      </c>
      <c r="K18" s="1675">
        <f>K19</f>
        <v>3500000</v>
      </c>
      <c r="L18" s="1675">
        <f t="shared" ref="L18:V19" si="4">L19</f>
        <v>3500000</v>
      </c>
      <c r="M18" s="1675">
        <f t="shared" si="4"/>
        <v>3500000</v>
      </c>
      <c r="N18" s="1675">
        <f t="shared" si="4"/>
        <v>3500000</v>
      </c>
      <c r="O18" s="1675">
        <f t="shared" si="4"/>
        <v>3500000</v>
      </c>
      <c r="P18" s="1675">
        <f t="shared" si="4"/>
        <v>3500000</v>
      </c>
      <c r="Q18" s="1675">
        <f t="shared" si="4"/>
        <v>3500000</v>
      </c>
      <c r="R18" s="1675">
        <f t="shared" si="4"/>
        <v>3500000</v>
      </c>
      <c r="S18" s="1675">
        <f t="shared" si="4"/>
        <v>3500000</v>
      </c>
      <c r="T18" s="1675">
        <f t="shared" si="4"/>
        <v>3500000</v>
      </c>
      <c r="U18" s="1675">
        <f t="shared" si="4"/>
        <v>3500000</v>
      </c>
      <c r="V18" s="1675">
        <f t="shared" si="4"/>
        <v>3500000</v>
      </c>
      <c r="W18" s="1675">
        <f t="shared" si="2"/>
        <v>42000000</v>
      </c>
      <c r="X18" s="1751" t="str">
        <f t="shared" si="3"/>
        <v>Salah</v>
      </c>
    </row>
    <row r="19" spans="1:24">
      <c r="A19" s="1676">
        <f>IF('Pnj APBDES'!A70="","",'Pnj APBDES'!A70)</f>
        <v>1</v>
      </c>
      <c r="B19" s="1677">
        <f>IF('Pnj APBDES'!B70="","",'Pnj APBDES'!B70)</f>
        <v>1</v>
      </c>
      <c r="C19" s="1677" t="str">
        <f>IF('Pnj APBDES'!C70="","",'Pnj APBDES'!C70)</f>
        <v>01</v>
      </c>
      <c r="D19" s="1676">
        <f>IF('Pnj APBDES'!D70="","",'Pnj APBDES'!D70)</f>
        <v>5</v>
      </c>
      <c r="E19" s="1676">
        <f>IF('Pnj APBDES'!E70="","",'Pnj APBDES'!E70)</f>
        <v>1</v>
      </c>
      <c r="F19" s="1676" t="str">
        <f>IF('Pnj APBDES'!F70="","",'Pnj APBDES'!F70)</f>
        <v/>
      </c>
      <c r="G19" s="1676" t="str">
        <f>IF('Pnj APBDES'!G70="","",'Pnj APBDES'!G70)</f>
        <v/>
      </c>
      <c r="H19" s="1678" t="str">
        <f>IF('Pnj APBDES'!H70="","",'Pnj APBDES'!H70)</f>
        <v>Belanja Pegawai</v>
      </c>
      <c r="I19" s="1679">
        <f>'Pnj APBDES'!K70</f>
        <v>43250000</v>
      </c>
      <c r="J19" s="1746" t="str">
        <f>IF('Pnj APBDES'!N70="","",'Pnj APBDES'!N70)</f>
        <v/>
      </c>
      <c r="K19" s="1679">
        <f>K20</f>
        <v>3500000</v>
      </c>
      <c r="L19" s="1679">
        <f t="shared" si="4"/>
        <v>3500000</v>
      </c>
      <c r="M19" s="1679">
        <f t="shared" si="4"/>
        <v>3500000</v>
      </c>
      <c r="N19" s="1679">
        <f t="shared" si="4"/>
        <v>3500000</v>
      </c>
      <c r="O19" s="1679">
        <f t="shared" si="4"/>
        <v>3500000</v>
      </c>
      <c r="P19" s="1679">
        <f t="shared" si="4"/>
        <v>3500000</v>
      </c>
      <c r="Q19" s="1679">
        <f t="shared" si="4"/>
        <v>3500000</v>
      </c>
      <c r="R19" s="1679">
        <f t="shared" si="4"/>
        <v>3500000</v>
      </c>
      <c r="S19" s="1679">
        <f t="shared" si="4"/>
        <v>3500000</v>
      </c>
      <c r="T19" s="1679">
        <f t="shared" si="4"/>
        <v>3500000</v>
      </c>
      <c r="U19" s="1679">
        <f t="shared" si="4"/>
        <v>3500000</v>
      </c>
      <c r="V19" s="1679">
        <f t="shared" si="4"/>
        <v>3500000</v>
      </c>
      <c r="W19" s="1679">
        <f t="shared" si="2"/>
        <v>42000000</v>
      </c>
      <c r="X19" s="1751" t="str">
        <f t="shared" si="3"/>
        <v>Salah</v>
      </c>
    </row>
    <row r="20" spans="1:24">
      <c r="A20" s="1676">
        <f>IF('Pnj APBDES'!A71="","",'Pnj APBDES'!A71)</f>
        <v>1</v>
      </c>
      <c r="B20" s="1677">
        <f>IF('Pnj APBDES'!B71="","",'Pnj APBDES'!B71)</f>
        <v>1</v>
      </c>
      <c r="C20" s="1677" t="str">
        <f>IF('Pnj APBDES'!C71="","",'Pnj APBDES'!C71)</f>
        <v>01</v>
      </c>
      <c r="D20" s="1676">
        <f>IF('Pnj APBDES'!D71="","",'Pnj APBDES'!D71)</f>
        <v>5</v>
      </c>
      <c r="E20" s="1676">
        <f>IF('Pnj APBDES'!E71="","",'Pnj APBDES'!E71)</f>
        <v>1</v>
      </c>
      <c r="F20" s="1677">
        <f>IF('Pnj APBDES'!F71="","",'Pnj APBDES'!F71)</f>
        <v>1</v>
      </c>
      <c r="G20" s="1677" t="str">
        <f>IF('Pnj APBDES'!G71="","",'Pnj APBDES'!G71)</f>
        <v/>
      </c>
      <c r="H20" s="1678" t="str">
        <f>IF('Pnj APBDES'!H71="","",'Pnj APBDES'!H71)</f>
        <v>Penghasilan Tetap &amp; Tunjangan Kepala Desa</v>
      </c>
      <c r="I20" s="1679">
        <f>'Pnj APBDES'!K71</f>
        <v>43250000</v>
      </c>
      <c r="J20" s="1746" t="str">
        <f>IF('Pnj APBDES'!N71="","",'Pnj APBDES'!N71)</f>
        <v/>
      </c>
      <c r="K20" s="1679">
        <f>K21+K22</f>
        <v>3500000</v>
      </c>
      <c r="L20" s="1679">
        <f t="shared" ref="L20:V20" si="5">L21+L22</f>
        <v>3500000</v>
      </c>
      <c r="M20" s="1679">
        <f t="shared" si="5"/>
        <v>3500000</v>
      </c>
      <c r="N20" s="1679">
        <f t="shared" si="5"/>
        <v>3500000</v>
      </c>
      <c r="O20" s="1679">
        <f t="shared" si="5"/>
        <v>3500000</v>
      </c>
      <c r="P20" s="1679">
        <f t="shared" si="5"/>
        <v>3500000</v>
      </c>
      <c r="Q20" s="1679">
        <f t="shared" si="5"/>
        <v>3500000</v>
      </c>
      <c r="R20" s="1679">
        <f t="shared" si="5"/>
        <v>3500000</v>
      </c>
      <c r="S20" s="1679">
        <f t="shared" si="5"/>
        <v>3500000</v>
      </c>
      <c r="T20" s="1679">
        <f t="shared" si="5"/>
        <v>3500000</v>
      </c>
      <c r="U20" s="1679">
        <f t="shared" si="5"/>
        <v>3500000</v>
      </c>
      <c r="V20" s="1679">
        <f t="shared" si="5"/>
        <v>3500000</v>
      </c>
      <c r="W20" s="1679">
        <f t="shared" si="2"/>
        <v>42000000</v>
      </c>
      <c r="X20" s="1751" t="str">
        <f t="shared" si="3"/>
        <v>Salah</v>
      </c>
    </row>
    <row r="21" spans="1:24" ht="12" customHeight="1">
      <c r="A21" s="1676">
        <f>IF('Pnj APBDES'!A72="","",'Pnj APBDES'!A72)</f>
        <v>1</v>
      </c>
      <c r="B21" s="1677">
        <f>IF('Pnj APBDES'!B72="","",'Pnj APBDES'!B72)</f>
        <v>1</v>
      </c>
      <c r="C21" s="1677" t="str">
        <f>IF('Pnj APBDES'!C72="","",'Pnj APBDES'!C72)</f>
        <v>01</v>
      </c>
      <c r="D21" s="1676">
        <f>IF('Pnj APBDES'!D72="","",'Pnj APBDES'!D72)</f>
        <v>5</v>
      </c>
      <c r="E21" s="1676">
        <f>IF('Pnj APBDES'!E72="","",'Pnj APBDES'!E72)</f>
        <v>1</v>
      </c>
      <c r="F21" s="1677">
        <f>IF('Pnj APBDES'!F72="","",'Pnj APBDES'!F72)</f>
        <v>1</v>
      </c>
      <c r="G21" s="1677">
        <f>IF('Pnj APBDES'!G72="","",'Pnj APBDES'!G72)</f>
        <v>1</v>
      </c>
      <c r="H21" s="1678" t="str">
        <f>IF('Pnj APBDES'!H72="","",'Pnj APBDES'!H72)</f>
        <v>Penghasilan Tetap Kepala Desa</v>
      </c>
      <c r="I21" s="1679">
        <f>'Pnj APBDES'!K72</f>
        <v>30000000</v>
      </c>
      <c r="J21" s="1746" t="str">
        <f>IF('Pnj APBDES'!N72="","",'Pnj APBDES'!N72)</f>
        <v>ADD</v>
      </c>
      <c r="K21" s="1679">
        <f>$I21/12</f>
        <v>2500000</v>
      </c>
      <c r="L21" s="1679">
        <f t="shared" ref="L21:V22" si="6">$I21/12</f>
        <v>2500000</v>
      </c>
      <c r="M21" s="1679">
        <f t="shared" si="6"/>
        <v>2500000</v>
      </c>
      <c r="N21" s="1679">
        <f t="shared" si="6"/>
        <v>2500000</v>
      </c>
      <c r="O21" s="1679">
        <f t="shared" si="6"/>
        <v>2500000</v>
      </c>
      <c r="P21" s="1679">
        <f t="shared" si="6"/>
        <v>2500000</v>
      </c>
      <c r="Q21" s="1679">
        <f t="shared" si="6"/>
        <v>2500000</v>
      </c>
      <c r="R21" s="1679">
        <f t="shared" si="6"/>
        <v>2500000</v>
      </c>
      <c r="S21" s="1679">
        <f t="shared" si="6"/>
        <v>2500000</v>
      </c>
      <c r="T21" s="1679">
        <f t="shared" si="6"/>
        <v>2500000</v>
      </c>
      <c r="U21" s="1679">
        <f t="shared" si="6"/>
        <v>2500000</v>
      </c>
      <c r="V21" s="1679">
        <f t="shared" si="6"/>
        <v>2500000</v>
      </c>
      <c r="W21" s="1679">
        <f t="shared" si="2"/>
        <v>30000000</v>
      </c>
      <c r="X21" s="1751" t="str">
        <f t="shared" si="3"/>
        <v>Sama</v>
      </c>
    </row>
    <row r="22" spans="1:24">
      <c r="A22" s="1676">
        <f>IF('Pnj APBDES'!A73="","",'Pnj APBDES'!A73)</f>
        <v>1</v>
      </c>
      <c r="B22" s="1677">
        <f>IF('Pnj APBDES'!B73="","",'Pnj APBDES'!B73)</f>
        <v>1</v>
      </c>
      <c r="C22" s="1677" t="str">
        <f>IF('Pnj APBDES'!C73="","",'Pnj APBDES'!C73)</f>
        <v>01</v>
      </c>
      <c r="D22" s="1676">
        <f>IF('Pnj APBDES'!D73="","",'Pnj APBDES'!D73)</f>
        <v>5</v>
      </c>
      <c r="E22" s="1676">
        <f>IF('Pnj APBDES'!E73="","",'Pnj APBDES'!E73)</f>
        <v>1</v>
      </c>
      <c r="F22" s="1677">
        <f>IF('Pnj APBDES'!F73="","",'Pnj APBDES'!F73)</f>
        <v>1</v>
      </c>
      <c r="G22" s="1677">
        <f>IF('Pnj APBDES'!G73="","",'Pnj APBDES'!G73)</f>
        <v>2</v>
      </c>
      <c r="H22" s="1678" t="str">
        <f>IF('Pnj APBDES'!H73="","",'Pnj APBDES'!H73)</f>
        <v>Tunjangan Kepala Desa</v>
      </c>
      <c r="I22" s="1679">
        <f>'Pnj APBDES'!K73</f>
        <v>12000000</v>
      </c>
      <c r="J22" s="1746" t="str">
        <f>IF('Pnj APBDES'!N73="","",'Pnj APBDES'!N73)</f>
        <v>ADD</v>
      </c>
      <c r="K22" s="1679">
        <f>$I22/12</f>
        <v>1000000</v>
      </c>
      <c r="L22" s="1679">
        <f t="shared" si="6"/>
        <v>1000000</v>
      </c>
      <c r="M22" s="1679">
        <f t="shared" si="6"/>
        <v>1000000</v>
      </c>
      <c r="N22" s="1679">
        <f t="shared" si="6"/>
        <v>1000000</v>
      </c>
      <c r="O22" s="1679">
        <f t="shared" si="6"/>
        <v>1000000</v>
      </c>
      <c r="P22" s="1679">
        <f t="shared" si="6"/>
        <v>1000000</v>
      </c>
      <c r="Q22" s="1679">
        <f t="shared" si="6"/>
        <v>1000000</v>
      </c>
      <c r="R22" s="1679">
        <f t="shared" si="6"/>
        <v>1000000</v>
      </c>
      <c r="S22" s="1679">
        <f t="shared" si="6"/>
        <v>1000000</v>
      </c>
      <c r="T22" s="1679">
        <f t="shared" si="6"/>
        <v>1000000</v>
      </c>
      <c r="U22" s="1679">
        <f t="shared" si="6"/>
        <v>1000000</v>
      </c>
      <c r="V22" s="1679">
        <f t="shared" si="6"/>
        <v>1000000</v>
      </c>
      <c r="W22" s="1679">
        <f t="shared" si="2"/>
        <v>12000000</v>
      </c>
      <c r="X22" s="1751" t="str">
        <f t="shared" si="3"/>
        <v>Sama</v>
      </c>
    </row>
    <row r="23" spans="1:24" s="1540" customFormat="1">
      <c r="A23" s="1672">
        <f>IF('Pnj APBDES'!A75="","",'Pnj APBDES'!A75)</f>
        <v>1</v>
      </c>
      <c r="B23" s="1673">
        <f>IF('Pnj APBDES'!B75="","",'Pnj APBDES'!B75)</f>
        <v>1</v>
      </c>
      <c r="C23" s="1673" t="str">
        <f>IF('Pnj APBDES'!C75="","",'Pnj APBDES'!C75)</f>
        <v>02</v>
      </c>
      <c r="D23" s="1672">
        <f>IF('Pnj APBDES'!D75="","",'Pnj APBDES'!D75)</f>
        <v>5</v>
      </c>
      <c r="E23" s="1672" t="str">
        <f>IF('Pnj APBDES'!E75="","",'Pnj APBDES'!E75)</f>
        <v/>
      </c>
      <c r="F23" s="1672" t="str">
        <f>IF('Pnj APBDES'!F75="","",'Pnj APBDES'!F75)</f>
        <v/>
      </c>
      <c r="G23" s="1672" t="str">
        <f>IF('Pnj APBDES'!G75="","",'Pnj APBDES'!G75)</f>
        <v/>
      </c>
      <c r="H23" s="1674" t="str">
        <f>IF('Pnj APBDES'!H75="","",'Pnj APBDES'!H75)</f>
        <v>Penyediaan Penghasilan Tetap dan Tunjangan Perangkat Desa</v>
      </c>
      <c r="I23" s="1675">
        <f>'Pnj APBDES'!K75</f>
        <v>280110000</v>
      </c>
      <c r="J23" s="1745" t="str">
        <f>IF('Pnj APBDES'!N75="","",'Pnj APBDES'!N75)</f>
        <v/>
      </c>
      <c r="K23" s="1675">
        <f>K24</f>
        <v>22480000</v>
      </c>
      <c r="L23" s="1675">
        <f t="shared" ref="L23:V24" si="7">L24</f>
        <v>22480000</v>
      </c>
      <c r="M23" s="1675">
        <f t="shared" si="7"/>
        <v>22480000</v>
      </c>
      <c r="N23" s="1675">
        <f t="shared" si="7"/>
        <v>22480000</v>
      </c>
      <c r="O23" s="1675">
        <f t="shared" si="7"/>
        <v>22480000</v>
      </c>
      <c r="P23" s="1675">
        <f t="shared" si="7"/>
        <v>22480000</v>
      </c>
      <c r="Q23" s="1675">
        <f t="shared" si="7"/>
        <v>22480000</v>
      </c>
      <c r="R23" s="1675">
        <f t="shared" si="7"/>
        <v>22480000</v>
      </c>
      <c r="S23" s="1675">
        <f t="shared" si="7"/>
        <v>22480000</v>
      </c>
      <c r="T23" s="1675">
        <f t="shared" si="7"/>
        <v>22480000</v>
      </c>
      <c r="U23" s="1675">
        <f t="shared" si="7"/>
        <v>22480000</v>
      </c>
      <c r="V23" s="1675">
        <f t="shared" si="7"/>
        <v>22480000</v>
      </c>
      <c r="W23" s="1675">
        <f t="shared" si="2"/>
        <v>269760000</v>
      </c>
      <c r="X23" s="1751" t="str">
        <f t="shared" si="3"/>
        <v>Salah</v>
      </c>
    </row>
    <row r="24" spans="1:24">
      <c r="A24" s="1676">
        <f>IF('Pnj APBDES'!A76="","",'Pnj APBDES'!A76)</f>
        <v>1</v>
      </c>
      <c r="B24" s="1677">
        <f>IF('Pnj APBDES'!B76="","",'Pnj APBDES'!B76)</f>
        <v>1</v>
      </c>
      <c r="C24" s="1677" t="str">
        <f>IF('Pnj APBDES'!C76="","",'Pnj APBDES'!C76)</f>
        <v>02</v>
      </c>
      <c r="D24" s="1676">
        <f>IF('Pnj APBDES'!D76="","",'Pnj APBDES'!D76)</f>
        <v>5</v>
      </c>
      <c r="E24" s="1676">
        <f>IF('Pnj APBDES'!E76="","",'Pnj APBDES'!E76)</f>
        <v>1</v>
      </c>
      <c r="F24" s="1676" t="str">
        <f>IF('Pnj APBDES'!F76="","",'Pnj APBDES'!F76)</f>
        <v/>
      </c>
      <c r="G24" s="1676" t="str">
        <f>IF('Pnj APBDES'!G76="","",'Pnj APBDES'!G76)</f>
        <v/>
      </c>
      <c r="H24" s="1678" t="str">
        <f>IF('Pnj APBDES'!H76="","",'Pnj APBDES'!H76)</f>
        <v>Belanja Pegawai</v>
      </c>
      <c r="I24" s="1679">
        <f>'Pnj APBDES'!K76</f>
        <v>280110000</v>
      </c>
      <c r="J24" s="1746" t="str">
        <f>IF('Pnj APBDES'!N76="","",'Pnj APBDES'!N76)</f>
        <v/>
      </c>
      <c r="K24" s="1679">
        <f>K25</f>
        <v>22480000</v>
      </c>
      <c r="L24" s="1679">
        <f t="shared" si="7"/>
        <v>22480000</v>
      </c>
      <c r="M24" s="1679">
        <f t="shared" si="7"/>
        <v>22480000</v>
      </c>
      <c r="N24" s="1679">
        <f t="shared" si="7"/>
        <v>22480000</v>
      </c>
      <c r="O24" s="1679">
        <f t="shared" si="7"/>
        <v>22480000</v>
      </c>
      <c r="P24" s="1679">
        <f t="shared" si="7"/>
        <v>22480000</v>
      </c>
      <c r="Q24" s="1679">
        <f t="shared" si="7"/>
        <v>22480000</v>
      </c>
      <c r="R24" s="1679">
        <f t="shared" si="7"/>
        <v>22480000</v>
      </c>
      <c r="S24" s="1679">
        <f t="shared" si="7"/>
        <v>22480000</v>
      </c>
      <c r="T24" s="1679">
        <f t="shared" si="7"/>
        <v>22480000</v>
      </c>
      <c r="U24" s="1679">
        <f t="shared" si="7"/>
        <v>22480000</v>
      </c>
      <c r="V24" s="1679">
        <f t="shared" si="7"/>
        <v>22480000</v>
      </c>
      <c r="W24" s="1679">
        <f t="shared" si="2"/>
        <v>269760000</v>
      </c>
      <c r="X24" s="1751" t="str">
        <f t="shared" si="3"/>
        <v>Salah</v>
      </c>
    </row>
    <row r="25" spans="1:24">
      <c r="A25" s="1676">
        <f>IF('Pnj APBDES'!A77="","",'Pnj APBDES'!A77)</f>
        <v>1</v>
      </c>
      <c r="B25" s="1677">
        <f>IF('Pnj APBDES'!B77="","",'Pnj APBDES'!B77)</f>
        <v>1</v>
      </c>
      <c r="C25" s="1677" t="str">
        <f>IF('Pnj APBDES'!C77="","",'Pnj APBDES'!C77)</f>
        <v>02</v>
      </c>
      <c r="D25" s="1676">
        <f>IF('Pnj APBDES'!D77="","",'Pnj APBDES'!D77)</f>
        <v>5</v>
      </c>
      <c r="E25" s="1676">
        <f>IF('Pnj APBDES'!E77="","",'Pnj APBDES'!E77)</f>
        <v>1</v>
      </c>
      <c r="F25" s="1677">
        <f>IF('Pnj APBDES'!F77="","",'Pnj APBDES'!F77)</f>
        <v>2</v>
      </c>
      <c r="G25" s="1677" t="str">
        <f>IF('Pnj APBDES'!G77="","",'Pnj APBDES'!G77)</f>
        <v/>
      </c>
      <c r="H25" s="1678" t="str">
        <f>IF('Pnj APBDES'!H77="","",'Pnj APBDES'!H77)</f>
        <v>Penghasilan Tetap &amp; Tunjangan Perangkat Desa</v>
      </c>
      <c r="I25" s="1679">
        <f>'Pnj APBDES'!K77</f>
        <v>280110000</v>
      </c>
      <c r="J25" s="1746" t="str">
        <f>IF('Pnj APBDES'!N77="","",'Pnj APBDES'!N77)</f>
        <v/>
      </c>
      <c r="K25" s="1679">
        <f>K26+K27</f>
        <v>22480000</v>
      </c>
      <c r="L25" s="1679">
        <f t="shared" ref="L25:V25" si="8">L26+L27</f>
        <v>22480000</v>
      </c>
      <c r="M25" s="1679">
        <f t="shared" si="8"/>
        <v>22480000</v>
      </c>
      <c r="N25" s="1679">
        <f t="shared" si="8"/>
        <v>22480000</v>
      </c>
      <c r="O25" s="1679">
        <f t="shared" si="8"/>
        <v>22480000</v>
      </c>
      <c r="P25" s="1679">
        <f t="shared" si="8"/>
        <v>22480000</v>
      </c>
      <c r="Q25" s="1679">
        <f t="shared" si="8"/>
        <v>22480000</v>
      </c>
      <c r="R25" s="1679">
        <f t="shared" si="8"/>
        <v>22480000</v>
      </c>
      <c r="S25" s="1679">
        <f t="shared" si="8"/>
        <v>22480000</v>
      </c>
      <c r="T25" s="1679">
        <f t="shared" si="8"/>
        <v>22480000</v>
      </c>
      <c r="U25" s="1679">
        <f t="shared" si="8"/>
        <v>22480000</v>
      </c>
      <c r="V25" s="1679">
        <f t="shared" si="8"/>
        <v>22480000</v>
      </c>
      <c r="W25" s="1679">
        <f t="shared" si="2"/>
        <v>269760000</v>
      </c>
      <c r="X25" s="1751" t="str">
        <f t="shared" si="3"/>
        <v>Salah</v>
      </c>
    </row>
    <row r="26" spans="1:24">
      <c r="A26" s="1676">
        <f>IF('Pnj APBDES'!A78="","",'Pnj APBDES'!A78)</f>
        <v>1</v>
      </c>
      <c r="B26" s="1677">
        <f>IF('Pnj APBDES'!B78="","",'Pnj APBDES'!B78)</f>
        <v>1</v>
      </c>
      <c r="C26" s="1677" t="str">
        <f>IF('Pnj APBDES'!C78="","",'Pnj APBDES'!C78)</f>
        <v>02</v>
      </c>
      <c r="D26" s="1676">
        <f>IF('Pnj APBDES'!D78="","",'Pnj APBDES'!D78)</f>
        <v>5</v>
      </c>
      <c r="E26" s="1676">
        <f>IF('Pnj APBDES'!E78="","",'Pnj APBDES'!E78)</f>
        <v>1</v>
      </c>
      <c r="F26" s="1677">
        <f>IF('Pnj APBDES'!F78="","",'Pnj APBDES'!F78)</f>
        <v>2</v>
      </c>
      <c r="G26" s="1677">
        <f>IF('Pnj APBDES'!G78="","",'Pnj APBDES'!G78)</f>
        <v>1</v>
      </c>
      <c r="H26" s="1678" t="str">
        <f>IF('Pnj APBDES'!H78="","",'Pnj APBDES'!H78)</f>
        <v>Penghasilan Tetap Perangkat Desa</v>
      </c>
      <c r="I26" s="1679">
        <f>'Pnj APBDES'!K78</f>
        <v>248400000</v>
      </c>
      <c r="J26" s="1746" t="str">
        <f>IF('Pnj APBDES'!N78="","",'Pnj APBDES'!N78)</f>
        <v>ADD</v>
      </c>
      <c r="K26" s="1679">
        <f>$I26/12</f>
        <v>20700000</v>
      </c>
      <c r="L26" s="1679">
        <f t="shared" ref="L26:V27" si="9">$I26/12</f>
        <v>20700000</v>
      </c>
      <c r="M26" s="1679">
        <f t="shared" si="9"/>
        <v>20700000</v>
      </c>
      <c r="N26" s="1679">
        <f t="shared" si="9"/>
        <v>20700000</v>
      </c>
      <c r="O26" s="1679">
        <f t="shared" si="9"/>
        <v>20700000</v>
      </c>
      <c r="P26" s="1679">
        <f t="shared" si="9"/>
        <v>20700000</v>
      </c>
      <c r="Q26" s="1679">
        <f t="shared" si="9"/>
        <v>20700000</v>
      </c>
      <c r="R26" s="1679">
        <f t="shared" si="9"/>
        <v>20700000</v>
      </c>
      <c r="S26" s="1679">
        <f t="shared" si="9"/>
        <v>20700000</v>
      </c>
      <c r="T26" s="1679">
        <f t="shared" si="9"/>
        <v>20700000</v>
      </c>
      <c r="U26" s="1679">
        <f t="shared" si="9"/>
        <v>20700000</v>
      </c>
      <c r="V26" s="1679">
        <f t="shared" si="9"/>
        <v>20700000</v>
      </c>
      <c r="W26" s="1679">
        <f t="shared" si="2"/>
        <v>248400000</v>
      </c>
      <c r="X26" s="1751" t="str">
        <f t="shared" si="3"/>
        <v>Sama</v>
      </c>
    </row>
    <row r="27" spans="1:24">
      <c r="A27" s="1676">
        <f>IF('Pnj APBDES'!A79="","",'Pnj APBDES'!A79)</f>
        <v>1</v>
      </c>
      <c r="B27" s="1677">
        <f>IF('Pnj APBDES'!B79="","",'Pnj APBDES'!B79)</f>
        <v>1</v>
      </c>
      <c r="C27" s="1677" t="str">
        <f>IF('Pnj APBDES'!C79="","",'Pnj APBDES'!C79)</f>
        <v>02</v>
      </c>
      <c r="D27" s="1676">
        <f>IF('Pnj APBDES'!D79="","",'Pnj APBDES'!D79)</f>
        <v>5</v>
      </c>
      <c r="E27" s="1676">
        <f>IF('Pnj APBDES'!E79="","",'Pnj APBDES'!E79)</f>
        <v>1</v>
      </c>
      <c r="F27" s="1677">
        <f>IF('Pnj APBDES'!F79="","",'Pnj APBDES'!F79)</f>
        <v>2</v>
      </c>
      <c r="G27" s="1677">
        <f>IF('Pnj APBDES'!G79="","",'Pnj APBDES'!G79)</f>
        <v>2</v>
      </c>
      <c r="H27" s="1678" t="str">
        <f>IF('Pnj APBDES'!H79="","",'Pnj APBDES'!H79)</f>
        <v>Tunjangan Perangkat Desa</v>
      </c>
      <c r="I27" s="1679">
        <f>'Pnj APBDES'!K79</f>
        <v>21360000</v>
      </c>
      <c r="J27" s="1746" t="str">
        <f>IF('Pnj APBDES'!N79="","",'Pnj APBDES'!N79)</f>
        <v>ADD</v>
      </c>
      <c r="K27" s="1679">
        <f>$I27/12</f>
        <v>1780000</v>
      </c>
      <c r="L27" s="1679">
        <f t="shared" si="9"/>
        <v>1780000</v>
      </c>
      <c r="M27" s="1679">
        <f t="shared" si="9"/>
        <v>1780000</v>
      </c>
      <c r="N27" s="1679">
        <f t="shared" si="9"/>
        <v>1780000</v>
      </c>
      <c r="O27" s="1679">
        <f t="shared" si="9"/>
        <v>1780000</v>
      </c>
      <c r="P27" s="1679">
        <f t="shared" si="9"/>
        <v>1780000</v>
      </c>
      <c r="Q27" s="1679">
        <f t="shared" si="9"/>
        <v>1780000</v>
      </c>
      <c r="R27" s="1679">
        <f t="shared" si="9"/>
        <v>1780000</v>
      </c>
      <c r="S27" s="1679">
        <f t="shared" si="9"/>
        <v>1780000</v>
      </c>
      <c r="T27" s="1679">
        <f t="shared" si="9"/>
        <v>1780000</v>
      </c>
      <c r="U27" s="1679">
        <f t="shared" si="9"/>
        <v>1780000</v>
      </c>
      <c r="V27" s="1679">
        <f t="shared" si="9"/>
        <v>1780000</v>
      </c>
      <c r="W27" s="1679">
        <f t="shared" si="2"/>
        <v>21360000</v>
      </c>
      <c r="X27" s="1751" t="str">
        <f t="shared" si="3"/>
        <v>Sama</v>
      </c>
    </row>
    <row r="28" spans="1:24" s="1540" customFormat="1">
      <c r="A28" s="1672">
        <f>IF('Pnj APBDES'!A81="","",'Pnj APBDES'!A81)</f>
        <v>1</v>
      </c>
      <c r="B28" s="1673">
        <f>IF('Pnj APBDES'!B81="","",'Pnj APBDES'!B81)</f>
        <v>1</v>
      </c>
      <c r="C28" s="1673" t="str">
        <f>IF('Pnj APBDES'!C81="","",'Pnj APBDES'!C81)</f>
        <v>03</v>
      </c>
      <c r="D28" s="1672">
        <f>IF('Pnj APBDES'!D81="","",'Pnj APBDES'!D81)</f>
        <v>5</v>
      </c>
      <c r="E28" s="1672" t="str">
        <f>IF('Pnj APBDES'!E81="","",'Pnj APBDES'!E81)</f>
        <v/>
      </c>
      <c r="F28" s="1672" t="str">
        <f>IF('Pnj APBDES'!F81="","",'Pnj APBDES'!F81)</f>
        <v/>
      </c>
      <c r="G28" s="1672" t="str">
        <f>IF('Pnj APBDES'!G81="","",'Pnj APBDES'!G81)</f>
        <v/>
      </c>
      <c r="H28" s="1674" t="str">
        <f>IF('Pnj APBDES'!H81="","",'Pnj APBDES'!H81)</f>
        <v>Penyediaan Jaminan Sosial bagi Kepala Desa dan Perangkat Desa</v>
      </c>
      <c r="I28" s="1675">
        <f>'Pnj APBDES'!K81</f>
        <v>29676000</v>
      </c>
      <c r="J28" s="1745" t="str">
        <f>IF('Pnj APBDES'!N81="","",'Pnj APBDES'!N81)</f>
        <v/>
      </c>
      <c r="K28" s="1675">
        <f>K29</f>
        <v>2251000</v>
      </c>
      <c r="L28" s="1675">
        <f t="shared" ref="L28:V29" si="10">L29</f>
        <v>2251000</v>
      </c>
      <c r="M28" s="1675">
        <f t="shared" si="10"/>
        <v>2251000</v>
      </c>
      <c r="N28" s="1675">
        <f t="shared" si="10"/>
        <v>2251000</v>
      </c>
      <c r="O28" s="1675">
        <f t="shared" si="10"/>
        <v>2251000</v>
      </c>
      <c r="P28" s="1675">
        <f t="shared" si="10"/>
        <v>2251000</v>
      </c>
      <c r="Q28" s="1675">
        <f t="shared" si="10"/>
        <v>2251000</v>
      </c>
      <c r="R28" s="1675">
        <f t="shared" si="10"/>
        <v>2251000</v>
      </c>
      <c r="S28" s="1675">
        <f t="shared" si="10"/>
        <v>2251000</v>
      </c>
      <c r="T28" s="1675">
        <f t="shared" si="10"/>
        <v>2251000</v>
      </c>
      <c r="U28" s="1675">
        <f t="shared" si="10"/>
        <v>2251000</v>
      </c>
      <c r="V28" s="1675">
        <f t="shared" si="10"/>
        <v>2251000</v>
      </c>
      <c r="W28" s="1675">
        <f t="shared" si="2"/>
        <v>27012000</v>
      </c>
      <c r="X28" s="1751" t="str">
        <f t="shared" si="3"/>
        <v>Salah</v>
      </c>
    </row>
    <row r="29" spans="1:24">
      <c r="A29" s="1676">
        <f>IF('Pnj APBDES'!A82="","",'Pnj APBDES'!A82)</f>
        <v>1</v>
      </c>
      <c r="B29" s="1677">
        <f>IF('Pnj APBDES'!B82="","",'Pnj APBDES'!B82)</f>
        <v>1</v>
      </c>
      <c r="C29" s="1677" t="str">
        <f>IF('Pnj APBDES'!C82="","",'Pnj APBDES'!C82)</f>
        <v>03</v>
      </c>
      <c r="D29" s="1676">
        <f>IF('Pnj APBDES'!D82="","",'Pnj APBDES'!D82)</f>
        <v>5</v>
      </c>
      <c r="E29" s="1676">
        <f>IF('Pnj APBDES'!E82="","",'Pnj APBDES'!E82)</f>
        <v>1</v>
      </c>
      <c r="F29" s="1676" t="str">
        <f>IF('Pnj APBDES'!F82="","",'Pnj APBDES'!F82)</f>
        <v/>
      </c>
      <c r="G29" s="1676" t="str">
        <f>IF('Pnj APBDES'!G82="","",'Pnj APBDES'!G82)</f>
        <v/>
      </c>
      <c r="H29" s="1678" t="str">
        <f>IF('Pnj APBDES'!H82="","",'Pnj APBDES'!H82)</f>
        <v>Belanja Pegawai</v>
      </c>
      <c r="I29" s="1679">
        <f>'Pnj APBDES'!K82</f>
        <v>29676000</v>
      </c>
      <c r="J29" s="1746" t="str">
        <f>IF('Pnj APBDES'!N82="","",'Pnj APBDES'!N82)</f>
        <v/>
      </c>
      <c r="K29" s="1679">
        <f>K30</f>
        <v>2251000</v>
      </c>
      <c r="L29" s="1679">
        <f t="shared" si="10"/>
        <v>2251000</v>
      </c>
      <c r="M29" s="1679">
        <f t="shared" si="10"/>
        <v>2251000</v>
      </c>
      <c r="N29" s="1679">
        <f t="shared" si="10"/>
        <v>2251000</v>
      </c>
      <c r="O29" s="1679">
        <f t="shared" si="10"/>
        <v>2251000</v>
      </c>
      <c r="P29" s="1679">
        <f t="shared" si="10"/>
        <v>2251000</v>
      </c>
      <c r="Q29" s="1679">
        <f t="shared" si="10"/>
        <v>2251000</v>
      </c>
      <c r="R29" s="1679">
        <f t="shared" si="10"/>
        <v>2251000</v>
      </c>
      <c r="S29" s="1679">
        <f t="shared" si="10"/>
        <v>2251000</v>
      </c>
      <c r="T29" s="1679">
        <f t="shared" si="10"/>
        <v>2251000</v>
      </c>
      <c r="U29" s="1679">
        <f t="shared" si="10"/>
        <v>2251000</v>
      </c>
      <c r="V29" s="1679">
        <f t="shared" si="10"/>
        <v>2251000</v>
      </c>
      <c r="W29" s="1679">
        <f t="shared" si="2"/>
        <v>27012000</v>
      </c>
      <c r="X29" s="1751" t="str">
        <f t="shared" si="3"/>
        <v>Salah</v>
      </c>
    </row>
    <row r="30" spans="1:24">
      <c r="A30" s="1676">
        <f>IF('Pnj APBDES'!A83="","",'Pnj APBDES'!A83)</f>
        <v>1</v>
      </c>
      <c r="B30" s="1677">
        <f>IF('Pnj APBDES'!B83="","",'Pnj APBDES'!B83)</f>
        <v>1</v>
      </c>
      <c r="C30" s="1677" t="str">
        <f>IF('Pnj APBDES'!C83="","",'Pnj APBDES'!C83)</f>
        <v>03</v>
      </c>
      <c r="D30" s="1676">
        <f>IF('Pnj APBDES'!D83="","",'Pnj APBDES'!D83)</f>
        <v>5</v>
      </c>
      <c r="E30" s="1676">
        <f>IF('Pnj APBDES'!E83="","",'Pnj APBDES'!E83)</f>
        <v>1</v>
      </c>
      <c r="F30" s="1677">
        <f>IF('Pnj APBDES'!F83="","",'Pnj APBDES'!F83)</f>
        <v>3</v>
      </c>
      <c r="G30" s="1677" t="str">
        <f>IF('Pnj APBDES'!G83="","",'Pnj APBDES'!G83)</f>
        <v/>
      </c>
      <c r="H30" s="1678" t="str">
        <f>IF('Pnj APBDES'!H83="","",'Pnj APBDES'!H83)</f>
        <v>Jaminan Sosial Kepala Desa dan Perangkat Desa</v>
      </c>
      <c r="I30" s="1679">
        <f>'Pnj APBDES'!K83</f>
        <v>29676000</v>
      </c>
      <c r="J30" s="1746" t="str">
        <f>IF('Pnj APBDES'!N83="","",'Pnj APBDES'!N83)</f>
        <v/>
      </c>
      <c r="K30" s="1679">
        <f>SUM(K31:K34)</f>
        <v>2251000</v>
      </c>
      <c r="L30" s="1679">
        <f t="shared" ref="L30:V30" si="11">SUM(L31:L34)</f>
        <v>2251000</v>
      </c>
      <c r="M30" s="1679">
        <f t="shared" si="11"/>
        <v>2251000</v>
      </c>
      <c r="N30" s="1679">
        <f t="shared" si="11"/>
        <v>2251000</v>
      </c>
      <c r="O30" s="1679">
        <f t="shared" si="11"/>
        <v>2251000</v>
      </c>
      <c r="P30" s="1679">
        <f t="shared" si="11"/>
        <v>2251000</v>
      </c>
      <c r="Q30" s="1679">
        <f t="shared" si="11"/>
        <v>2251000</v>
      </c>
      <c r="R30" s="1679">
        <f t="shared" si="11"/>
        <v>2251000</v>
      </c>
      <c r="S30" s="1679">
        <f t="shared" si="11"/>
        <v>2251000</v>
      </c>
      <c r="T30" s="1679">
        <f t="shared" si="11"/>
        <v>2251000</v>
      </c>
      <c r="U30" s="1679">
        <f t="shared" si="11"/>
        <v>2251000</v>
      </c>
      <c r="V30" s="1679">
        <f t="shared" si="11"/>
        <v>2251000</v>
      </c>
      <c r="W30" s="1679">
        <f t="shared" si="2"/>
        <v>27012000</v>
      </c>
      <c r="X30" s="1751" t="str">
        <f t="shared" si="3"/>
        <v>Salah</v>
      </c>
    </row>
    <row r="31" spans="1:24">
      <c r="A31" s="1676">
        <f>IF('Pnj APBDES'!A84="","",'Pnj APBDES'!A84)</f>
        <v>1</v>
      </c>
      <c r="B31" s="1677">
        <f>IF('Pnj APBDES'!B84="","",'Pnj APBDES'!B84)</f>
        <v>1</v>
      </c>
      <c r="C31" s="1677" t="str">
        <f>IF('Pnj APBDES'!C84="","",'Pnj APBDES'!C84)</f>
        <v>03</v>
      </c>
      <c r="D31" s="1676">
        <f>IF('Pnj APBDES'!D84="","",'Pnj APBDES'!D84)</f>
        <v>5</v>
      </c>
      <c r="E31" s="1676">
        <f>IF('Pnj APBDES'!E84="","",'Pnj APBDES'!E84)</f>
        <v>1</v>
      </c>
      <c r="F31" s="1677">
        <f>IF('Pnj APBDES'!F84="","",'Pnj APBDES'!F84)</f>
        <v>3</v>
      </c>
      <c r="G31" s="1677">
        <f>IF('Pnj APBDES'!G84="","",'Pnj APBDES'!G84)</f>
        <v>1</v>
      </c>
      <c r="H31" s="1678" t="str">
        <f>IF('Pnj APBDES'!H84="","",'Pnj APBDES'!H84)</f>
        <v>Jaminan Kesehatan Kepala Desa</v>
      </c>
      <c r="I31" s="1679">
        <f>'Pnj APBDES'!K84</f>
        <v>1680000</v>
      </c>
      <c r="J31" s="1746" t="str">
        <f>IF('Pnj APBDES'!N84="","",'Pnj APBDES'!N84)</f>
        <v>ADD</v>
      </c>
      <c r="K31" s="1679">
        <f>$I31/12</f>
        <v>140000</v>
      </c>
      <c r="L31" s="1679">
        <f t="shared" ref="L31:V34" si="12">$I31/12</f>
        <v>140000</v>
      </c>
      <c r="M31" s="1679">
        <f t="shared" si="12"/>
        <v>140000</v>
      </c>
      <c r="N31" s="1679">
        <f t="shared" si="12"/>
        <v>140000</v>
      </c>
      <c r="O31" s="1679">
        <f t="shared" si="12"/>
        <v>140000</v>
      </c>
      <c r="P31" s="1679">
        <f t="shared" si="12"/>
        <v>140000</v>
      </c>
      <c r="Q31" s="1679">
        <f t="shared" si="12"/>
        <v>140000</v>
      </c>
      <c r="R31" s="1679">
        <f t="shared" si="12"/>
        <v>140000</v>
      </c>
      <c r="S31" s="1679">
        <f t="shared" si="12"/>
        <v>140000</v>
      </c>
      <c r="T31" s="1679">
        <f t="shared" si="12"/>
        <v>140000</v>
      </c>
      <c r="U31" s="1679">
        <f t="shared" si="12"/>
        <v>140000</v>
      </c>
      <c r="V31" s="1679">
        <f>$I31/12</f>
        <v>140000</v>
      </c>
      <c r="W31" s="1679">
        <f t="shared" si="2"/>
        <v>1680000</v>
      </c>
      <c r="X31" s="1751" t="str">
        <f t="shared" si="3"/>
        <v>Sama</v>
      </c>
    </row>
    <row r="32" spans="1:24">
      <c r="A32" s="1676">
        <f>IF('Pnj APBDES'!A86="","",'Pnj APBDES'!A86)</f>
        <v>1</v>
      </c>
      <c r="B32" s="1677">
        <f>IF('Pnj APBDES'!B86="","",'Pnj APBDES'!B86)</f>
        <v>1</v>
      </c>
      <c r="C32" s="1677" t="str">
        <f>IF('Pnj APBDES'!C86="","",'Pnj APBDES'!C86)</f>
        <v>03</v>
      </c>
      <c r="D32" s="1676">
        <f>IF('Pnj APBDES'!D86="","",'Pnj APBDES'!D86)</f>
        <v>5</v>
      </c>
      <c r="E32" s="1676">
        <f>IF('Pnj APBDES'!E86="","",'Pnj APBDES'!E86)</f>
        <v>1</v>
      </c>
      <c r="F32" s="1677">
        <f>IF('Pnj APBDES'!F86="","",'Pnj APBDES'!F86)</f>
        <v>3</v>
      </c>
      <c r="G32" s="1677">
        <f>IF('Pnj APBDES'!G86="","",'Pnj APBDES'!G86)</f>
        <v>3</v>
      </c>
      <c r="H32" s="1678" t="str">
        <f>IF('Pnj APBDES'!H86="","",'Pnj APBDES'!H86)</f>
        <v>Jaminan Kesehatan Perangkat Desa</v>
      </c>
      <c r="I32" s="1679">
        <f>'Pnj APBDES'!K86</f>
        <v>11448000</v>
      </c>
      <c r="J32" s="1746" t="str">
        <f>IF('Pnj APBDES'!N86="","",'Pnj APBDES'!N86)</f>
        <v>ADD</v>
      </c>
      <c r="K32" s="1679">
        <f>$I32/12</f>
        <v>954000</v>
      </c>
      <c r="L32" s="1679">
        <f t="shared" si="12"/>
        <v>954000</v>
      </c>
      <c r="M32" s="1679">
        <f t="shared" si="12"/>
        <v>954000</v>
      </c>
      <c r="N32" s="1679">
        <f t="shared" si="12"/>
        <v>954000</v>
      </c>
      <c r="O32" s="1679">
        <f t="shared" si="12"/>
        <v>954000</v>
      </c>
      <c r="P32" s="1679">
        <f t="shared" si="12"/>
        <v>954000</v>
      </c>
      <c r="Q32" s="1679">
        <f t="shared" si="12"/>
        <v>954000</v>
      </c>
      <c r="R32" s="1679">
        <f t="shared" si="12"/>
        <v>954000</v>
      </c>
      <c r="S32" s="1679">
        <f t="shared" si="12"/>
        <v>954000</v>
      </c>
      <c r="T32" s="1679">
        <f t="shared" si="12"/>
        <v>954000</v>
      </c>
      <c r="U32" s="1679">
        <f t="shared" si="12"/>
        <v>954000</v>
      </c>
      <c r="V32" s="1679">
        <f t="shared" si="12"/>
        <v>954000</v>
      </c>
      <c r="W32" s="1679">
        <f t="shared" si="2"/>
        <v>11448000</v>
      </c>
      <c r="X32" s="1751" t="str">
        <f t="shared" si="3"/>
        <v>Sama</v>
      </c>
    </row>
    <row r="33" spans="1:25">
      <c r="A33" s="1676">
        <f>IF('Pnj APBDES'!A87="","",'Pnj APBDES'!A87)</f>
        <v>1</v>
      </c>
      <c r="B33" s="1677">
        <f>IF('Pnj APBDES'!B87="","",'Pnj APBDES'!B87)</f>
        <v>1</v>
      </c>
      <c r="C33" s="1677" t="str">
        <f>IF('Pnj APBDES'!C87="","",'Pnj APBDES'!C87)</f>
        <v>03</v>
      </c>
      <c r="D33" s="1676">
        <f>IF('Pnj APBDES'!D87="","",'Pnj APBDES'!D87)</f>
        <v>5</v>
      </c>
      <c r="E33" s="1676">
        <f>IF('Pnj APBDES'!E87="","",'Pnj APBDES'!E87)</f>
        <v>1</v>
      </c>
      <c r="F33" s="1677">
        <f>IF('Pnj APBDES'!F87="","",'Pnj APBDES'!F87)</f>
        <v>3</v>
      </c>
      <c r="G33" s="1677">
        <f>IF('Pnj APBDES'!G87="","",'Pnj APBDES'!G87)</f>
        <v>4</v>
      </c>
      <c r="H33" s="1678" t="str">
        <f>IF('Pnj APBDES'!H87="","",'Pnj APBDES'!H87)</f>
        <v>Jaminan Ketenagakerjaan Kepala Desa</v>
      </c>
      <c r="I33" s="1679">
        <f>'Pnj APBDES'!K87</f>
        <v>1788000</v>
      </c>
      <c r="J33" s="1746" t="str">
        <f>IF('Pnj APBDES'!N87="","",'Pnj APBDES'!N87)</f>
        <v>ADD</v>
      </c>
      <c r="K33" s="1679">
        <f>$I33/12</f>
        <v>149000</v>
      </c>
      <c r="L33" s="1679">
        <f t="shared" si="12"/>
        <v>149000</v>
      </c>
      <c r="M33" s="1679">
        <f t="shared" si="12"/>
        <v>149000</v>
      </c>
      <c r="N33" s="1679">
        <f t="shared" si="12"/>
        <v>149000</v>
      </c>
      <c r="O33" s="1679">
        <f t="shared" si="12"/>
        <v>149000</v>
      </c>
      <c r="P33" s="1679">
        <f t="shared" si="12"/>
        <v>149000</v>
      </c>
      <c r="Q33" s="1679">
        <f t="shared" si="12"/>
        <v>149000</v>
      </c>
      <c r="R33" s="1679">
        <f t="shared" si="12"/>
        <v>149000</v>
      </c>
      <c r="S33" s="1679">
        <f t="shared" si="12"/>
        <v>149000</v>
      </c>
      <c r="T33" s="1679">
        <f t="shared" si="12"/>
        <v>149000</v>
      </c>
      <c r="U33" s="1679">
        <f t="shared" si="12"/>
        <v>149000</v>
      </c>
      <c r="V33" s="1679">
        <f t="shared" si="12"/>
        <v>149000</v>
      </c>
      <c r="W33" s="1679">
        <f t="shared" si="2"/>
        <v>1788000</v>
      </c>
      <c r="X33" s="1751" t="str">
        <f t="shared" si="3"/>
        <v>Sama</v>
      </c>
    </row>
    <row r="34" spans="1:25">
      <c r="A34" s="1676">
        <f>IF('Pnj APBDES'!A89="","",'Pnj APBDES'!A89)</f>
        <v>1</v>
      </c>
      <c r="B34" s="1677">
        <f>IF('Pnj APBDES'!B89="","",'Pnj APBDES'!B89)</f>
        <v>1</v>
      </c>
      <c r="C34" s="1677" t="str">
        <f>IF('Pnj APBDES'!C89="","",'Pnj APBDES'!C89)</f>
        <v>03</v>
      </c>
      <c r="D34" s="1676">
        <f>IF('Pnj APBDES'!D89="","",'Pnj APBDES'!D89)</f>
        <v>5</v>
      </c>
      <c r="E34" s="1676">
        <f>IF('Pnj APBDES'!E89="","",'Pnj APBDES'!E89)</f>
        <v>1</v>
      </c>
      <c r="F34" s="1677">
        <f>IF('Pnj APBDES'!F89="","",'Pnj APBDES'!F89)</f>
        <v>3</v>
      </c>
      <c r="G34" s="1677">
        <f>IF('Pnj APBDES'!G89="","",'Pnj APBDES'!G89)</f>
        <v>6</v>
      </c>
      <c r="H34" s="1678" t="str">
        <f>IF('Pnj APBDES'!H89="","",'Pnj APBDES'!H89)</f>
        <v>Jaminan Ketenagakerjaan Perangkat Desa</v>
      </c>
      <c r="I34" s="1679">
        <f>'Pnj APBDES'!K89</f>
        <v>12096000</v>
      </c>
      <c r="J34" s="1746" t="str">
        <f>IF('Pnj APBDES'!N89="","",'Pnj APBDES'!N89)</f>
        <v>ADD</v>
      </c>
      <c r="K34" s="1679">
        <f>$I34/12</f>
        <v>1008000</v>
      </c>
      <c r="L34" s="1679">
        <f t="shared" si="12"/>
        <v>1008000</v>
      </c>
      <c r="M34" s="1679">
        <f t="shared" si="12"/>
        <v>1008000</v>
      </c>
      <c r="N34" s="1679">
        <f t="shared" si="12"/>
        <v>1008000</v>
      </c>
      <c r="O34" s="1679">
        <f t="shared" si="12"/>
        <v>1008000</v>
      </c>
      <c r="P34" s="1679">
        <f t="shared" si="12"/>
        <v>1008000</v>
      </c>
      <c r="Q34" s="1679">
        <f t="shared" si="12"/>
        <v>1008000</v>
      </c>
      <c r="R34" s="1679">
        <f t="shared" si="12"/>
        <v>1008000</v>
      </c>
      <c r="S34" s="1679">
        <f t="shared" si="12"/>
        <v>1008000</v>
      </c>
      <c r="T34" s="1679">
        <f t="shared" si="12"/>
        <v>1008000</v>
      </c>
      <c r="U34" s="1679">
        <f t="shared" si="12"/>
        <v>1008000</v>
      </c>
      <c r="V34" s="1679">
        <f t="shared" si="12"/>
        <v>1008000</v>
      </c>
      <c r="W34" s="1679">
        <f t="shared" si="2"/>
        <v>12096000</v>
      </c>
      <c r="X34" s="1751" t="str">
        <f t="shared" si="3"/>
        <v>Sama</v>
      </c>
      <c r="Y34" s="1540">
        <f t="shared" ref="Y34:Y60" si="13">W34-I34</f>
        <v>0</v>
      </c>
    </row>
    <row r="35" spans="1:25" s="1540" customFormat="1">
      <c r="A35" s="1672">
        <f>IF('Pnj APBDES'!A90="","",'Pnj APBDES'!A90)</f>
        <v>1</v>
      </c>
      <c r="B35" s="1673">
        <f>IF('Pnj APBDES'!B90="","",'Pnj APBDES'!B90)</f>
        <v>1</v>
      </c>
      <c r="C35" s="1673" t="str">
        <f>IF('Pnj APBDES'!C90="","",'Pnj APBDES'!C90)</f>
        <v>04</v>
      </c>
      <c r="D35" s="1672">
        <f>IF('Pnj APBDES'!D90="","",'Pnj APBDES'!D90)</f>
        <v>5</v>
      </c>
      <c r="E35" s="1672" t="str">
        <f>IF('Pnj APBDES'!E90="","",'Pnj APBDES'!E90)</f>
        <v/>
      </c>
      <c r="F35" s="1672" t="str">
        <f>IF('Pnj APBDES'!F90="","",'Pnj APBDES'!F90)</f>
        <v/>
      </c>
      <c r="G35" s="1672" t="str">
        <f>IF('Pnj APBDES'!G90="","",'Pnj APBDES'!G90)</f>
        <v/>
      </c>
      <c r="H35" s="1674" t="str">
        <f>IF('Pnj APBDES'!H90="","",'Pnj APBDES'!H90)</f>
        <v xml:space="preserve">Penyediaan Operasional Pemerintah Desa </v>
      </c>
      <c r="I35" s="1675">
        <f>'Pnj APBDES'!K90</f>
        <v>69933500</v>
      </c>
      <c r="J35" s="1745" t="str">
        <f>IF('Pnj APBDES'!N90="","",'Pnj APBDES'!N90)</f>
        <v/>
      </c>
      <c r="K35" s="1675">
        <f>K36</f>
        <v>3375000</v>
      </c>
      <c r="L35" s="1675">
        <f t="shared" ref="L35:V35" si="14">L36</f>
        <v>3375000</v>
      </c>
      <c r="M35" s="1675">
        <f>M36</f>
        <v>10618000</v>
      </c>
      <c r="N35" s="1675">
        <f t="shared" si="14"/>
        <v>4675000</v>
      </c>
      <c r="O35" s="1675">
        <f t="shared" si="14"/>
        <v>6475000</v>
      </c>
      <c r="P35" s="1675">
        <f t="shared" si="14"/>
        <v>5075000</v>
      </c>
      <c r="Q35" s="1675">
        <f t="shared" si="14"/>
        <v>8275000</v>
      </c>
      <c r="R35" s="1675">
        <f t="shared" si="14"/>
        <v>4915000</v>
      </c>
      <c r="S35" s="1675">
        <f t="shared" si="14"/>
        <v>6875000</v>
      </c>
      <c r="T35" s="1675">
        <f t="shared" si="14"/>
        <v>6375000</v>
      </c>
      <c r="U35" s="1675">
        <f t="shared" si="14"/>
        <v>6475000</v>
      </c>
      <c r="V35" s="1675">
        <f t="shared" si="14"/>
        <v>5300000</v>
      </c>
      <c r="W35" s="1675">
        <f>SUM(K35:V35)</f>
        <v>71808000</v>
      </c>
      <c r="X35" s="1751" t="str">
        <f t="shared" si="3"/>
        <v>Salah</v>
      </c>
      <c r="Y35" s="1540">
        <f t="shared" si="13"/>
        <v>1874500</v>
      </c>
    </row>
    <row r="36" spans="1:25">
      <c r="A36" s="1676">
        <f>IF('Pnj APBDES'!A91="","",'Pnj APBDES'!A91)</f>
        <v>1</v>
      </c>
      <c r="B36" s="1677">
        <f>IF('Pnj APBDES'!B91="","",'Pnj APBDES'!B91)</f>
        <v>1</v>
      </c>
      <c r="C36" s="1677" t="str">
        <f>IF('Pnj APBDES'!C91="","",'Pnj APBDES'!C91)</f>
        <v>04</v>
      </c>
      <c r="D36" s="1676">
        <f>IF('Pnj APBDES'!D91="","",'Pnj APBDES'!D91)</f>
        <v>5</v>
      </c>
      <c r="E36" s="1676">
        <f>IF('Pnj APBDES'!E91="","",'Pnj APBDES'!E91)</f>
        <v>2</v>
      </c>
      <c r="F36" s="1676" t="str">
        <f>IF('Pnj APBDES'!F91="","",'Pnj APBDES'!F91)</f>
        <v/>
      </c>
      <c r="G36" s="1676" t="str">
        <f>IF('Pnj APBDES'!G91="","",'Pnj APBDES'!G91)</f>
        <v/>
      </c>
      <c r="H36" s="1678" t="str">
        <f>IF('Pnj APBDES'!H91="","",'Pnj APBDES'!H91)</f>
        <v>Belanja Barang dan Jasa</v>
      </c>
      <c r="I36" s="1679">
        <f>'Pnj APBDES'!K91</f>
        <v>69933500</v>
      </c>
      <c r="J36" s="1746" t="str">
        <f>IF('Pnj APBDES'!N91="","",'Pnj APBDES'!N91)</f>
        <v/>
      </c>
      <c r="K36" s="1679">
        <f>K37+K45+K51+K48+K55</f>
        <v>3375000</v>
      </c>
      <c r="L36" s="1679">
        <f t="shared" ref="L36:V36" si="15">L37+L45+L51+L48+L55</f>
        <v>3375000</v>
      </c>
      <c r="M36" s="1679">
        <f>M37+M45+M51+M48+M55</f>
        <v>10618000</v>
      </c>
      <c r="N36" s="1679">
        <f t="shared" si="15"/>
        <v>4675000</v>
      </c>
      <c r="O36" s="1679">
        <f t="shared" si="15"/>
        <v>6475000</v>
      </c>
      <c r="P36" s="1679">
        <f t="shared" si="15"/>
        <v>5075000</v>
      </c>
      <c r="Q36" s="1679">
        <f t="shared" si="15"/>
        <v>8275000</v>
      </c>
      <c r="R36" s="1679">
        <f t="shared" si="15"/>
        <v>4915000</v>
      </c>
      <c r="S36" s="1679">
        <f t="shared" si="15"/>
        <v>6875000</v>
      </c>
      <c r="T36" s="1679">
        <f t="shared" si="15"/>
        <v>6375000</v>
      </c>
      <c r="U36" s="1679">
        <f t="shared" si="15"/>
        <v>6475000</v>
      </c>
      <c r="V36" s="1679">
        <f t="shared" si="15"/>
        <v>5300000</v>
      </c>
      <c r="W36" s="1679">
        <f t="shared" si="2"/>
        <v>71808000</v>
      </c>
      <c r="X36" s="1751" t="str">
        <f t="shared" si="3"/>
        <v>Salah</v>
      </c>
      <c r="Y36" s="1540">
        <f t="shared" si="13"/>
        <v>1874500</v>
      </c>
    </row>
    <row r="37" spans="1:25">
      <c r="A37" s="1676">
        <f>IF('Pnj APBDES'!A92="","",'Pnj APBDES'!A92)</f>
        <v>1</v>
      </c>
      <c r="B37" s="1677">
        <f>IF('Pnj APBDES'!B92="","",'Pnj APBDES'!B92)</f>
        <v>1</v>
      </c>
      <c r="C37" s="1677" t="str">
        <f>IF('Pnj APBDES'!C92="","",'Pnj APBDES'!C92)</f>
        <v>04</v>
      </c>
      <c r="D37" s="1676">
        <f>IF('Pnj APBDES'!D92="","",'Pnj APBDES'!D92)</f>
        <v>5</v>
      </c>
      <c r="E37" s="1676">
        <f>IF('Pnj APBDES'!E92="","",'Pnj APBDES'!E92)</f>
        <v>2</v>
      </c>
      <c r="F37" s="1677">
        <f>IF('Pnj APBDES'!F92="","",'Pnj APBDES'!F92)</f>
        <v>1</v>
      </c>
      <c r="G37" s="1677" t="str">
        <f>IF('Pnj APBDES'!G92="","",'Pnj APBDES'!G92)</f>
        <v/>
      </c>
      <c r="H37" s="1678" t="str">
        <f>IF('Pnj APBDES'!H92="","",'Pnj APBDES'!H92)</f>
        <v>Belanja Barang Perlengkapan Kantor</v>
      </c>
      <c r="I37" s="1679">
        <f>'Pnj APBDES'!K92</f>
        <v>16457500</v>
      </c>
      <c r="J37" s="1746" t="str">
        <f>IF('Pnj APBDES'!N92="","",'Pnj APBDES'!N92)</f>
        <v/>
      </c>
      <c r="K37" s="1679">
        <f>SUM(K38:K44)</f>
        <v>0</v>
      </c>
      <c r="L37" s="1679">
        <f t="shared" ref="L37:W37" si="16">SUM(L38:L44)</f>
        <v>0</v>
      </c>
      <c r="M37" s="1679">
        <f t="shared" si="16"/>
        <v>5267000</v>
      </c>
      <c r="N37" s="1679">
        <f t="shared" si="16"/>
        <v>0</v>
      </c>
      <c r="O37" s="1679">
        <f t="shared" si="16"/>
        <v>1800000</v>
      </c>
      <c r="P37" s="1679">
        <f t="shared" si="16"/>
        <v>0</v>
      </c>
      <c r="Q37" s="1679">
        <f t="shared" si="16"/>
        <v>3600000</v>
      </c>
      <c r="R37" s="1679">
        <f t="shared" si="16"/>
        <v>240000</v>
      </c>
      <c r="S37" s="1679">
        <f t="shared" si="16"/>
        <v>1800000</v>
      </c>
      <c r="T37" s="1679">
        <f t="shared" si="16"/>
        <v>1700000</v>
      </c>
      <c r="U37" s="1679">
        <f t="shared" si="16"/>
        <v>1800000</v>
      </c>
      <c r="V37" s="1679">
        <f t="shared" si="16"/>
        <v>225000</v>
      </c>
      <c r="W37" s="1679">
        <f t="shared" si="16"/>
        <v>16432000</v>
      </c>
      <c r="X37" s="1751" t="str">
        <f t="shared" si="3"/>
        <v>Salah</v>
      </c>
      <c r="Y37" s="1540">
        <f t="shared" si="13"/>
        <v>-25500</v>
      </c>
    </row>
    <row r="38" spans="1:25">
      <c r="A38" s="1676">
        <f>IF('Pnj APBDES'!A93="","",'Pnj APBDES'!A93)</f>
        <v>1</v>
      </c>
      <c r="B38" s="1677">
        <f>IF('Pnj APBDES'!B93="","",'Pnj APBDES'!B93)</f>
        <v>1</v>
      </c>
      <c r="C38" s="1677" t="str">
        <f>IF('Pnj APBDES'!C93="","",'Pnj APBDES'!C93)</f>
        <v>04</v>
      </c>
      <c r="D38" s="1676">
        <f>IF('Pnj APBDES'!D93="","",'Pnj APBDES'!D93)</f>
        <v>5</v>
      </c>
      <c r="E38" s="1676">
        <f>IF('Pnj APBDES'!E93="","",'Pnj APBDES'!E93)</f>
        <v>2</v>
      </c>
      <c r="F38" s="1677">
        <f>IF('Pnj APBDES'!F93="","",'Pnj APBDES'!F93)</f>
        <v>1</v>
      </c>
      <c r="G38" s="1677">
        <f>IF('Pnj APBDES'!G93="","",'Pnj APBDES'!G93)</f>
        <v>1</v>
      </c>
      <c r="H38" s="1678" t="str">
        <f>IF('Pnj APBDES'!H93="","",'Pnj APBDES'!H93)</f>
        <v>Belanja Perlengkapan Alat Tulis Kantor dan Benda Pos</v>
      </c>
      <c r="I38" s="1679">
        <f>'Pnj APBDES'!K93</f>
        <v>9077500</v>
      </c>
      <c r="J38" s="1746" t="str">
        <f>IF('Pnj APBDES'!N93="","",'Pnj APBDES'!N93)</f>
        <v>ADD</v>
      </c>
      <c r="K38" s="1679"/>
      <c r="L38" s="1679"/>
      <c r="M38" s="1679">
        <v>2817000</v>
      </c>
      <c r="N38" s="1679"/>
      <c r="O38" s="1679">
        <v>1500000</v>
      </c>
      <c r="P38" s="1679"/>
      <c r="Q38" s="1679">
        <v>1500000</v>
      </c>
      <c r="R38" s="1679"/>
      <c r="S38" s="1679">
        <v>1500000</v>
      </c>
      <c r="T38" s="1679"/>
      <c r="U38" s="1679">
        <v>1500000</v>
      </c>
      <c r="V38" s="1679"/>
      <c r="W38" s="1679">
        <f t="shared" si="2"/>
        <v>8817000</v>
      </c>
      <c r="X38" s="1751" t="str">
        <f t="shared" si="3"/>
        <v>Salah</v>
      </c>
      <c r="Y38" s="1540">
        <f t="shared" si="13"/>
        <v>-260500</v>
      </c>
    </row>
    <row r="39" spans="1:25">
      <c r="A39" s="1676">
        <f>IF('Pnj APBDES'!A94="","",'Pnj APBDES'!A94)</f>
        <v>1</v>
      </c>
      <c r="B39" s="1677">
        <f>IF('Pnj APBDES'!B94="","",'Pnj APBDES'!B94)</f>
        <v>1</v>
      </c>
      <c r="C39" s="1677" t="str">
        <f>IF('Pnj APBDES'!C94="","",'Pnj APBDES'!C94)</f>
        <v>04</v>
      </c>
      <c r="D39" s="1676">
        <f>IF('Pnj APBDES'!D94="","",'Pnj APBDES'!D94)</f>
        <v>5</v>
      </c>
      <c r="E39" s="1676">
        <f>IF('Pnj APBDES'!E94="","",'Pnj APBDES'!E94)</f>
        <v>2</v>
      </c>
      <c r="F39" s="1677">
        <f>IF('Pnj APBDES'!F94="","",'Pnj APBDES'!F94)</f>
        <v>1</v>
      </c>
      <c r="G39" s="1677">
        <f>IF('Pnj APBDES'!G94="","",'Pnj APBDES'!G94)</f>
        <v>2</v>
      </c>
      <c r="H39" s="1678" t="str">
        <f>IF('Pnj APBDES'!H94="","",'Pnj APBDES'!H94)</f>
        <v>Belanja Perlengkapan Alat -Alat Listrik</v>
      </c>
      <c r="I39" s="1679">
        <f>'Pnj APBDES'!K94</f>
        <v>240000</v>
      </c>
      <c r="J39" s="1746" t="str">
        <f>IF('Pnj APBDES'!N94="","",'Pnj APBDES'!N94)</f>
        <v>ADD</v>
      </c>
      <c r="K39" s="1679"/>
      <c r="L39" s="1679"/>
      <c r="M39" s="1679"/>
      <c r="N39" s="1679"/>
      <c r="O39" s="1679"/>
      <c r="P39" s="1679"/>
      <c r="Q39" s="1679"/>
      <c r="R39" s="1679">
        <v>240000</v>
      </c>
      <c r="S39" s="1679"/>
      <c r="T39" s="1679"/>
      <c r="U39" s="1679"/>
      <c r="V39" s="1679"/>
      <c r="W39" s="1679">
        <f t="shared" si="2"/>
        <v>240000</v>
      </c>
      <c r="X39" s="1751" t="str">
        <f t="shared" si="3"/>
        <v>Sama</v>
      </c>
      <c r="Y39" s="1540">
        <f t="shared" si="13"/>
        <v>0</v>
      </c>
    </row>
    <row r="40" spans="1:25">
      <c r="A40" s="1676">
        <f>IF('Pnj APBDES'!A95="","",'Pnj APBDES'!A95)</f>
        <v>1</v>
      </c>
      <c r="B40" s="1677">
        <f>IF('Pnj APBDES'!B95="","",'Pnj APBDES'!B95)</f>
        <v>1</v>
      </c>
      <c r="C40" s="1677" t="str">
        <f>IF('Pnj APBDES'!C95="","",'Pnj APBDES'!C95)</f>
        <v>04</v>
      </c>
      <c r="D40" s="1676">
        <f>IF('Pnj APBDES'!D95="","",'Pnj APBDES'!D95)</f>
        <v>5</v>
      </c>
      <c r="E40" s="1676">
        <f>IF('Pnj APBDES'!E95="","",'Pnj APBDES'!E95)</f>
        <v>2</v>
      </c>
      <c r="F40" s="1677">
        <f>IF('Pnj APBDES'!F95="","",'Pnj APBDES'!F95)</f>
        <v>1</v>
      </c>
      <c r="G40" s="1677">
        <f>IF('Pnj APBDES'!G95="","",'Pnj APBDES'!G95)</f>
        <v>3</v>
      </c>
      <c r="H40" s="1678" t="str">
        <f>IF('Pnj APBDES'!H95="","",'Pnj APBDES'!H95)</f>
        <v>Belanja Perlengkapan Alat -Alat  rumah tangga /peralatan kebersihan</v>
      </c>
      <c r="I40" s="1679">
        <f>'Pnj APBDES'!K95</f>
        <v>350000</v>
      </c>
      <c r="J40" s="1746" t="str">
        <f>IF('Pnj APBDES'!N95="","",'Pnj APBDES'!N95)</f>
        <v>ADD</v>
      </c>
      <c r="K40" s="1679"/>
      <c r="L40" s="1679"/>
      <c r="M40" s="1679">
        <v>350000</v>
      </c>
      <c r="N40" s="1679"/>
      <c r="O40" s="1679"/>
      <c r="P40" s="1679"/>
      <c r="Q40" s="1679"/>
      <c r="R40" s="1679"/>
      <c r="S40" s="1679"/>
      <c r="T40" s="1679"/>
      <c r="U40" s="1679"/>
      <c r="V40" s="1679"/>
      <c r="W40" s="1679">
        <f t="shared" si="2"/>
        <v>350000</v>
      </c>
      <c r="X40" s="1751" t="str">
        <f t="shared" si="3"/>
        <v>Sama</v>
      </c>
      <c r="Y40" s="1540">
        <f t="shared" si="13"/>
        <v>0</v>
      </c>
    </row>
    <row r="41" spans="1:25">
      <c r="A41" s="1676">
        <f>IF('Pnj APBDES'!A96="","",'Pnj APBDES'!A96)</f>
        <v>1</v>
      </c>
      <c r="B41" s="1677">
        <f>IF('Pnj APBDES'!B96="","",'Pnj APBDES'!B96)</f>
        <v>1</v>
      </c>
      <c r="C41" s="1677" t="str">
        <f>IF('Pnj APBDES'!C96="","",'Pnj APBDES'!C96)</f>
        <v>04</v>
      </c>
      <c r="D41" s="1676">
        <f>IF('Pnj APBDES'!D96="","",'Pnj APBDES'!D96)</f>
        <v>5</v>
      </c>
      <c r="E41" s="1676">
        <f>IF('Pnj APBDES'!E96="","",'Pnj APBDES'!E96)</f>
        <v>2</v>
      </c>
      <c r="F41" s="1677">
        <f>IF('Pnj APBDES'!F96="","",'Pnj APBDES'!F96)</f>
        <v>1</v>
      </c>
      <c r="G41" s="1677">
        <f>IF('Pnj APBDES'!G96="","",'Pnj APBDES'!G96)</f>
        <v>4</v>
      </c>
      <c r="H41" s="1678" t="str">
        <f>IF('Pnj APBDES'!H96="","",'Pnj APBDES'!H96)</f>
        <v>Belanja bahan bakar Minyak /gas /isi ulang tabung pemadam kebakaran</v>
      </c>
      <c r="I41" s="1679">
        <f>'Pnj APBDES'!K96</f>
        <v>500000</v>
      </c>
      <c r="J41" s="1746" t="str">
        <f>IF('Pnj APBDES'!N96="","",'Pnj APBDES'!N96)</f>
        <v>ADD</v>
      </c>
      <c r="K41" s="1679"/>
      <c r="L41" s="1679"/>
      <c r="M41" s="1679">
        <v>200000</v>
      </c>
      <c r="N41" s="1679"/>
      <c r="O41" s="1679"/>
      <c r="P41" s="1679"/>
      <c r="Q41" s="1679">
        <v>200000</v>
      </c>
      <c r="R41" s="1679"/>
      <c r="S41" s="1679"/>
      <c r="T41" s="1679">
        <v>100000</v>
      </c>
      <c r="U41" s="1679"/>
      <c r="V41" s="1679"/>
      <c r="W41" s="1679">
        <f t="shared" si="2"/>
        <v>500000</v>
      </c>
      <c r="X41" s="1751" t="str">
        <f t="shared" si="3"/>
        <v>Sama</v>
      </c>
      <c r="Y41" s="1540">
        <f t="shared" si="13"/>
        <v>0</v>
      </c>
    </row>
    <row r="42" spans="1:25" ht="24">
      <c r="A42" s="1676">
        <f>IF('Pnj APBDES'!A97="","",'Pnj APBDES'!A97)</f>
        <v>1</v>
      </c>
      <c r="B42" s="1677">
        <f>IF('Pnj APBDES'!B97="","",'Pnj APBDES'!B97)</f>
        <v>1</v>
      </c>
      <c r="C42" s="1677" t="str">
        <f>IF('Pnj APBDES'!C97="","",'Pnj APBDES'!C97)</f>
        <v>04</v>
      </c>
      <c r="D42" s="1676">
        <f>IF('Pnj APBDES'!D97="","",'Pnj APBDES'!D97)</f>
        <v>5</v>
      </c>
      <c r="E42" s="1676">
        <f>IF('Pnj APBDES'!E97="","",'Pnj APBDES'!E97)</f>
        <v>2</v>
      </c>
      <c r="F42" s="1677">
        <f>IF('Pnj APBDES'!F97="","",'Pnj APBDES'!F97)</f>
        <v>1</v>
      </c>
      <c r="G42" s="1677">
        <f>IF('Pnj APBDES'!G97="","",'Pnj APBDES'!G97)</f>
        <v>5</v>
      </c>
      <c r="H42" s="1678" t="str">
        <f>IF('Pnj APBDES'!H97="","",'Pnj APBDES'!H97)</f>
        <v>Belanja Perlengkapan Cetak/Penggandaan - Belanja Barang Cetak dan Penggandaan</v>
      </c>
      <c r="I42" s="1679">
        <f>'Pnj APBDES'!K97</f>
        <v>4800000</v>
      </c>
      <c r="J42" s="1746" t="str">
        <f>IF('Pnj APBDES'!N97="","",'Pnj APBDES'!N97)</f>
        <v>ADD</v>
      </c>
      <c r="K42" s="1679"/>
      <c r="L42" s="1679"/>
      <c r="M42" s="1679">
        <v>1600000</v>
      </c>
      <c r="N42" s="1679"/>
      <c r="O42" s="1679"/>
      <c r="P42" s="1679"/>
      <c r="Q42" s="1679">
        <v>1600000</v>
      </c>
      <c r="R42" s="1679"/>
      <c r="S42" s="1679"/>
      <c r="T42" s="1679">
        <v>1600000</v>
      </c>
      <c r="U42" s="1679"/>
      <c r="V42" s="1679"/>
      <c r="W42" s="1679">
        <f t="shared" si="2"/>
        <v>4800000</v>
      </c>
      <c r="X42" s="1751" t="str">
        <f t="shared" si="3"/>
        <v>Sama</v>
      </c>
      <c r="Y42" s="1540">
        <f t="shared" si="13"/>
        <v>0</v>
      </c>
    </row>
    <row r="43" spans="1:25" ht="24">
      <c r="A43" s="1676">
        <f>IF('Pnj APBDES'!A98="","",'Pnj APBDES'!A98)</f>
        <v>1</v>
      </c>
      <c r="B43" s="1677">
        <f>IF('Pnj APBDES'!B98="","",'Pnj APBDES'!B98)</f>
        <v>1</v>
      </c>
      <c r="C43" s="1677" t="str">
        <f>IF('Pnj APBDES'!C98="","",'Pnj APBDES'!C98)</f>
        <v>04</v>
      </c>
      <c r="D43" s="1676">
        <f>IF('Pnj APBDES'!D98="","",'Pnj APBDES'!D98)</f>
        <v>5</v>
      </c>
      <c r="E43" s="1676">
        <f>IF('Pnj APBDES'!E98="","",'Pnj APBDES'!E98)</f>
        <v>2</v>
      </c>
      <c r="F43" s="1677">
        <f>IF('Pnj APBDES'!F98="","",'Pnj APBDES'!F98)</f>
        <v>1</v>
      </c>
      <c r="G43" s="1677">
        <f>IF('Pnj APBDES'!G98="","",'Pnj APBDES'!G98)</f>
        <v>6</v>
      </c>
      <c r="H43" s="1678" t="str">
        <f>IF('Pnj APBDES'!H98="","",'Pnj APBDES'!H98)</f>
        <v>Belanja Perlengkapan Barang Konsumsi (Makan/minum) - Belanja Barang Konsumsi</v>
      </c>
      <c r="I43" s="1679">
        <f>'Pnj APBDES'!K98</f>
        <v>1490000</v>
      </c>
      <c r="J43" s="1746" t="str">
        <f>IF('Pnj APBDES'!N98="","",'Pnj APBDES'!N98)</f>
        <v>ADD</v>
      </c>
      <c r="K43" s="1679"/>
      <c r="L43" s="1679"/>
      <c r="M43" s="1679">
        <v>300000</v>
      </c>
      <c r="N43" s="1679"/>
      <c r="O43" s="1679">
        <v>300000</v>
      </c>
      <c r="P43" s="1679"/>
      <c r="Q43" s="1679">
        <v>300000</v>
      </c>
      <c r="R43" s="1679"/>
      <c r="S43" s="1679">
        <v>300000</v>
      </c>
      <c r="T43" s="1679"/>
      <c r="U43" s="1679">
        <v>300000</v>
      </c>
      <c r="V43" s="1679">
        <v>225000</v>
      </c>
      <c r="W43" s="1679">
        <f t="shared" si="2"/>
        <v>1725000</v>
      </c>
      <c r="X43" s="1751" t="str">
        <f t="shared" si="3"/>
        <v>Salah</v>
      </c>
      <c r="Y43" s="1540">
        <f t="shared" si="13"/>
        <v>235000</v>
      </c>
    </row>
    <row r="44" spans="1:25">
      <c r="A44" s="1676">
        <f>IF('Pnj APBDES'!A99="","",'Pnj APBDES'!A99)</f>
        <v>1</v>
      </c>
      <c r="B44" s="1677">
        <f>IF('Pnj APBDES'!B99="","",'Pnj APBDES'!B99)</f>
        <v>1</v>
      </c>
      <c r="C44" s="1677" t="str">
        <f>IF('Pnj APBDES'!C99="","",'Pnj APBDES'!C99)</f>
        <v>04</v>
      </c>
      <c r="D44" s="1676">
        <f>IF('Pnj APBDES'!D99="","",'Pnj APBDES'!D99)</f>
        <v>5</v>
      </c>
      <c r="E44" s="1676">
        <f>IF('Pnj APBDES'!E99="","",'Pnj APBDES'!E99)</f>
        <v>2</v>
      </c>
      <c r="F44" s="1677">
        <f>IF('Pnj APBDES'!F99="","",'Pnj APBDES'!F99)</f>
        <v>1</v>
      </c>
      <c r="G44" s="1677">
        <f>IF('Pnj APBDES'!G99="","",'Pnj APBDES'!G99)</f>
        <v>9</v>
      </c>
      <c r="H44" s="1678" t="str">
        <f>IF('Pnj APBDES'!H99="","",'Pnj APBDES'!H99)</f>
        <v>Belanja pakaian dinas/seragam/atribut</v>
      </c>
      <c r="I44" s="1679">
        <f>'Pnj APBDES'!K99</f>
        <v>0</v>
      </c>
      <c r="J44" s="1746" t="str">
        <f>IF('Pnj APBDES'!N99="","",'Pnj APBDES'!N99)</f>
        <v/>
      </c>
      <c r="K44" s="1679"/>
      <c r="L44" s="1679"/>
      <c r="M44" s="1679"/>
      <c r="N44" s="1679"/>
      <c r="O44" s="1679"/>
      <c r="P44" s="1679"/>
      <c r="Q44" s="1679"/>
      <c r="R44" s="1679"/>
      <c r="S44" s="1679"/>
      <c r="T44" s="1679"/>
      <c r="U44" s="1679"/>
      <c r="V44" s="1679"/>
      <c r="W44" s="1679">
        <f>SUM(K44:V44)</f>
        <v>0</v>
      </c>
      <c r="X44" s="1751" t="str">
        <f t="shared" si="3"/>
        <v>Sama</v>
      </c>
      <c r="Y44" s="1540">
        <f t="shared" si="13"/>
        <v>0</v>
      </c>
    </row>
    <row r="45" spans="1:25">
      <c r="A45" s="1676" t="str">
        <f>IF('Pnj APBDES'!A100="","",'Pnj APBDES'!A100)</f>
        <v/>
      </c>
      <c r="B45" s="1677">
        <f>IF('Pnj APBDES'!B100="","",'Pnj APBDES'!B100)</f>
        <v>1</v>
      </c>
      <c r="C45" s="1677" t="str">
        <f>IF('Pnj APBDES'!C100="","",'Pnj APBDES'!C100)</f>
        <v>04</v>
      </c>
      <c r="D45" s="1676">
        <f>IF('Pnj APBDES'!D100="","",'Pnj APBDES'!D100)</f>
        <v>5</v>
      </c>
      <c r="E45" s="1676">
        <f>IF('Pnj APBDES'!E100="","",'Pnj APBDES'!E100)</f>
        <v>2</v>
      </c>
      <c r="F45" s="1677">
        <f>IF('Pnj APBDES'!F100="","",'Pnj APBDES'!F100)</f>
        <v>2</v>
      </c>
      <c r="G45" s="1677" t="str">
        <f>IF('Pnj APBDES'!G100="","",'Pnj APBDES'!G100)</f>
        <v/>
      </c>
      <c r="H45" s="1678" t="str">
        <f>IF('Pnj APBDES'!H100="","",'Pnj APBDES'!H100)</f>
        <v>Belanja jasa honorarium</v>
      </c>
      <c r="I45" s="1679">
        <f>'Pnj APBDES'!K100</f>
        <v>39600000</v>
      </c>
      <c r="J45" s="1746" t="str">
        <f>IF('Pnj APBDES'!N100="","",'Pnj APBDES'!N100)</f>
        <v/>
      </c>
      <c r="K45" s="1679">
        <f>$I45/12</f>
        <v>3300000</v>
      </c>
      <c r="L45" s="1679">
        <f>$I45/12</f>
        <v>3300000</v>
      </c>
      <c r="M45" s="1679">
        <f t="shared" ref="M45:V45" si="17">$I45/12</f>
        <v>3300000</v>
      </c>
      <c r="N45" s="1679">
        <f t="shared" si="17"/>
        <v>3300000</v>
      </c>
      <c r="O45" s="1679">
        <f t="shared" si="17"/>
        <v>3300000</v>
      </c>
      <c r="P45" s="1679">
        <f t="shared" si="17"/>
        <v>3300000</v>
      </c>
      <c r="Q45" s="1679">
        <f t="shared" si="17"/>
        <v>3300000</v>
      </c>
      <c r="R45" s="1679">
        <f t="shared" si="17"/>
        <v>3300000</v>
      </c>
      <c r="S45" s="1679">
        <f t="shared" si="17"/>
        <v>3300000</v>
      </c>
      <c r="T45" s="1679">
        <f t="shared" si="17"/>
        <v>3300000</v>
      </c>
      <c r="U45" s="1679">
        <f t="shared" si="17"/>
        <v>3300000</v>
      </c>
      <c r="V45" s="1679">
        <f t="shared" si="17"/>
        <v>3300000</v>
      </c>
      <c r="W45" s="1679">
        <f t="shared" si="2"/>
        <v>39600000</v>
      </c>
      <c r="X45" s="1751" t="str">
        <f t="shared" si="3"/>
        <v>Sama</v>
      </c>
      <c r="Y45" s="1540">
        <f t="shared" si="13"/>
        <v>0</v>
      </c>
    </row>
    <row r="46" spans="1:25">
      <c r="A46" s="1676" t="str">
        <f>IF('Pnj APBDES'!A101="","",'Pnj APBDES'!A101)</f>
        <v/>
      </c>
      <c r="B46" s="1677">
        <f>IF('Pnj APBDES'!B101="","",'Pnj APBDES'!B101)</f>
        <v>1</v>
      </c>
      <c r="C46" s="1677" t="str">
        <f>IF('Pnj APBDES'!C101="","",'Pnj APBDES'!C101)</f>
        <v>04</v>
      </c>
      <c r="D46" s="1676">
        <f>IF('Pnj APBDES'!D101="","",'Pnj APBDES'!D101)</f>
        <v>5</v>
      </c>
      <c r="E46" s="1676">
        <f>IF('Pnj APBDES'!E101="","",'Pnj APBDES'!E101)</f>
        <v>2</v>
      </c>
      <c r="F46" s="1677">
        <f>IF('Pnj APBDES'!F101="","",'Pnj APBDES'!F101)</f>
        <v>2</v>
      </c>
      <c r="G46" s="1677">
        <f>IF('Pnj APBDES'!G101="","",'Pnj APBDES'!G101)</f>
        <v>1</v>
      </c>
      <c r="H46" s="1678" t="str">
        <f>IF('Pnj APBDES'!H101="","",'Pnj APBDES'!H101)</f>
        <v>Balanja jasa honorarium tim yang melaksanakan kegiatan</v>
      </c>
      <c r="I46" s="1679">
        <f>'Pnj APBDES'!K101</f>
        <v>33600000</v>
      </c>
      <c r="J46" s="1746" t="str">
        <f>IF('Pnj APBDES'!N101="","",'Pnj APBDES'!N101)</f>
        <v>ADD</v>
      </c>
      <c r="K46" s="1679">
        <f t="shared" ref="K46:V47" si="18">$I46/12</f>
        <v>2800000</v>
      </c>
      <c r="L46" s="1679">
        <f t="shared" si="18"/>
        <v>2800000</v>
      </c>
      <c r="M46" s="1679">
        <f t="shared" si="18"/>
        <v>2800000</v>
      </c>
      <c r="N46" s="1679">
        <f t="shared" si="18"/>
        <v>2800000</v>
      </c>
      <c r="O46" s="1679">
        <f t="shared" si="18"/>
        <v>2800000</v>
      </c>
      <c r="P46" s="1679">
        <f t="shared" si="18"/>
        <v>2800000</v>
      </c>
      <c r="Q46" s="1679">
        <f t="shared" si="18"/>
        <v>2800000</v>
      </c>
      <c r="R46" s="1679">
        <f t="shared" si="18"/>
        <v>2800000</v>
      </c>
      <c r="S46" s="1679">
        <f t="shared" si="18"/>
        <v>2800000</v>
      </c>
      <c r="T46" s="1679">
        <f t="shared" si="18"/>
        <v>2800000</v>
      </c>
      <c r="U46" s="1679">
        <f t="shared" si="18"/>
        <v>2800000</v>
      </c>
      <c r="V46" s="1679">
        <f t="shared" si="18"/>
        <v>2800000</v>
      </c>
      <c r="W46" s="1679">
        <f t="shared" si="2"/>
        <v>33600000</v>
      </c>
      <c r="X46" s="1751" t="str">
        <f t="shared" si="3"/>
        <v>Sama</v>
      </c>
      <c r="Y46" s="1540">
        <f t="shared" si="13"/>
        <v>0</v>
      </c>
    </row>
    <row r="47" spans="1:25">
      <c r="A47" s="1676" t="str">
        <f>IF('Pnj APBDES'!A102="","",'Pnj APBDES'!A102)</f>
        <v/>
      </c>
      <c r="B47" s="1677">
        <f>IF('Pnj APBDES'!B102="","",'Pnj APBDES'!B102)</f>
        <v>1</v>
      </c>
      <c r="C47" s="1677" t="str">
        <f>IF('Pnj APBDES'!C102="","",'Pnj APBDES'!C102)</f>
        <v>04</v>
      </c>
      <c r="D47" s="1676">
        <f>IF('Pnj APBDES'!D102="","",'Pnj APBDES'!D102)</f>
        <v>5</v>
      </c>
      <c r="E47" s="1676">
        <f>IF('Pnj APBDES'!E102="","",'Pnj APBDES'!E102)</f>
        <v>2</v>
      </c>
      <c r="F47" s="1677">
        <f>IF('Pnj APBDES'!F102="","",'Pnj APBDES'!F102)</f>
        <v>2</v>
      </c>
      <c r="G47" s="1677">
        <f>IF('Pnj APBDES'!G102="","",'Pnj APBDES'!G102)</f>
        <v>3</v>
      </c>
      <c r="H47" s="1678" t="str">
        <f>IF('Pnj APBDES'!H102="","",'Pnj APBDES'!H102)</f>
        <v>Balanja jasa honorarium /Insentif Pelayanan Desa</v>
      </c>
      <c r="I47" s="1679">
        <f>'Pnj APBDES'!K102</f>
        <v>6000000</v>
      </c>
      <c r="J47" s="1746" t="str">
        <f>IF('Pnj APBDES'!N102="","",'Pnj APBDES'!N102)</f>
        <v>ADD</v>
      </c>
      <c r="K47" s="1679">
        <f t="shared" si="18"/>
        <v>500000</v>
      </c>
      <c r="L47" s="1679">
        <f t="shared" si="18"/>
        <v>500000</v>
      </c>
      <c r="M47" s="1679">
        <f t="shared" si="18"/>
        <v>500000</v>
      </c>
      <c r="N47" s="1679">
        <f t="shared" si="18"/>
        <v>500000</v>
      </c>
      <c r="O47" s="1679">
        <f t="shared" si="18"/>
        <v>500000</v>
      </c>
      <c r="P47" s="1679">
        <f t="shared" si="18"/>
        <v>500000</v>
      </c>
      <c r="Q47" s="1679">
        <f t="shared" si="18"/>
        <v>500000</v>
      </c>
      <c r="R47" s="1679">
        <f t="shared" si="18"/>
        <v>500000</v>
      </c>
      <c r="S47" s="1679">
        <f t="shared" si="18"/>
        <v>500000</v>
      </c>
      <c r="T47" s="1679">
        <f t="shared" si="18"/>
        <v>500000</v>
      </c>
      <c r="U47" s="1679">
        <f t="shared" si="18"/>
        <v>500000</v>
      </c>
      <c r="V47" s="1679">
        <f t="shared" si="18"/>
        <v>500000</v>
      </c>
      <c r="W47" s="1679">
        <f t="shared" si="2"/>
        <v>6000000</v>
      </c>
      <c r="X47" s="1751" t="str">
        <f t="shared" si="3"/>
        <v>Sama</v>
      </c>
      <c r="Y47" s="1540">
        <f t="shared" si="13"/>
        <v>0</v>
      </c>
    </row>
    <row r="48" spans="1:25">
      <c r="A48" s="1676">
        <f>IF('Pnj APBDES'!A103="","",'Pnj APBDES'!A103)</f>
        <v>1</v>
      </c>
      <c r="B48" s="1677">
        <f>IF('Pnj APBDES'!B103="","",'Pnj APBDES'!B103)</f>
        <v>1</v>
      </c>
      <c r="C48" s="1677" t="str">
        <f>IF('Pnj APBDES'!C103="","",'Pnj APBDES'!C103)</f>
        <v>04</v>
      </c>
      <c r="D48" s="1676">
        <f>IF('Pnj APBDES'!D103="","",'Pnj APBDES'!D103)</f>
        <v>5</v>
      </c>
      <c r="E48" s="1676">
        <f>IF('Pnj APBDES'!E103="","",'Pnj APBDES'!E103)</f>
        <v>2</v>
      </c>
      <c r="F48" s="1677">
        <f>IF('Pnj APBDES'!F103="","",'Pnj APBDES'!F103)</f>
        <v>3</v>
      </c>
      <c r="G48" s="1677" t="str">
        <f>IF('Pnj APBDES'!G103="","",'Pnj APBDES'!G103)</f>
        <v/>
      </c>
      <c r="H48" s="1678" t="str">
        <f>IF('Pnj APBDES'!H103="","",'Pnj APBDES'!H103)</f>
        <v>Belanja Perjalanan Dinas</v>
      </c>
      <c r="I48" s="1679">
        <f>'Pnj APBDES'!K103</f>
        <v>6200000</v>
      </c>
      <c r="J48" s="1746" t="str">
        <f>IF('Pnj APBDES'!N103="","",'Pnj APBDES'!N103)</f>
        <v/>
      </c>
      <c r="K48" s="1679">
        <f>SUM(K49:K50)</f>
        <v>0</v>
      </c>
      <c r="L48" s="1679">
        <f t="shared" ref="L48:V48" si="19">SUM(L49:L50)</f>
        <v>0</v>
      </c>
      <c r="M48" s="1679">
        <f t="shared" si="19"/>
        <v>1300000</v>
      </c>
      <c r="N48" s="1679">
        <f t="shared" si="19"/>
        <v>1300000</v>
      </c>
      <c r="O48" s="1679">
        <f t="shared" si="19"/>
        <v>1300000</v>
      </c>
      <c r="P48" s="1679">
        <f t="shared" si="19"/>
        <v>1300000</v>
      </c>
      <c r="Q48" s="1679">
        <f t="shared" si="19"/>
        <v>1300000</v>
      </c>
      <c r="R48" s="1679">
        <f t="shared" si="19"/>
        <v>1300000</v>
      </c>
      <c r="S48" s="1679">
        <f t="shared" si="19"/>
        <v>1300000</v>
      </c>
      <c r="T48" s="1679">
        <f t="shared" si="19"/>
        <v>1300000</v>
      </c>
      <c r="U48" s="1679">
        <f t="shared" si="19"/>
        <v>1300000</v>
      </c>
      <c r="V48" s="1679">
        <f t="shared" si="19"/>
        <v>1300000</v>
      </c>
      <c r="W48" s="1679">
        <f t="shared" si="2"/>
        <v>13000000</v>
      </c>
      <c r="X48" s="1751" t="str">
        <f t="shared" si="3"/>
        <v>Salah</v>
      </c>
      <c r="Y48" s="1540">
        <f t="shared" si="13"/>
        <v>6800000</v>
      </c>
    </row>
    <row r="49" spans="1:25">
      <c r="A49" s="1676">
        <f>IF('Pnj APBDES'!A104="","",'Pnj APBDES'!A104)</f>
        <v>1</v>
      </c>
      <c r="B49" s="1677">
        <f>IF('Pnj APBDES'!B104="","",'Pnj APBDES'!B104)</f>
        <v>1</v>
      </c>
      <c r="C49" s="1677" t="str">
        <f>IF('Pnj APBDES'!C104="","",'Pnj APBDES'!C104)</f>
        <v>04</v>
      </c>
      <c r="D49" s="1676">
        <f>IF('Pnj APBDES'!D104="","",'Pnj APBDES'!D104)</f>
        <v>5</v>
      </c>
      <c r="E49" s="1676">
        <f>IF('Pnj APBDES'!E104="","",'Pnj APBDES'!E104)</f>
        <v>2</v>
      </c>
      <c r="F49" s="1677">
        <f>IF('Pnj APBDES'!F104="","",'Pnj APBDES'!F104)</f>
        <v>3</v>
      </c>
      <c r="G49" s="1677">
        <f>IF('Pnj APBDES'!G104="","",'Pnj APBDES'!G104)</f>
        <v>1</v>
      </c>
      <c r="H49" s="1678" t="str">
        <f>IF('Pnj APBDES'!H104="","",'Pnj APBDES'!H104)</f>
        <v>Belanja Perjalanan Dinas Dalam Kabupaten/Kota</v>
      </c>
      <c r="I49" s="1679">
        <f>'Pnj APBDES'!K104</f>
        <v>6200000</v>
      </c>
      <c r="J49" s="1746" t="str">
        <f>IF('Pnj APBDES'!N104="","",'Pnj APBDES'!N104)</f>
        <v>ADD</v>
      </c>
      <c r="K49" s="1533"/>
      <c r="L49" s="1541"/>
      <c r="M49" s="1541">
        <v>800000</v>
      </c>
      <c r="N49" s="1541">
        <v>800000</v>
      </c>
      <c r="O49" s="1541">
        <v>800000</v>
      </c>
      <c r="P49" s="1541">
        <v>800000</v>
      </c>
      <c r="Q49" s="1541">
        <v>800000</v>
      </c>
      <c r="R49" s="1541">
        <v>800000</v>
      </c>
      <c r="S49" s="1541">
        <v>800000</v>
      </c>
      <c r="T49" s="1541">
        <v>800000</v>
      </c>
      <c r="U49" s="1541">
        <v>800000</v>
      </c>
      <c r="V49" s="1541">
        <v>800000</v>
      </c>
      <c r="W49" s="1679">
        <f t="shared" si="2"/>
        <v>8000000</v>
      </c>
      <c r="X49" s="1751" t="str">
        <f t="shared" si="3"/>
        <v>Salah</v>
      </c>
      <c r="Y49" s="1540">
        <f t="shared" si="13"/>
        <v>1800000</v>
      </c>
    </row>
    <row r="50" spans="1:25">
      <c r="A50" s="1676">
        <f>IF('Pnj APBDES'!A105="","",'Pnj APBDES'!A105)</f>
        <v>1</v>
      </c>
      <c r="B50" s="1677">
        <f>IF('Pnj APBDES'!B105="","",'Pnj APBDES'!B105)</f>
        <v>1</v>
      </c>
      <c r="C50" s="1677" t="str">
        <f>IF('Pnj APBDES'!C105="","",'Pnj APBDES'!C105)</f>
        <v>04</v>
      </c>
      <c r="D50" s="1676">
        <f>IF('Pnj APBDES'!D105="","",'Pnj APBDES'!D105)</f>
        <v>5</v>
      </c>
      <c r="E50" s="1676">
        <f>IF('Pnj APBDES'!E105="","",'Pnj APBDES'!E105)</f>
        <v>2</v>
      </c>
      <c r="F50" s="1677">
        <f>IF('Pnj APBDES'!F105="","",'Pnj APBDES'!F105)</f>
        <v>3</v>
      </c>
      <c r="G50" s="1677">
        <f>IF('Pnj APBDES'!G105="","",'Pnj APBDES'!G105)</f>
        <v>2</v>
      </c>
      <c r="H50" s="1678" t="str">
        <f>IF('Pnj APBDES'!H105="","",'Pnj APBDES'!H105)</f>
        <v>Belanja Perjalanan Dinas Luar Kabupaten/Kota</v>
      </c>
      <c r="I50" s="1679">
        <f>'Pnj APBDES'!K105</f>
        <v>0</v>
      </c>
      <c r="J50" s="1746" t="str">
        <f>IF('Pnj APBDES'!N105="","",'Pnj APBDES'!N105)</f>
        <v/>
      </c>
      <c r="K50" s="1533">
        <v>0</v>
      </c>
      <c r="L50" s="1541"/>
      <c r="M50" s="1541">
        <v>500000</v>
      </c>
      <c r="N50" s="1541">
        <v>500000</v>
      </c>
      <c r="O50" s="1541">
        <v>500000</v>
      </c>
      <c r="P50" s="1541">
        <v>500000</v>
      </c>
      <c r="Q50" s="1541">
        <v>500000</v>
      </c>
      <c r="R50" s="1541">
        <v>500000</v>
      </c>
      <c r="S50" s="1541">
        <v>500000</v>
      </c>
      <c r="T50" s="1541">
        <v>500000</v>
      </c>
      <c r="U50" s="1541">
        <v>500000</v>
      </c>
      <c r="V50" s="1541">
        <v>500000</v>
      </c>
      <c r="W50" s="1679">
        <f t="shared" si="2"/>
        <v>5000000</v>
      </c>
      <c r="X50" s="1751" t="str">
        <f t="shared" si="3"/>
        <v>Salah</v>
      </c>
      <c r="Y50" s="1540">
        <f t="shared" si="13"/>
        <v>5000000</v>
      </c>
    </row>
    <row r="51" spans="1:25">
      <c r="A51" s="1676">
        <f>IF('Pnj APBDES'!A108="","",'Pnj APBDES'!A108)</f>
        <v>1</v>
      </c>
      <c r="B51" s="1677">
        <f>IF('Pnj APBDES'!B108="","",'Pnj APBDES'!B108)</f>
        <v>1</v>
      </c>
      <c r="C51" s="1677" t="str">
        <f>IF('Pnj APBDES'!C108="","",'Pnj APBDES'!C108)</f>
        <v>04</v>
      </c>
      <c r="D51" s="1676">
        <f>IF('Pnj APBDES'!D108="","",'Pnj APBDES'!D108)</f>
        <v>5</v>
      </c>
      <c r="E51" s="1677">
        <f>IF('Pnj APBDES'!E108="","",'Pnj APBDES'!E108)</f>
        <v>2</v>
      </c>
      <c r="F51" s="1677">
        <f>IF('Pnj APBDES'!F108="","",'Pnj APBDES'!F108)</f>
        <v>5</v>
      </c>
      <c r="G51" s="1676" t="str">
        <f>IF('Pnj APBDES'!G108="","",'Pnj APBDES'!G108)</f>
        <v/>
      </c>
      <c r="H51" s="1680" t="str">
        <f>IF('Pnj APBDES'!H108="","",'Pnj APBDES'!H108)</f>
        <v>Belanja Operasional Perkantoran</v>
      </c>
      <c r="I51" s="1679">
        <f>'Pnj APBDES'!K108</f>
        <v>1176000</v>
      </c>
      <c r="J51" s="1746" t="str">
        <f>IF('Pnj APBDES'!N108="","",'Pnj APBDES'!N108)</f>
        <v/>
      </c>
      <c r="K51" s="1679">
        <f>K52+K53+K54</f>
        <v>75000</v>
      </c>
      <c r="L51" s="1679">
        <f t="shared" ref="L51:V51" si="20">L52+L53+L54</f>
        <v>75000</v>
      </c>
      <c r="M51" s="1679">
        <f t="shared" si="20"/>
        <v>501000</v>
      </c>
      <c r="N51" s="1679">
        <f t="shared" si="20"/>
        <v>75000</v>
      </c>
      <c r="O51" s="1679">
        <f t="shared" si="20"/>
        <v>75000</v>
      </c>
      <c r="P51" s="1679">
        <f t="shared" si="20"/>
        <v>225000</v>
      </c>
      <c r="Q51" s="1679">
        <f t="shared" si="20"/>
        <v>75000</v>
      </c>
      <c r="R51" s="1679">
        <f t="shared" si="20"/>
        <v>75000</v>
      </c>
      <c r="S51" s="1679">
        <f t="shared" si="20"/>
        <v>225000</v>
      </c>
      <c r="T51" s="1679">
        <f t="shared" si="20"/>
        <v>75000</v>
      </c>
      <c r="U51" s="1679">
        <f t="shared" si="20"/>
        <v>75000</v>
      </c>
      <c r="V51" s="1679">
        <f t="shared" si="20"/>
        <v>225000</v>
      </c>
      <c r="W51" s="1679">
        <f t="shared" si="2"/>
        <v>1776000</v>
      </c>
      <c r="X51" s="1751" t="str">
        <f t="shared" si="3"/>
        <v>Salah</v>
      </c>
      <c r="Y51" s="1540">
        <f t="shared" si="13"/>
        <v>600000</v>
      </c>
    </row>
    <row r="52" spans="1:25">
      <c r="A52" s="1676">
        <f>IF('Pnj APBDES'!A109="","",'Pnj APBDES'!A109)</f>
        <v>1</v>
      </c>
      <c r="B52" s="1677">
        <f>IF('Pnj APBDES'!B109="","",'Pnj APBDES'!B109)</f>
        <v>1</v>
      </c>
      <c r="C52" s="1677" t="str">
        <f>IF('Pnj APBDES'!C109="","",'Pnj APBDES'!C109)</f>
        <v>04</v>
      </c>
      <c r="D52" s="1676">
        <f>IF('Pnj APBDES'!D109="","",'Pnj APBDES'!D109)</f>
        <v>5</v>
      </c>
      <c r="E52" s="1677">
        <f>IF('Pnj APBDES'!E109="","",'Pnj APBDES'!E109)</f>
        <v>2</v>
      </c>
      <c r="F52" s="1677">
        <f>IF('Pnj APBDES'!F109="","",'Pnj APBDES'!F109)</f>
        <v>5</v>
      </c>
      <c r="G52" s="1676">
        <f>IF('Pnj APBDES'!G109="","",'Pnj APBDES'!G109)</f>
        <v>1</v>
      </c>
      <c r="H52" s="1680" t="str">
        <f>IF('Pnj APBDES'!H109="","",'Pnj APBDES'!H109)</f>
        <v>Belanja Jasa Langganan Listrik</v>
      </c>
      <c r="I52" s="1679">
        <f>'Pnj APBDES'!K109</f>
        <v>900000</v>
      </c>
      <c r="J52" s="1746" t="str">
        <f>IF('Pnj APBDES'!N109="","",'Pnj APBDES'!N109)</f>
        <v>ADD</v>
      </c>
      <c r="K52" s="1679">
        <v>75000</v>
      </c>
      <c r="L52" s="1679">
        <v>75000</v>
      </c>
      <c r="M52" s="1679">
        <v>75000</v>
      </c>
      <c r="N52" s="1679">
        <v>75000</v>
      </c>
      <c r="O52" s="1679">
        <v>75000</v>
      </c>
      <c r="P52" s="1679">
        <v>75000</v>
      </c>
      <c r="Q52" s="1679">
        <v>75000</v>
      </c>
      <c r="R52" s="1679">
        <v>75000</v>
      </c>
      <c r="S52" s="1679">
        <v>75000</v>
      </c>
      <c r="T52" s="1679">
        <v>75000</v>
      </c>
      <c r="U52" s="1679">
        <v>75000</v>
      </c>
      <c r="V52" s="1679">
        <v>75000</v>
      </c>
      <c r="W52" s="1679">
        <f t="shared" si="2"/>
        <v>900000</v>
      </c>
      <c r="X52" s="1751" t="str">
        <f t="shared" si="3"/>
        <v>Sama</v>
      </c>
      <c r="Y52" s="1540">
        <f t="shared" si="13"/>
        <v>0</v>
      </c>
    </row>
    <row r="53" spans="1:25">
      <c r="A53" s="1676" t="e">
        <f>IF('Pnj APBDES'!#REF!="","",'Pnj APBDES'!#REF!)</f>
        <v>#REF!</v>
      </c>
      <c r="B53" s="1677" t="e">
        <f>IF('Pnj APBDES'!#REF!="","",'Pnj APBDES'!#REF!)</f>
        <v>#REF!</v>
      </c>
      <c r="C53" s="1677" t="e">
        <f>IF('Pnj APBDES'!#REF!="","",'Pnj APBDES'!#REF!)</f>
        <v>#REF!</v>
      </c>
      <c r="D53" s="1676" t="e">
        <f>IF('Pnj APBDES'!#REF!="","",'Pnj APBDES'!#REF!)</f>
        <v>#REF!</v>
      </c>
      <c r="E53" s="1677" t="e">
        <f>IF('Pnj APBDES'!#REF!="","",'Pnj APBDES'!#REF!)</f>
        <v>#REF!</v>
      </c>
      <c r="F53" s="1677" t="e">
        <f>IF('Pnj APBDES'!#REF!="","",'Pnj APBDES'!#REF!)</f>
        <v>#REF!</v>
      </c>
      <c r="G53" s="1676" t="e">
        <f>IF('Pnj APBDES'!#REF!="","",'Pnj APBDES'!#REF!)</f>
        <v>#REF!</v>
      </c>
      <c r="H53" s="1680" t="e">
        <f>IF('Pnj APBDES'!#REF!="","",'Pnj APBDES'!#REF!)</f>
        <v>#REF!</v>
      </c>
      <c r="I53" s="1679" t="e">
        <f>'Pnj APBDES'!#REF!</f>
        <v>#REF!</v>
      </c>
      <c r="J53" s="1746" t="e">
        <f>IF('Pnj APBDES'!#REF!="","",'Pnj APBDES'!#REF!)</f>
        <v>#REF!</v>
      </c>
      <c r="K53" s="1679">
        <v>0</v>
      </c>
      <c r="L53" s="1679"/>
      <c r="M53" s="1679">
        <v>150000</v>
      </c>
      <c r="N53" s="1679"/>
      <c r="O53" s="1679"/>
      <c r="P53" s="1679">
        <v>150000</v>
      </c>
      <c r="Q53" s="1679"/>
      <c r="R53" s="1679"/>
      <c r="S53" s="1679">
        <v>150000</v>
      </c>
      <c r="T53" s="1679"/>
      <c r="U53" s="1679"/>
      <c r="V53" s="1679">
        <v>150000</v>
      </c>
      <c r="W53" s="1679">
        <f t="shared" si="2"/>
        <v>600000</v>
      </c>
      <c r="X53" s="1751" t="e">
        <f t="shared" si="3"/>
        <v>#REF!</v>
      </c>
      <c r="Y53" s="1540" t="e">
        <f t="shared" si="13"/>
        <v>#REF!</v>
      </c>
    </row>
    <row r="54" spans="1:25">
      <c r="A54" s="1676">
        <f>IF('Pnj APBDES'!A110="","",'Pnj APBDES'!A110)</f>
        <v>1</v>
      </c>
      <c r="B54" s="1677">
        <f>IF('Pnj APBDES'!B110="","",'Pnj APBDES'!B110)</f>
        <v>1</v>
      </c>
      <c r="C54" s="1677" t="str">
        <f>IF('Pnj APBDES'!C110="","",'Pnj APBDES'!C110)</f>
        <v>04</v>
      </c>
      <c r="D54" s="1676">
        <f>IF('Pnj APBDES'!D110="","",'Pnj APBDES'!D110)</f>
        <v>5</v>
      </c>
      <c r="E54" s="1677">
        <f>IF('Pnj APBDES'!E110="","",'Pnj APBDES'!E110)</f>
        <v>2</v>
      </c>
      <c r="F54" s="1677">
        <f>IF('Pnj APBDES'!F110="","",'Pnj APBDES'!F110)</f>
        <v>5</v>
      </c>
      <c r="G54" s="1676">
        <f>IF('Pnj APBDES'!G110="","",'Pnj APBDES'!G110)</f>
        <v>7</v>
      </c>
      <c r="H54" s="1680" t="str">
        <f>IF('Pnj APBDES'!H110="","",'Pnj APBDES'!H110)</f>
        <v>Belanja Jasa Perpanjangan ijin/Pajak</v>
      </c>
      <c r="I54" s="1679">
        <f>'Pnj APBDES'!K110</f>
        <v>276000</v>
      </c>
      <c r="J54" s="1746" t="str">
        <f>IF('Pnj APBDES'!N110="","",'Pnj APBDES'!N110)</f>
        <v>ADD</v>
      </c>
      <c r="K54" s="1679">
        <v>0</v>
      </c>
      <c r="L54" s="1679"/>
      <c r="M54" s="1679">
        <f>I54</f>
        <v>276000</v>
      </c>
      <c r="N54" s="1679"/>
      <c r="O54" s="1679"/>
      <c r="P54" s="1679"/>
      <c r="Q54" s="1679"/>
      <c r="R54" s="1679"/>
      <c r="S54" s="1679"/>
      <c r="T54" s="1679">
        <v>0</v>
      </c>
      <c r="U54" s="1679"/>
      <c r="V54" s="1679"/>
      <c r="W54" s="1679">
        <f t="shared" si="2"/>
        <v>276000</v>
      </c>
      <c r="X54" s="1751" t="str">
        <f t="shared" si="3"/>
        <v>Sama</v>
      </c>
      <c r="Y54" s="1540">
        <f t="shared" si="13"/>
        <v>0</v>
      </c>
    </row>
    <row r="55" spans="1:25">
      <c r="A55" s="1676">
        <f>IF('Pnj APBDES'!A111="","",'Pnj APBDES'!A111)</f>
        <v>1</v>
      </c>
      <c r="B55" s="1677">
        <f>IF('Pnj APBDES'!B111="","",'Pnj APBDES'!B111)</f>
        <v>1</v>
      </c>
      <c r="C55" s="1677" t="str">
        <f>IF('Pnj APBDES'!C111="","",'Pnj APBDES'!C111)</f>
        <v>04</v>
      </c>
      <c r="D55" s="1676">
        <f>IF('Pnj APBDES'!D111="","",'Pnj APBDES'!D111)</f>
        <v>5</v>
      </c>
      <c r="E55" s="1677">
        <f>IF('Pnj APBDES'!E111="","",'Pnj APBDES'!E111)</f>
        <v>2</v>
      </c>
      <c r="F55" s="1677">
        <f>IF('Pnj APBDES'!F111="","",'Pnj APBDES'!F111)</f>
        <v>6</v>
      </c>
      <c r="G55" s="1676" t="str">
        <f>IF('Pnj APBDES'!G111="","",'Pnj APBDES'!G111)</f>
        <v/>
      </c>
      <c r="H55" s="1680" t="str">
        <f>IF('Pnj APBDES'!H111="","",'Pnj APBDES'!H111)</f>
        <v xml:space="preserve">Belanja pemeliharaan </v>
      </c>
      <c r="I55" s="1679">
        <f>'Pnj APBDES'!K111</f>
        <v>1000000</v>
      </c>
      <c r="J55" s="1746" t="str">
        <f>IF('Pnj APBDES'!N111="","",'Pnj APBDES'!N111)</f>
        <v/>
      </c>
      <c r="K55" s="1679">
        <f>K56</f>
        <v>0</v>
      </c>
      <c r="L55" s="1679">
        <f t="shared" ref="L55:V55" si="21">L56</f>
        <v>0</v>
      </c>
      <c r="M55" s="1679">
        <f t="shared" si="21"/>
        <v>250000</v>
      </c>
      <c r="N55" s="1679">
        <f t="shared" si="21"/>
        <v>0</v>
      </c>
      <c r="O55" s="1679">
        <f t="shared" si="21"/>
        <v>0</v>
      </c>
      <c r="P55" s="1679">
        <f t="shared" si="21"/>
        <v>250000</v>
      </c>
      <c r="Q55" s="1679">
        <f t="shared" si="21"/>
        <v>0</v>
      </c>
      <c r="R55" s="1679">
        <f t="shared" si="21"/>
        <v>0</v>
      </c>
      <c r="S55" s="1679">
        <f t="shared" si="21"/>
        <v>250000</v>
      </c>
      <c r="T55" s="1679">
        <f t="shared" si="21"/>
        <v>0</v>
      </c>
      <c r="U55" s="1679">
        <f t="shared" si="21"/>
        <v>0</v>
      </c>
      <c r="V55" s="1679">
        <f t="shared" si="21"/>
        <v>250000</v>
      </c>
      <c r="W55" s="1679">
        <f t="shared" si="2"/>
        <v>1000000</v>
      </c>
      <c r="X55" s="1751" t="str">
        <f t="shared" si="3"/>
        <v>Sama</v>
      </c>
      <c r="Y55" s="1540">
        <f t="shared" si="13"/>
        <v>0</v>
      </c>
    </row>
    <row r="56" spans="1:25">
      <c r="A56" s="1676">
        <f>IF('Pnj APBDES'!A112="","",'Pnj APBDES'!A112)</f>
        <v>1</v>
      </c>
      <c r="B56" s="1677">
        <f>IF('Pnj APBDES'!B112="","",'Pnj APBDES'!B112)</f>
        <v>1</v>
      </c>
      <c r="C56" s="1677" t="str">
        <f>IF('Pnj APBDES'!C112="","",'Pnj APBDES'!C112)</f>
        <v>04</v>
      </c>
      <c r="D56" s="1676">
        <f>IF('Pnj APBDES'!D112="","",'Pnj APBDES'!D112)</f>
        <v>5</v>
      </c>
      <c r="E56" s="1677">
        <f>IF('Pnj APBDES'!E112="","",'Pnj APBDES'!E112)</f>
        <v>2</v>
      </c>
      <c r="F56" s="1677">
        <f>IF('Pnj APBDES'!F112="","",'Pnj APBDES'!F112)</f>
        <v>6</v>
      </c>
      <c r="G56" s="1676">
        <f>IF('Pnj APBDES'!G112="","",'Pnj APBDES'!G112)</f>
        <v>2</v>
      </c>
      <c r="H56" s="1680" t="str">
        <f>IF('Pnj APBDES'!H112="","",'Pnj APBDES'!H112)</f>
        <v>Belanja pemeliharaan kendaraan bermotor</v>
      </c>
      <c r="I56" s="1679">
        <f>'Pnj APBDES'!K112</f>
        <v>1000000</v>
      </c>
      <c r="J56" s="1746" t="str">
        <f>IF('Pnj APBDES'!N112="","",'Pnj APBDES'!N112)</f>
        <v>ADD</v>
      </c>
      <c r="K56" s="1679">
        <v>0</v>
      </c>
      <c r="L56" s="1679"/>
      <c r="M56" s="1679">
        <v>250000</v>
      </c>
      <c r="N56" s="1679"/>
      <c r="O56" s="1679"/>
      <c r="P56" s="1679">
        <v>250000</v>
      </c>
      <c r="Q56" s="1679"/>
      <c r="R56" s="1679"/>
      <c r="S56" s="1679">
        <v>250000</v>
      </c>
      <c r="T56" s="1679"/>
      <c r="U56" s="1679"/>
      <c r="V56" s="1679">
        <v>250000</v>
      </c>
      <c r="W56" s="1679">
        <f t="shared" si="2"/>
        <v>1000000</v>
      </c>
      <c r="X56" s="1751" t="str">
        <f t="shared" si="3"/>
        <v>Sama</v>
      </c>
      <c r="Y56" s="1540">
        <f t="shared" si="13"/>
        <v>0</v>
      </c>
    </row>
    <row r="57" spans="1:25" s="1540" customFormat="1" ht="12" customHeight="1">
      <c r="A57" s="1672">
        <f>IF('Pnj APBDES'!A114="","",'Pnj APBDES'!A114)</f>
        <v>1</v>
      </c>
      <c r="B57" s="1673">
        <f>IF('Pnj APBDES'!B114="","",'Pnj APBDES'!B114)</f>
        <v>1</v>
      </c>
      <c r="C57" s="1673" t="str">
        <f>IF('Pnj APBDES'!C114="","",'Pnj APBDES'!C114)</f>
        <v>05</v>
      </c>
      <c r="D57" s="1672">
        <f>IF('Pnj APBDES'!D114="","",'Pnj APBDES'!D114)</f>
        <v>5</v>
      </c>
      <c r="E57" s="1672" t="str">
        <f>IF('Pnj APBDES'!E114="","",'Pnj APBDES'!E114)</f>
        <v/>
      </c>
      <c r="F57" s="1672" t="str">
        <f>IF('Pnj APBDES'!F114="","",'Pnj APBDES'!F114)</f>
        <v/>
      </c>
      <c r="G57" s="1672" t="str">
        <f>IF('Pnj APBDES'!G114="","",'Pnj APBDES'!G114)</f>
        <v/>
      </c>
      <c r="H57" s="1674" t="str">
        <f>IF('Pnj APBDES'!H114="","",'Pnj APBDES'!H114)</f>
        <v>Penyediaan Tunjangan BPD</v>
      </c>
      <c r="I57" s="1675">
        <f>'Pnj APBDES'!K114</f>
        <v>58800000</v>
      </c>
      <c r="J57" s="1745" t="str">
        <f>IF('Pnj APBDES'!N114="","",'Pnj APBDES'!N114)</f>
        <v/>
      </c>
      <c r="K57" s="1675">
        <f>K58</f>
        <v>4900000</v>
      </c>
      <c r="L57" s="1675">
        <f t="shared" ref="L57:V59" si="22">L58</f>
        <v>4900000</v>
      </c>
      <c r="M57" s="1675">
        <f t="shared" si="22"/>
        <v>4900000</v>
      </c>
      <c r="N57" s="1675">
        <f t="shared" si="22"/>
        <v>4900000</v>
      </c>
      <c r="O57" s="1675">
        <f t="shared" si="22"/>
        <v>4900000</v>
      </c>
      <c r="P57" s="1675">
        <f t="shared" si="22"/>
        <v>4900000</v>
      </c>
      <c r="Q57" s="1675">
        <f t="shared" si="22"/>
        <v>4900000</v>
      </c>
      <c r="R57" s="1675">
        <f t="shared" si="22"/>
        <v>4900000</v>
      </c>
      <c r="S57" s="1675">
        <f t="shared" si="22"/>
        <v>4900000</v>
      </c>
      <c r="T57" s="1675">
        <f t="shared" si="22"/>
        <v>4900000</v>
      </c>
      <c r="U57" s="1675">
        <f t="shared" si="22"/>
        <v>4900000</v>
      </c>
      <c r="V57" s="1675">
        <f t="shared" si="22"/>
        <v>4900000</v>
      </c>
      <c r="W57" s="1675">
        <f t="shared" si="2"/>
        <v>58800000</v>
      </c>
      <c r="X57" s="1751" t="str">
        <f t="shared" si="3"/>
        <v>Sama</v>
      </c>
      <c r="Y57" s="1540">
        <f t="shared" si="13"/>
        <v>0</v>
      </c>
    </row>
    <row r="58" spans="1:25">
      <c r="A58" s="1676">
        <f>IF('Pnj APBDES'!A115="","",'Pnj APBDES'!A115)</f>
        <v>1</v>
      </c>
      <c r="B58" s="1677">
        <f>IF('Pnj APBDES'!B115="","",'Pnj APBDES'!B115)</f>
        <v>1</v>
      </c>
      <c r="C58" s="1677" t="str">
        <f>IF('Pnj APBDES'!C115="","",'Pnj APBDES'!C115)</f>
        <v>05</v>
      </c>
      <c r="D58" s="1676">
        <f>IF('Pnj APBDES'!D115="","",'Pnj APBDES'!D115)</f>
        <v>5</v>
      </c>
      <c r="E58" s="1676">
        <f>IF('Pnj APBDES'!E115="","",'Pnj APBDES'!E115)</f>
        <v>1</v>
      </c>
      <c r="F58" s="1676" t="str">
        <f>IF('Pnj APBDES'!F115="","",'Pnj APBDES'!F115)</f>
        <v/>
      </c>
      <c r="G58" s="1676" t="str">
        <f>IF('Pnj APBDES'!G115="","",'Pnj APBDES'!G115)</f>
        <v/>
      </c>
      <c r="H58" s="1678" t="str">
        <f>IF('Pnj APBDES'!H115="","",'Pnj APBDES'!H115)</f>
        <v>Belanja Pegawai</v>
      </c>
      <c r="I58" s="1679">
        <f>'Pnj APBDES'!K115</f>
        <v>58800000</v>
      </c>
      <c r="J58" s="1746" t="str">
        <f>IF('Pnj APBDES'!N115="","",'Pnj APBDES'!N115)</f>
        <v/>
      </c>
      <c r="K58" s="1679">
        <f>K59</f>
        <v>4900000</v>
      </c>
      <c r="L58" s="1679">
        <f t="shared" si="22"/>
        <v>4900000</v>
      </c>
      <c r="M58" s="1679">
        <f t="shared" si="22"/>
        <v>4900000</v>
      </c>
      <c r="N58" s="1679">
        <f t="shared" si="22"/>
        <v>4900000</v>
      </c>
      <c r="O58" s="1679">
        <f t="shared" si="22"/>
        <v>4900000</v>
      </c>
      <c r="P58" s="1679">
        <f t="shared" si="22"/>
        <v>4900000</v>
      </c>
      <c r="Q58" s="1679">
        <f t="shared" si="22"/>
        <v>4900000</v>
      </c>
      <c r="R58" s="1679">
        <f t="shared" si="22"/>
        <v>4900000</v>
      </c>
      <c r="S58" s="1679">
        <f t="shared" si="22"/>
        <v>4900000</v>
      </c>
      <c r="T58" s="1679">
        <f t="shared" si="22"/>
        <v>4900000</v>
      </c>
      <c r="U58" s="1679">
        <f t="shared" si="22"/>
        <v>4900000</v>
      </c>
      <c r="V58" s="1679">
        <f t="shared" si="22"/>
        <v>4900000</v>
      </c>
      <c r="W58" s="1679">
        <f t="shared" si="2"/>
        <v>58800000</v>
      </c>
      <c r="X58" s="1751" t="str">
        <f t="shared" si="3"/>
        <v>Sama</v>
      </c>
      <c r="Y58" s="1540">
        <f t="shared" si="13"/>
        <v>0</v>
      </c>
    </row>
    <row r="59" spans="1:25">
      <c r="A59" s="1676">
        <f>IF('Pnj APBDES'!A116="","",'Pnj APBDES'!A116)</f>
        <v>1</v>
      </c>
      <c r="B59" s="1677">
        <f>IF('Pnj APBDES'!B116="","",'Pnj APBDES'!B116)</f>
        <v>1</v>
      </c>
      <c r="C59" s="1677" t="str">
        <f>IF('Pnj APBDES'!C116="","",'Pnj APBDES'!C116)</f>
        <v>05</v>
      </c>
      <c r="D59" s="1676">
        <f>IF('Pnj APBDES'!D116="","",'Pnj APBDES'!D116)</f>
        <v>5</v>
      </c>
      <c r="E59" s="1676">
        <f>IF('Pnj APBDES'!E116="","",'Pnj APBDES'!E116)</f>
        <v>1</v>
      </c>
      <c r="F59" s="1677">
        <f>IF('Pnj APBDES'!F116="","",'Pnj APBDES'!F116)</f>
        <v>4</v>
      </c>
      <c r="G59" s="1677" t="str">
        <f>IF('Pnj APBDES'!G116="","",'Pnj APBDES'!G116)</f>
        <v/>
      </c>
      <c r="H59" s="1678" t="str">
        <f>IF('Pnj APBDES'!H116="","",'Pnj APBDES'!H116)</f>
        <v>Tunjangan BPD</v>
      </c>
      <c r="I59" s="1679">
        <f>'Pnj APBDES'!K116</f>
        <v>58800000</v>
      </c>
      <c r="J59" s="1746" t="str">
        <f>IF('Pnj APBDES'!N116="","",'Pnj APBDES'!N116)</f>
        <v/>
      </c>
      <c r="K59" s="1679">
        <f>K60</f>
        <v>4900000</v>
      </c>
      <c r="L59" s="1679">
        <f t="shared" si="22"/>
        <v>4900000</v>
      </c>
      <c r="M59" s="1679">
        <f t="shared" si="22"/>
        <v>4900000</v>
      </c>
      <c r="N59" s="1679">
        <f t="shared" si="22"/>
        <v>4900000</v>
      </c>
      <c r="O59" s="1679">
        <f t="shared" si="22"/>
        <v>4900000</v>
      </c>
      <c r="P59" s="1679">
        <f t="shared" si="22"/>
        <v>4900000</v>
      </c>
      <c r="Q59" s="1679">
        <f t="shared" si="22"/>
        <v>4900000</v>
      </c>
      <c r="R59" s="1679">
        <f t="shared" si="22"/>
        <v>4900000</v>
      </c>
      <c r="S59" s="1679">
        <f t="shared" si="22"/>
        <v>4900000</v>
      </c>
      <c r="T59" s="1679">
        <f t="shared" si="22"/>
        <v>4900000</v>
      </c>
      <c r="U59" s="1679">
        <f t="shared" si="22"/>
        <v>4900000</v>
      </c>
      <c r="V59" s="1679">
        <f t="shared" si="22"/>
        <v>4900000</v>
      </c>
      <c r="W59" s="1679">
        <f t="shared" si="2"/>
        <v>58800000</v>
      </c>
      <c r="X59" s="1751" t="str">
        <f t="shared" si="3"/>
        <v>Sama</v>
      </c>
      <c r="Y59" s="1540">
        <f t="shared" si="13"/>
        <v>0</v>
      </c>
    </row>
    <row r="60" spans="1:25">
      <c r="A60" s="1676">
        <f>IF('Pnj APBDES'!A117="","",'Pnj APBDES'!A117)</f>
        <v>1</v>
      </c>
      <c r="B60" s="1677">
        <f>IF('Pnj APBDES'!B117="","",'Pnj APBDES'!B117)</f>
        <v>1</v>
      </c>
      <c r="C60" s="1677" t="str">
        <f>IF('Pnj APBDES'!C117="","",'Pnj APBDES'!C117)</f>
        <v>05</v>
      </c>
      <c r="D60" s="1676">
        <f>IF('Pnj APBDES'!D117="","",'Pnj APBDES'!D117)</f>
        <v>5</v>
      </c>
      <c r="E60" s="1676">
        <f>IF('Pnj APBDES'!E117="","",'Pnj APBDES'!E117)</f>
        <v>1</v>
      </c>
      <c r="F60" s="1677">
        <f>IF('Pnj APBDES'!F117="","",'Pnj APBDES'!F117)</f>
        <v>4</v>
      </c>
      <c r="G60" s="1677">
        <f>IF('Pnj APBDES'!G117="","",'Pnj APBDES'!G117)</f>
        <v>1</v>
      </c>
      <c r="H60" s="1678" t="str">
        <f>IF('Pnj APBDES'!H117="","",'Pnj APBDES'!H117)</f>
        <v>Tunjangan BPD</v>
      </c>
      <c r="I60" s="1679">
        <f>'Pnj APBDES'!K117</f>
        <v>58800000</v>
      </c>
      <c r="J60" s="1746" t="str">
        <f>IF('Pnj APBDES'!N117="","",'Pnj APBDES'!N117)</f>
        <v>ADD</v>
      </c>
      <c r="K60" s="1679">
        <f>$I60/12</f>
        <v>4900000</v>
      </c>
      <c r="L60" s="1679">
        <f t="shared" ref="L60:V60" si="23">$I60/12</f>
        <v>4900000</v>
      </c>
      <c r="M60" s="1679">
        <f t="shared" si="23"/>
        <v>4900000</v>
      </c>
      <c r="N60" s="1679">
        <f t="shared" si="23"/>
        <v>4900000</v>
      </c>
      <c r="O60" s="1679">
        <f t="shared" si="23"/>
        <v>4900000</v>
      </c>
      <c r="P60" s="1679">
        <f t="shared" si="23"/>
        <v>4900000</v>
      </c>
      <c r="Q60" s="1679">
        <f t="shared" si="23"/>
        <v>4900000</v>
      </c>
      <c r="R60" s="1679">
        <f t="shared" si="23"/>
        <v>4900000</v>
      </c>
      <c r="S60" s="1679">
        <f t="shared" si="23"/>
        <v>4900000</v>
      </c>
      <c r="T60" s="1679">
        <f t="shared" si="23"/>
        <v>4900000</v>
      </c>
      <c r="U60" s="1679">
        <f t="shared" si="23"/>
        <v>4900000</v>
      </c>
      <c r="V60" s="1679">
        <f t="shared" si="23"/>
        <v>4900000</v>
      </c>
      <c r="W60" s="1679">
        <f t="shared" si="2"/>
        <v>58800000</v>
      </c>
      <c r="X60" s="1751" t="str">
        <f t="shared" si="3"/>
        <v>Sama</v>
      </c>
      <c r="Y60" s="1540">
        <f t="shared" si="13"/>
        <v>0</v>
      </c>
    </row>
    <row r="61" spans="1:25" s="1540" customFormat="1" ht="24">
      <c r="A61" s="1672">
        <f>IF('Pnj APBDES'!A118="","",'Pnj APBDES'!A118)</f>
        <v>1</v>
      </c>
      <c r="B61" s="1673">
        <f>IF('Pnj APBDES'!B118="","",'Pnj APBDES'!B118)</f>
        <v>1</v>
      </c>
      <c r="C61" s="1673" t="str">
        <f>IF('Pnj APBDES'!C118="","",'Pnj APBDES'!C118)</f>
        <v>06</v>
      </c>
      <c r="D61" s="1672">
        <f>IF('Pnj APBDES'!D118="","",'Pnj APBDES'!D118)</f>
        <v>5</v>
      </c>
      <c r="E61" s="1672" t="str">
        <f>IF('Pnj APBDES'!E118="","",'Pnj APBDES'!E118)</f>
        <v/>
      </c>
      <c r="F61" s="1672" t="str">
        <f>IF('Pnj APBDES'!F118="","",'Pnj APBDES'!F118)</f>
        <v/>
      </c>
      <c r="G61" s="1672" t="str">
        <f>IF('Pnj APBDES'!G118="","",'Pnj APBDES'!G118)</f>
        <v/>
      </c>
      <c r="H61" s="1674" t="str">
        <f>IF('Pnj APBDES'!H118="","",'Pnj APBDES'!H118)</f>
        <v>Penyediaan Operasional BPD (ATK, perlengkapan perkantoran, Pakaian Seragam, listrik/telpon, dll)</v>
      </c>
      <c r="I61" s="1675">
        <f>'Pnj APBDES'!K118</f>
        <v>3439500</v>
      </c>
      <c r="J61" s="1745" t="str">
        <f>IF('Pnj APBDES'!N118="","",'Pnj APBDES'!N118)</f>
        <v/>
      </c>
      <c r="K61" s="1675">
        <f>K62</f>
        <v>0</v>
      </c>
      <c r="L61" s="1675">
        <f t="shared" ref="L61:V61" si="24">L62</f>
        <v>0</v>
      </c>
      <c r="M61" s="1675">
        <f t="shared" si="24"/>
        <v>1140000</v>
      </c>
      <c r="N61" s="1675">
        <f t="shared" si="24"/>
        <v>180000</v>
      </c>
      <c r="O61" s="1675">
        <f t="shared" si="24"/>
        <v>0</v>
      </c>
      <c r="P61" s="1675">
        <f t="shared" si="24"/>
        <v>450000</v>
      </c>
      <c r="Q61" s="1675">
        <f t="shared" si="24"/>
        <v>450000</v>
      </c>
      <c r="R61" s="1675">
        <f t="shared" si="24"/>
        <v>0</v>
      </c>
      <c r="S61" s="1675">
        <f t="shared" si="24"/>
        <v>979500</v>
      </c>
      <c r="T61" s="1675">
        <f t="shared" si="24"/>
        <v>480000</v>
      </c>
      <c r="U61" s="1675">
        <f t="shared" si="24"/>
        <v>110000</v>
      </c>
      <c r="V61" s="1675">
        <f t="shared" si="24"/>
        <v>0</v>
      </c>
      <c r="W61" s="1675">
        <f t="shared" si="2"/>
        <v>3789500</v>
      </c>
      <c r="X61" s="1751" t="str">
        <f t="shared" si="3"/>
        <v>Salah</v>
      </c>
      <c r="Y61" s="1540">
        <f>W61-I61</f>
        <v>350000</v>
      </c>
    </row>
    <row r="62" spans="1:25">
      <c r="A62" s="1676">
        <f>IF('Pnj APBDES'!A119="","",'Pnj APBDES'!A119)</f>
        <v>1</v>
      </c>
      <c r="B62" s="1677">
        <f>IF('Pnj APBDES'!B119="","",'Pnj APBDES'!B119)</f>
        <v>1</v>
      </c>
      <c r="C62" s="1677" t="str">
        <f>IF('Pnj APBDES'!C119="","",'Pnj APBDES'!C119)</f>
        <v>06</v>
      </c>
      <c r="D62" s="1676">
        <f>IF('Pnj APBDES'!D119="","",'Pnj APBDES'!D119)</f>
        <v>5</v>
      </c>
      <c r="E62" s="1676">
        <f>IF('Pnj APBDES'!E119="","",'Pnj APBDES'!E119)</f>
        <v>2</v>
      </c>
      <c r="F62" s="1676" t="str">
        <f>IF('Pnj APBDES'!F119="","",'Pnj APBDES'!F119)</f>
        <v/>
      </c>
      <c r="G62" s="1676" t="str">
        <f>IF('Pnj APBDES'!G119="","",'Pnj APBDES'!G119)</f>
        <v/>
      </c>
      <c r="H62" s="1678" t="str">
        <f>IF('Pnj APBDES'!H119="","",'Pnj APBDES'!H119)</f>
        <v>Belanja Barang dan Jasa</v>
      </c>
      <c r="I62" s="1679">
        <f>'Pnj APBDES'!K119</f>
        <v>3439500</v>
      </c>
      <c r="J62" s="1746" t="str">
        <f>IF('Pnj APBDES'!N119="","",'Pnj APBDES'!N119)</f>
        <v/>
      </c>
      <c r="K62" s="1679">
        <f t="shared" ref="K62:V62" si="25">K63+K67</f>
        <v>0</v>
      </c>
      <c r="L62" s="1679">
        <f t="shared" si="25"/>
        <v>0</v>
      </c>
      <c r="M62" s="1679">
        <f t="shared" si="25"/>
        <v>1140000</v>
      </c>
      <c r="N62" s="1679">
        <f t="shared" si="25"/>
        <v>180000</v>
      </c>
      <c r="O62" s="1679">
        <f t="shared" si="25"/>
        <v>0</v>
      </c>
      <c r="P62" s="1679">
        <f t="shared" si="25"/>
        <v>450000</v>
      </c>
      <c r="Q62" s="1679">
        <f t="shared" si="25"/>
        <v>450000</v>
      </c>
      <c r="R62" s="1679">
        <f t="shared" si="25"/>
        <v>0</v>
      </c>
      <c r="S62" s="1679">
        <f t="shared" si="25"/>
        <v>979500</v>
      </c>
      <c r="T62" s="1679">
        <f t="shared" si="25"/>
        <v>480000</v>
      </c>
      <c r="U62" s="1679">
        <f t="shared" si="25"/>
        <v>110000</v>
      </c>
      <c r="V62" s="1679">
        <f t="shared" si="25"/>
        <v>0</v>
      </c>
      <c r="W62" s="1679">
        <f t="shared" si="2"/>
        <v>3789500</v>
      </c>
      <c r="X62" s="1751" t="str">
        <f t="shared" si="3"/>
        <v>Salah</v>
      </c>
      <c r="Y62" s="1540">
        <f t="shared" ref="Y62:Y125" si="26">W62-I62</f>
        <v>350000</v>
      </c>
    </row>
    <row r="63" spans="1:25">
      <c r="A63" s="1676">
        <f>IF('Pnj APBDES'!A120="","",'Pnj APBDES'!A120)</f>
        <v>1</v>
      </c>
      <c r="B63" s="1677">
        <f>IF('Pnj APBDES'!B120="","",'Pnj APBDES'!B120)</f>
        <v>1</v>
      </c>
      <c r="C63" s="1677" t="str">
        <f>IF('Pnj APBDES'!C120="","",'Pnj APBDES'!C120)</f>
        <v>06</v>
      </c>
      <c r="D63" s="1676">
        <f>IF('Pnj APBDES'!D120="","",'Pnj APBDES'!D120)</f>
        <v>5</v>
      </c>
      <c r="E63" s="1676">
        <f>IF('Pnj APBDES'!E120="","",'Pnj APBDES'!E120)</f>
        <v>2</v>
      </c>
      <c r="F63" s="1677">
        <f>IF('Pnj APBDES'!F120="","",'Pnj APBDES'!F120)</f>
        <v>1</v>
      </c>
      <c r="G63" s="1677" t="str">
        <f>IF('Pnj APBDES'!G120="","",'Pnj APBDES'!G120)</f>
        <v/>
      </c>
      <c r="H63" s="1678" t="str">
        <f>IF('Pnj APBDES'!H120="","",'Pnj APBDES'!H120)</f>
        <v>Belanja Barang Perlengkapan Kantor</v>
      </c>
      <c r="I63" s="1679">
        <f>'Pnj APBDES'!K120</f>
        <v>1679500</v>
      </c>
      <c r="J63" s="1746" t="str">
        <f>IF('Pnj APBDES'!N120="","",'Pnj APBDES'!N120)</f>
        <v/>
      </c>
      <c r="K63" s="1679">
        <f t="shared" ref="K63:V63" si="27">SUM(K64:K66)</f>
        <v>0</v>
      </c>
      <c r="L63" s="1679">
        <f t="shared" si="27"/>
        <v>0</v>
      </c>
      <c r="M63" s="1679">
        <f t="shared" si="27"/>
        <v>700000</v>
      </c>
      <c r="N63" s="1679">
        <f t="shared" si="27"/>
        <v>0</v>
      </c>
      <c r="O63" s="1679">
        <f t="shared" si="27"/>
        <v>0</v>
      </c>
      <c r="P63" s="1679">
        <f t="shared" si="27"/>
        <v>450000</v>
      </c>
      <c r="Q63" s="1679">
        <f t="shared" si="27"/>
        <v>0</v>
      </c>
      <c r="R63" s="1679">
        <f t="shared" si="27"/>
        <v>0</v>
      </c>
      <c r="S63" s="1679">
        <f t="shared" si="27"/>
        <v>409500</v>
      </c>
      <c r="T63" s="1679">
        <f t="shared" si="27"/>
        <v>0</v>
      </c>
      <c r="U63" s="1679">
        <f t="shared" si="27"/>
        <v>110000</v>
      </c>
      <c r="V63" s="1679">
        <f t="shared" si="27"/>
        <v>0</v>
      </c>
      <c r="W63" s="1679">
        <f t="shared" si="2"/>
        <v>1669500</v>
      </c>
      <c r="X63" s="1751" t="str">
        <f t="shared" si="3"/>
        <v>Salah</v>
      </c>
      <c r="Y63" s="1540">
        <f t="shared" si="26"/>
        <v>-10000</v>
      </c>
    </row>
    <row r="64" spans="1:25">
      <c r="A64" s="1676">
        <f>IF('Pnj APBDES'!A121="","",'Pnj APBDES'!A121)</f>
        <v>1</v>
      </c>
      <c r="B64" s="1677">
        <f>IF('Pnj APBDES'!B121="","",'Pnj APBDES'!B121)</f>
        <v>1</v>
      </c>
      <c r="C64" s="1677" t="str">
        <f>IF('Pnj APBDES'!C121="","",'Pnj APBDES'!C121)</f>
        <v>06</v>
      </c>
      <c r="D64" s="1676">
        <f>IF('Pnj APBDES'!D121="","",'Pnj APBDES'!D121)</f>
        <v>5</v>
      </c>
      <c r="E64" s="1676">
        <f>IF('Pnj APBDES'!E121="","",'Pnj APBDES'!E121)</f>
        <v>2</v>
      </c>
      <c r="F64" s="1677">
        <f>IF('Pnj APBDES'!F121="","",'Pnj APBDES'!F121)</f>
        <v>1</v>
      </c>
      <c r="G64" s="1677">
        <f>IF('Pnj APBDES'!G121="","",'Pnj APBDES'!G121)</f>
        <v>1</v>
      </c>
      <c r="H64" s="1681" t="str">
        <f>IF('Pnj APBDES'!H121="","",'Pnj APBDES'!H121)</f>
        <v>Belanja Perlengkapan Alat Tulis Kantor</v>
      </c>
      <c r="I64" s="1679">
        <f>'Pnj APBDES'!K121</f>
        <v>809500</v>
      </c>
      <c r="J64" s="1746" t="str">
        <f>IF('Pnj APBDES'!N121="","",'Pnj APBDES'!N121)</f>
        <v>ADD</v>
      </c>
      <c r="K64" s="1679">
        <v>0</v>
      </c>
      <c r="L64" s="1679">
        <v>0</v>
      </c>
      <c r="M64" s="1679">
        <v>400000</v>
      </c>
      <c r="N64" s="1679">
        <v>0</v>
      </c>
      <c r="O64" s="1679">
        <v>0</v>
      </c>
      <c r="P64" s="1679">
        <v>200000</v>
      </c>
      <c r="Q64" s="1679"/>
      <c r="R64" s="1679">
        <v>0</v>
      </c>
      <c r="S64" s="1679">
        <v>199500</v>
      </c>
      <c r="T64" s="1679">
        <v>0</v>
      </c>
      <c r="U64" s="1679">
        <v>0</v>
      </c>
      <c r="V64" s="1679">
        <v>0</v>
      </c>
      <c r="W64" s="1679">
        <f t="shared" si="2"/>
        <v>799500</v>
      </c>
      <c r="X64" s="1751" t="str">
        <f t="shared" si="3"/>
        <v>Salah</v>
      </c>
      <c r="Y64" s="1540">
        <f t="shared" si="26"/>
        <v>-10000</v>
      </c>
    </row>
    <row r="65" spans="1:25" s="1756" customFormat="1" ht="24" hidden="1">
      <c r="A65" s="1709">
        <f>IF('Pnj APBDES'!A122="","",'Pnj APBDES'!A122)</f>
        <v>1</v>
      </c>
      <c r="B65" s="1753">
        <f>IF('Pnj APBDES'!B122="","",'Pnj APBDES'!B122)</f>
        <v>1</v>
      </c>
      <c r="C65" s="1753" t="str">
        <f>IF('Pnj APBDES'!C122="","",'Pnj APBDES'!C122)</f>
        <v>06</v>
      </c>
      <c r="D65" s="1709">
        <f>IF('Pnj APBDES'!D122="","",'Pnj APBDES'!D122)</f>
        <v>5</v>
      </c>
      <c r="E65" s="1709">
        <f>IF('Pnj APBDES'!E122="","",'Pnj APBDES'!E122)</f>
        <v>2</v>
      </c>
      <c r="F65" s="1753">
        <f>IF('Pnj APBDES'!F122="","",'Pnj APBDES'!F122)</f>
        <v>1</v>
      </c>
      <c r="G65" s="1753">
        <f>IF('Pnj APBDES'!G122="","",'Pnj APBDES'!G122)</f>
        <v>3</v>
      </c>
      <c r="H65" s="1754" t="str">
        <f>IF('Pnj APBDES'!H122="","",'Pnj APBDES'!H122)</f>
        <v>Belanja Perlengkapan Cetak/Penggandaan - Belanja Barang Cetak dan Penggandaan</v>
      </c>
      <c r="I65" s="1711">
        <f>'Pnj APBDES'!K122</f>
        <v>0</v>
      </c>
      <c r="J65" s="1748" t="str">
        <f>IF('Pnj APBDES'!N122="","",'Pnj APBDES'!N122)</f>
        <v/>
      </c>
      <c r="K65" s="1711"/>
      <c r="L65" s="1711"/>
      <c r="M65" s="1711"/>
      <c r="N65" s="1711"/>
      <c r="O65" s="1711"/>
      <c r="P65" s="1711"/>
      <c r="Q65" s="1711"/>
      <c r="R65" s="1711"/>
      <c r="S65" s="1711"/>
      <c r="T65" s="1711"/>
      <c r="U65" s="1711"/>
      <c r="V65" s="1711"/>
      <c r="W65" s="1711">
        <f t="shared" si="2"/>
        <v>0</v>
      </c>
      <c r="X65" s="1755" t="str">
        <f t="shared" si="3"/>
        <v>Sama</v>
      </c>
      <c r="Y65" s="1540">
        <f t="shared" si="26"/>
        <v>0</v>
      </c>
    </row>
    <row r="66" spans="1:25" ht="24">
      <c r="A66" s="1676">
        <f>IF('Pnj APBDES'!A123="","",'Pnj APBDES'!A123)</f>
        <v>1</v>
      </c>
      <c r="B66" s="1677">
        <f>IF('Pnj APBDES'!B123="","",'Pnj APBDES'!B123)</f>
        <v>1</v>
      </c>
      <c r="C66" s="1677" t="str">
        <f>IF('Pnj APBDES'!C123="","",'Pnj APBDES'!C123)</f>
        <v>06</v>
      </c>
      <c r="D66" s="1676">
        <f>IF('Pnj APBDES'!D123="","",'Pnj APBDES'!D123)</f>
        <v>5</v>
      </c>
      <c r="E66" s="1676">
        <f>IF('Pnj APBDES'!E123="","",'Pnj APBDES'!E123)</f>
        <v>2</v>
      </c>
      <c r="F66" s="1677">
        <f>IF('Pnj APBDES'!F123="","",'Pnj APBDES'!F123)</f>
        <v>1</v>
      </c>
      <c r="G66" s="1677">
        <f>IF('Pnj APBDES'!G123="","",'Pnj APBDES'!G123)</f>
        <v>4</v>
      </c>
      <c r="H66" s="1678" t="str">
        <f>IF('Pnj APBDES'!H123="","",'Pnj APBDES'!H123)</f>
        <v>Belanja Perlengkapan Barang Konsumsi (Makan/minum) - Belanja Barang Konsumsi</v>
      </c>
      <c r="I66" s="1679">
        <f>'Pnj APBDES'!K123</f>
        <v>870000</v>
      </c>
      <c r="J66" s="1746" t="str">
        <f>IF('Pnj APBDES'!N123="","",'Pnj APBDES'!N123)</f>
        <v>ADD</v>
      </c>
      <c r="K66" s="1679">
        <v>0</v>
      </c>
      <c r="L66" s="1679">
        <v>0</v>
      </c>
      <c r="M66" s="1679">
        <v>300000</v>
      </c>
      <c r="N66" s="1679">
        <v>0</v>
      </c>
      <c r="O66" s="1679">
        <v>0</v>
      </c>
      <c r="P66" s="1679">
        <v>250000</v>
      </c>
      <c r="Q66" s="1679">
        <v>0</v>
      </c>
      <c r="R66" s="1679">
        <v>0</v>
      </c>
      <c r="S66" s="1679">
        <v>210000</v>
      </c>
      <c r="T66" s="1679">
        <v>0</v>
      </c>
      <c r="U66" s="1679">
        <v>110000</v>
      </c>
      <c r="V66" s="1679"/>
      <c r="W66" s="1679">
        <f t="shared" si="2"/>
        <v>870000</v>
      </c>
      <c r="X66" s="1751" t="str">
        <f t="shared" si="3"/>
        <v>Sama</v>
      </c>
      <c r="Y66" s="1540">
        <f t="shared" si="26"/>
        <v>0</v>
      </c>
    </row>
    <row r="67" spans="1:25">
      <c r="A67" s="1676">
        <f>IF('Pnj APBDES'!A124="","",'Pnj APBDES'!A124)</f>
        <v>1</v>
      </c>
      <c r="B67" s="1677">
        <f>IF('Pnj APBDES'!B124="","",'Pnj APBDES'!B124)</f>
        <v>1</v>
      </c>
      <c r="C67" s="1677" t="str">
        <f>IF('Pnj APBDES'!C124="","",'Pnj APBDES'!C124)</f>
        <v>06</v>
      </c>
      <c r="D67" s="1676">
        <f>IF('Pnj APBDES'!D124="","",'Pnj APBDES'!D124)</f>
        <v>5</v>
      </c>
      <c r="E67" s="1676">
        <f>IF('Pnj APBDES'!E124="","",'Pnj APBDES'!E124)</f>
        <v>2</v>
      </c>
      <c r="F67" s="1677">
        <f>IF('Pnj APBDES'!F124="","",'Pnj APBDES'!F124)</f>
        <v>3</v>
      </c>
      <c r="G67" s="1677" t="str">
        <f>IF('Pnj APBDES'!G124="","",'Pnj APBDES'!G124)</f>
        <v/>
      </c>
      <c r="H67" s="1678" t="str">
        <f>IF('Pnj APBDES'!H124="","",'Pnj APBDES'!H124)</f>
        <v>Belanja Perjalanan Dinas</v>
      </c>
      <c r="I67" s="1679">
        <f>'Pnj APBDES'!K124</f>
        <v>1760000</v>
      </c>
      <c r="J67" s="1746" t="str">
        <f>IF('Pnj APBDES'!N124="","",'Pnj APBDES'!N124)</f>
        <v/>
      </c>
      <c r="K67" s="1679">
        <f>SUM(K68:K68)</f>
        <v>0</v>
      </c>
      <c r="L67" s="1679">
        <f t="shared" ref="L67:V67" si="28">SUM(L68:L68)</f>
        <v>0</v>
      </c>
      <c r="M67" s="1679">
        <f t="shared" si="28"/>
        <v>440000</v>
      </c>
      <c r="N67" s="1679">
        <f t="shared" si="28"/>
        <v>180000</v>
      </c>
      <c r="O67" s="1679">
        <f t="shared" si="28"/>
        <v>0</v>
      </c>
      <c r="P67" s="1679">
        <f t="shared" si="28"/>
        <v>0</v>
      </c>
      <c r="Q67" s="1679">
        <f t="shared" si="28"/>
        <v>450000</v>
      </c>
      <c r="R67" s="1679">
        <f t="shared" si="28"/>
        <v>0</v>
      </c>
      <c r="S67" s="1679">
        <f t="shared" si="28"/>
        <v>570000</v>
      </c>
      <c r="T67" s="1679">
        <f t="shared" si="28"/>
        <v>480000</v>
      </c>
      <c r="U67" s="1679">
        <f t="shared" si="28"/>
        <v>0</v>
      </c>
      <c r="V67" s="1679">
        <f t="shared" si="28"/>
        <v>0</v>
      </c>
      <c r="W67" s="1679">
        <f t="shared" si="2"/>
        <v>2120000</v>
      </c>
      <c r="X67" s="1751" t="str">
        <f t="shared" si="3"/>
        <v>Salah</v>
      </c>
      <c r="Y67" s="1540">
        <f t="shared" si="26"/>
        <v>360000</v>
      </c>
    </row>
    <row r="68" spans="1:25">
      <c r="A68" s="1676">
        <f>IF('Pnj APBDES'!A125="","",'Pnj APBDES'!A125)</f>
        <v>1</v>
      </c>
      <c r="B68" s="1677">
        <f>IF('Pnj APBDES'!B125="","",'Pnj APBDES'!B125)</f>
        <v>1</v>
      </c>
      <c r="C68" s="1677" t="str">
        <f>IF('Pnj APBDES'!C125="","",'Pnj APBDES'!C125)</f>
        <v>06</v>
      </c>
      <c r="D68" s="1676">
        <f>IF('Pnj APBDES'!D125="","",'Pnj APBDES'!D125)</f>
        <v>5</v>
      </c>
      <c r="E68" s="1676">
        <f>IF('Pnj APBDES'!E125="","",'Pnj APBDES'!E125)</f>
        <v>2</v>
      </c>
      <c r="F68" s="1677">
        <f>IF('Pnj APBDES'!F125="","",'Pnj APBDES'!F125)</f>
        <v>3</v>
      </c>
      <c r="G68" s="1677">
        <f>IF('Pnj APBDES'!G125="","",'Pnj APBDES'!G125)</f>
        <v>1</v>
      </c>
      <c r="H68" s="1678" t="str">
        <f>IF('Pnj APBDES'!H125="","",'Pnj APBDES'!H125)</f>
        <v>Belanja Perjalanan Dinas Dalam Kabupaten/Kota</v>
      </c>
      <c r="I68" s="1679">
        <f>'Pnj APBDES'!K125</f>
        <v>1760000</v>
      </c>
      <c r="J68" s="1746" t="str">
        <f>IF('Pnj APBDES'!N125="","",'Pnj APBDES'!N125)</f>
        <v>ADD</v>
      </c>
      <c r="K68" s="1679">
        <v>0</v>
      </c>
      <c r="L68" s="1679">
        <v>0</v>
      </c>
      <c r="M68" s="1679">
        <f>I68/12*3</f>
        <v>440000</v>
      </c>
      <c r="N68" s="1757">
        <v>180000</v>
      </c>
      <c r="O68" s="1757"/>
      <c r="P68" s="1757"/>
      <c r="Q68" s="1757">
        <v>450000</v>
      </c>
      <c r="R68" s="1757"/>
      <c r="S68" s="1757">
        <v>570000</v>
      </c>
      <c r="T68" s="1757">
        <v>480000</v>
      </c>
      <c r="U68" s="1757"/>
      <c r="V68" s="1757"/>
      <c r="W68" s="1679">
        <f t="shared" si="2"/>
        <v>2120000</v>
      </c>
      <c r="X68" s="1751" t="str">
        <f t="shared" si="3"/>
        <v>Salah</v>
      </c>
      <c r="Y68" s="1540">
        <f t="shared" si="26"/>
        <v>360000</v>
      </c>
    </row>
    <row r="69" spans="1:25" s="1540" customFormat="1">
      <c r="A69" s="1672">
        <f>IF('Pnj APBDES'!A126="","",'Pnj APBDES'!A126)</f>
        <v>1</v>
      </c>
      <c r="B69" s="1673">
        <f>IF('Pnj APBDES'!B126="","",'Pnj APBDES'!B126)</f>
        <v>1</v>
      </c>
      <c r="C69" s="1673" t="str">
        <f>IF('Pnj APBDES'!C126="","",'Pnj APBDES'!C126)</f>
        <v>07</v>
      </c>
      <c r="D69" s="1672">
        <f>IF('Pnj APBDES'!D126="","",'Pnj APBDES'!D126)</f>
        <v>5</v>
      </c>
      <c r="E69" s="1672" t="str">
        <f>IF('Pnj APBDES'!E126="","",'Pnj APBDES'!E126)</f>
        <v/>
      </c>
      <c r="F69" s="1672" t="str">
        <f>IF('Pnj APBDES'!F126="","",'Pnj APBDES'!F126)</f>
        <v/>
      </c>
      <c r="G69" s="1672" t="str">
        <f>IF('Pnj APBDES'!G126="","",'Pnj APBDES'!G126)</f>
        <v/>
      </c>
      <c r="H69" s="1674" t="str">
        <f>IF('Pnj APBDES'!H126="","",'Pnj APBDES'!H126)</f>
        <v>Penyediaan Insentif/Operasional RT</v>
      </c>
      <c r="I69" s="1675">
        <f>'Pnj APBDES'!K126</f>
        <v>76800000</v>
      </c>
      <c r="J69" s="1745" t="str">
        <f>IF('Pnj APBDES'!N126="","",'Pnj APBDES'!N126)</f>
        <v/>
      </c>
      <c r="K69" s="1675">
        <f>K70</f>
        <v>6400000</v>
      </c>
      <c r="L69" s="1675">
        <f t="shared" ref="L69:V70" si="29">L70</f>
        <v>6400000</v>
      </c>
      <c r="M69" s="1675">
        <f t="shared" si="29"/>
        <v>6400000</v>
      </c>
      <c r="N69" s="1675">
        <f t="shared" si="29"/>
        <v>6400000</v>
      </c>
      <c r="O69" s="1675">
        <f t="shared" si="29"/>
        <v>6400000</v>
      </c>
      <c r="P69" s="1675">
        <f t="shared" si="29"/>
        <v>6400000</v>
      </c>
      <c r="Q69" s="1675">
        <f t="shared" si="29"/>
        <v>6400000</v>
      </c>
      <c r="R69" s="1675">
        <f t="shared" si="29"/>
        <v>6400000</v>
      </c>
      <c r="S69" s="1675">
        <f t="shared" si="29"/>
        <v>6400000</v>
      </c>
      <c r="T69" s="1675">
        <f t="shared" si="29"/>
        <v>6400000</v>
      </c>
      <c r="U69" s="1675">
        <f t="shared" si="29"/>
        <v>6400000</v>
      </c>
      <c r="V69" s="1675">
        <f t="shared" si="29"/>
        <v>6400000</v>
      </c>
      <c r="W69" s="1675">
        <f t="shared" si="2"/>
        <v>76800000</v>
      </c>
      <c r="X69" s="1751" t="str">
        <f t="shared" si="3"/>
        <v>Sama</v>
      </c>
      <c r="Y69" s="1540">
        <f t="shared" si="26"/>
        <v>0</v>
      </c>
    </row>
    <row r="70" spans="1:25">
      <c r="A70" s="1676">
        <f>IF('Pnj APBDES'!A127="","",'Pnj APBDES'!A127)</f>
        <v>1</v>
      </c>
      <c r="B70" s="1677">
        <f>IF('Pnj APBDES'!B127="","",'Pnj APBDES'!B127)</f>
        <v>1</v>
      </c>
      <c r="C70" s="1677" t="str">
        <f>IF('Pnj APBDES'!C127="","",'Pnj APBDES'!C127)</f>
        <v>07</v>
      </c>
      <c r="D70" s="1676">
        <f>IF('Pnj APBDES'!D127="","",'Pnj APBDES'!D127)</f>
        <v>5</v>
      </c>
      <c r="E70" s="1676">
        <f>IF('Pnj APBDES'!E127="","",'Pnj APBDES'!E127)</f>
        <v>2</v>
      </c>
      <c r="F70" s="1676" t="str">
        <f>IF('Pnj APBDES'!F127="","",'Pnj APBDES'!F127)</f>
        <v/>
      </c>
      <c r="G70" s="1676" t="str">
        <f>IF('Pnj APBDES'!G127="","",'Pnj APBDES'!G127)</f>
        <v/>
      </c>
      <c r="H70" s="1678" t="str">
        <f>IF('Pnj APBDES'!H127="","",'Pnj APBDES'!H127)</f>
        <v>Belanja Barang dan Jasa</v>
      </c>
      <c r="I70" s="1679">
        <f>'Pnj APBDES'!K127</f>
        <v>76800000</v>
      </c>
      <c r="J70" s="1746" t="str">
        <f>IF('Pnj APBDES'!N127="","",'Pnj APBDES'!N127)</f>
        <v/>
      </c>
      <c r="K70" s="1679">
        <f>K71</f>
        <v>6400000</v>
      </c>
      <c r="L70" s="1679">
        <f t="shared" si="29"/>
        <v>6400000</v>
      </c>
      <c r="M70" s="1679">
        <f t="shared" si="29"/>
        <v>6400000</v>
      </c>
      <c r="N70" s="1679">
        <f t="shared" si="29"/>
        <v>6400000</v>
      </c>
      <c r="O70" s="1679">
        <f t="shared" si="29"/>
        <v>6400000</v>
      </c>
      <c r="P70" s="1679">
        <f t="shared" si="29"/>
        <v>6400000</v>
      </c>
      <c r="Q70" s="1679">
        <f t="shared" si="29"/>
        <v>6400000</v>
      </c>
      <c r="R70" s="1679">
        <f t="shared" si="29"/>
        <v>6400000</v>
      </c>
      <c r="S70" s="1679">
        <f t="shared" si="29"/>
        <v>6400000</v>
      </c>
      <c r="T70" s="1679">
        <f t="shared" si="29"/>
        <v>6400000</v>
      </c>
      <c r="U70" s="1679">
        <f t="shared" si="29"/>
        <v>6400000</v>
      </c>
      <c r="V70" s="1679">
        <f t="shared" si="29"/>
        <v>6400000</v>
      </c>
      <c r="W70" s="1679">
        <f t="shared" si="2"/>
        <v>76800000</v>
      </c>
      <c r="X70" s="1751" t="str">
        <f t="shared" si="3"/>
        <v>Sama</v>
      </c>
      <c r="Y70" s="1540">
        <f t="shared" si="26"/>
        <v>0</v>
      </c>
    </row>
    <row r="71" spans="1:25">
      <c r="A71" s="1676">
        <f>IF('Pnj APBDES'!A128="","",'Pnj APBDES'!A128)</f>
        <v>1</v>
      </c>
      <c r="B71" s="1677">
        <f>IF('Pnj APBDES'!B128="","",'Pnj APBDES'!B128)</f>
        <v>1</v>
      </c>
      <c r="C71" s="1677" t="str">
        <f>IF('Pnj APBDES'!C128="","",'Pnj APBDES'!C128)</f>
        <v>07</v>
      </c>
      <c r="D71" s="1676">
        <f>IF('Pnj APBDES'!D128="","",'Pnj APBDES'!D128)</f>
        <v>5</v>
      </c>
      <c r="E71" s="1676">
        <f>IF('Pnj APBDES'!E128="","",'Pnj APBDES'!E128)</f>
        <v>2</v>
      </c>
      <c r="F71" s="1677">
        <f>IF('Pnj APBDES'!F128="","",'Pnj APBDES'!F128)</f>
        <v>1</v>
      </c>
      <c r="G71" s="1677" t="str">
        <f>IF('Pnj APBDES'!G128="","",'Pnj APBDES'!G128)</f>
        <v/>
      </c>
      <c r="H71" s="1678" t="str">
        <f>IF('Pnj APBDES'!H128="","",'Pnj APBDES'!H128)</f>
        <v>Belanja Barang Perlengkapan Kantor</v>
      </c>
      <c r="I71" s="1679">
        <f>'Pnj APBDES'!K128</f>
        <v>76800000</v>
      </c>
      <c r="J71" s="1746" t="str">
        <f>IF('Pnj APBDES'!N128="","",'Pnj APBDES'!N128)</f>
        <v/>
      </c>
      <c r="K71" s="1679">
        <f>SUM(K72:K72)</f>
        <v>6400000</v>
      </c>
      <c r="L71" s="1679">
        <f t="shared" ref="L71:V71" si="30">SUM(L72:L72)</f>
        <v>6400000</v>
      </c>
      <c r="M71" s="1679">
        <f t="shared" si="30"/>
        <v>6400000</v>
      </c>
      <c r="N71" s="1679">
        <f t="shared" si="30"/>
        <v>6400000</v>
      </c>
      <c r="O71" s="1679">
        <f t="shared" si="30"/>
        <v>6400000</v>
      </c>
      <c r="P71" s="1679">
        <f t="shared" si="30"/>
        <v>6400000</v>
      </c>
      <c r="Q71" s="1679">
        <f t="shared" si="30"/>
        <v>6400000</v>
      </c>
      <c r="R71" s="1679">
        <f t="shared" si="30"/>
        <v>6400000</v>
      </c>
      <c r="S71" s="1679">
        <f t="shared" si="30"/>
        <v>6400000</v>
      </c>
      <c r="T71" s="1679">
        <f t="shared" si="30"/>
        <v>6400000</v>
      </c>
      <c r="U71" s="1679">
        <f t="shared" si="30"/>
        <v>6400000</v>
      </c>
      <c r="V71" s="1679">
        <f t="shared" si="30"/>
        <v>6400000</v>
      </c>
      <c r="W71" s="1679">
        <f t="shared" si="2"/>
        <v>76800000</v>
      </c>
      <c r="X71" s="1751" t="str">
        <f t="shared" si="3"/>
        <v>Sama</v>
      </c>
      <c r="Y71" s="1540">
        <f t="shared" si="26"/>
        <v>0</v>
      </c>
    </row>
    <row r="72" spans="1:25">
      <c r="A72" s="1676">
        <f>IF('Pnj APBDES'!A129="","",'Pnj APBDES'!A129)</f>
        <v>1</v>
      </c>
      <c r="B72" s="1677">
        <f>IF('Pnj APBDES'!B129="","",'Pnj APBDES'!B129)</f>
        <v>1</v>
      </c>
      <c r="C72" s="1677" t="str">
        <f>IF('Pnj APBDES'!C129="","",'Pnj APBDES'!C129)</f>
        <v>07</v>
      </c>
      <c r="D72" s="1676">
        <f>IF('Pnj APBDES'!D129="","",'Pnj APBDES'!D129)</f>
        <v>5</v>
      </c>
      <c r="E72" s="1676">
        <f>IF('Pnj APBDES'!E129="","",'Pnj APBDES'!E129)</f>
        <v>2</v>
      </c>
      <c r="F72" s="1677">
        <f>IF('Pnj APBDES'!F129="","",'Pnj APBDES'!F129)</f>
        <v>1</v>
      </c>
      <c r="G72" s="1677">
        <f>IF('Pnj APBDES'!G129="","",'Pnj APBDES'!G129)</f>
        <v>5</v>
      </c>
      <c r="H72" s="1678" t="str">
        <f>IF('Pnj APBDES'!H129="","",'Pnj APBDES'!H129)</f>
        <v>Belanja Insentif</v>
      </c>
      <c r="I72" s="1679">
        <f>'Pnj APBDES'!K129</f>
        <v>76800000</v>
      </c>
      <c r="J72" s="1746" t="str">
        <f>IF('Pnj APBDES'!N129="","",'Pnj APBDES'!N129)</f>
        <v>ADD</v>
      </c>
      <c r="K72" s="1679">
        <f>$I72/12</f>
        <v>6400000</v>
      </c>
      <c r="L72" s="1679">
        <f t="shared" ref="L72:V72" si="31">$I72/12</f>
        <v>6400000</v>
      </c>
      <c r="M72" s="1679">
        <f t="shared" si="31"/>
        <v>6400000</v>
      </c>
      <c r="N72" s="1679">
        <f t="shared" si="31"/>
        <v>6400000</v>
      </c>
      <c r="O72" s="1679">
        <f t="shared" si="31"/>
        <v>6400000</v>
      </c>
      <c r="P72" s="1679">
        <f t="shared" si="31"/>
        <v>6400000</v>
      </c>
      <c r="Q72" s="1679">
        <f t="shared" si="31"/>
        <v>6400000</v>
      </c>
      <c r="R72" s="1679">
        <f t="shared" si="31"/>
        <v>6400000</v>
      </c>
      <c r="S72" s="1679">
        <f t="shared" si="31"/>
        <v>6400000</v>
      </c>
      <c r="T72" s="1679">
        <f t="shared" si="31"/>
        <v>6400000</v>
      </c>
      <c r="U72" s="1679">
        <f t="shared" si="31"/>
        <v>6400000</v>
      </c>
      <c r="V72" s="1679">
        <f t="shared" si="31"/>
        <v>6400000</v>
      </c>
      <c r="W72" s="1679">
        <f t="shared" si="2"/>
        <v>76800000</v>
      </c>
      <c r="X72" s="1751" t="str">
        <f t="shared" si="3"/>
        <v>Sama</v>
      </c>
      <c r="Y72" s="1540">
        <f t="shared" si="26"/>
        <v>0</v>
      </c>
    </row>
    <row r="73" spans="1:25" s="1540" customFormat="1">
      <c r="A73" s="1672">
        <f>IF('Pnj APBDES'!A130="","",'Pnj APBDES'!A130)</f>
        <v>1</v>
      </c>
      <c r="B73" s="1673">
        <f>IF('Pnj APBDES'!B130="","",'Pnj APBDES'!B130)</f>
        <v>2</v>
      </c>
      <c r="C73" s="1673" t="str">
        <f>IF('Pnj APBDES'!C130="","",'Pnj APBDES'!C130)</f>
        <v/>
      </c>
      <c r="D73" s="1672" t="str">
        <f>IF('Pnj APBDES'!D130="","",'Pnj APBDES'!D130)</f>
        <v/>
      </c>
      <c r="E73" s="1672" t="str">
        <f>IF('Pnj APBDES'!E130="","",'Pnj APBDES'!E130)</f>
        <v/>
      </c>
      <c r="F73" s="1673" t="str">
        <f>IF('Pnj APBDES'!F130="","",'Pnj APBDES'!F130)</f>
        <v/>
      </c>
      <c r="G73" s="1673" t="str">
        <f>IF('Pnj APBDES'!G130="","",'Pnj APBDES'!G130)</f>
        <v/>
      </c>
      <c r="H73" s="1674" t="str">
        <f>IF('Pnj APBDES'!H130="","",'Pnj APBDES'!H130)</f>
        <v>Sarana dan Prasarana Pemerintahan Desa</v>
      </c>
      <c r="I73" s="1675">
        <f>'Pnj APBDES'!K130</f>
        <v>7005000</v>
      </c>
      <c r="J73" s="1745" t="str">
        <f>IF('Pnj APBDES'!N130="","",'Pnj APBDES'!N130)</f>
        <v/>
      </c>
      <c r="K73" s="1675">
        <f>K74</f>
        <v>0</v>
      </c>
      <c r="L73" s="1675">
        <f t="shared" ref="L73:V75" si="32">L74</f>
        <v>0</v>
      </c>
      <c r="M73" s="1675">
        <f t="shared" si="32"/>
        <v>0</v>
      </c>
      <c r="N73" s="1675">
        <f t="shared" si="32"/>
        <v>0</v>
      </c>
      <c r="O73" s="1675">
        <f t="shared" si="32"/>
        <v>0</v>
      </c>
      <c r="P73" s="1675">
        <f t="shared" si="32"/>
        <v>18000000</v>
      </c>
      <c r="Q73" s="1675">
        <f t="shared" si="32"/>
        <v>0</v>
      </c>
      <c r="R73" s="1675">
        <f t="shared" si="32"/>
        <v>0</v>
      </c>
      <c r="S73" s="1675">
        <f t="shared" si="32"/>
        <v>2500000</v>
      </c>
      <c r="T73" s="1675">
        <f t="shared" si="32"/>
        <v>0</v>
      </c>
      <c r="U73" s="1675">
        <f t="shared" si="32"/>
        <v>0</v>
      </c>
      <c r="V73" s="1675">
        <f t="shared" si="32"/>
        <v>0</v>
      </c>
      <c r="W73" s="1675">
        <f t="shared" si="2"/>
        <v>20500000</v>
      </c>
      <c r="X73" s="1752" t="str">
        <f t="shared" si="3"/>
        <v>Salah</v>
      </c>
      <c r="Y73" s="1540">
        <f t="shared" si="26"/>
        <v>13495000</v>
      </c>
    </row>
    <row r="74" spans="1:25">
      <c r="A74" s="1676">
        <f>IF('Pnj APBDES'!A131="","",'Pnj APBDES'!A131)</f>
        <v>1</v>
      </c>
      <c r="B74" s="1677">
        <f>IF('Pnj APBDES'!B131="","",'Pnj APBDES'!B131)</f>
        <v>2</v>
      </c>
      <c r="C74" s="1677" t="str">
        <f>IF('Pnj APBDES'!C131="","",'Pnj APBDES'!C131)</f>
        <v>01</v>
      </c>
      <c r="D74" s="1676">
        <f>IF('Pnj APBDES'!D131="","",'Pnj APBDES'!D131)</f>
        <v>5</v>
      </c>
      <c r="E74" s="1676" t="str">
        <f>IF('Pnj APBDES'!E131="","",'Pnj APBDES'!E131)</f>
        <v/>
      </c>
      <c r="F74" s="1677" t="str">
        <f>IF('Pnj APBDES'!F131="","",'Pnj APBDES'!F131)</f>
        <v/>
      </c>
      <c r="G74" s="1677" t="str">
        <f>IF('Pnj APBDES'!G131="","",'Pnj APBDES'!G131)</f>
        <v/>
      </c>
      <c r="H74" s="1678" t="str">
        <f>IF('Pnj APBDES'!H131="","",'Pnj APBDES'!H131)</f>
        <v>Penyediaan sarana (aset tetap) perkantoran/pemerintahan</v>
      </c>
      <c r="I74" s="1679">
        <f>'Pnj APBDES'!K131</f>
        <v>0</v>
      </c>
      <c r="J74" s="1746" t="str">
        <f>IF('Pnj APBDES'!N131="","",'Pnj APBDES'!N131)</f>
        <v/>
      </c>
      <c r="K74" s="1679">
        <f>K75</f>
        <v>0</v>
      </c>
      <c r="L74" s="1679">
        <f t="shared" si="32"/>
        <v>0</v>
      </c>
      <c r="M74" s="1679">
        <f t="shared" si="32"/>
        <v>0</v>
      </c>
      <c r="N74" s="1679">
        <f t="shared" si="32"/>
        <v>0</v>
      </c>
      <c r="O74" s="1679">
        <f t="shared" si="32"/>
        <v>0</v>
      </c>
      <c r="P74" s="1679">
        <f t="shared" si="32"/>
        <v>18000000</v>
      </c>
      <c r="Q74" s="1679">
        <f t="shared" si="32"/>
        <v>0</v>
      </c>
      <c r="R74" s="1679">
        <f t="shared" si="32"/>
        <v>0</v>
      </c>
      <c r="S74" s="1679">
        <f t="shared" si="32"/>
        <v>2500000</v>
      </c>
      <c r="T74" s="1679">
        <f t="shared" si="32"/>
        <v>0</v>
      </c>
      <c r="U74" s="1679">
        <f t="shared" si="32"/>
        <v>0</v>
      </c>
      <c r="V74" s="1679">
        <f t="shared" si="32"/>
        <v>0</v>
      </c>
      <c r="W74" s="1679">
        <f t="shared" si="2"/>
        <v>20500000</v>
      </c>
      <c r="X74" s="1751" t="str">
        <f t="shared" si="3"/>
        <v>Salah</v>
      </c>
      <c r="Y74" s="1540">
        <f t="shared" si="26"/>
        <v>20500000</v>
      </c>
    </row>
    <row r="75" spans="1:25">
      <c r="A75" s="1676">
        <f>IF('Pnj APBDES'!A132="","",'Pnj APBDES'!A132)</f>
        <v>1</v>
      </c>
      <c r="B75" s="1677">
        <f>IF('Pnj APBDES'!B132="","",'Pnj APBDES'!B132)</f>
        <v>2</v>
      </c>
      <c r="C75" s="1677" t="str">
        <f>IF('Pnj APBDES'!C132="","",'Pnj APBDES'!C132)</f>
        <v>01</v>
      </c>
      <c r="D75" s="1676">
        <f>IF('Pnj APBDES'!D132="","",'Pnj APBDES'!D132)</f>
        <v>5</v>
      </c>
      <c r="E75" s="1676">
        <f>IF('Pnj APBDES'!E132="","",'Pnj APBDES'!E132)</f>
        <v>3</v>
      </c>
      <c r="F75" s="1676" t="str">
        <f>IF('Pnj APBDES'!F132="","",'Pnj APBDES'!F132)</f>
        <v/>
      </c>
      <c r="G75" s="1677" t="str">
        <f>IF('Pnj APBDES'!G132="","",'Pnj APBDES'!G132)</f>
        <v/>
      </c>
      <c r="H75" s="1678" t="str">
        <f>IF('Pnj APBDES'!H132="","",'Pnj APBDES'!H132)</f>
        <v>Belanja Modal</v>
      </c>
      <c r="I75" s="1679">
        <f>'Pnj APBDES'!K132</f>
        <v>0</v>
      </c>
      <c r="J75" s="1746" t="str">
        <f>IF('Pnj APBDES'!N132="","",'Pnj APBDES'!N132)</f>
        <v/>
      </c>
      <c r="K75" s="1679">
        <f>K76</f>
        <v>0</v>
      </c>
      <c r="L75" s="1679">
        <f t="shared" si="32"/>
        <v>0</v>
      </c>
      <c r="M75" s="1679">
        <f t="shared" si="32"/>
        <v>0</v>
      </c>
      <c r="N75" s="1679">
        <f t="shared" si="32"/>
        <v>0</v>
      </c>
      <c r="O75" s="1679">
        <f t="shared" si="32"/>
        <v>0</v>
      </c>
      <c r="P75" s="1679">
        <f t="shared" si="32"/>
        <v>18000000</v>
      </c>
      <c r="Q75" s="1679">
        <f t="shared" si="32"/>
        <v>0</v>
      </c>
      <c r="R75" s="1679">
        <f t="shared" si="32"/>
        <v>0</v>
      </c>
      <c r="S75" s="1679">
        <f t="shared" si="32"/>
        <v>2500000</v>
      </c>
      <c r="T75" s="1679">
        <f t="shared" si="32"/>
        <v>0</v>
      </c>
      <c r="U75" s="1679">
        <f t="shared" si="32"/>
        <v>0</v>
      </c>
      <c r="V75" s="1679">
        <f t="shared" si="32"/>
        <v>0</v>
      </c>
      <c r="W75" s="1679">
        <f t="shared" si="2"/>
        <v>20500000</v>
      </c>
      <c r="X75" s="1751" t="str">
        <f t="shared" si="3"/>
        <v>Salah</v>
      </c>
      <c r="Y75" s="1540">
        <f t="shared" si="26"/>
        <v>20500000</v>
      </c>
    </row>
    <row r="76" spans="1:25">
      <c r="A76" s="1676">
        <f>IF('Pnj APBDES'!A133="","",'Pnj APBDES'!A133)</f>
        <v>1</v>
      </c>
      <c r="B76" s="1677">
        <f>IF('Pnj APBDES'!B133="","",'Pnj APBDES'!B133)</f>
        <v>2</v>
      </c>
      <c r="C76" s="1677" t="str">
        <f>IF('Pnj APBDES'!C133="","",'Pnj APBDES'!C133)</f>
        <v>01</v>
      </c>
      <c r="D76" s="1676">
        <f>IF('Pnj APBDES'!D133="","",'Pnj APBDES'!D133)</f>
        <v>5</v>
      </c>
      <c r="E76" s="1676">
        <f>IF('Pnj APBDES'!E133="","",'Pnj APBDES'!E133)</f>
        <v>3</v>
      </c>
      <c r="F76" s="1676">
        <f>IF('Pnj APBDES'!F133="","",'Pnj APBDES'!F133)</f>
        <v>2</v>
      </c>
      <c r="G76" s="1676" t="str">
        <f>IF('Pnj APBDES'!G133="","",'Pnj APBDES'!G133)</f>
        <v/>
      </c>
      <c r="H76" s="1678" t="str">
        <f>IF('Pnj APBDES'!H133="","",'Pnj APBDES'!H133)</f>
        <v>Belanja Modal peralatan mesin dan lainya</v>
      </c>
      <c r="I76" s="1679">
        <f>'Pnj APBDES'!K133</f>
        <v>0</v>
      </c>
      <c r="J76" s="1746" t="str">
        <f>IF('Pnj APBDES'!N133="","",'Pnj APBDES'!N133)</f>
        <v/>
      </c>
      <c r="K76" s="1679">
        <f>SUM(K77:K77)</f>
        <v>0</v>
      </c>
      <c r="L76" s="1679">
        <f t="shared" ref="L76:V76" si="33">SUM(L77:L77)</f>
        <v>0</v>
      </c>
      <c r="M76" s="1679">
        <f t="shared" si="33"/>
        <v>0</v>
      </c>
      <c r="N76" s="1679">
        <f t="shared" si="33"/>
        <v>0</v>
      </c>
      <c r="O76" s="1679">
        <f t="shared" si="33"/>
        <v>0</v>
      </c>
      <c r="P76" s="1679">
        <f t="shared" si="33"/>
        <v>18000000</v>
      </c>
      <c r="Q76" s="1679">
        <f t="shared" si="33"/>
        <v>0</v>
      </c>
      <c r="R76" s="1679">
        <f t="shared" si="33"/>
        <v>0</v>
      </c>
      <c r="S76" s="1679">
        <f t="shared" si="33"/>
        <v>2500000</v>
      </c>
      <c r="T76" s="1679">
        <f t="shared" si="33"/>
        <v>0</v>
      </c>
      <c r="U76" s="1679">
        <f t="shared" si="33"/>
        <v>0</v>
      </c>
      <c r="V76" s="1679">
        <f t="shared" si="33"/>
        <v>0</v>
      </c>
      <c r="W76" s="1679">
        <f t="shared" si="2"/>
        <v>20500000</v>
      </c>
      <c r="X76" s="1751" t="str">
        <f t="shared" si="3"/>
        <v>Salah</v>
      </c>
      <c r="Y76" s="1540">
        <f t="shared" si="26"/>
        <v>20500000</v>
      </c>
    </row>
    <row r="77" spans="1:25">
      <c r="A77" s="1676">
        <f>IF('Pnj APBDES'!A134="","",'Pnj APBDES'!A134)</f>
        <v>1</v>
      </c>
      <c r="B77" s="1677">
        <f>IF('Pnj APBDES'!B134="","",'Pnj APBDES'!B134)</f>
        <v>2</v>
      </c>
      <c r="C77" s="1677" t="str">
        <f>IF('Pnj APBDES'!C134="","",'Pnj APBDES'!C134)</f>
        <v>01</v>
      </c>
      <c r="D77" s="1676">
        <f>IF('Pnj APBDES'!D134="","",'Pnj APBDES'!D134)</f>
        <v>5</v>
      </c>
      <c r="E77" s="1676">
        <f>IF('Pnj APBDES'!E134="","",'Pnj APBDES'!E134)</f>
        <v>3</v>
      </c>
      <c r="F77" s="1676">
        <f>IF('Pnj APBDES'!F134="","",'Pnj APBDES'!F134)</f>
        <v>2</v>
      </c>
      <c r="G77" s="1676">
        <f>IF('Pnj APBDES'!G134="","",'Pnj APBDES'!G134)</f>
        <v>3</v>
      </c>
      <c r="H77" s="1678" t="str">
        <f>IF('Pnj APBDES'!H134="","",'Pnj APBDES'!H134)</f>
        <v>Belanja Modal Peralatan Mesin Dan Lainya</v>
      </c>
      <c r="I77" s="1679">
        <f>'Pnj APBDES'!K134</f>
        <v>0</v>
      </c>
      <c r="J77" s="1746" t="str">
        <f>IF('Pnj APBDES'!N134="","",'Pnj APBDES'!N134)</f>
        <v>ADD</v>
      </c>
      <c r="K77" s="1679">
        <v>0</v>
      </c>
      <c r="L77" s="1679">
        <v>0</v>
      </c>
      <c r="M77" s="1679"/>
      <c r="N77" s="1679">
        <v>0</v>
      </c>
      <c r="O77" s="1679">
        <v>0</v>
      </c>
      <c r="P77" s="1679">
        <v>18000000</v>
      </c>
      <c r="Q77" s="1679">
        <v>0</v>
      </c>
      <c r="R77" s="1679">
        <v>0</v>
      </c>
      <c r="S77" s="1679">
        <v>2500000</v>
      </c>
      <c r="T77" s="1679">
        <v>0</v>
      </c>
      <c r="U77" s="1679">
        <v>0</v>
      </c>
      <c r="V77" s="1679">
        <v>0</v>
      </c>
      <c r="W77" s="1679">
        <f t="shared" si="2"/>
        <v>20500000</v>
      </c>
      <c r="X77" s="1751" t="str">
        <f t="shared" si="3"/>
        <v>Salah</v>
      </c>
      <c r="Y77" s="1540">
        <f t="shared" si="26"/>
        <v>20500000</v>
      </c>
    </row>
    <row r="78" spans="1:25">
      <c r="A78" s="1676" t="e">
        <f>IF('Pnj APBDES'!#REF!="","",'Pnj APBDES'!#REF!)</f>
        <v>#REF!</v>
      </c>
      <c r="B78" s="1677" t="e">
        <f>IF('Pnj APBDES'!#REF!="","",'Pnj APBDES'!#REF!)</f>
        <v>#REF!</v>
      </c>
      <c r="C78" s="1677" t="e">
        <f>IF('Pnj APBDES'!#REF!="","",'Pnj APBDES'!#REF!)</f>
        <v>#REF!</v>
      </c>
      <c r="D78" s="1676" t="e">
        <f>IF('Pnj APBDES'!#REF!="","",'Pnj APBDES'!#REF!)</f>
        <v>#REF!</v>
      </c>
      <c r="E78" s="1676" t="e">
        <f>IF('Pnj APBDES'!#REF!="","",'Pnj APBDES'!#REF!)</f>
        <v>#REF!</v>
      </c>
      <c r="F78" s="1676" t="e">
        <f>IF('Pnj APBDES'!#REF!="","",'Pnj APBDES'!#REF!)</f>
        <v>#REF!</v>
      </c>
      <c r="G78" s="1676" t="e">
        <f>IF('Pnj APBDES'!#REF!="","",'Pnj APBDES'!#REF!)</f>
        <v>#REF!</v>
      </c>
      <c r="H78" s="1678" t="e">
        <f>IF('Pnj APBDES'!#REF!="","",'Pnj APBDES'!#REF!)</f>
        <v>#REF!</v>
      </c>
      <c r="I78" s="1679" t="e">
        <f>'Pnj APBDES'!#REF!</f>
        <v>#REF!</v>
      </c>
      <c r="J78" s="1746" t="e">
        <f>IF('Pnj APBDES'!#REF!="","",'Pnj APBDES'!#REF!)</f>
        <v>#REF!</v>
      </c>
      <c r="K78" s="1679"/>
      <c r="L78" s="1679"/>
      <c r="M78" s="1679"/>
      <c r="N78" s="1679"/>
      <c r="O78" s="1679"/>
      <c r="P78" s="1679"/>
      <c r="Q78" s="1679"/>
      <c r="R78" s="1679"/>
      <c r="S78" s="1679"/>
      <c r="T78" s="1679"/>
      <c r="U78" s="1679"/>
      <c r="V78" s="1679"/>
      <c r="W78" s="1679">
        <f t="shared" si="2"/>
        <v>0</v>
      </c>
      <c r="X78" s="1751" t="e">
        <f t="shared" si="3"/>
        <v>#REF!</v>
      </c>
      <c r="Y78" s="1540" t="e">
        <f t="shared" si="26"/>
        <v>#REF!</v>
      </c>
    </row>
    <row r="79" spans="1:25" s="1540" customFormat="1">
      <c r="A79" s="1672" t="e">
        <f>IF('Pnj APBDES'!#REF!="","",'Pnj APBDES'!#REF!)</f>
        <v>#REF!</v>
      </c>
      <c r="B79" s="1673" t="e">
        <f>IF('Pnj APBDES'!#REF!="","",'Pnj APBDES'!#REF!)</f>
        <v>#REF!</v>
      </c>
      <c r="C79" s="1673" t="e">
        <f>IF('Pnj APBDES'!#REF!="","",'Pnj APBDES'!#REF!)</f>
        <v>#REF!</v>
      </c>
      <c r="D79" s="1672" t="e">
        <f>IF('Pnj APBDES'!#REF!="","",'Pnj APBDES'!#REF!)</f>
        <v>#REF!</v>
      </c>
      <c r="E79" s="1672" t="e">
        <f>IF('Pnj APBDES'!#REF!="","",'Pnj APBDES'!#REF!)</f>
        <v>#REF!</v>
      </c>
      <c r="F79" s="1673" t="e">
        <f>IF('Pnj APBDES'!#REF!="","",'Pnj APBDES'!#REF!)</f>
        <v>#REF!</v>
      </c>
      <c r="G79" s="1673" t="e">
        <f>IF('Pnj APBDES'!#REF!="","",'Pnj APBDES'!#REF!)</f>
        <v>#REF!</v>
      </c>
      <c r="H79" s="1674" t="e">
        <f>IF('Pnj APBDES'!#REF!="","",'Pnj APBDES'!#REF!)</f>
        <v>#REF!</v>
      </c>
      <c r="I79" s="1675" t="e">
        <f>'Pnj APBDES'!#REF!</f>
        <v>#REF!</v>
      </c>
      <c r="J79" s="1745" t="e">
        <f>IF('Pnj APBDES'!#REF!="","",'Pnj APBDES'!#REF!)</f>
        <v>#REF!</v>
      </c>
      <c r="K79" s="1675">
        <f>K80</f>
        <v>0</v>
      </c>
      <c r="L79" s="1675">
        <f t="shared" ref="L79:V81" si="34">L80</f>
        <v>0</v>
      </c>
      <c r="M79" s="1675">
        <f t="shared" si="34"/>
        <v>0</v>
      </c>
      <c r="N79" s="1675">
        <f t="shared" si="34"/>
        <v>0</v>
      </c>
      <c r="O79" s="1675">
        <f t="shared" si="34"/>
        <v>0</v>
      </c>
      <c r="P79" s="1675">
        <f t="shared" si="34"/>
        <v>0</v>
      </c>
      <c r="Q79" s="1675">
        <f t="shared" si="34"/>
        <v>0</v>
      </c>
      <c r="R79" s="1675">
        <f t="shared" si="34"/>
        <v>0</v>
      </c>
      <c r="S79" s="1675">
        <f t="shared" si="34"/>
        <v>0</v>
      </c>
      <c r="T79" s="1675">
        <f t="shared" si="34"/>
        <v>1725000</v>
      </c>
      <c r="U79" s="1675">
        <f t="shared" si="34"/>
        <v>0</v>
      </c>
      <c r="V79" s="1675">
        <f t="shared" si="34"/>
        <v>0</v>
      </c>
      <c r="W79" s="1675">
        <f t="shared" si="2"/>
        <v>1725000</v>
      </c>
      <c r="X79" s="1751" t="e">
        <f t="shared" si="3"/>
        <v>#REF!</v>
      </c>
      <c r="Y79" s="1540" t="e">
        <f t="shared" si="26"/>
        <v>#REF!</v>
      </c>
    </row>
    <row r="80" spans="1:25">
      <c r="A80" s="1676" t="e">
        <f>IF('Pnj APBDES'!#REF!="","",'Pnj APBDES'!#REF!)</f>
        <v>#REF!</v>
      </c>
      <c r="B80" s="1677" t="e">
        <f>IF('Pnj APBDES'!#REF!="","",'Pnj APBDES'!#REF!)</f>
        <v>#REF!</v>
      </c>
      <c r="C80" s="1677" t="e">
        <f>IF('Pnj APBDES'!#REF!="","",'Pnj APBDES'!#REF!)</f>
        <v>#REF!</v>
      </c>
      <c r="D80" s="1676" t="e">
        <f>IF('Pnj APBDES'!#REF!="","",'Pnj APBDES'!#REF!)</f>
        <v>#REF!</v>
      </c>
      <c r="E80" s="1676" t="e">
        <f>IF('Pnj APBDES'!#REF!="","",'Pnj APBDES'!#REF!)</f>
        <v>#REF!</v>
      </c>
      <c r="F80" s="1677" t="e">
        <f>IF('Pnj APBDES'!#REF!="","",'Pnj APBDES'!#REF!)</f>
        <v>#REF!</v>
      </c>
      <c r="G80" s="1677" t="e">
        <f>IF('Pnj APBDES'!#REF!="","",'Pnj APBDES'!#REF!)</f>
        <v>#REF!</v>
      </c>
      <c r="H80" s="1678" t="e">
        <f>IF('Pnj APBDES'!#REF!="","",'Pnj APBDES'!#REF!)</f>
        <v>#REF!</v>
      </c>
      <c r="I80" s="1679" t="e">
        <f>'Pnj APBDES'!#REF!</f>
        <v>#REF!</v>
      </c>
      <c r="J80" s="1746" t="e">
        <f>IF('Pnj APBDES'!#REF!="","",'Pnj APBDES'!#REF!)</f>
        <v>#REF!</v>
      </c>
      <c r="K80" s="1679">
        <f>K81</f>
        <v>0</v>
      </c>
      <c r="L80" s="1679">
        <f t="shared" si="34"/>
        <v>0</v>
      </c>
      <c r="M80" s="1679">
        <f t="shared" si="34"/>
        <v>0</v>
      </c>
      <c r="N80" s="1679">
        <f t="shared" si="34"/>
        <v>0</v>
      </c>
      <c r="O80" s="1679">
        <f t="shared" si="34"/>
        <v>0</v>
      </c>
      <c r="P80" s="1679">
        <f t="shared" si="34"/>
        <v>0</v>
      </c>
      <c r="Q80" s="1679">
        <f t="shared" si="34"/>
        <v>0</v>
      </c>
      <c r="R80" s="1679">
        <f t="shared" si="34"/>
        <v>0</v>
      </c>
      <c r="S80" s="1679">
        <f t="shared" si="34"/>
        <v>0</v>
      </c>
      <c r="T80" s="1679">
        <f t="shared" si="34"/>
        <v>1725000</v>
      </c>
      <c r="U80" s="1679">
        <f t="shared" si="34"/>
        <v>0</v>
      </c>
      <c r="V80" s="1679">
        <f t="shared" si="34"/>
        <v>0</v>
      </c>
      <c r="W80" s="1679">
        <f t="shared" si="2"/>
        <v>1725000</v>
      </c>
      <c r="X80" s="1751" t="e">
        <f t="shared" ref="X80:X143" si="35">IF(W80=I80,"Sama","Salah")</f>
        <v>#REF!</v>
      </c>
      <c r="Y80" s="1540" t="e">
        <f t="shared" si="26"/>
        <v>#REF!</v>
      </c>
    </row>
    <row r="81" spans="1:25">
      <c r="A81" s="1676" t="e">
        <f>IF('Pnj APBDES'!#REF!="","",'Pnj APBDES'!#REF!)</f>
        <v>#REF!</v>
      </c>
      <c r="B81" s="1677" t="e">
        <f>IF('Pnj APBDES'!#REF!="","",'Pnj APBDES'!#REF!)</f>
        <v>#REF!</v>
      </c>
      <c r="C81" s="1677" t="e">
        <f>IF('Pnj APBDES'!#REF!="","",'Pnj APBDES'!#REF!)</f>
        <v>#REF!</v>
      </c>
      <c r="D81" s="1676" t="e">
        <f>IF('Pnj APBDES'!#REF!="","",'Pnj APBDES'!#REF!)</f>
        <v>#REF!</v>
      </c>
      <c r="E81" s="1676" t="e">
        <f>IF('Pnj APBDES'!#REF!="","",'Pnj APBDES'!#REF!)</f>
        <v>#REF!</v>
      </c>
      <c r="F81" s="1677" t="e">
        <f>IF('Pnj APBDES'!#REF!="","",'Pnj APBDES'!#REF!)</f>
        <v>#REF!</v>
      </c>
      <c r="G81" s="1677" t="e">
        <f>IF('Pnj APBDES'!#REF!="","",'Pnj APBDES'!#REF!)</f>
        <v>#REF!</v>
      </c>
      <c r="H81" s="1678" t="e">
        <f>IF('Pnj APBDES'!#REF!="","",'Pnj APBDES'!#REF!)</f>
        <v>#REF!</v>
      </c>
      <c r="I81" s="1679" t="e">
        <f>'Pnj APBDES'!#REF!</f>
        <v>#REF!</v>
      </c>
      <c r="J81" s="1746" t="e">
        <f>IF('Pnj APBDES'!#REF!="","",'Pnj APBDES'!#REF!)</f>
        <v>#REF!</v>
      </c>
      <c r="K81" s="1679">
        <f>K82</f>
        <v>0</v>
      </c>
      <c r="L81" s="1679">
        <f t="shared" si="34"/>
        <v>0</v>
      </c>
      <c r="M81" s="1679">
        <f t="shared" si="34"/>
        <v>0</v>
      </c>
      <c r="N81" s="1679">
        <f t="shared" si="34"/>
        <v>0</v>
      </c>
      <c r="O81" s="1679">
        <f t="shared" si="34"/>
        <v>0</v>
      </c>
      <c r="P81" s="1679">
        <f t="shared" si="34"/>
        <v>0</v>
      </c>
      <c r="Q81" s="1679">
        <f t="shared" si="34"/>
        <v>0</v>
      </c>
      <c r="R81" s="1679">
        <f t="shared" si="34"/>
        <v>0</v>
      </c>
      <c r="S81" s="1679">
        <f t="shared" si="34"/>
        <v>0</v>
      </c>
      <c r="T81" s="1679">
        <f t="shared" si="34"/>
        <v>1725000</v>
      </c>
      <c r="U81" s="1679">
        <f t="shared" si="34"/>
        <v>0</v>
      </c>
      <c r="V81" s="1679">
        <f t="shared" si="34"/>
        <v>0</v>
      </c>
      <c r="W81" s="1679">
        <f t="shared" ref="W81:W144" si="36">SUM(K81:V81)</f>
        <v>1725000</v>
      </c>
      <c r="X81" s="1751" t="e">
        <f t="shared" si="35"/>
        <v>#REF!</v>
      </c>
      <c r="Y81" s="1540" t="e">
        <f t="shared" si="26"/>
        <v>#REF!</v>
      </c>
    </row>
    <row r="82" spans="1:25">
      <c r="A82" s="1676" t="e">
        <f>IF('Pnj APBDES'!#REF!="","",'Pnj APBDES'!#REF!)</f>
        <v>#REF!</v>
      </c>
      <c r="B82" s="1677" t="e">
        <f>IF('Pnj APBDES'!#REF!="","",'Pnj APBDES'!#REF!)</f>
        <v>#REF!</v>
      </c>
      <c r="C82" s="1677" t="e">
        <f>IF('Pnj APBDES'!#REF!="","",'Pnj APBDES'!#REF!)</f>
        <v>#REF!</v>
      </c>
      <c r="D82" s="1676" t="e">
        <f>IF('Pnj APBDES'!#REF!="","",'Pnj APBDES'!#REF!)</f>
        <v>#REF!</v>
      </c>
      <c r="E82" s="1677" t="e">
        <f>IF('Pnj APBDES'!#REF!="","",'Pnj APBDES'!#REF!)</f>
        <v>#REF!</v>
      </c>
      <c r="F82" s="1677" t="e">
        <f>IF('Pnj APBDES'!#REF!="","",'Pnj APBDES'!#REF!)</f>
        <v>#REF!</v>
      </c>
      <c r="G82" s="1677" t="e">
        <f>IF('Pnj APBDES'!#REF!="","",'Pnj APBDES'!#REF!)</f>
        <v>#REF!</v>
      </c>
      <c r="H82" s="1678" t="e">
        <f>IF('Pnj APBDES'!#REF!="","",'Pnj APBDES'!#REF!)</f>
        <v>#REF!</v>
      </c>
      <c r="I82" s="1679" t="e">
        <f>'Pnj APBDES'!#REF!</f>
        <v>#REF!</v>
      </c>
      <c r="J82" s="1746" t="e">
        <f>IF('Pnj APBDES'!#REF!="","",'Pnj APBDES'!#REF!)</f>
        <v>#REF!</v>
      </c>
      <c r="K82" s="1679">
        <f>SUM(K83:K83)</f>
        <v>0</v>
      </c>
      <c r="L82" s="1679">
        <f t="shared" ref="L82:V82" si="37">SUM(L83:L83)</f>
        <v>0</v>
      </c>
      <c r="M82" s="1679">
        <f t="shared" si="37"/>
        <v>0</v>
      </c>
      <c r="N82" s="1679">
        <f t="shared" si="37"/>
        <v>0</v>
      </c>
      <c r="O82" s="1679">
        <f t="shared" si="37"/>
        <v>0</v>
      </c>
      <c r="P82" s="1679">
        <f t="shared" si="37"/>
        <v>0</v>
      </c>
      <c r="Q82" s="1679">
        <f t="shared" si="37"/>
        <v>0</v>
      </c>
      <c r="R82" s="1679">
        <f t="shared" si="37"/>
        <v>0</v>
      </c>
      <c r="S82" s="1679">
        <f t="shared" si="37"/>
        <v>0</v>
      </c>
      <c r="T82" s="1679">
        <f t="shared" si="37"/>
        <v>1725000</v>
      </c>
      <c r="U82" s="1679">
        <f t="shared" si="37"/>
        <v>0</v>
      </c>
      <c r="V82" s="1679">
        <f t="shared" si="37"/>
        <v>0</v>
      </c>
      <c r="W82" s="1679">
        <f t="shared" si="36"/>
        <v>1725000</v>
      </c>
      <c r="X82" s="1751" t="e">
        <f t="shared" si="35"/>
        <v>#REF!</v>
      </c>
      <c r="Y82" s="1540" t="e">
        <f t="shared" si="26"/>
        <v>#REF!</v>
      </c>
    </row>
    <row r="83" spans="1:25">
      <c r="A83" s="1676" t="e">
        <f>IF('Pnj APBDES'!#REF!="","",'Pnj APBDES'!#REF!)</f>
        <v>#REF!</v>
      </c>
      <c r="B83" s="1677" t="e">
        <f>IF('Pnj APBDES'!#REF!="","",'Pnj APBDES'!#REF!)</f>
        <v>#REF!</v>
      </c>
      <c r="C83" s="1677" t="e">
        <f>IF('Pnj APBDES'!#REF!="","",'Pnj APBDES'!#REF!)</f>
        <v>#REF!</v>
      </c>
      <c r="D83" s="1676" t="e">
        <f>IF('Pnj APBDES'!#REF!="","",'Pnj APBDES'!#REF!)</f>
        <v>#REF!</v>
      </c>
      <c r="E83" s="1677" t="e">
        <f>IF('Pnj APBDES'!#REF!="","",'Pnj APBDES'!#REF!)</f>
        <v>#REF!</v>
      </c>
      <c r="F83" s="1677" t="e">
        <f>IF('Pnj APBDES'!#REF!="","",'Pnj APBDES'!#REF!)</f>
        <v>#REF!</v>
      </c>
      <c r="G83" s="1677" t="e">
        <f>IF('Pnj APBDES'!#REF!="","",'Pnj APBDES'!#REF!)</f>
        <v>#REF!</v>
      </c>
      <c r="H83" s="1678" t="e">
        <f>IF('Pnj APBDES'!#REF!="","",'Pnj APBDES'!#REF!)</f>
        <v>#REF!</v>
      </c>
      <c r="I83" s="1679" t="e">
        <f>'Pnj APBDES'!#REF!</f>
        <v>#REF!</v>
      </c>
      <c r="J83" s="1746" t="e">
        <f>IF('Pnj APBDES'!#REF!="","",'Pnj APBDES'!#REF!)</f>
        <v>#REF!</v>
      </c>
      <c r="K83" s="1679">
        <v>0</v>
      </c>
      <c r="L83" s="1679">
        <v>0</v>
      </c>
      <c r="M83" s="1679">
        <v>0</v>
      </c>
      <c r="N83" s="1679">
        <v>0</v>
      </c>
      <c r="O83" s="1679">
        <v>0</v>
      </c>
      <c r="P83" s="1679">
        <v>0</v>
      </c>
      <c r="Q83" s="1679">
        <v>0</v>
      </c>
      <c r="R83" s="1679">
        <v>0</v>
      </c>
      <c r="S83" s="1679">
        <v>0</v>
      </c>
      <c r="T83" s="1679">
        <v>1725000</v>
      </c>
      <c r="U83" s="1679">
        <v>0</v>
      </c>
      <c r="V83" s="1679">
        <v>0</v>
      </c>
      <c r="W83" s="1679">
        <f t="shared" si="36"/>
        <v>1725000</v>
      </c>
      <c r="X83" s="1751" t="e">
        <f t="shared" si="35"/>
        <v>#REF!</v>
      </c>
      <c r="Y83" s="1540" t="e">
        <f t="shared" si="26"/>
        <v>#REF!</v>
      </c>
    </row>
    <row r="84" spans="1:25" s="1540" customFormat="1">
      <c r="A84" s="1682">
        <f>IF('Pnj APBDES'!A138="","",'Pnj APBDES'!A138)</f>
        <v>1</v>
      </c>
      <c r="B84" s="1683">
        <f>IF('Pnj APBDES'!B138="","",'Pnj APBDES'!B138)</f>
        <v>4</v>
      </c>
      <c r="C84" s="1683" t="str">
        <f>IF('Pnj APBDES'!C138="","",'Pnj APBDES'!C138)</f>
        <v/>
      </c>
      <c r="D84" s="1672">
        <f>IF('Pnj APBDES'!D138="","",'Pnj APBDES'!D138)</f>
        <v>5</v>
      </c>
      <c r="E84" s="1682" t="str">
        <f>IF('Pnj APBDES'!E138="","",'Pnj APBDES'!E138)</f>
        <v/>
      </c>
      <c r="F84" s="1682" t="str">
        <f>IF('Pnj APBDES'!F138="","",'Pnj APBDES'!F138)</f>
        <v/>
      </c>
      <c r="G84" s="1682" t="str">
        <f>IF('Pnj APBDES'!G138="","",'Pnj APBDES'!G138)</f>
        <v/>
      </c>
      <c r="H84" s="1684" t="str">
        <f>IF('Pnj APBDES'!H138="","",'Pnj APBDES'!H138)</f>
        <v>Tata Praja Pemerintahan, Perencanaan, Keuangan dan Pelaporan</v>
      </c>
      <c r="I84" s="1685">
        <f>'Pnj APBDES'!K138</f>
        <v>18729000</v>
      </c>
      <c r="J84" s="1747" t="str">
        <f>IF('Pnj APBDES'!N138="","",'Pnj APBDES'!N138)</f>
        <v/>
      </c>
      <c r="K84" s="1685">
        <f>K85+K92+K96+K100</f>
        <v>0</v>
      </c>
      <c r="L84" s="1685">
        <f t="shared" ref="L84:V84" si="38">L85+L92+L96+L100</f>
        <v>0</v>
      </c>
      <c r="M84" s="1685">
        <f t="shared" si="38"/>
        <v>0</v>
      </c>
      <c r="N84" s="1685" t="e">
        <f t="shared" si="38"/>
        <v>#REF!</v>
      </c>
      <c r="O84" s="1685">
        <f t="shared" si="38"/>
        <v>0</v>
      </c>
      <c r="P84" s="1685">
        <f t="shared" si="38"/>
        <v>3170000</v>
      </c>
      <c r="Q84" s="1685">
        <f t="shared" si="38"/>
        <v>0</v>
      </c>
      <c r="R84" s="1685">
        <f t="shared" si="38"/>
        <v>0</v>
      </c>
      <c r="S84" s="1685">
        <f t="shared" si="38"/>
        <v>0</v>
      </c>
      <c r="T84" s="1685">
        <f t="shared" si="38"/>
        <v>3330000</v>
      </c>
      <c r="U84" s="1685">
        <f t="shared" si="38"/>
        <v>0</v>
      </c>
      <c r="V84" s="1685">
        <f t="shared" si="38"/>
        <v>0</v>
      </c>
      <c r="W84" s="1685" t="e">
        <f t="shared" si="36"/>
        <v>#REF!</v>
      </c>
      <c r="X84" s="1751" t="e">
        <f t="shared" si="35"/>
        <v>#REF!</v>
      </c>
      <c r="Y84" s="1540" t="e">
        <f t="shared" si="26"/>
        <v>#REF!</v>
      </c>
    </row>
    <row r="85" spans="1:25" s="1540" customFormat="1">
      <c r="A85" s="1690">
        <f>IF('Pnj APBDES'!A139="","",'Pnj APBDES'!A139)</f>
        <v>1</v>
      </c>
      <c r="B85" s="1691">
        <f>IF('Pnj APBDES'!B139="","",'Pnj APBDES'!B139)</f>
        <v>4</v>
      </c>
      <c r="C85" s="1690" t="str">
        <f>IF('Pnj APBDES'!C139="","",'Pnj APBDES'!C139)</f>
        <v>01</v>
      </c>
      <c r="D85" s="1672">
        <f>IF('Pnj APBDES'!D139="","",'Pnj APBDES'!D139)</f>
        <v>5</v>
      </c>
      <c r="E85" s="1672" t="str">
        <f>IF('Pnj APBDES'!E139="","",'Pnj APBDES'!E139)</f>
        <v/>
      </c>
      <c r="F85" s="1672" t="str">
        <f>IF('Pnj APBDES'!F139="","",'Pnj APBDES'!F139)</f>
        <v/>
      </c>
      <c r="G85" s="1672" t="str">
        <f>IF('Pnj APBDES'!G139="","",'Pnj APBDES'!G139)</f>
        <v/>
      </c>
      <c r="H85" s="1704" t="str">
        <f>IF('Pnj APBDES'!H139="","",'Pnj APBDES'!H139)</f>
        <v>Penyelenggaraan Musyawarah Perencanaan Desa</v>
      </c>
      <c r="I85" s="1675">
        <f>'Pnj APBDES'!K139</f>
        <v>6500000</v>
      </c>
      <c r="J85" s="1745" t="str">
        <f>IF('Pnj APBDES'!N139="","",'Pnj APBDES'!N139)</f>
        <v/>
      </c>
      <c r="K85" s="1675">
        <f>K86</f>
        <v>0</v>
      </c>
      <c r="L85" s="1675">
        <f t="shared" ref="L85:V86" si="39">L86</f>
        <v>0</v>
      </c>
      <c r="M85" s="1675">
        <f t="shared" si="39"/>
        <v>0</v>
      </c>
      <c r="N85" s="1675">
        <f t="shared" si="39"/>
        <v>0</v>
      </c>
      <c r="O85" s="1675">
        <f t="shared" si="39"/>
        <v>0</v>
      </c>
      <c r="P85" s="1675">
        <f t="shared" si="39"/>
        <v>3170000</v>
      </c>
      <c r="Q85" s="1675">
        <f t="shared" si="39"/>
        <v>0</v>
      </c>
      <c r="R85" s="1675">
        <f t="shared" si="39"/>
        <v>0</v>
      </c>
      <c r="S85" s="1675">
        <f t="shared" si="39"/>
        <v>0</v>
      </c>
      <c r="T85" s="1675">
        <f t="shared" si="39"/>
        <v>3330000</v>
      </c>
      <c r="U85" s="1675">
        <f t="shared" si="39"/>
        <v>0</v>
      </c>
      <c r="V85" s="1675">
        <f t="shared" si="39"/>
        <v>0</v>
      </c>
      <c r="W85" s="1675">
        <f t="shared" si="36"/>
        <v>6500000</v>
      </c>
      <c r="X85" s="1752" t="str">
        <f t="shared" si="35"/>
        <v>Sama</v>
      </c>
      <c r="Y85" s="1540">
        <f t="shared" si="26"/>
        <v>0</v>
      </c>
    </row>
    <row r="86" spans="1:25">
      <c r="A86" s="1686">
        <f>IF('Pnj APBDES'!A140="","",'Pnj APBDES'!A140)</f>
        <v>1</v>
      </c>
      <c r="B86" s="1687">
        <f>IF('Pnj APBDES'!B140="","",'Pnj APBDES'!B140)</f>
        <v>4</v>
      </c>
      <c r="C86" s="1686" t="str">
        <f>IF('Pnj APBDES'!C140="","",'Pnj APBDES'!C140)</f>
        <v>01</v>
      </c>
      <c r="D86" s="1676">
        <f>IF('Pnj APBDES'!D140="","",'Pnj APBDES'!D140)</f>
        <v>5</v>
      </c>
      <c r="E86" s="1676">
        <f>IF('Pnj APBDES'!E140="","",'Pnj APBDES'!E140)</f>
        <v>2</v>
      </c>
      <c r="F86" s="1676" t="str">
        <f>IF('Pnj APBDES'!F140="","",'Pnj APBDES'!F140)</f>
        <v/>
      </c>
      <c r="G86" s="1676" t="str">
        <f>IF('Pnj APBDES'!G140="","",'Pnj APBDES'!G140)</f>
        <v/>
      </c>
      <c r="H86" s="1678" t="str">
        <f>IF('Pnj APBDES'!H140="","",'Pnj APBDES'!H140)</f>
        <v>Belanja Barang dan Jasa</v>
      </c>
      <c r="I86" s="1679">
        <f>'Pnj APBDES'!K140</f>
        <v>6500000</v>
      </c>
      <c r="J86" s="1746" t="str">
        <f>IF('Pnj APBDES'!N140="","",'Pnj APBDES'!N140)</f>
        <v/>
      </c>
      <c r="K86" s="1679">
        <f>K87</f>
        <v>0</v>
      </c>
      <c r="L86" s="1679">
        <f t="shared" si="39"/>
        <v>0</v>
      </c>
      <c r="M86" s="1679">
        <f t="shared" si="39"/>
        <v>0</v>
      </c>
      <c r="N86" s="1679">
        <f t="shared" si="39"/>
        <v>0</v>
      </c>
      <c r="O86" s="1679">
        <f t="shared" si="39"/>
        <v>0</v>
      </c>
      <c r="P86" s="1679">
        <f t="shared" si="39"/>
        <v>3170000</v>
      </c>
      <c r="Q86" s="1679">
        <f t="shared" si="39"/>
        <v>0</v>
      </c>
      <c r="R86" s="1679">
        <f t="shared" si="39"/>
        <v>0</v>
      </c>
      <c r="S86" s="1679">
        <f t="shared" si="39"/>
        <v>0</v>
      </c>
      <c r="T86" s="1679">
        <f t="shared" si="39"/>
        <v>3330000</v>
      </c>
      <c r="U86" s="1679">
        <f t="shared" si="39"/>
        <v>0</v>
      </c>
      <c r="V86" s="1679">
        <f t="shared" si="39"/>
        <v>0</v>
      </c>
      <c r="W86" s="1679">
        <f t="shared" si="36"/>
        <v>6500000</v>
      </c>
      <c r="X86" s="1751" t="str">
        <f t="shared" si="35"/>
        <v>Sama</v>
      </c>
      <c r="Y86" s="1540">
        <f t="shared" si="26"/>
        <v>0</v>
      </c>
    </row>
    <row r="87" spans="1:25" ht="24">
      <c r="A87" s="1686">
        <f>IF('Pnj APBDES'!A141="","",'Pnj APBDES'!A141)</f>
        <v>1</v>
      </c>
      <c r="B87" s="1687">
        <f>IF('Pnj APBDES'!B141="","",'Pnj APBDES'!B141)</f>
        <v>4</v>
      </c>
      <c r="C87" s="1686" t="str">
        <f>IF('Pnj APBDES'!C141="","",'Pnj APBDES'!C141)</f>
        <v>01</v>
      </c>
      <c r="D87" s="1676">
        <f>IF('Pnj APBDES'!D141="","",'Pnj APBDES'!D141)</f>
        <v>5</v>
      </c>
      <c r="E87" s="1676">
        <f>IF('Pnj APBDES'!E141="","",'Pnj APBDES'!E141)</f>
        <v>2</v>
      </c>
      <c r="F87" s="1676">
        <f>IF('Pnj APBDES'!F141="","",'Pnj APBDES'!F141)</f>
        <v>6</v>
      </c>
      <c r="G87" s="1676" t="str">
        <f>IF('Pnj APBDES'!G141="","",'Pnj APBDES'!G141)</f>
        <v/>
      </c>
      <c r="H87" s="1678" t="str">
        <f>IF('Pnj APBDES'!H141="","",'Pnj APBDES'!H141)</f>
        <v>Belanja Perlengkapan Barang Konsumsi (Makan/minum) - Belanja Barang Konsumsi</v>
      </c>
      <c r="I87" s="1679">
        <f>'Pnj APBDES'!K141</f>
        <v>6500000</v>
      </c>
      <c r="J87" s="1746" t="str">
        <f>IF('Pnj APBDES'!N141="","",'Pnj APBDES'!N141)</f>
        <v/>
      </c>
      <c r="K87" s="1679">
        <f>SUM(K88:K90)</f>
        <v>0</v>
      </c>
      <c r="L87" s="1679">
        <f t="shared" ref="L87:V87" si="40">SUM(L88:L90)</f>
        <v>0</v>
      </c>
      <c r="M87" s="1679">
        <f t="shared" si="40"/>
        <v>0</v>
      </c>
      <c r="N87" s="1679">
        <f t="shared" si="40"/>
        <v>0</v>
      </c>
      <c r="O87" s="1679">
        <f t="shared" si="40"/>
        <v>0</v>
      </c>
      <c r="P87" s="1679">
        <f t="shared" si="40"/>
        <v>3170000</v>
      </c>
      <c r="Q87" s="1679">
        <f t="shared" si="40"/>
        <v>0</v>
      </c>
      <c r="R87" s="1679">
        <f t="shared" si="40"/>
        <v>0</v>
      </c>
      <c r="S87" s="1679">
        <f t="shared" si="40"/>
        <v>0</v>
      </c>
      <c r="T87" s="1679">
        <f t="shared" si="40"/>
        <v>3330000</v>
      </c>
      <c r="U87" s="1679">
        <f t="shared" si="40"/>
        <v>0</v>
      </c>
      <c r="V87" s="1679">
        <f t="shared" si="40"/>
        <v>0</v>
      </c>
      <c r="W87" s="1679">
        <f t="shared" si="36"/>
        <v>6500000</v>
      </c>
      <c r="X87" s="1751" t="str">
        <f t="shared" si="35"/>
        <v>Sama</v>
      </c>
      <c r="Y87" s="1540">
        <f t="shared" si="26"/>
        <v>0</v>
      </c>
    </row>
    <row r="88" spans="1:25">
      <c r="A88" s="1686">
        <f>IF('Pnj APBDES'!A142="","",'Pnj APBDES'!A142)</f>
        <v>1</v>
      </c>
      <c r="B88" s="1687">
        <f>IF('Pnj APBDES'!B142="","",'Pnj APBDES'!B142)</f>
        <v>4</v>
      </c>
      <c r="C88" s="1689" t="str">
        <f>IF('Pnj APBDES'!C142="","",'Pnj APBDES'!C142)</f>
        <v>01</v>
      </c>
      <c r="D88" s="1676">
        <f>IF('Pnj APBDES'!D142="","",'Pnj APBDES'!D142)</f>
        <v>5</v>
      </c>
      <c r="E88" s="1676">
        <f>IF('Pnj APBDES'!E142="","",'Pnj APBDES'!E142)</f>
        <v>2</v>
      </c>
      <c r="F88" s="1676">
        <f>IF('Pnj APBDES'!F142="","",'Pnj APBDES'!F142)</f>
        <v>6</v>
      </c>
      <c r="G88" s="1676">
        <f>IF('Pnj APBDES'!G142="","",'Pnj APBDES'!G142)</f>
        <v>1</v>
      </c>
      <c r="H88" s="1678" t="str">
        <f>IF('Pnj APBDES'!H142="","",'Pnj APBDES'!H142)</f>
        <v>Belanja Air Mineral</v>
      </c>
      <c r="I88" s="1679">
        <f>'Pnj APBDES'!K142</f>
        <v>500000</v>
      </c>
      <c r="J88" s="1746" t="str">
        <f>IF('Pnj APBDES'!N142="","",'Pnj APBDES'!N142)</f>
        <v>ADD</v>
      </c>
      <c r="K88" s="1679">
        <v>0</v>
      </c>
      <c r="L88" s="1679">
        <v>0</v>
      </c>
      <c r="M88" s="1679">
        <v>0</v>
      </c>
      <c r="N88" s="1679">
        <v>0</v>
      </c>
      <c r="O88" s="1679">
        <v>0</v>
      </c>
      <c r="P88" s="1679">
        <v>250000</v>
      </c>
      <c r="Q88" s="1679">
        <v>0</v>
      </c>
      <c r="R88" s="1679">
        <v>0</v>
      </c>
      <c r="S88" s="1679">
        <v>0</v>
      </c>
      <c r="T88" s="1679">
        <v>250000</v>
      </c>
      <c r="U88" s="1679">
        <v>0</v>
      </c>
      <c r="V88" s="1679">
        <v>0</v>
      </c>
      <c r="W88" s="1679">
        <f t="shared" si="36"/>
        <v>500000</v>
      </c>
      <c r="X88" s="1751" t="str">
        <f t="shared" si="35"/>
        <v>Sama</v>
      </c>
      <c r="Y88" s="1540">
        <f t="shared" si="26"/>
        <v>0</v>
      </c>
    </row>
    <row r="89" spans="1:25">
      <c r="A89" s="1686">
        <f>IF('Pnj APBDES'!A143="","",'Pnj APBDES'!A143)</f>
        <v>1</v>
      </c>
      <c r="B89" s="1687">
        <f>IF('Pnj APBDES'!B143="","",'Pnj APBDES'!B143)</f>
        <v>4</v>
      </c>
      <c r="C89" s="1689" t="str">
        <f>IF('Pnj APBDES'!C143="","",'Pnj APBDES'!C143)</f>
        <v>01</v>
      </c>
      <c r="D89" s="1676">
        <f>IF('Pnj APBDES'!D143="","",'Pnj APBDES'!D143)</f>
        <v>5</v>
      </c>
      <c r="E89" s="1676">
        <f>IF('Pnj APBDES'!E143="","",'Pnj APBDES'!E143)</f>
        <v>2</v>
      </c>
      <c r="F89" s="1676">
        <f>IF('Pnj APBDES'!F143="","",'Pnj APBDES'!F143)</f>
        <v>6</v>
      </c>
      <c r="G89" s="1676">
        <f>IF('Pnj APBDES'!G143="","",'Pnj APBDES'!G143)</f>
        <v>2</v>
      </c>
      <c r="H89" s="1678" t="str">
        <f>IF('Pnj APBDES'!H143="","",'Pnj APBDES'!H143)</f>
        <v>Snack Kotak</v>
      </c>
      <c r="I89" s="1679">
        <f>'Pnj APBDES'!K143</f>
        <v>2400000</v>
      </c>
      <c r="J89" s="1746" t="str">
        <f>IF('Pnj APBDES'!N143="","",'Pnj APBDES'!N143)</f>
        <v>ADD</v>
      </c>
      <c r="K89" s="1679">
        <v>0</v>
      </c>
      <c r="L89" s="1679">
        <v>0</v>
      </c>
      <c r="M89" s="1679">
        <v>0</v>
      </c>
      <c r="N89" s="1679">
        <v>0</v>
      </c>
      <c r="O89" s="1679">
        <v>0</v>
      </c>
      <c r="P89" s="1679">
        <v>1120000</v>
      </c>
      <c r="Q89" s="1679">
        <v>0</v>
      </c>
      <c r="R89" s="1679">
        <v>0</v>
      </c>
      <c r="S89" s="1679">
        <v>0</v>
      </c>
      <c r="T89" s="1679">
        <v>1280000</v>
      </c>
      <c r="U89" s="1679">
        <v>0</v>
      </c>
      <c r="V89" s="1679">
        <v>0</v>
      </c>
      <c r="W89" s="1679">
        <f t="shared" si="36"/>
        <v>2400000</v>
      </c>
      <c r="X89" s="1751" t="str">
        <f t="shared" si="35"/>
        <v>Sama</v>
      </c>
      <c r="Y89" s="1540">
        <f t="shared" si="26"/>
        <v>0</v>
      </c>
    </row>
    <row r="90" spans="1:25">
      <c r="A90" s="1686">
        <f>IF('Pnj APBDES'!A144="","",'Pnj APBDES'!A144)</f>
        <v>1</v>
      </c>
      <c r="B90" s="1687">
        <f>IF('Pnj APBDES'!B144="","",'Pnj APBDES'!B144)</f>
        <v>4</v>
      </c>
      <c r="C90" s="1689" t="str">
        <f>IF('Pnj APBDES'!C144="","",'Pnj APBDES'!C144)</f>
        <v>01</v>
      </c>
      <c r="D90" s="1676">
        <f>IF('Pnj APBDES'!D144="","",'Pnj APBDES'!D144)</f>
        <v>5</v>
      </c>
      <c r="E90" s="1676">
        <f>IF('Pnj APBDES'!E144="","",'Pnj APBDES'!E144)</f>
        <v>2</v>
      </c>
      <c r="F90" s="1676">
        <f>IF('Pnj APBDES'!F144="","",'Pnj APBDES'!F144)</f>
        <v>6</v>
      </c>
      <c r="G90" s="1676">
        <f>IF('Pnj APBDES'!G144="","",'Pnj APBDES'!G144)</f>
        <v>3</v>
      </c>
      <c r="H90" s="1678" t="str">
        <f>IF('Pnj APBDES'!H144="","",'Pnj APBDES'!H144)</f>
        <v>Nasi Kotak</v>
      </c>
      <c r="I90" s="1679">
        <f>'Pnj APBDES'!K144</f>
        <v>3600000</v>
      </c>
      <c r="J90" s="1746" t="str">
        <f>IF('Pnj APBDES'!N144="","",'Pnj APBDES'!N144)</f>
        <v>ADD</v>
      </c>
      <c r="K90" s="1679">
        <v>0</v>
      </c>
      <c r="L90" s="1679">
        <v>0</v>
      </c>
      <c r="M90" s="1679">
        <v>0</v>
      </c>
      <c r="N90" s="1679">
        <v>0</v>
      </c>
      <c r="O90" s="1679">
        <v>0</v>
      </c>
      <c r="P90" s="1679">
        <v>1800000</v>
      </c>
      <c r="Q90" s="1679">
        <v>0</v>
      </c>
      <c r="R90" s="1679">
        <v>0</v>
      </c>
      <c r="S90" s="1679">
        <v>0</v>
      </c>
      <c r="T90" s="1679">
        <v>1800000</v>
      </c>
      <c r="U90" s="1679">
        <v>0</v>
      </c>
      <c r="V90" s="1679">
        <v>0</v>
      </c>
      <c r="W90" s="1679">
        <f t="shared" si="36"/>
        <v>3600000</v>
      </c>
      <c r="X90" s="1751" t="str">
        <f t="shared" si="35"/>
        <v>Sama</v>
      </c>
      <c r="Y90" s="1540">
        <f t="shared" si="26"/>
        <v>0</v>
      </c>
    </row>
    <row r="91" spans="1:25">
      <c r="A91" s="1686" t="str">
        <f>IF('Pnj APBDES'!A145="","",'Pnj APBDES'!A145)</f>
        <v/>
      </c>
      <c r="B91" s="1687" t="str">
        <f>IF('Pnj APBDES'!B145="","",'Pnj APBDES'!B145)</f>
        <v/>
      </c>
      <c r="C91" s="1686" t="str">
        <f>IF('Pnj APBDES'!C145="","",'Pnj APBDES'!C145)</f>
        <v/>
      </c>
      <c r="D91" s="1676" t="str">
        <f>IF('Pnj APBDES'!D145="","",'Pnj APBDES'!D145)</f>
        <v/>
      </c>
      <c r="E91" s="1676" t="str">
        <f>IF('Pnj APBDES'!E145="","",'Pnj APBDES'!E145)</f>
        <v/>
      </c>
      <c r="F91" s="1676" t="str">
        <f>IF('Pnj APBDES'!F145="","",'Pnj APBDES'!F145)</f>
        <v/>
      </c>
      <c r="G91" s="1676" t="str">
        <f>IF('Pnj APBDES'!G145="","",'Pnj APBDES'!G145)</f>
        <v/>
      </c>
      <c r="H91" s="1678" t="str">
        <f>IF('Pnj APBDES'!H145="","",'Pnj APBDES'!H145)</f>
        <v/>
      </c>
      <c r="I91" s="1679">
        <f>'Pnj APBDES'!K145</f>
        <v>0</v>
      </c>
      <c r="J91" s="1746" t="str">
        <f>IF('Pnj APBDES'!N145="","",'Pnj APBDES'!N145)</f>
        <v/>
      </c>
      <c r="K91" s="1679"/>
      <c r="L91" s="1679"/>
      <c r="M91" s="1679"/>
      <c r="N91" s="1679"/>
      <c r="O91" s="1679"/>
      <c r="P91" s="1679"/>
      <c r="Q91" s="1679"/>
      <c r="R91" s="1679"/>
      <c r="S91" s="1679"/>
      <c r="T91" s="1679"/>
      <c r="U91" s="1679"/>
      <c r="V91" s="1679"/>
      <c r="W91" s="1679">
        <f t="shared" si="36"/>
        <v>0</v>
      </c>
      <c r="X91" s="1751" t="str">
        <f t="shared" si="35"/>
        <v>Sama</v>
      </c>
      <c r="Y91" s="1540">
        <f t="shared" si="26"/>
        <v>0</v>
      </c>
    </row>
    <row r="92" spans="1:25" s="1540" customFormat="1">
      <c r="A92" s="1690">
        <f>IF('Pnj APBDES'!A146="","",'Pnj APBDES'!A146)</f>
        <v>1</v>
      </c>
      <c r="B92" s="1691">
        <f>IF('Pnj APBDES'!B146="","",'Pnj APBDES'!B146)</f>
        <v>4</v>
      </c>
      <c r="C92" s="1690" t="str">
        <f>IF('Pnj APBDES'!C146="","",'Pnj APBDES'!C146)</f>
        <v>03</v>
      </c>
      <c r="D92" s="1672">
        <f>IF('Pnj APBDES'!D146="","",'Pnj APBDES'!D146)</f>
        <v>5</v>
      </c>
      <c r="E92" s="1672" t="str">
        <f>IF('Pnj APBDES'!E146="","",'Pnj APBDES'!E146)</f>
        <v/>
      </c>
      <c r="F92" s="1672" t="str">
        <f>IF('Pnj APBDES'!F146="","",'Pnj APBDES'!F146)</f>
        <v/>
      </c>
      <c r="G92" s="1672" t="str">
        <f>IF('Pnj APBDES'!G146="","",'Pnj APBDES'!G146)</f>
        <v/>
      </c>
      <c r="H92" s="1692" t="str">
        <f>IF('Pnj APBDES'!H146="","",'Pnj APBDES'!H146)</f>
        <v>Penyusunan Dokumen Perencanaan Desa (RKPDes)</v>
      </c>
      <c r="I92" s="1675">
        <f>'Pnj APBDES'!K146</f>
        <v>3880000</v>
      </c>
      <c r="J92" s="1745" t="str">
        <f>IF('Pnj APBDES'!N146="","",'Pnj APBDES'!N146)</f>
        <v/>
      </c>
      <c r="K92" s="1675">
        <f>K93</f>
        <v>0</v>
      </c>
      <c r="L92" s="1675">
        <f t="shared" ref="L92:V93" si="41">L93</f>
        <v>0</v>
      </c>
      <c r="M92" s="1675">
        <f t="shared" si="41"/>
        <v>0</v>
      </c>
      <c r="N92" s="1675">
        <f t="shared" si="41"/>
        <v>3880000</v>
      </c>
      <c r="O92" s="1675">
        <f t="shared" si="41"/>
        <v>0</v>
      </c>
      <c r="P92" s="1675">
        <f t="shared" si="41"/>
        <v>0</v>
      </c>
      <c r="Q92" s="1675">
        <f t="shared" si="41"/>
        <v>0</v>
      </c>
      <c r="R92" s="1675">
        <f t="shared" si="41"/>
        <v>0</v>
      </c>
      <c r="S92" s="1675">
        <f t="shared" si="41"/>
        <v>0</v>
      </c>
      <c r="T92" s="1675">
        <f t="shared" si="41"/>
        <v>0</v>
      </c>
      <c r="U92" s="1675">
        <f t="shared" si="41"/>
        <v>0</v>
      </c>
      <c r="V92" s="1675">
        <f t="shared" si="41"/>
        <v>0</v>
      </c>
      <c r="W92" s="1675">
        <f t="shared" si="36"/>
        <v>3880000</v>
      </c>
      <c r="X92" s="1751" t="str">
        <f t="shared" si="35"/>
        <v>Sama</v>
      </c>
      <c r="Y92" s="1540">
        <f t="shared" si="26"/>
        <v>0</v>
      </c>
    </row>
    <row r="93" spans="1:25">
      <c r="A93" s="1686">
        <f>IF('Pnj APBDES'!A147="","",'Pnj APBDES'!A147)</f>
        <v>1</v>
      </c>
      <c r="B93" s="1687">
        <f>IF('Pnj APBDES'!B147="","",'Pnj APBDES'!B147)</f>
        <v>4</v>
      </c>
      <c r="C93" s="1686" t="str">
        <f>IF('Pnj APBDES'!C147="","",'Pnj APBDES'!C147)</f>
        <v>03</v>
      </c>
      <c r="D93" s="1676">
        <f>IF('Pnj APBDES'!D147="","",'Pnj APBDES'!D147)</f>
        <v>5</v>
      </c>
      <c r="E93" s="1676">
        <f>IF('Pnj APBDES'!E147="","",'Pnj APBDES'!E147)</f>
        <v>2</v>
      </c>
      <c r="F93" s="1676" t="str">
        <f>IF('Pnj APBDES'!F147="","",'Pnj APBDES'!F147)</f>
        <v/>
      </c>
      <c r="G93" s="1676" t="str">
        <f>IF('Pnj APBDES'!G147="","",'Pnj APBDES'!G147)</f>
        <v/>
      </c>
      <c r="H93" s="1678" t="str">
        <f>IF('Pnj APBDES'!H147="","",'Pnj APBDES'!H147)</f>
        <v>Belanja Barang dan Jasa</v>
      </c>
      <c r="I93" s="1679">
        <f>'Pnj APBDES'!K147</f>
        <v>3880000</v>
      </c>
      <c r="J93" s="1746" t="str">
        <f>IF('Pnj APBDES'!N147="","",'Pnj APBDES'!N147)</f>
        <v/>
      </c>
      <c r="K93" s="1679">
        <f>K94</f>
        <v>0</v>
      </c>
      <c r="L93" s="1679">
        <f t="shared" si="41"/>
        <v>0</v>
      </c>
      <c r="M93" s="1679">
        <f t="shared" si="41"/>
        <v>0</v>
      </c>
      <c r="N93" s="1679">
        <f t="shared" si="41"/>
        <v>3880000</v>
      </c>
      <c r="O93" s="1679">
        <f t="shared" si="41"/>
        <v>0</v>
      </c>
      <c r="P93" s="1679">
        <f t="shared" si="41"/>
        <v>0</v>
      </c>
      <c r="Q93" s="1679">
        <f t="shared" si="41"/>
        <v>0</v>
      </c>
      <c r="R93" s="1679">
        <f t="shared" si="41"/>
        <v>0</v>
      </c>
      <c r="S93" s="1679">
        <f t="shared" si="41"/>
        <v>0</v>
      </c>
      <c r="T93" s="1679">
        <f t="shared" si="41"/>
        <v>0</v>
      </c>
      <c r="U93" s="1679">
        <f t="shared" si="41"/>
        <v>0</v>
      </c>
      <c r="V93" s="1679">
        <f t="shared" si="41"/>
        <v>0</v>
      </c>
      <c r="W93" s="1679">
        <f t="shared" si="36"/>
        <v>3880000</v>
      </c>
      <c r="X93" s="1751" t="str">
        <f t="shared" si="35"/>
        <v>Sama</v>
      </c>
      <c r="Y93" s="1540">
        <f t="shared" si="26"/>
        <v>0</v>
      </c>
    </row>
    <row r="94" spans="1:25">
      <c r="A94" s="1686">
        <f>IF('Pnj APBDES'!A148="","",'Pnj APBDES'!A148)</f>
        <v>1</v>
      </c>
      <c r="B94" s="1687">
        <f>IF('Pnj APBDES'!B148="","",'Pnj APBDES'!B148)</f>
        <v>4</v>
      </c>
      <c r="C94" s="1686" t="str">
        <f>IF('Pnj APBDES'!C148="","",'Pnj APBDES'!C148)</f>
        <v>03</v>
      </c>
      <c r="D94" s="1676">
        <f>IF('Pnj APBDES'!D148="","",'Pnj APBDES'!D148)</f>
        <v>5</v>
      </c>
      <c r="E94" s="1676">
        <f>IF('Pnj APBDES'!E148="","",'Pnj APBDES'!E148)</f>
        <v>2</v>
      </c>
      <c r="F94" s="1676">
        <f>IF('Pnj APBDES'!F148="","",'Pnj APBDES'!F148)</f>
        <v>2</v>
      </c>
      <c r="G94" s="1676" t="str">
        <f>IF('Pnj APBDES'!G148="","",'Pnj APBDES'!G148)</f>
        <v/>
      </c>
      <c r="H94" s="1678" t="str">
        <f>IF('Pnj APBDES'!H148="","",'Pnj APBDES'!H148)</f>
        <v>Belanja Jasa Honorarium</v>
      </c>
      <c r="I94" s="1679">
        <f>'Pnj APBDES'!K148</f>
        <v>3880000</v>
      </c>
      <c r="J94" s="1746" t="str">
        <f>IF('Pnj APBDES'!N148="","",'Pnj APBDES'!N148)</f>
        <v/>
      </c>
      <c r="K94" s="1679">
        <f>SUM(K95:K95)</f>
        <v>0</v>
      </c>
      <c r="L94" s="1679">
        <f t="shared" ref="L94:V94" si="42">SUM(L95:L95)</f>
        <v>0</v>
      </c>
      <c r="M94" s="1679">
        <f t="shared" si="42"/>
        <v>0</v>
      </c>
      <c r="N94" s="1679">
        <f t="shared" si="42"/>
        <v>3880000</v>
      </c>
      <c r="O94" s="1679">
        <f t="shared" si="42"/>
        <v>0</v>
      </c>
      <c r="P94" s="1679">
        <f t="shared" si="42"/>
        <v>0</v>
      </c>
      <c r="Q94" s="1679">
        <f t="shared" si="42"/>
        <v>0</v>
      </c>
      <c r="R94" s="1679">
        <f t="shared" si="42"/>
        <v>0</v>
      </c>
      <c r="S94" s="1679">
        <f t="shared" si="42"/>
        <v>0</v>
      </c>
      <c r="T94" s="1679">
        <f t="shared" si="42"/>
        <v>0</v>
      </c>
      <c r="U94" s="1679">
        <f t="shared" si="42"/>
        <v>0</v>
      </c>
      <c r="V94" s="1679">
        <f t="shared" si="42"/>
        <v>0</v>
      </c>
      <c r="W94" s="1679">
        <f t="shared" si="36"/>
        <v>3880000</v>
      </c>
      <c r="X94" s="1751" t="str">
        <f t="shared" si="35"/>
        <v>Sama</v>
      </c>
      <c r="Y94" s="1540">
        <f t="shared" si="26"/>
        <v>0</v>
      </c>
    </row>
    <row r="95" spans="1:25" ht="23.25" customHeight="1">
      <c r="A95" s="1686">
        <f>IF('Pnj APBDES'!A149="","",'Pnj APBDES'!A149)</f>
        <v>1</v>
      </c>
      <c r="B95" s="1687">
        <f>IF('Pnj APBDES'!B149="","",'Pnj APBDES'!B149)</f>
        <v>4</v>
      </c>
      <c r="C95" s="1686" t="str">
        <f>IF('Pnj APBDES'!C149="","",'Pnj APBDES'!C149)</f>
        <v>03</v>
      </c>
      <c r="D95" s="1676">
        <f>IF('Pnj APBDES'!D149="","",'Pnj APBDES'!D149)</f>
        <v>5</v>
      </c>
      <c r="E95" s="1676">
        <f>IF('Pnj APBDES'!E149="","",'Pnj APBDES'!E149)</f>
        <v>2</v>
      </c>
      <c r="F95" s="1676">
        <f>IF('Pnj APBDES'!F149="","",'Pnj APBDES'!F149)</f>
        <v>2</v>
      </c>
      <c r="G95" s="1676">
        <f>IF('Pnj APBDES'!G149="","",'Pnj APBDES'!G149)</f>
        <v>1</v>
      </c>
      <c r="H95" s="1678" t="str">
        <f>IF('Pnj APBDES'!H149="","",'Pnj APBDES'!H149)</f>
        <v>Belanja Jasa Honorarium Tim yang Melaksanakan Kegiatan</v>
      </c>
      <c r="I95" s="1679">
        <f>'Pnj APBDES'!K149</f>
        <v>3880000</v>
      </c>
      <c r="J95" s="1746" t="str">
        <f>IF('Pnj APBDES'!N149="","",'Pnj APBDES'!N149)</f>
        <v>ADD</v>
      </c>
      <c r="K95" s="1679">
        <v>0</v>
      </c>
      <c r="L95" s="1679">
        <v>0</v>
      </c>
      <c r="M95" s="1679">
        <v>0</v>
      </c>
      <c r="N95" s="1679">
        <f>I95</f>
        <v>3880000</v>
      </c>
      <c r="O95" s="1679">
        <v>0</v>
      </c>
      <c r="P95" s="1679">
        <v>0</v>
      </c>
      <c r="Q95" s="1679">
        <v>0</v>
      </c>
      <c r="R95" s="1679">
        <v>0</v>
      </c>
      <c r="S95" s="1679">
        <v>0</v>
      </c>
      <c r="T95" s="1679">
        <v>0</v>
      </c>
      <c r="U95" s="1679">
        <v>0</v>
      </c>
      <c r="V95" s="1679">
        <v>0</v>
      </c>
      <c r="W95" s="1679">
        <f t="shared" si="36"/>
        <v>3880000</v>
      </c>
      <c r="X95" s="1751" t="str">
        <f t="shared" si="35"/>
        <v>Sama</v>
      </c>
      <c r="Y95" s="1540">
        <f t="shared" si="26"/>
        <v>0</v>
      </c>
    </row>
    <row r="96" spans="1:25" s="1540" customFormat="1">
      <c r="A96" s="1690">
        <f>IF('Pnj APBDES'!A150="","",'Pnj APBDES'!A150)</f>
        <v>1</v>
      </c>
      <c r="B96" s="1691">
        <f>IF('Pnj APBDES'!B150="","",'Pnj APBDES'!B150)</f>
        <v>4</v>
      </c>
      <c r="C96" s="1690" t="str">
        <f>IF('Pnj APBDES'!C150="","",'Pnj APBDES'!C150)</f>
        <v>05</v>
      </c>
      <c r="D96" s="1672">
        <f>IF('Pnj APBDES'!D150="","",'Pnj APBDES'!D150)</f>
        <v>5</v>
      </c>
      <c r="E96" s="1672" t="str">
        <f>IF('Pnj APBDES'!E150="","",'Pnj APBDES'!E150)</f>
        <v/>
      </c>
      <c r="F96" s="1672" t="str">
        <f>IF('Pnj APBDES'!F150="","",'Pnj APBDES'!F150)</f>
        <v/>
      </c>
      <c r="G96" s="1672" t="str">
        <f>IF('Pnj APBDES'!G150="","",'Pnj APBDES'!G150)</f>
        <v/>
      </c>
      <c r="H96" s="1693" t="str">
        <f>IF('Pnj APBDES'!H150="","",'Pnj APBDES'!H150)</f>
        <v>Pengelolaan/Administrasi/Inventarisasi/Penilaian Aset Desa</v>
      </c>
      <c r="I96" s="1675">
        <f>'Pnj APBDES'!K150</f>
        <v>2700000</v>
      </c>
      <c r="J96" s="1745" t="str">
        <f>IF('Pnj APBDES'!N150="","",'Pnj APBDES'!N150)</f>
        <v/>
      </c>
      <c r="K96" s="1675">
        <f>K97</f>
        <v>0</v>
      </c>
      <c r="L96" s="1675">
        <f t="shared" ref="L96:V97" si="43">L97</f>
        <v>0</v>
      </c>
      <c r="M96" s="1675">
        <f t="shared" si="43"/>
        <v>0</v>
      </c>
      <c r="N96" s="1675">
        <f t="shared" si="43"/>
        <v>2700000</v>
      </c>
      <c r="O96" s="1675">
        <f t="shared" si="43"/>
        <v>0</v>
      </c>
      <c r="P96" s="1675">
        <f t="shared" si="43"/>
        <v>0</v>
      </c>
      <c r="Q96" s="1675">
        <f t="shared" si="43"/>
        <v>0</v>
      </c>
      <c r="R96" s="1675">
        <f t="shared" si="43"/>
        <v>0</v>
      </c>
      <c r="S96" s="1675">
        <f t="shared" si="43"/>
        <v>0</v>
      </c>
      <c r="T96" s="1675">
        <f t="shared" si="43"/>
        <v>0</v>
      </c>
      <c r="U96" s="1675">
        <f t="shared" si="43"/>
        <v>0</v>
      </c>
      <c r="V96" s="1675">
        <f t="shared" si="43"/>
        <v>0</v>
      </c>
      <c r="W96" s="1675">
        <f t="shared" si="36"/>
        <v>2700000</v>
      </c>
      <c r="X96" s="1751" t="str">
        <f t="shared" si="35"/>
        <v>Sama</v>
      </c>
      <c r="Y96" s="1540">
        <f t="shared" si="26"/>
        <v>0</v>
      </c>
    </row>
    <row r="97" spans="1:25">
      <c r="A97" s="1686">
        <f>IF('Pnj APBDES'!A151="","",'Pnj APBDES'!A151)</f>
        <v>1</v>
      </c>
      <c r="B97" s="1687">
        <f>IF('Pnj APBDES'!B151="","",'Pnj APBDES'!B151)</f>
        <v>4</v>
      </c>
      <c r="C97" s="1686" t="str">
        <f>IF('Pnj APBDES'!C151="","",'Pnj APBDES'!C151)</f>
        <v>05</v>
      </c>
      <c r="D97" s="1676">
        <f>IF('Pnj APBDES'!D151="","",'Pnj APBDES'!D151)</f>
        <v>5</v>
      </c>
      <c r="E97" s="1676">
        <f>IF('Pnj APBDES'!E151="","",'Pnj APBDES'!E151)</f>
        <v>2</v>
      </c>
      <c r="F97" s="1676" t="str">
        <f>IF('Pnj APBDES'!F151="","",'Pnj APBDES'!F151)</f>
        <v/>
      </c>
      <c r="G97" s="1676" t="str">
        <f>IF('Pnj APBDES'!G151="","",'Pnj APBDES'!G151)</f>
        <v/>
      </c>
      <c r="H97" s="1678" t="str">
        <f>IF('Pnj APBDES'!H151="","",'Pnj APBDES'!H151)</f>
        <v>Belanja Barang dan Jasa</v>
      </c>
      <c r="I97" s="1679">
        <f>'Pnj APBDES'!K151</f>
        <v>2700000</v>
      </c>
      <c r="J97" s="1746" t="str">
        <f>IF('Pnj APBDES'!N151="","",'Pnj APBDES'!N151)</f>
        <v/>
      </c>
      <c r="K97" s="1679">
        <f>K98</f>
        <v>0</v>
      </c>
      <c r="L97" s="1679">
        <f t="shared" si="43"/>
        <v>0</v>
      </c>
      <c r="M97" s="1679">
        <f t="shared" si="43"/>
        <v>0</v>
      </c>
      <c r="N97" s="1679">
        <f t="shared" si="43"/>
        <v>2700000</v>
      </c>
      <c r="O97" s="1679">
        <f t="shared" si="43"/>
        <v>0</v>
      </c>
      <c r="P97" s="1679">
        <f t="shared" si="43"/>
        <v>0</v>
      </c>
      <c r="Q97" s="1679">
        <f t="shared" si="43"/>
        <v>0</v>
      </c>
      <c r="R97" s="1679">
        <f t="shared" si="43"/>
        <v>0</v>
      </c>
      <c r="S97" s="1679">
        <f t="shared" si="43"/>
        <v>0</v>
      </c>
      <c r="T97" s="1679">
        <f t="shared" si="43"/>
        <v>0</v>
      </c>
      <c r="U97" s="1679">
        <f t="shared" si="43"/>
        <v>0</v>
      </c>
      <c r="V97" s="1679">
        <f t="shared" si="43"/>
        <v>0</v>
      </c>
      <c r="W97" s="1679">
        <f t="shared" si="36"/>
        <v>2700000</v>
      </c>
      <c r="X97" s="1751" t="str">
        <f t="shared" si="35"/>
        <v>Sama</v>
      </c>
      <c r="Y97" s="1540">
        <f t="shared" si="26"/>
        <v>0</v>
      </c>
    </row>
    <row r="98" spans="1:25">
      <c r="A98" s="1686">
        <f>IF('Pnj APBDES'!A152="","",'Pnj APBDES'!A152)</f>
        <v>1</v>
      </c>
      <c r="B98" s="1687">
        <f>IF('Pnj APBDES'!B152="","",'Pnj APBDES'!B152)</f>
        <v>4</v>
      </c>
      <c r="C98" s="1686" t="str">
        <f>IF('Pnj APBDES'!C152="","",'Pnj APBDES'!C152)</f>
        <v>05</v>
      </c>
      <c r="D98" s="1676">
        <f>IF('Pnj APBDES'!D152="","",'Pnj APBDES'!D152)</f>
        <v>5</v>
      </c>
      <c r="E98" s="1676">
        <f>IF('Pnj APBDES'!E152="","",'Pnj APBDES'!E152)</f>
        <v>2</v>
      </c>
      <c r="F98" s="1676">
        <f>IF('Pnj APBDES'!F152="","",'Pnj APBDES'!F152)</f>
        <v>2</v>
      </c>
      <c r="G98" s="1676" t="str">
        <f>IF('Pnj APBDES'!G152="","",'Pnj APBDES'!G152)</f>
        <v/>
      </c>
      <c r="H98" s="1678" t="str">
        <f>IF('Pnj APBDES'!H152="","",'Pnj APBDES'!H152)</f>
        <v>Belanja Jasa Honorarium</v>
      </c>
      <c r="I98" s="1679">
        <f>'Pnj APBDES'!K152</f>
        <v>2700000</v>
      </c>
      <c r="J98" s="1746" t="str">
        <f>IF('Pnj APBDES'!N152="","",'Pnj APBDES'!N152)</f>
        <v/>
      </c>
      <c r="K98" s="1679">
        <f>SUM(K99:K99)</f>
        <v>0</v>
      </c>
      <c r="L98" s="1679">
        <f t="shared" ref="L98:V98" si="44">SUM(L99:L99)</f>
        <v>0</v>
      </c>
      <c r="M98" s="1679">
        <f t="shared" si="44"/>
        <v>0</v>
      </c>
      <c r="N98" s="1679">
        <f t="shared" si="44"/>
        <v>2700000</v>
      </c>
      <c r="O98" s="1679">
        <f t="shared" si="44"/>
        <v>0</v>
      </c>
      <c r="P98" s="1679">
        <f t="shared" si="44"/>
        <v>0</v>
      </c>
      <c r="Q98" s="1679">
        <f t="shared" si="44"/>
        <v>0</v>
      </c>
      <c r="R98" s="1679">
        <f t="shared" si="44"/>
        <v>0</v>
      </c>
      <c r="S98" s="1679">
        <f t="shared" si="44"/>
        <v>0</v>
      </c>
      <c r="T98" s="1679">
        <f t="shared" si="44"/>
        <v>0</v>
      </c>
      <c r="U98" s="1679">
        <f t="shared" si="44"/>
        <v>0</v>
      </c>
      <c r="V98" s="1679">
        <f t="shared" si="44"/>
        <v>0</v>
      </c>
      <c r="W98" s="1679">
        <f t="shared" si="36"/>
        <v>2700000</v>
      </c>
      <c r="X98" s="1751" t="str">
        <f t="shared" si="35"/>
        <v>Sama</v>
      </c>
      <c r="Y98" s="1540">
        <f t="shared" si="26"/>
        <v>0</v>
      </c>
    </row>
    <row r="99" spans="1:25">
      <c r="A99" s="1686">
        <f>IF('Pnj APBDES'!A153="","",'Pnj APBDES'!A153)</f>
        <v>1</v>
      </c>
      <c r="B99" s="1687">
        <f>IF('Pnj APBDES'!B153="","",'Pnj APBDES'!B153)</f>
        <v>4</v>
      </c>
      <c r="C99" s="1686" t="str">
        <f>IF('Pnj APBDES'!C153="","",'Pnj APBDES'!C153)</f>
        <v>05</v>
      </c>
      <c r="D99" s="1676">
        <f>IF('Pnj APBDES'!D153="","",'Pnj APBDES'!D153)</f>
        <v>5</v>
      </c>
      <c r="E99" s="1676">
        <f>IF('Pnj APBDES'!E153="","",'Pnj APBDES'!E153)</f>
        <v>2</v>
      </c>
      <c r="F99" s="1676">
        <f>IF('Pnj APBDES'!F153="","",'Pnj APBDES'!F153)</f>
        <v>2</v>
      </c>
      <c r="G99" s="1676">
        <f>IF('Pnj APBDES'!G153="","",'Pnj APBDES'!G153)</f>
        <v>5</v>
      </c>
      <c r="H99" s="1678" t="str">
        <f>IF('Pnj APBDES'!H153="","",'Pnj APBDES'!H153)</f>
        <v>Belanja Jasa Honorarium Petugas</v>
      </c>
      <c r="I99" s="1679">
        <f>'Pnj APBDES'!K153</f>
        <v>2700000</v>
      </c>
      <c r="J99" s="1746" t="str">
        <f>IF('Pnj APBDES'!N153="","",'Pnj APBDES'!N153)</f>
        <v>PAD</v>
      </c>
      <c r="K99" s="1679">
        <v>0</v>
      </c>
      <c r="L99" s="1679">
        <v>0</v>
      </c>
      <c r="M99" s="1679">
        <v>0</v>
      </c>
      <c r="N99" s="1679">
        <f>I99</f>
        <v>2700000</v>
      </c>
      <c r="O99" s="1679">
        <v>0</v>
      </c>
      <c r="P99" s="1679">
        <v>0</v>
      </c>
      <c r="Q99" s="1679">
        <v>0</v>
      </c>
      <c r="R99" s="1679">
        <v>0</v>
      </c>
      <c r="S99" s="1679">
        <v>0</v>
      </c>
      <c r="T99" s="1679">
        <v>0</v>
      </c>
      <c r="U99" s="1679">
        <v>0</v>
      </c>
      <c r="V99" s="1679">
        <v>0</v>
      </c>
      <c r="W99" s="1679">
        <f t="shared" si="36"/>
        <v>2700000</v>
      </c>
      <c r="X99" s="1751" t="str">
        <f t="shared" si="35"/>
        <v>Sama</v>
      </c>
      <c r="Y99" s="1540">
        <f t="shared" si="26"/>
        <v>0</v>
      </c>
    </row>
    <row r="100" spans="1:25" s="1540" customFormat="1" ht="24">
      <c r="A100" s="1690">
        <f>IF('Pnj APBDES'!A154="","",'Pnj APBDES'!A154)</f>
        <v>1</v>
      </c>
      <c r="B100" s="1691">
        <f>IF('Pnj APBDES'!B154="","",'Pnj APBDES'!B154)</f>
        <v>4</v>
      </c>
      <c r="C100" s="1690">
        <f>IF('Pnj APBDES'!C154="","",'Pnj APBDES'!C154)</f>
        <v>10</v>
      </c>
      <c r="D100" s="1672" t="str">
        <f>IF('Pnj APBDES'!D154="","",'Pnj APBDES'!D154)</f>
        <v/>
      </c>
      <c r="E100" s="1672" t="str">
        <f>IF('Pnj APBDES'!E154="","",'Pnj APBDES'!E154)</f>
        <v/>
      </c>
      <c r="F100" s="1672" t="str">
        <f>IF('Pnj APBDES'!F154="","",'Pnj APBDES'!F154)</f>
        <v/>
      </c>
      <c r="G100" s="1672" t="str">
        <f>IF('Pnj APBDES'!G154="","",'Pnj APBDES'!G154)</f>
        <v/>
      </c>
      <c r="H100" s="1674" t="str">
        <f>IF('Pnj APBDES'!H154="","",'Pnj APBDES'!H154)</f>
        <v>Dukungan dan sosialiasai pelaksanaan pilkades, pemilihan kepala kewilayahan dan BPD</v>
      </c>
      <c r="I100" s="1675">
        <f>'Pnj APBDES'!K154</f>
        <v>5649000</v>
      </c>
      <c r="J100" s="1745" t="str">
        <f>IF('Pnj APBDES'!N154="","",'Pnj APBDES'!N154)</f>
        <v/>
      </c>
      <c r="K100" s="1675">
        <f>K102</f>
        <v>0</v>
      </c>
      <c r="L100" s="1675">
        <f t="shared" ref="L100:V100" si="45">L102</f>
        <v>0</v>
      </c>
      <c r="M100" s="1675">
        <f t="shared" si="45"/>
        <v>0</v>
      </c>
      <c r="N100" s="1675" t="e">
        <f t="shared" si="45"/>
        <v>#REF!</v>
      </c>
      <c r="O100" s="1675">
        <f t="shared" si="45"/>
        <v>0</v>
      </c>
      <c r="P100" s="1675">
        <f t="shared" si="45"/>
        <v>0</v>
      </c>
      <c r="Q100" s="1675">
        <f t="shared" si="45"/>
        <v>0</v>
      </c>
      <c r="R100" s="1675">
        <f t="shared" si="45"/>
        <v>0</v>
      </c>
      <c r="S100" s="1675">
        <f t="shared" si="45"/>
        <v>0</v>
      </c>
      <c r="T100" s="1675">
        <f t="shared" si="45"/>
        <v>0</v>
      </c>
      <c r="U100" s="1675">
        <f t="shared" si="45"/>
        <v>0</v>
      </c>
      <c r="V100" s="1675">
        <f t="shared" si="45"/>
        <v>0</v>
      </c>
      <c r="W100" s="1675" t="e">
        <f t="shared" si="36"/>
        <v>#REF!</v>
      </c>
      <c r="X100" s="1751" t="e">
        <f t="shared" si="35"/>
        <v>#REF!</v>
      </c>
      <c r="Y100" s="1540" t="e">
        <f t="shared" si="26"/>
        <v>#REF!</v>
      </c>
    </row>
    <row r="101" spans="1:25">
      <c r="A101" s="1686">
        <f>IF('Pnj APBDES'!A155="","",'Pnj APBDES'!A155)</f>
        <v>1</v>
      </c>
      <c r="B101" s="1687">
        <f>IF('Pnj APBDES'!B155="","",'Pnj APBDES'!B155)</f>
        <v>4</v>
      </c>
      <c r="C101" s="1686">
        <f>IF('Pnj APBDES'!C155="","",'Pnj APBDES'!C155)</f>
        <v>10</v>
      </c>
      <c r="D101" s="1676">
        <f>IF('Pnj APBDES'!D155="","",'Pnj APBDES'!D155)</f>
        <v>5</v>
      </c>
      <c r="E101" s="1676">
        <f>IF('Pnj APBDES'!E155="","",'Pnj APBDES'!E155)</f>
        <v>2</v>
      </c>
      <c r="F101" s="1676" t="str">
        <f>IF('Pnj APBDES'!F155="","",'Pnj APBDES'!F155)</f>
        <v/>
      </c>
      <c r="G101" s="1676" t="str">
        <f>IF('Pnj APBDES'!G155="","",'Pnj APBDES'!G155)</f>
        <v/>
      </c>
      <c r="H101" s="1678" t="str">
        <f>IF('Pnj APBDES'!H155="","",'Pnj APBDES'!H155)</f>
        <v>Belanja Barang dan Jasa</v>
      </c>
      <c r="I101" s="1679">
        <f>'Pnj APBDES'!K155</f>
        <v>5649000</v>
      </c>
      <c r="J101" s="1746" t="str">
        <f>IF('Pnj APBDES'!N155="","",'Pnj APBDES'!N155)</f>
        <v/>
      </c>
      <c r="K101" s="1679"/>
      <c r="L101" s="1679"/>
      <c r="M101" s="1679"/>
      <c r="N101" s="1679"/>
      <c r="O101" s="1679"/>
      <c r="P101" s="1679"/>
      <c r="Q101" s="1679"/>
      <c r="R101" s="1679"/>
      <c r="S101" s="1679"/>
      <c r="T101" s="1679"/>
      <c r="U101" s="1679"/>
      <c r="V101" s="1679"/>
      <c r="W101" s="1679">
        <f t="shared" si="36"/>
        <v>0</v>
      </c>
      <c r="X101" s="1751" t="str">
        <f t="shared" si="35"/>
        <v>Salah</v>
      </c>
      <c r="Y101" s="1540">
        <f t="shared" si="26"/>
        <v>-5649000</v>
      </c>
    </row>
    <row r="102" spans="1:25" ht="24">
      <c r="A102" s="1686">
        <f>IF('Pnj APBDES'!A172="","",'Pnj APBDES'!A172)</f>
        <v>1</v>
      </c>
      <c r="B102" s="1687">
        <f>IF('Pnj APBDES'!B172="","",'Pnj APBDES'!B172)</f>
        <v>4</v>
      </c>
      <c r="C102" s="1686">
        <f>IF('Pnj APBDES'!C172="","",'Pnj APBDES'!C172)</f>
        <v>10</v>
      </c>
      <c r="D102" s="1676">
        <f>IF('Pnj APBDES'!D172="","",'Pnj APBDES'!D172)</f>
        <v>5</v>
      </c>
      <c r="E102" s="1676">
        <f>IF('Pnj APBDES'!E172="","",'Pnj APBDES'!E172)</f>
        <v>2</v>
      </c>
      <c r="F102" s="1676">
        <f>IF('Pnj APBDES'!F172="","",'Pnj APBDES'!F172)</f>
        <v>6</v>
      </c>
      <c r="G102" s="1676" t="str">
        <f>IF('Pnj APBDES'!G172="","",'Pnj APBDES'!G172)</f>
        <v/>
      </c>
      <c r="H102" s="1678" t="str">
        <f>IF('Pnj APBDES'!H172="","",'Pnj APBDES'!H172)</f>
        <v>Belanja Perlengkapan Barang Konsumsi (Makan/minum) - Belanja Barang Konsumsi</v>
      </c>
      <c r="I102" s="1679">
        <f>'Pnj APBDES'!K172</f>
        <v>4225000</v>
      </c>
      <c r="J102" s="1746" t="str">
        <f>IF('Pnj APBDES'!N172="","",'Pnj APBDES'!N172)</f>
        <v/>
      </c>
      <c r="K102" s="1679">
        <f>SUM(K103:K106)</f>
        <v>0</v>
      </c>
      <c r="L102" s="1679">
        <f t="shared" ref="L102:V102" si="46">SUM(L103:L106)</f>
        <v>0</v>
      </c>
      <c r="M102" s="1679">
        <f t="shared" si="46"/>
        <v>0</v>
      </c>
      <c r="N102" s="1679" t="e">
        <f t="shared" si="46"/>
        <v>#REF!</v>
      </c>
      <c r="O102" s="1679">
        <f t="shared" si="46"/>
        <v>0</v>
      </c>
      <c r="P102" s="1679">
        <f t="shared" si="46"/>
        <v>0</v>
      </c>
      <c r="Q102" s="1679">
        <f t="shared" si="46"/>
        <v>0</v>
      </c>
      <c r="R102" s="1679">
        <f t="shared" si="46"/>
        <v>0</v>
      </c>
      <c r="S102" s="1679">
        <f t="shared" si="46"/>
        <v>0</v>
      </c>
      <c r="T102" s="1679">
        <f t="shared" si="46"/>
        <v>0</v>
      </c>
      <c r="U102" s="1679">
        <f t="shared" si="46"/>
        <v>0</v>
      </c>
      <c r="V102" s="1679">
        <f t="shared" si="46"/>
        <v>0</v>
      </c>
      <c r="W102" s="1679" t="e">
        <f t="shared" si="36"/>
        <v>#REF!</v>
      </c>
      <c r="X102" s="1751" t="e">
        <f t="shared" si="35"/>
        <v>#REF!</v>
      </c>
      <c r="Y102" s="1540" t="e">
        <f t="shared" si="26"/>
        <v>#REF!</v>
      </c>
    </row>
    <row r="103" spans="1:25">
      <c r="A103" s="1686">
        <f>IF('Pnj APBDES'!A173="","",'Pnj APBDES'!A173)</f>
        <v>1</v>
      </c>
      <c r="B103" s="1687">
        <f>IF('Pnj APBDES'!B173="","",'Pnj APBDES'!B173)</f>
        <v>4</v>
      </c>
      <c r="C103" s="1686">
        <f>IF('Pnj APBDES'!C173="","",'Pnj APBDES'!C173)</f>
        <v>10</v>
      </c>
      <c r="D103" s="1676">
        <f>IF('Pnj APBDES'!D173="","",'Pnj APBDES'!D173)</f>
        <v>5</v>
      </c>
      <c r="E103" s="1676">
        <f>IF('Pnj APBDES'!E173="","",'Pnj APBDES'!E173)</f>
        <v>2</v>
      </c>
      <c r="F103" s="1676">
        <f>IF('Pnj APBDES'!F173="","",'Pnj APBDES'!F173)</f>
        <v>6</v>
      </c>
      <c r="G103" s="1676">
        <f>IF('Pnj APBDES'!G173="","",'Pnj APBDES'!G173)</f>
        <v>1</v>
      </c>
      <c r="H103" s="1678" t="str">
        <f>IF('Pnj APBDES'!H173="","",'Pnj APBDES'!H173)</f>
        <v>Nasi Kotak</v>
      </c>
      <c r="I103" s="1679">
        <f>'Pnj APBDES'!K173</f>
        <v>3000000</v>
      </c>
      <c r="J103" s="1746" t="str">
        <f>IF('Pnj APBDES'!N173="","",'Pnj APBDES'!N173)</f>
        <v>ADD</v>
      </c>
      <c r="K103" s="1679">
        <v>0</v>
      </c>
      <c r="L103" s="1679">
        <v>0</v>
      </c>
      <c r="M103" s="1679">
        <v>0</v>
      </c>
      <c r="N103" s="1679">
        <f>I103</f>
        <v>3000000</v>
      </c>
      <c r="O103" s="1679">
        <v>0</v>
      </c>
      <c r="P103" s="1679">
        <v>0</v>
      </c>
      <c r="Q103" s="1679">
        <v>0</v>
      </c>
      <c r="R103" s="1679">
        <v>0</v>
      </c>
      <c r="S103" s="1679">
        <v>0</v>
      </c>
      <c r="T103" s="1679">
        <v>0</v>
      </c>
      <c r="U103" s="1679">
        <v>0</v>
      </c>
      <c r="V103" s="1679">
        <v>0</v>
      </c>
      <c r="W103" s="1679">
        <f t="shared" si="36"/>
        <v>3000000</v>
      </c>
      <c r="X103" s="1751" t="str">
        <f t="shared" si="35"/>
        <v>Sama</v>
      </c>
      <c r="Y103" s="1540">
        <f t="shared" si="26"/>
        <v>0</v>
      </c>
    </row>
    <row r="104" spans="1:25">
      <c r="A104" s="1686">
        <f>IF('Pnj APBDES'!A174="","",'Pnj APBDES'!A174)</f>
        <v>1</v>
      </c>
      <c r="B104" s="1687">
        <f>IF('Pnj APBDES'!B174="","",'Pnj APBDES'!B174)</f>
        <v>4</v>
      </c>
      <c r="C104" s="1686">
        <f>IF('Pnj APBDES'!C174="","",'Pnj APBDES'!C174)</f>
        <v>10</v>
      </c>
      <c r="D104" s="1676">
        <f>IF('Pnj APBDES'!D174="","",'Pnj APBDES'!D174)</f>
        <v>5</v>
      </c>
      <c r="E104" s="1676">
        <f>IF('Pnj APBDES'!E174="","",'Pnj APBDES'!E174)</f>
        <v>2</v>
      </c>
      <c r="F104" s="1676">
        <f>IF('Pnj APBDES'!F174="","",'Pnj APBDES'!F174)</f>
        <v>6</v>
      </c>
      <c r="G104" s="1676">
        <f>IF('Pnj APBDES'!G174="","",'Pnj APBDES'!G174)</f>
        <v>2</v>
      </c>
      <c r="H104" s="1678" t="str">
        <f>IF('Pnj APBDES'!H174="","",'Pnj APBDES'!H174)</f>
        <v>Snack Kotak</v>
      </c>
      <c r="I104" s="1679">
        <f>'Pnj APBDES'!K174</f>
        <v>1050000</v>
      </c>
      <c r="J104" s="1746" t="str">
        <f>IF('Pnj APBDES'!N174="","",'Pnj APBDES'!N174)</f>
        <v>ADD</v>
      </c>
      <c r="K104" s="1679">
        <v>0</v>
      </c>
      <c r="L104" s="1679">
        <v>0</v>
      </c>
      <c r="M104" s="1679">
        <v>0</v>
      </c>
      <c r="N104" s="1679">
        <f t="shared" ref="N104:N105" si="47">I104</f>
        <v>1050000</v>
      </c>
      <c r="O104" s="1679">
        <v>0</v>
      </c>
      <c r="P104" s="1679">
        <v>0</v>
      </c>
      <c r="Q104" s="1679">
        <v>0</v>
      </c>
      <c r="R104" s="1679">
        <v>0</v>
      </c>
      <c r="S104" s="1679">
        <v>0</v>
      </c>
      <c r="T104" s="1679">
        <v>0</v>
      </c>
      <c r="U104" s="1679">
        <v>0</v>
      </c>
      <c r="V104" s="1679">
        <v>0</v>
      </c>
      <c r="W104" s="1679">
        <f t="shared" si="36"/>
        <v>1050000</v>
      </c>
      <c r="X104" s="1751" t="str">
        <f t="shared" si="35"/>
        <v>Sama</v>
      </c>
      <c r="Y104" s="1540">
        <f t="shared" si="26"/>
        <v>0</v>
      </c>
    </row>
    <row r="105" spans="1:25">
      <c r="A105" s="1686">
        <f>IF('Pnj APBDES'!A175="","",'Pnj APBDES'!A175)</f>
        <v>1</v>
      </c>
      <c r="B105" s="1687">
        <f>IF('Pnj APBDES'!B175="","",'Pnj APBDES'!B175)</f>
        <v>4</v>
      </c>
      <c r="C105" s="1686">
        <f>IF('Pnj APBDES'!C175="","",'Pnj APBDES'!C175)</f>
        <v>10</v>
      </c>
      <c r="D105" s="1676">
        <f>IF('Pnj APBDES'!D175="","",'Pnj APBDES'!D175)</f>
        <v>5</v>
      </c>
      <c r="E105" s="1676">
        <f>IF('Pnj APBDES'!E175="","",'Pnj APBDES'!E175)</f>
        <v>2</v>
      </c>
      <c r="F105" s="1676">
        <f>IF('Pnj APBDES'!F175="","",'Pnj APBDES'!F175)</f>
        <v>6</v>
      </c>
      <c r="G105" s="1676">
        <f>IF('Pnj APBDES'!G175="","",'Pnj APBDES'!G175)</f>
        <v>3</v>
      </c>
      <c r="H105" s="1678" t="str">
        <f>IF('Pnj APBDES'!H175="","",'Pnj APBDES'!H175)</f>
        <v>Aqua</v>
      </c>
      <c r="I105" s="1679">
        <f>'Pnj APBDES'!K175</f>
        <v>175000</v>
      </c>
      <c r="J105" s="1746" t="str">
        <f>IF('Pnj APBDES'!N175="","",'Pnj APBDES'!N175)</f>
        <v>ADD</v>
      </c>
      <c r="K105" s="1679">
        <v>0</v>
      </c>
      <c r="L105" s="1679">
        <v>0</v>
      </c>
      <c r="M105" s="1679">
        <v>0</v>
      </c>
      <c r="N105" s="1679">
        <f t="shared" si="47"/>
        <v>175000</v>
      </c>
      <c r="O105" s="1679">
        <v>0</v>
      </c>
      <c r="P105" s="1679">
        <v>0</v>
      </c>
      <c r="Q105" s="1679">
        <v>0</v>
      </c>
      <c r="R105" s="1679">
        <v>0</v>
      </c>
      <c r="S105" s="1679">
        <v>0</v>
      </c>
      <c r="T105" s="1679">
        <v>0</v>
      </c>
      <c r="U105" s="1679">
        <v>0</v>
      </c>
      <c r="V105" s="1679">
        <v>0</v>
      </c>
      <c r="W105" s="1679">
        <f t="shared" si="36"/>
        <v>175000</v>
      </c>
      <c r="X105" s="1751" t="str">
        <f t="shared" si="35"/>
        <v>Sama</v>
      </c>
      <c r="Y105" s="1540">
        <f t="shared" si="26"/>
        <v>0</v>
      </c>
    </row>
    <row r="106" spans="1:25">
      <c r="A106" s="1686" t="e">
        <f>IF('Pnj APBDES'!#REF!="","",'Pnj APBDES'!#REF!)</f>
        <v>#REF!</v>
      </c>
      <c r="B106" s="1687" t="e">
        <f>IF('Pnj APBDES'!#REF!="","",'Pnj APBDES'!#REF!)</f>
        <v>#REF!</v>
      </c>
      <c r="C106" s="1686" t="e">
        <f>IF('Pnj APBDES'!#REF!="","",'Pnj APBDES'!#REF!)</f>
        <v>#REF!</v>
      </c>
      <c r="D106" s="1676" t="e">
        <f>IF('Pnj APBDES'!#REF!="","",'Pnj APBDES'!#REF!)</f>
        <v>#REF!</v>
      </c>
      <c r="E106" s="1676" t="e">
        <f>IF('Pnj APBDES'!#REF!="","",'Pnj APBDES'!#REF!)</f>
        <v>#REF!</v>
      </c>
      <c r="F106" s="1676" t="e">
        <f>IF('Pnj APBDES'!#REF!="","",'Pnj APBDES'!#REF!)</f>
        <v>#REF!</v>
      </c>
      <c r="G106" s="1676" t="e">
        <f>IF('Pnj APBDES'!#REF!="","",'Pnj APBDES'!#REF!)</f>
        <v>#REF!</v>
      </c>
      <c r="H106" s="1678" t="e">
        <f>IF('Pnj APBDES'!#REF!="","",'Pnj APBDES'!#REF!)</f>
        <v>#REF!</v>
      </c>
      <c r="I106" s="1679" t="e">
        <f>'Pnj APBDES'!#REF!</f>
        <v>#REF!</v>
      </c>
      <c r="J106" s="1746" t="e">
        <f>IF('Pnj APBDES'!#REF!="","",'Pnj APBDES'!#REF!)</f>
        <v>#REF!</v>
      </c>
      <c r="K106" s="1679">
        <v>0</v>
      </c>
      <c r="L106" s="1679">
        <v>0</v>
      </c>
      <c r="M106" s="1679">
        <v>0</v>
      </c>
      <c r="N106" s="1679" t="e">
        <f>I106</f>
        <v>#REF!</v>
      </c>
      <c r="O106" s="1679">
        <v>0</v>
      </c>
      <c r="P106" s="1679">
        <v>0</v>
      </c>
      <c r="Q106" s="1679">
        <v>0</v>
      </c>
      <c r="R106" s="1679">
        <v>0</v>
      </c>
      <c r="S106" s="1679">
        <v>0</v>
      </c>
      <c r="T106" s="1679">
        <v>0</v>
      </c>
      <c r="U106" s="1679">
        <v>0</v>
      </c>
      <c r="V106" s="1679">
        <v>0</v>
      </c>
      <c r="W106" s="1679" t="e">
        <f t="shared" si="36"/>
        <v>#REF!</v>
      </c>
      <c r="X106" s="1751" t="e">
        <f t="shared" si="35"/>
        <v>#REF!</v>
      </c>
      <c r="Y106" s="1540" t="e">
        <f t="shared" si="26"/>
        <v>#REF!</v>
      </c>
    </row>
    <row r="107" spans="1:25">
      <c r="A107" s="1686" t="e">
        <f>IF('Pnj APBDES'!#REF!="","",'Pnj APBDES'!#REF!)</f>
        <v>#REF!</v>
      </c>
      <c r="B107" s="1687" t="e">
        <f>IF('Pnj APBDES'!#REF!="","",'Pnj APBDES'!#REF!)</f>
        <v>#REF!</v>
      </c>
      <c r="C107" s="1686" t="e">
        <f>IF('Pnj APBDES'!#REF!="","",'Pnj APBDES'!#REF!)</f>
        <v>#REF!</v>
      </c>
      <c r="D107" s="1676" t="e">
        <f>IF('Pnj APBDES'!#REF!="","",'Pnj APBDES'!#REF!)</f>
        <v>#REF!</v>
      </c>
      <c r="E107" s="1676" t="e">
        <f>IF('Pnj APBDES'!#REF!="","",'Pnj APBDES'!#REF!)</f>
        <v>#REF!</v>
      </c>
      <c r="F107" s="1676" t="e">
        <f>IF('Pnj APBDES'!#REF!="","",'Pnj APBDES'!#REF!)</f>
        <v>#REF!</v>
      </c>
      <c r="G107" s="1676" t="e">
        <f>IF('Pnj APBDES'!#REF!="","",'Pnj APBDES'!#REF!)</f>
        <v>#REF!</v>
      </c>
      <c r="H107" s="1678" t="e">
        <f>IF('Pnj APBDES'!#REF!="","",'Pnj APBDES'!#REF!)</f>
        <v>#REF!</v>
      </c>
      <c r="I107" s="1679" t="e">
        <f>'Pnj APBDES'!#REF!</f>
        <v>#REF!</v>
      </c>
      <c r="J107" s="1746" t="e">
        <f>IF('Pnj APBDES'!#REF!="","",'Pnj APBDES'!#REF!)</f>
        <v>#REF!</v>
      </c>
      <c r="K107" s="1679"/>
      <c r="L107" s="1679"/>
      <c r="M107" s="1679"/>
      <c r="N107" s="1679"/>
      <c r="O107" s="1679"/>
      <c r="P107" s="1679"/>
      <c r="Q107" s="1679"/>
      <c r="R107" s="1679"/>
      <c r="S107" s="1679"/>
      <c r="T107" s="1679"/>
      <c r="U107" s="1679"/>
      <c r="V107" s="1679"/>
      <c r="W107" s="1679">
        <f t="shared" si="36"/>
        <v>0</v>
      </c>
      <c r="X107" s="1751" t="e">
        <f t="shared" si="35"/>
        <v>#REF!</v>
      </c>
      <c r="Y107" s="1540" t="e">
        <f t="shared" si="26"/>
        <v>#REF!</v>
      </c>
    </row>
    <row r="108" spans="1:25" s="1540" customFormat="1">
      <c r="A108" s="1690">
        <f>IF('Pnj APBDES'!A181="","",'Pnj APBDES'!A181)</f>
        <v>1</v>
      </c>
      <c r="B108" s="1691">
        <f>IF('Pnj APBDES'!B181="","",'Pnj APBDES'!B181)</f>
        <v>5</v>
      </c>
      <c r="C108" s="1694" t="str">
        <f>IF('Pnj APBDES'!C181="","",'Pnj APBDES'!C181)</f>
        <v/>
      </c>
      <c r="D108" s="1672" t="str">
        <f>IF('Pnj APBDES'!D181="","",'Pnj APBDES'!D181)</f>
        <v/>
      </c>
      <c r="E108" s="1672" t="str">
        <f>IF('Pnj APBDES'!E181="","",'Pnj APBDES'!E181)</f>
        <v/>
      </c>
      <c r="F108" s="1672" t="str">
        <f>IF('Pnj APBDES'!F181="","",'Pnj APBDES'!F181)</f>
        <v/>
      </c>
      <c r="G108" s="1672" t="str">
        <f>IF('Pnj APBDES'!G181="","",'Pnj APBDES'!G181)</f>
        <v/>
      </c>
      <c r="H108" s="1695" t="str">
        <f>IF('Pnj APBDES'!H181="","",'Pnj APBDES'!H181)</f>
        <v>Pertanahan</v>
      </c>
      <c r="I108" s="1675">
        <f>'Pnj APBDES'!K181</f>
        <v>9809000</v>
      </c>
      <c r="J108" s="1745" t="str">
        <f>IF('Pnj APBDES'!N181="","",'Pnj APBDES'!N181)</f>
        <v/>
      </c>
      <c r="K108" s="1675">
        <f>K109+K113</f>
        <v>0</v>
      </c>
      <c r="L108" s="1675">
        <f t="shared" ref="L108:V108" si="48">L109+L113</f>
        <v>0</v>
      </c>
      <c r="M108" s="1675">
        <f t="shared" si="48"/>
        <v>0</v>
      </c>
      <c r="N108" s="1675">
        <f t="shared" si="48"/>
        <v>0</v>
      </c>
      <c r="O108" s="1675">
        <f t="shared" si="48"/>
        <v>0</v>
      </c>
      <c r="P108" s="1675">
        <f t="shared" si="48"/>
        <v>0</v>
      </c>
      <c r="Q108" s="1675">
        <f t="shared" si="48"/>
        <v>0</v>
      </c>
      <c r="R108" s="1675">
        <f t="shared" si="48"/>
        <v>1209000</v>
      </c>
      <c r="S108" s="1675">
        <f t="shared" si="48"/>
        <v>0</v>
      </c>
      <c r="T108" s="1675">
        <f t="shared" si="48"/>
        <v>8600000</v>
      </c>
      <c r="U108" s="1675">
        <f t="shared" si="48"/>
        <v>0</v>
      </c>
      <c r="V108" s="1675">
        <f t="shared" si="48"/>
        <v>0</v>
      </c>
      <c r="W108" s="1675">
        <f t="shared" si="36"/>
        <v>9809000</v>
      </c>
      <c r="X108" s="1751" t="str">
        <f t="shared" si="35"/>
        <v>Sama</v>
      </c>
      <c r="Y108" s="1540">
        <f t="shared" si="26"/>
        <v>0</v>
      </c>
    </row>
    <row r="109" spans="1:25">
      <c r="A109" s="1686">
        <f>IF('Pnj APBDES'!A182="","",'Pnj APBDES'!A182)</f>
        <v>1</v>
      </c>
      <c r="B109" s="1687">
        <f>IF('Pnj APBDES'!B182="","",'Pnj APBDES'!B182)</f>
        <v>5</v>
      </c>
      <c r="C109" s="1689" t="str">
        <f>IF('Pnj APBDES'!C182="","",'Pnj APBDES'!C182)</f>
        <v>06</v>
      </c>
      <c r="D109" s="1676" t="str">
        <f>IF('Pnj APBDES'!D182="","",'Pnj APBDES'!D182)</f>
        <v/>
      </c>
      <c r="E109" s="1676" t="str">
        <f>IF('Pnj APBDES'!E182="","",'Pnj APBDES'!E182)</f>
        <v/>
      </c>
      <c r="F109" s="1676" t="str">
        <f>IF('Pnj APBDES'!F182="","",'Pnj APBDES'!F182)</f>
        <v/>
      </c>
      <c r="G109" s="1676" t="str">
        <f>IF('Pnj APBDES'!G182="","",'Pnj APBDES'!G182)</f>
        <v/>
      </c>
      <c r="H109" s="1696" t="str">
        <f>IF('Pnj APBDES'!H182="","",'Pnj APBDES'!H182)</f>
        <v>Administrasi Pajak Bumi dan Bangunan (PBB)</v>
      </c>
      <c r="I109" s="1679">
        <f>'Pnj APBDES'!K182</f>
        <v>1209000</v>
      </c>
      <c r="J109" s="1746" t="str">
        <f>IF('Pnj APBDES'!N182="","",'Pnj APBDES'!N182)</f>
        <v/>
      </c>
      <c r="K109" s="1679">
        <f>K110</f>
        <v>0</v>
      </c>
      <c r="L109" s="1679">
        <f t="shared" ref="L109:V110" si="49">L110</f>
        <v>0</v>
      </c>
      <c r="M109" s="1679">
        <f t="shared" si="49"/>
        <v>0</v>
      </c>
      <c r="N109" s="1679">
        <f t="shared" si="49"/>
        <v>0</v>
      </c>
      <c r="O109" s="1679">
        <f t="shared" si="49"/>
        <v>0</v>
      </c>
      <c r="P109" s="1679">
        <f t="shared" si="49"/>
        <v>0</v>
      </c>
      <c r="Q109" s="1679">
        <f t="shared" si="49"/>
        <v>0</v>
      </c>
      <c r="R109" s="1679">
        <f t="shared" si="49"/>
        <v>1209000</v>
      </c>
      <c r="S109" s="1679">
        <f t="shared" si="49"/>
        <v>0</v>
      </c>
      <c r="T109" s="1679">
        <f t="shared" si="49"/>
        <v>0</v>
      </c>
      <c r="U109" s="1679">
        <f t="shared" si="49"/>
        <v>0</v>
      </c>
      <c r="V109" s="1679">
        <f t="shared" si="49"/>
        <v>0</v>
      </c>
      <c r="W109" s="1679">
        <f t="shared" si="36"/>
        <v>1209000</v>
      </c>
      <c r="X109" s="1751" t="str">
        <f t="shared" si="35"/>
        <v>Sama</v>
      </c>
      <c r="Y109" s="1540">
        <f t="shared" si="26"/>
        <v>0</v>
      </c>
    </row>
    <row r="110" spans="1:25">
      <c r="A110" s="1686">
        <f>IF('Pnj APBDES'!A183="","",'Pnj APBDES'!A183)</f>
        <v>1</v>
      </c>
      <c r="B110" s="1687">
        <f>IF('Pnj APBDES'!B183="","",'Pnj APBDES'!B183)</f>
        <v>5</v>
      </c>
      <c r="C110" s="1689" t="str">
        <f>IF('Pnj APBDES'!C183="","",'Pnj APBDES'!C183)</f>
        <v>06</v>
      </c>
      <c r="D110" s="1676">
        <f>IF('Pnj APBDES'!D183="","",'Pnj APBDES'!D183)</f>
        <v>5</v>
      </c>
      <c r="E110" s="1676">
        <f>IF('Pnj APBDES'!E183="","",'Pnj APBDES'!E183)</f>
        <v>2</v>
      </c>
      <c r="F110" s="1676" t="str">
        <f>IF('Pnj APBDES'!F183="","",'Pnj APBDES'!F183)</f>
        <v/>
      </c>
      <c r="G110" s="1676" t="str">
        <f>IF('Pnj APBDES'!G183="","",'Pnj APBDES'!G183)</f>
        <v/>
      </c>
      <c r="H110" s="1678" t="str">
        <f>IF('Pnj APBDES'!H183="","",'Pnj APBDES'!H183)</f>
        <v>Belanja Barang dan Jasa</v>
      </c>
      <c r="I110" s="1679">
        <f>'Pnj APBDES'!K183</f>
        <v>1209000</v>
      </c>
      <c r="J110" s="1746" t="str">
        <f>IF('Pnj APBDES'!N183="","",'Pnj APBDES'!N183)</f>
        <v/>
      </c>
      <c r="K110" s="1679">
        <f>K111</f>
        <v>0</v>
      </c>
      <c r="L110" s="1679">
        <f t="shared" si="49"/>
        <v>0</v>
      </c>
      <c r="M110" s="1679">
        <f t="shared" si="49"/>
        <v>0</v>
      </c>
      <c r="N110" s="1679">
        <f t="shared" si="49"/>
        <v>0</v>
      </c>
      <c r="O110" s="1679">
        <f t="shared" si="49"/>
        <v>0</v>
      </c>
      <c r="P110" s="1679">
        <f t="shared" si="49"/>
        <v>0</v>
      </c>
      <c r="Q110" s="1679">
        <f t="shared" si="49"/>
        <v>0</v>
      </c>
      <c r="R110" s="1679">
        <f t="shared" si="49"/>
        <v>1209000</v>
      </c>
      <c r="S110" s="1679">
        <f t="shared" si="49"/>
        <v>0</v>
      </c>
      <c r="T110" s="1679">
        <f t="shared" si="49"/>
        <v>0</v>
      </c>
      <c r="U110" s="1679">
        <f t="shared" si="49"/>
        <v>0</v>
      </c>
      <c r="V110" s="1679">
        <f t="shared" si="49"/>
        <v>0</v>
      </c>
      <c r="W110" s="1679">
        <f t="shared" si="36"/>
        <v>1209000</v>
      </c>
      <c r="X110" s="1751" t="str">
        <f t="shared" si="35"/>
        <v>Sama</v>
      </c>
      <c r="Y110" s="1540">
        <f t="shared" si="26"/>
        <v>0</v>
      </c>
    </row>
    <row r="111" spans="1:25">
      <c r="A111" s="1686">
        <f>IF('Pnj APBDES'!A184="","",'Pnj APBDES'!A184)</f>
        <v>1</v>
      </c>
      <c r="B111" s="1687">
        <f>IF('Pnj APBDES'!B184="","",'Pnj APBDES'!B184)</f>
        <v>5</v>
      </c>
      <c r="C111" s="1689" t="str">
        <f>IF('Pnj APBDES'!C184="","",'Pnj APBDES'!C184)</f>
        <v>06</v>
      </c>
      <c r="D111" s="1676">
        <f>IF('Pnj APBDES'!D184="","",'Pnj APBDES'!D184)</f>
        <v>5</v>
      </c>
      <c r="E111" s="1676">
        <f>IF('Pnj APBDES'!E184="","",'Pnj APBDES'!E184)</f>
        <v>2</v>
      </c>
      <c r="F111" s="1676">
        <f>IF('Pnj APBDES'!F184="","",'Pnj APBDES'!F184)</f>
        <v>2</v>
      </c>
      <c r="G111" s="1676" t="str">
        <f>IF('Pnj APBDES'!G184="","",'Pnj APBDES'!G184)</f>
        <v/>
      </c>
      <c r="H111" s="1678" t="str">
        <f>IF('Pnj APBDES'!H184="","",'Pnj APBDES'!H184)</f>
        <v>Belanja Jasa Honorarium</v>
      </c>
      <c r="I111" s="1679">
        <f>'Pnj APBDES'!K184</f>
        <v>1209000</v>
      </c>
      <c r="J111" s="1746" t="str">
        <f>IF('Pnj APBDES'!N184="","",'Pnj APBDES'!N184)</f>
        <v/>
      </c>
      <c r="K111" s="1679">
        <f>SUM(K112:K112)</f>
        <v>0</v>
      </c>
      <c r="L111" s="1679">
        <f t="shared" ref="L111:V111" si="50">SUM(L112:L112)</f>
        <v>0</v>
      </c>
      <c r="M111" s="1679">
        <f t="shared" si="50"/>
        <v>0</v>
      </c>
      <c r="N111" s="1679">
        <f t="shared" si="50"/>
        <v>0</v>
      </c>
      <c r="O111" s="1679">
        <f t="shared" si="50"/>
        <v>0</v>
      </c>
      <c r="P111" s="1679">
        <f t="shared" si="50"/>
        <v>0</v>
      </c>
      <c r="Q111" s="1679">
        <f t="shared" si="50"/>
        <v>0</v>
      </c>
      <c r="R111" s="1679">
        <f t="shared" si="50"/>
        <v>1209000</v>
      </c>
      <c r="S111" s="1679">
        <f t="shared" si="50"/>
        <v>0</v>
      </c>
      <c r="T111" s="1679">
        <f t="shared" si="50"/>
        <v>0</v>
      </c>
      <c r="U111" s="1679">
        <f t="shared" si="50"/>
        <v>0</v>
      </c>
      <c r="V111" s="1679">
        <f t="shared" si="50"/>
        <v>0</v>
      </c>
      <c r="W111" s="1679">
        <f t="shared" si="36"/>
        <v>1209000</v>
      </c>
      <c r="X111" s="1751" t="str">
        <f t="shared" si="35"/>
        <v>Sama</v>
      </c>
      <c r="Y111" s="1540">
        <f t="shared" si="26"/>
        <v>0</v>
      </c>
    </row>
    <row r="112" spans="1:25">
      <c r="A112" s="1686">
        <f>IF('Pnj APBDES'!A185="","",'Pnj APBDES'!A185)</f>
        <v>1</v>
      </c>
      <c r="B112" s="1687">
        <f>IF('Pnj APBDES'!B185="","",'Pnj APBDES'!B185)</f>
        <v>5</v>
      </c>
      <c r="C112" s="1689" t="str">
        <f>IF('Pnj APBDES'!C185="","",'Pnj APBDES'!C185)</f>
        <v>06</v>
      </c>
      <c r="D112" s="1676">
        <f>IF('Pnj APBDES'!D185="","",'Pnj APBDES'!D185)</f>
        <v>5</v>
      </c>
      <c r="E112" s="1676">
        <f>IF('Pnj APBDES'!E185="","",'Pnj APBDES'!E185)</f>
        <v>2</v>
      </c>
      <c r="F112" s="1676">
        <f>IF('Pnj APBDES'!F185="","",'Pnj APBDES'!F185)</f>
        <v>2</v>
      </c>
      <c r="G112" s="1676">
        <f>IF('Pnj APBDES'!G185="","",'Pnj APBDES'!G185)</f>
        <v>5</v>
      </c>
      <c r="H112" s="1678" t="str">
        <f>IF('Pnj APBDES'!H185="","",'Pnj APBDES'!H185)</f>
        <v>Belanja Jasa Honorarium Petugas</v>
      </c>
      <c r="I112" s="1679">
        <f>'Pnj APBDES'!K185</f>
        <v>1209000</v>
      </c>
      <c r="J112" s="1746" t="str">
        <f>IF('Pnj APBDES'!N185="","",'Pnj APBDES'!N185)</f>
        <v>PBH</v>
      </c>
      <c r="K112" s="1679">
        <v>0</v>
      </c>
      <c r="L112" s="1679">
        <v>0</v>
      </c>
      <c r="M112" s="1679">
        <v>0</v>
      </c>
      <c r="N112" s="1679">
        <v>0</v>
      </c>
      <c r="O112" s="1679">
        <v>0</v>
      </c>
      <c r="P112" s="1679">
        <v>0</v>
      </c>
      <c r="Q112" s="1679">
        <v>0</v>
      </c>
      <c r="R112" s="1679">
        <f>I112</f>
        <v>1209000</v>
      </c>
      <c r="S112" s="1679">
        <v>0</v>
      </c>
      <c r="T112" s="1679">
        <v>0</v>
      </c>
      <c r="U112" s="1679">
        <v>0</v>
      </c>
      <c r="V112" s="1679">
        <v>0</v>
      </c>
      <c r="W112" s="1679">
        <f t="shared" si="36"/>
        <v>1209000</v>
      </c>
      <c r="X112" s="1751" t="str">
        <f t="shared" si="35"/>
        <v>Sama</v>
      </c>
      <c r="Y112" s="1540">
        <f t="shared" si="26"/>
        <v>0</v>
      </c>
    </row>
    <row r="113" spans="1:25" s="1540" customFormat="1">
      <c r="A113" s="1690">
        <f>IF('Pnj APBDES'!A186="","",'Pnj APBDES'!A186)</f>
        <v>1</v>
      </c>
      <c r="B113" s="1691">
        <f>IF('Pnj APBDES'!B186="","",'Pnj APBDES'!B186)</f>
        <v>5</v>
      </c>
      <c r="C113" s="1694">
        <f>IF('Pnj APBDES'!C186="","",'Pnj APBDES'!C186)</f>
        <v>90</v>
      </c>
      <c r="D113" s="1672" t="str">
        <f>IF('Pnj APBDES'!D186="","",'Pnj APBDES'!D186)</f>
        <v/>
      </c>
      <c r="E113" s="1672" t="str">
        <f>IF('Pnj APBDES'!E186="","",'Pnj APBDES'!E186)</f>
        <v/>
      </c>
      <c r="F113" s="1672" t="str">
        <f>IF('Pnj APBDES'!F186="","",'Pnj APBDES'!F186)</f>
        <v/>
      </c>
      <c r="G113" s="1672" t="str">
        <f>IF('Pnj APBDES'!G186="","",'Pnj APBDES'!G186)</f>
        <v/>
      </c>
      <c r="H113" s="1674" t="str">
        <f>IF('Pnj APBDES'!H186="","",'Pnj APBDES'!H186)</f>
        <v>Pengelolaan Tanah kas Desa</v>
      </c>
      <c r="I113" s="1675">
        <f>'Pnj APBDES'!K186</f>
        <v>8600000</v>
      </c>
      <c r="J113" s="1745" t="str">
        <f>IF('Pnj APBDES'!N186="","",'Pnj APBDES'!N186)</f>
        <v/>
      </c>
      <c r="K113" s="1675">
        <f>K114</f>
        <v>0</v>
      </c>
      <c r="L113" s="1675">
        <f t="shared" ref="L113:V115" si="51">L114</f>
        <v>0</v>
      </c>
      <c r="M113" s="1675">
        <f t="shared" si="51"/>
        <v>0</v>
      </c>
      <c r="N113" s="1675">
        <f t="shared" si="51"/>
        <v>0</v>
      </c>
      <c r="O113" s="1675">
        <f t="shared" si="51"/>
        <v>0</v>
      </c>
      <c r="P113" s="1675">
        <f t="shared" si="51"/>
        <v>0</v>
      </c>
      <c r="Q113" s="1675">
        <f t="shared" si="51"/>
        <v>0</v>
      </c>
      <c r="R113" s="1675">
        <f t="shared" si="51"/>
        <v>0</v>
      </c>
      <c r="S113" s="1675">
        <f t="shared" si="51"/>
        <v>0</v>
      </c>
      <c r="T113" s="1675">
        <f t="shared" si="51"/>
        <v>8600000</v>
      </c>
      <c r="U113" s="1675">
        <f t="shared" si="51"/>
        <v>0</v>
      </c>
      <c r="V113" s="1675">
        <f t="shared" si="51"/>
        <v>0</v>
      </c>
      <c r="W113" s="1675">
        <f t="shared" si="36"/>
        <v>8600000</v>
      </c>
      <c r="X113" s="1751" t="str">
        <f t="shared" si="35"/>
        <v>Sama</v>
      </c>
      <c r="Y113" s="1540">
        <f t="shared" si="26"/>
        <v>0</v>
      </c>
    </row>
    <row r="114" spans="1:25">
      <c r="A114" s="1686">
        <f>IF('Pnj APBDES'!A187="","",'Pnj APBDES'!A187)</f>
        <v>1</v>
      </c>
      <c r="B114" s="1687">
        <f>IF('Pnj APBDES'!B187="","",'Pnj APBDES'!B187)</f>
        <v>5</v>
      </c>
      <c r="C114" s="1689">
        <f>IF('Pnj APBDES'!C187="","",'Pnj APBDES'!C187)</f>
        <v>90</v>
      </c>
      <c r="D114" s="1676">
        <f>IF('Pnj APBDES'!D187="","",'Pnj APBDES'!D187)</f>
        <v>5</v>
      </c>
      <c r="E114" s="1676">
        <f>IF('Pnj APBDES'!E187="","",'Pnj APBDES'!E187)</f>
        <v>2</v>
      </c>
      <c r="F114" s="1676" t="str">
        <f>IF('Pnj APBDES'!F187="","",'Pnj APBDES'!F187)</f>
        <v/>
      </c>
      <c r="G114" s="1676" t="str">
        <f>IF('Pnj APBDES'!G187="","",'Pnj APBDES'!G187)</f>
        <v/>
      </c>
      <c r="H114" s="1678" t="str">
        <f>IF('Pnj APBDES'!H187="","",'Pnj APBDES'!H187)</f>
        <v>Belanja Barang dan Jasa</v>
      </c>
      <c r="I114" s="1679">
        <f>'Pnj APBDES'!K187</f>
        <v>8600000</v>
      </c>
      <c r="J114" s="1746" t="str">
        <f>IF('Pnj APBDES'!N187="","",'Pnj APBDES'!N187)</f>
        <v/>
      </c>
      <c r="K114" s="1679">
        <f>K115</f>
        <v>0</v>
      </c>
      <c r="L114" s="1679">
        <f t="shared" si="51"/>
        <v>0</v>
      </c>
      <c r="M114" s="1679">
        <f t="shared" si="51"/>
        <v>0</v>
      </c>
      <c r="N114" s="1679">
        <f t="shared" si="51"/>
        <v>0</v>
      </c>
      <c r="O114" s="1679">
        <f t="shared" si="51"/>
        <v>0</v>
      </c>
      <c r="P114" s="1679">
        <f t="shared" si="51"/>
        <v>0</v>
      </c>
      <c r="Q114" s="1679">
        <f t="shared" si="51"/>
        <v>0</v>
      </c>
      <c r="R114" s="1679">
        <f t="shared" si="51"/>
        <v>0</v>
      </c>
      <c r="S114" s="1679">
        <f t="shared" si="51"/>
        <v>0</v>
      </c>
      <c r="T114" s="1679">
        <f t="shared" si="51"/>
        <v>8600000</v>
      </c>
      <c r="U114" s="1679">
        <f t="shared" si="51"/>
        <v>0</v>
      </c>
      <c r="V114" s="1679">
        <f t="shared" si="51"/>
        <v>0</v>
      </c>
      <c r="W114" s="1679">
        <f t="shared" si="36"/>
        <v>8600000</v>
      </c>
      <c r="X114" s="1751" t="str">
        <f t="shared" si="35"/>
        <v>Sama</v>
      </c>
      <c r="Y114" s="1540">
        <f t="shared" si="26"/>
        <v>0</v>
      </c>
    </row>
    <row r="115" spans="1:25">
      <c r="A115" s="1686">
        <f>IF('Pnj APBDES'!A188="","",'Pnj APBDES'!A188)</f>
        <v>1</v>
      </c>
      <c r="B115" s="1687">
        <f>IF('Pnj APBDES'!B188="","",'Pnj APBDES'!B188)</f>
        <v>5</v>
      </c>
      <c r="C115" s="1689">
        <f>IF('Pnj APBDES'!C188="","",'Pnj APBDES'!C188)</f>
        <v>90</v>
      </c>
      <c r="D115" s="1676">
        <f>IF('Pnj APBDES'!D188="","",'Pnj APBDES'!D188)</f>
        <v>5</v>
      </c>
      <c r="E115" s="1676">
        <f>IF('Pnj APBDES'!E188="","",'Pnj APBDES'!E188)</f>
        <v>2</v>
      </c>
      <c r="F115" s="1676">
        <f>IF('Pnj APBDES'!F188="","",'Pnj APBDES'!F188)</f>
        <v>1</v>
      </c>
      <c r="G115" s="1676" t="str">
        <f>IF('Pnj APBDES'!G188="","",'Pnj APBDES'!G188)</f>
        <v/>
      </c>
      <c r="H115" s="1678" t="str">
        <f>IF('Pnj APBDES'!H188="","",'Pnj APBDES'!H188)</f>
        <v>Belanja barang perlengkapan</v>
      </c>
      <c r="I115" s="1679">
        <f>'Pnj APBDES'!K188</f>
        <v>8600000</v>
      </c>
      <c r="J115" s="1746" t="str">
        <f>IF('Pnj APBDES'!N188="","",'Pnj APBDES'!N188)</f>
        <v/>
      </c>
      <c r="K115" s="1679">
        <f>K116</f>
        <v>0</v>
      </c>
      <c r="L115" s="1679">
        <f t="shared" si="51"/>
        <v>0</v>
      </c>
      <c r="M115" s="1679">
        <f t="shared" si="51"/>
        <v>0</v>
      </c>
      <c r="N115" s="1679">
        <f t="shared" si="51"/>
        <v>0</v>
      </c>
      <c r="O115" s="1679">
        <f t="shared" si="51"/>
        <v>0</v>
      </c>
      <c r="P115" s="1679">
        <f t="shared" si="51"/>
        <v>0</v>
      </c>
      <c r="Q115" s="1679">
        <f t="shared" si="51"/>
        <v>0</v>
      </c>
      <c r="R115" s="1679">
        <f t="shared" si="51"/>
        <v>0</v>
      </c>
      <c r="S115" s="1679">
        <f t="shared" si="51"/>
        <v>0</v>
      </c>
      <c r="T115" s="1679">
        <f t="shared" si="51"/>
        <v>8600000</v>
      </c>
      <c r="U115" s="1679">
        <f t="shared" si="51"/>
        <v>0</v>
      </c>
      <c r="V115" s="1679">
        <f t="shared" si="51"/>
        <v>0</v>
      </c>
      <c r="W115" s="1679">
        <f t="shared" si="36"/>
        <v>8600000</v>
      </c>
      <c r="X115" s="1751" t="str">
        <f t="shared" si="35"/>
        <v>Sama</v>
      </c>
      <c r="Y115" s="1540">
        <f t="shared" si="26"/>
        <v>0</v>
      </c>
    </row>
    <row r="116" spans="1:25">
      <c r="A116" s="1686">
        <f>IF('Pnj APBDES'!A189="","",'Pnj APBDES'!A189)</f>
        <v>1</v>
      </c>
      <c r="B116" s="1687">
        <f>IF('Pnj APBDES'!B189="","",'Pnj APBDES'!B189)</f>
        <v>5</v>
      </c>
      <c r="C116" s="1689">
        <f>IF('Pnj APBDES'!C189="","",'Pnj APBDES'!C189)</f>
        <v>90</v>
      </c>
      <c r="D116" s="1676">
        <f>IF('Pnj APBDES'!D189="","",'Pnj APBDES'!D189)</f>
        <v>5</v>
      </c>
      <c r="E116" s="1676">
        <f>IF('Pnj APBDES'!E189="","",'Pnj APBDES'!E189)</f>
        <v>2</v>
      </c>
      <c r="F116" s="1676">
        <f>IF('Pnj APBDES'!F189="","",'Pnj APBDES'!F189)</f>
        <v>1</v>
      </c>
      <c r="G116" s="1676">
        <f>IF('Pnj APBDES'!G189="","",'Pnj APBDES'!G189)</f>
        <v>12</v>
      </c>
      <c r="H116" s="1678" t="str">
        <f>IF('Pnj APBDES'!H189="","",'Pnj APBDES'!H189)</f>
        <v>Belanja Pupuk / Obat- obatan pertanian</v>
      </c>
      <c r="I116" s="1679">
        <f>'Pnj APBDES'!K189</f>
        <v>8600000</v>
      </c>
      <c r="J116" s="1746" t="str">
        <f>IF('Pnj APBDES'!N189="","",'Pnj APBDES'!N189)</f>
        <v>PAD</v>
      </c>
      <c r="K116" s="1679">
        <v>0</v>
      </c>
      <c r="L116" s="1679">
        <v>0</v>
      </c>
      <c r="M116" s="1679">
        <v>0</v>
      </c>
      <c r="N116" s="1679">
        <v>0</v>
      </c>
      <c r="O116" s="1679">
        <v>0</v>
      </c>
      <c r="P116" s="1679">
        <v>0</v>
      </c>
      <c r="Q116" s="1679">
        <v>0</v>
      </c>
      <c r="R116" s="1679">
        <v>0</v>
      </c>
      <c r="S116" s="1679">
        <v>0</v>
      </c>
      <c r="T116" s="1679">
        <f>I116</f>
        <v>8600000</v>
      </c>
      <c r="U116" s="1679">
        <v>0</v>
      </c>
      <c r="V116" s="1679">
        <v>0</v>
      </c>
      <c r="W116" s="1679">
        <f t="shared" si="36"/>
        <v>8600000</v>
      </c>
      <c r="X116" s="1751" t="str">
        <f t="shared" si="35"/>
        <v>Sama</v>
      </c>
      <c r="Y116" s="1540">
        <f t="shared" si="26"/>
        <v>0</v>
      </c>
    </row>
    <row r="117" spans="1:25">
      <c r="A117" s="1686" t="str">
        <f>IF('Pnj APBDES'!A190="","",'Pnj APBDES'!A190)</f>
        <v/>
      </c>
      <c r="B117" s="1687" t="str">
        <f>IF('Pnj APBDES'!B190="","",'Pnj APBDES'!B190)</f>
        <v/>
      </c>
      <c r="C117" s="1689" t="str">
        <f>IF('Pnj APBDES'!C190="","",'Pnj APBDES'!C190)</f>
        <v/>
      </c>
      <c r="D117" s="1676" t="str">
        <f>IF('Pnj APBDES'!D190="","",'Pnj APBDES'!D190)</f>
        <v/>
      </c>
      <c r="E117" s="1676" t="str">
        <f>IF('Pnj APBDES'!E190="","",'Pnj APBDES'!E190)</f>
        <v/>
      </c>
      <c r="F117" s="1676" t="str">
        <f>IF('Pnj APBDES'!F190="","",'Pnj APBDES'!F190)</f>
        <v/>
      </c>
      <c r="G117" s="1676" t="str">
        <f>IF('Pnj APBDES'!G190="","",'Pnj APBDES'!G190)</f>
        <v/>
      </c>
      <c r="H117" s="1678" t="str">
        <f>IF('Pnj APBDES'!H190="","",'Pnj APBDES'!H190)</f>
        <v/>
      </c>
      <c r="I117" s="1679">
        <f>'Pnj APBDES'!K190</f>
        <v>0</v>
      </c>
      <c r="J117" s="1746" t="str">
        <f>IF('Pnj APBDES'!N190="","",'Pnj APBDES'!N190)</f>
        <v/>
      </c>
      <c r="K117" s="1679"/>
      <c r="L117" s="1679"/>
      <c r="M117" s="1679"/>
      <c r="N117" s="1679"/>
      <c r="O117" s="1679"/>
      <c r="P117" s="1679"/>
      <c r="Q117" s="1679"/>
      <c r="R117" s="1679"/>
      <c r="S117" s="1679"/>
      <c r="T117" s="1679"/>
      <c r="U117" s="1679"/>
      <c r="V117" s="1679"/>
      <c r="W117" s="1679">
        <f t="shared" si="36"/>
        <v>0</v>
      </c>
      <c r="X117" s="1751" t="str">
        <f t="shared" si="35"/>
        <v>Sama</v>
      </c>
      <c r="Y117" s="1540">
        <f t="shared" si="26"/>
        <v>0</v>
      </c>
    </row>
    <row r="118" spans="1:25" s="1540" customFormat="1">
      <c r="A118" s="1669">
        <f>IF('Pnj APBDES'!A191="","",'Pnj APBDES'!A191)</f>
        <v>2</v>
      </c>
      <c r="B118" s="1697" t="str">
        <f>IF('Pnj APBDES'!B191="","",'Pnj APBDES'!B191)</f>
        <v/>
      </c>
      <c r="C118" s="1697" t="str">
        <f>IF('Pnj APBDES'!C191="","",'Pnj APBDES'!C191)</f>
        <v/>
      </c>
      <c r="D118" s="1669" t="str">
        <f>IF('Pnj APBDES'!D191="","",'Pnj APBDES'!D191)</f>
        <v/>
      </c>
      <c r="E118" s="1669" t="str">
        <f>IF('Pnj APBDES'!E191="","",'Pnj APBDES'!E191)</f>
        <v/>
      </c>
      <c r="F118" s="1669" t="str">
        <f>IF('Pnj APBDES'!F191="","",'Pnj APBDES'!F191)</f>
        <v/>
      </c>
      <c r="G118" s="1669" t="str">
        <f>IF('Pnj APBDES'!G191="","",'Pnj APBDES'!G191)</f>
        <v/>
      </c>
      <c r="H118" s="1670" t="str">
        <f>IF('Pnj APBDES'!H191="","",'Pnj APBDES'!H191)</f>
        <v>PELAKSANAAN PEMBANGUNAN DESA</v>
      </c>
      <c r="I118" s="1671">
        <f>'Pnj APBDES'!K191</f>
        <v>627978050</v>
      </c>
      <c r="J118" s="1744" t="str">
        <f>IF('Pnj APBDES'!N191="","",'Pnj APBDES'!N191)</f>
        <v/>
      </c>
      <c r="K118" s="1671">
        <f>K119+K139+K131</f>
        <v>2900000</v>
      </c>
      <c r="L118" s="1671">
        <f t="shared" ref="L118:V118" si="52">L119+L139+L131</f>
        <v>2900000</v>
      </c>
      <c r="M118" s="1671">
        <f t="shared" si="52"/>
        <v>257411000</v>
      </c>
      <c r="N118" s="1671" t="e">
        <f t="shared" si="52"/>
        <v>#REF!</v>
      </c>
      <c r="O118" s="1671">
        <f t="shared" si="52"/>
        <v>42950000</v>
      </c>
      <c r="P118" s="1671">
        <f t="shared" si="52"/>
        <v>105050000</v>
      </c>
      <c r="Q118" s="1671">
        <f t="shared" si="52"/>
        <v>5800000</v>
      </c>
      <c r="R118" s="1671">
        <f t="shared" si="52"/>
        <v>195359800</v>
      </c>
      <c r="S118" s="1671">
        <f t="shared" si="52"/>
        <v>2950000</v>
      </c>
      <c r="T118" s="1671">
        <f t="shared" si="52"/>
        <v>161086000</v>
      </c>
      <c r="U118" s="1671">
        <f t="shared" si="52"/>
        <v>2950000</v>
      </c>
      <c r="V118" s="1671">
        <f t="shared" si="52"/>
        <v>2900000</v>
      </c>
      <c r="W118" s="1671" t="e">
        <f t="shared" si="36"/>
        <v>#REF!</v>
      </c>
      <c r="X118" s="1751" t="e">
        <f t="shared" si="35"/>
        <v>#REF!</v>
      </c>
      <c r="Y118" s="1540" t="e">
        <f t="shared" si="26"/>
        <v>#REF!</v>
      </c>
    </row>
    <row r="119" spans="1:25">
      <c r="A119" s="1672">
        <f>IF('Pnj APBDES'!A192="","",'Pnj APBDES'!A192)</f>
        <v>2</v>
      </c>
      <c r="B119" s="1673">
        <f>IF('Pnj APBDES'!B192="","",'Pnj APBDES'!B192)</f>
        <v>1</v>
      </c>
      <c r="C119" s="1673" t="str">
        <f>IF('Pnj APBDES'!C192="","",'Pnj APBDES'!C192)</f>
        <v/>
      </c>
      <c r="D119" s="1676" t="str">
        <f>IF('Pnj APBDES'!D192="","",'Pnj APBDES'!D192)</f>
        <v/>
      </c>
      <c r="E119" s="1672" t="str">
        <f>IF('Pnj APBDES'!E192="","",'Pnj APBDES'!E192)</f>
        <v/>
      </c>
      <c r="F119" s="1672" t="str">
        <f>IF('Pnj APBDES'!F192="","",'Pnj APBDES'!F192)</f>
        <v/>
      </c>
      <c r="G119" s="1672" t="str">
        <f>IF('Pnj APBDES'!G192="","",'Pnj APBDES'!G192)</f>
        <v/>
      </c>
      <c r="H119" s="1674" t="str">
        <f>IF('Pnj APBDES'!H192="","",'Pnj APBDES'!H192)</f>
        <v>Pendidikan</v>
      </c>
      <c r="I119" s="1675">
        <f>'Pnj APBDES'!K192</f>
        <v>57951050</v>
      </c>
      <c r="J119" s="1745" t="str">
        <f>IF('Pnj APBDES'!N192="","",'Pnj APBDES'!N192)</f>
        <v/>
      </c>
      <c r="K119" s="1675">
        <f>K120</f>
        <v>1900000</v>
      </c>
      <c r="L119" s="1675">
        <f t="shared" ref="L119:V119" si="53">L120</f>
        <v>1900000</v>
      </c>
      <c r="M119" s="1675">
        <f t="shared" si="53"/>
        <v>1900000</v>
      </c>
      <c r="N119" s="1675" t="e">
        <f t="shared" si="53"/>
        <v>#REF!</v>
      </c>
      <c r="O119" s="1675">
        <f t="shared" si="53"/>
        <v>1900000</v>
      </c>
      <c r="P119" s="1675">
        <f t="shared" si="53"/>
        <v>1900000</v>
      </c>
      <c r="Q119" s="1675">
        <f t="shared" si="53"/>
        <v>1900000</v>
      </c>
      <c r="R119" s="1675">
        <f t="shared" si="53"/>
        <v>1900000</v>
      </c>
      <c r="S119" s="1675">
        <f t="shared" si="53"/>
        <v>1900000</v>
      </c>
      <c r="T119" s="1675">
        <f t="shared" si="53"/>
        <v>1900000</v>
      </c>
      <c r="U119" s="1675">
        <f t="shared" si="53"/>
        <v>1900000</v>
      </c>
      <c r="V119" s="1675">
        <f t="shared" si="53"/>
        <v>1900000</v>
      </c>
      <c r="W119" s="1675" t="e">
        <f t="shared" si="36"/>
        <v>#REF!</v>
      </c>
      <c r="X119" s="1751" t="e">
        <f t="shared" si="35"/>
        <v>#REF!</v>
      </c>
      <c r="Y119" s="1540" t="e">
        <f t="shared" si="26"/>
        <v>#REF!</v>
      </c>
    </row>
    <row r="120" spans="1:25">
      <c r="A120" s="1699">
        <f>IF('Pnj APBDES'!A193="","",'Pnj APBDES'!A193)</f>
        <v>2</v>
      </c>
      <c r="B120" s="1687">
        <f>IF('Pnj APBDES'!B193="","",'Pnj APBDES'!B193)</f>
        <v>1</v>
      </c>
      <c r="C120" s="1687" t="str">
        <f>IF('Pnj APBDES'!C193="","",'Pnj APBDES'!C193)</f>
        <v>01</v>
      </c>
      <c r="D120" s="1676" t="str">
        <f>IF('Pnj APBDES'!D193="","",'Pnj APBDES'!D193)</f>
        <v/>
      </c>
      <c r="E120" s="1676" t="str">
        <f>IF('Pnj APBDES'!E193="","",'Pnj APBDES'!E193)</f>
        <v/>
      </c>
      <c r="F120" s="1676" t="str">
        <f>IF('Pnj APBDES'!F193="","",'Pnj APBDES'!F193)</f>
        <v/>
      </c>
      <c r="G120" s="1676" t="str">
        <f>IF('Pnj APBDES'!G193="","",'Pnj APBDES'!G193)</f>
        <v/>
      </c>
      <c r="H120" s="1688" t="str">
        <f>IF('Pnj APBDES'!H193="","",'Pnj APBDES'!H193)</f>
        <v>Penyelenggaraan PAUD/TK/Madrasya Non  formal Milik Desa</v>
      </c>
      <c r="I120" s="1679">
        <f>'Pnj APBDES'!K193</f>
        <v>22800000</v>
      </c>
      <c r="J120" s="1746" t="str">
        <f>IF('Pnj APBDES'!N193="","",'Pnj APBDES'!N193)</f>
        <v/>
      </c>
      <c r="K120" s="1679">
        <f>K122+K125</f>
        <v>1900000</v>
      </c>
      <c r="L120" s="1679">
        <f t="shared" ref="L120:V120" si="54">L122+L125</f>
        <v>1900000</v>
      </c>
      <c r="M120" s="1679">
        <f t="shared" si="54"/>
        <v>1900000</v>
      </c>
      <c r="N120" s="1679" t="e">
        <f t="shared" si="54"/>
        <v>#REF!</v>
      </c>
      <c r="O120" s="1679">
        <f t="shared" si="54"/>
        <v>1900000</v>
      </c>
      <c r="P120" s="1679">
        <f t="shared" si="54"/>
        <v>1900000</v>
      </c>
      <c r="Q120" s="1679">
        <f t="shared" si="54"/>
        <v>1900000</v>
      </c>
      <c r="R120" s="1679">
        <f t="shared" si="54"/>
        <v>1900000</v>
      </c>
      <c r="S120" s="1679">
        <f t="shared" si="54"/>
        <v>1900000</v>
      </c>
      <c r="T120" s="1679">
        <f t="shared" si="54"/>
        <v>1900000</v>
      </c>
      <c r="U120" s="1679">
        <f t="shared" si="54"/>
        <v>1900000</v>
      </c>
      <c r="V120" s="1679">
        <f t="shared" si="54"/>
        <v>1900000</v>
      </c>
      <c r="W120" s="1679" t="e">
        <f t="shared" si="36"/>
        <v>#REF!</v>
      </c>
      <c r="X120" s="1751" t="e">
        <f t="shared" si="35"/>
        <v>#REF!</v>
      </c>
      <c r="Y120" s="1540" t="e">
        <f t="shared" si="26"/>
        <v>#REF!</v>
      </c>
    </row>
    <row r="121" spans="1:25">
      <c r="A121" s="1699">
        <f>IF('Pnj APBDES'!A194="","",'Pnj APBDES'!A194)</f>
        <v>2</v>
      </c>
      <c r="B121" s="1687">
        <f>IF('Pnj APBDES'!B194="","",'Pnj APBDES'!B194)</f>
        <v>1</v>
      </c>
      <c r="C121" s="1687" t="str">
        <f>IF('Pnj APBDES'!C194="","",'Pnj APBDES'!C194)</f>
        <v>01</v>
      </c>
      <c r="D121" s="1676">
        <f>IF('Pnj APBDES'!D194="","",'Pnj APBDES'!D194)</f>
        <v>5</v>
      </c>
      <c r="E121" s="1676">
        <f>IF('Pnj APBDES'!E194="","",'Pnj APBDES'!E194)</f>
        <v>2</v>
      </c>
      <c r="F121" s="1676" t="str">
        <f>IF('Pnj APBDES'!F194="","",'Pnj APBDES'!F194)</f>
        <v/>
      </c>
      <c r="G121" s="1676" t="str">
        <f>IF('Pnj APBDES'!G194="","",'Pnj APBDES'!G194)</f>
        <v/>
      </c>
      <c r="H121" s="1688" t="str">
        <f>IF('Pnj APBDES'!H194="","",'Pnj APBDES'!H194)</f>
        <v>Belanja Barang dan Jasa</v>
      </c>
      <c r="I121" s="1679">
        <f>'Pnj APBDES'!K194</f>
        <v>22800000</v>
      </c>
      <c r="J121" s="1746" t="str">
        <f>IF('Pnj APBDES'!N194="","",'Pnj APBDES'!N194)</f>
        <v/>
      </c>
      <c r="K121" s="1679">
        <f>K122</f>
        <v>1900000</v>
      </c>
      <c r="L121" s="1679">
        <f t="shared" ref="L121:V122" si="55">L122</f>
        <v>1900000</v>
      </c>
      <c r="M121" s="1679">
        <f t="shared" si="55"/>
        <v>1900000</v>
      </c>
      <c r="N121" s="1679">
        <f t="shared" si="55"/>
        <v>1900000</v>
      </c>
      <c r="O121" s="1679">
        <f t="shared" si="55"/>
        <v>1900000</v>
      </c>
      <c r="P121" s="1679">
        <f t="shared" si="55"/>
        <v>1900000</v>
      </c>
      <c r="Q121" s="1679">
        <f t="shared" si="55"/>
        <v>1900000</v>
      </c>
      <c r="R121" s="1679">
        <f t="shared" si="55"/>
        <v>1900000</v>
      </c>
      <c r="S121" s="1679">
        <f t="shared" si="55"/>
        <v>1900000</v>
      </c>
      <c r="T121" s="1679">
        <f t="shared" si="55"/>
        <v>1900000</v>
      </c>
      <c r="U121" s="1679">
        <f t="shared" si="55"/>
        <v>1900000</v>
      </c>
      <c r="V121" s="1679">
        <f t="shared" si="55"/>
        <v>1900000</v>
      </c>
      <c r="W121" s="1679">
        <f t="shared" si="36"/>
        <v>22800000</v>
      </c>
      <c r="X121" s="1751" t="str">
        <f t="shared" si="35"/>
        <v>Sama</v>
      </c>
      <c r="Y121" s="1540">
        <f t="shared" si="26"/>
        <v>0</v>
      </c>
    </row>
    <row r="122" spans="1:25">
      <c r="A122" s="1699">
        <f>IF('Pnj APBDES'!A195="","",'Pnj APBDES'!A195)</f>
        <v>2</v>
      </c>
      <c r="B122" s="1687">
        <f>IF('Pnj APBDES'!B195="","",'Pnj APBDES'!B195)</f>
        <v>1</v>
      </c>
      <c r="C122" s="1687" t="str">
        <f>IF('Pnj APBDES'!C195="","",'Pnj APBDES'!C195)</f>
        <v>01</v>
      </c>
      <c r="D122" s="1676">
        <f>IF('Pnj APBDES'!D195="","",'Pnj APBDES'!D195)</f>
        <v>5</v>
      </c>
      <c r="E122" s="1676">
        <f>IF('Pnj APBDES'!E195="","",'Pnj APBDES'!E195)</f>
        <v>2</v>
      </c>
      <c r="F122" s="1676">
        <f>IF('Pnj APBDES'!F195="","",'Pnj APBDES'!F195)</f>
        <v>2</v>
      </c>
      <c r="G122" s="1676" t="str">
        <f>IF('Pnj APBDES'!G195="","",'Pnj APBDES'!G195)</f>
        <v/>
      </c>
      <c r="H122" s="1678" t="str">
        <f>IF('Pnj APBDES'!H195="","",'Pnj APBDES'!H195)</f>
        <v>Belanja Jasa Honorarium</v>
      </c>
      <c r="I122" s="1679">
        <f>'Pnj APBDES'!K195</f>
        <v>22800000</v>
      </c>
      <c r="J122" s="1746" t="str">
        <f>IF('Pnj APBDES'!N195="","",'Pnj APBDES'!N195)</f>
        <v/>
      </c>
      <c r="K122" s="1679">
        <f>K123</f>
        <v>1900000</v>
      </c>
      <c r="L122" s="1679">
        <f t="shared" si="55"/>
        <v>1900000</v>
      </c>
      <c r="M122" s="1679">
        <f t="shared" si="55"/>
        <v>1900000</v>
      </c>
      <c r="N122" s="1679">
        <f t="shared" si="55"/>
        <v>1900000</v>
      </c>
      <c r="O122" s="1679">
        <f t="shared" si="55"/>
        <v>1900000</v>
      </c>
      <c r="P122" s="1679">
        <f t="shared" si="55"/>
        <v>1900000</v>
      </c>
      <c r="Q122" s="1679">
        <f t="shared" si="55"/>
        <v>1900000</v>
      </c>
      <c r="R122" s="1679">
        <f t="shared" si="55"/>
        <v>1900000</v>
      </c>
      <c r="S122" s="1679">
        <f t="shared" si="55"/>
        <v>1900000</v>
      </c>
      <c r="T122" s="1679">
        <f t="shared" si="55"/>
        <v>1900000</v>
      </c>
      <c r="U122" s="1679">
        <f t="shared" si="55"/>
        <v>1900000</v>
      </c>
      <c r="V122" s="1679">
        <f t="shared" si="55"/>
        <v>1900000</v>
      </c>
      <c r="W122" s="1679">
        <f t="shared" si="36"/>
        <v>22800000</v>
      </c>
      <c r="X122" s="1751" t="str">
        <f t="shared" si="35"/>
        <v>Sama</v>
      </c>
      <c r="Y122" s="1540">
        <f t="shared" si="26"/>
        <v>0</v>
      </c>
    </row>
    <row r="123" spans="1:25">
      <c r="A123" s="1699">
        <f>IF('Pnj APBDES'!A196="","",'Pnj APBDES'!A196)</f>
        <v>2</v>
      </c>
      <c r="B123" s="1687">
        <f>IF('Pnj APBDES'!B196="","",'Pnj APBDES'!B196)</f>
        <v>1</v>
      </c>
      <c r="C123" s="1687" t="str">
        <f>IF('Pnj APBDES'!C196="","",'Pnj APBDES'!C196)</f>
        <v>01</v>
      </c>
      <c r="D123" s="1676">
        <f>IF('Pnj APBDES'!D196="","",'Pnj APBDES'!D196)</f>
        <v>5</v>
      </c>
      <c r="E123" s="1676">
        <f>IF('Pnj APBDES'!E196="","",'Pnj APBDES'!E196)</f>
        <v>2</v>
      </c>
      <c r="F123" s="1676">
        <f>IF('Pnj APBDES'!F196="","",'Pnj APBDES'!F196)</f>
        <v>2</v>
      </c>
      <c r="G123" s="1676">
        <f>IF('Pnj APBDES'!G196="","",'Pnj APBDES'!G196)</f>
        <v>5</v>
      </c>
      <c r="H123" s="1678" t="str">
        <f>IF('Pnj APBDES'!H196="","",'Pnj APBDES'!H196)</f>
        <v>Belanja Jasa Honorarium Petugas</v>
      </c>
      <c r="I123" s="1679">
        <f>'Pnj APBDES'!K196</f>
        <v>22800000</v>
      </c>
      <c r="J123" s="1746" t="str">
        <f>IF('Pnj APBDES'!N196="","",'Pnj APBDES'!N196)</f>
        <v>DD</v>
      </c>
      <c r="K123" s="1679">
        <f>$I123/12</f>
        <v>1900000</v>
      </c>
      <c r="L123" s="1679">
        <f t="shared" ref="L123:V123" si="56">$I123/12</f>
        <v>1900000</v>
      </c>
      <c r="M123" s="1679">
        <f t="shared" si="56"/>
        <v>1900000</v>
      </c>
      <c r="N123" s="1679">
        <f t="shared" si="56"/>
        <v>1900000</v>
      </c>
      <c r="O123" s="1679">
        <f t="shared" si="56"/>
        <v>1900000</v>
      </c>
      <c r="P123" s="1679">
        <f t="shared" si="56"/>
        <v>1900000</v>
      </c>
      <c r="Q123" s="1679">
        <f t="shared" si="56"/>
        <v>1900000</v>
      </c>
      <c r="R123" s="1679">
        <f t="shared" si="56"/>
        <v>1900000</v>
      </c>
      <c r="S123" s="1679">
        <f t="shared" si="56"/>
        <v>1900000</v>
      </c>
      <c r="T123" s="1679">
        <f t="shared" si="56"/>
        <v>1900000</v>
      </c>
      <c r="U123" s="1679">
        <f t="shared" si="56"/>
        <v>1900000</v>
      </c>
      <c r="V123" s="1679">
        <f t="shared" si="56"/>
        <v>1900000</v>
      </c>
      <c r="W123" s="1679">
        <f>SUM(K123:V123)</f>
        <v>22800000</v>
      </c>
      <c r="X123" s="1751" t="str">
        <f t="shared" si="35"/>
        <v>Sama</v>
      </c>
      <c r="Y123" s="1540">
        <f t="shared" si="26"/>
        <v>0</v>
      </c>
    </row>
    <row r="124" spans="1:25">
      <c r="A124" s="1699" t="e">
        <f>IF('Pnj APBDES'!#REF!="","",'Pnj APBDES'!#REF!)</f>
        <v>#REF!</v>
      </c>
      <c r="B124" s="1687" t="e">
        <f>IF('Pnj APBDES'!#REF!="","",'Pnj APBDES'!#REF!)</f>
        <v>#REF!</v>
      </c>
      <c r="C124" s="1687" t="e">
        <f>IF('Pnj APBDES'!#REF!="","",'Pnj APBDES'!#REF!)</f>
        <v>#REF!</v>
      </c>
      <c r="D124" s="1676" t="e">
        <f>IF('Pnj APBDES'!#REF!="","",'Pnj APBDES'!#REF!)</f>
        <v>#REF!</v>
      </c>
      <c r="E124" s="1676" t="e">
        <f>IF('Pnj APBDES'!#REF!="","",'Pnj APBDES'!#REF!)</f>
        <v>#REF!</v>
      </c>
      <c r="F124" s="1676" t="e">
        <f>IF('Pnj APBDES'!#REF!="","",'Pnj APBDES'!#REF!)</f>
        <v>#REF!</v>
      </c>
      <c r="G124" s="1676" t="e">
        <f>IF('Pnj APBDES'!#REF!="","",'Pnj APBDES'!#REF!)</f>
        <v>#REF!</v>
      </c>
      <c r="H124" s="1678" t="e">
        <f>IF('Pnj APBDES'!#REF!="","",'Pnj APBDES'!#REF!)</f>
        <v>#REF!</v>
      </c>
      <c r="I124" s="1679" t="e">
        <f>'Pnj APBDES'!#REF!</f>
        <v>#REF!</v>
      </c>
      <c r="J124" s="1746" t="e">
        <f>IF('Pnj APBDES'!#REF!="","",'Pnj APBDES'!#REF!)</f>
        <v>#REF!</v>
      </c>
      <c r="K124" s="1679"/>
      <c r="L124" s="1679"/>
      <c r="M124" s="1679"/>
      <c r="N124" s="1679"/>
      <c r="O124" s="1679"/>
      <c r="P124" s="1679"/>
      <c r="Q124" s="1679"/>
      <c r="R124" s="1679"/>
      <c r="S124" s="1679"/>
      <c r="T124" s="1679"/>
      <c r="U124" s="1679"/>
      <c r="V124" s="1679"/>
      <c r="W124" s="1679">
        <f t="shared" si="36"/>
        <v>0</v>
      </c>
      <c r="X124" s="1751" t="e">
        <f t="shared" si="35"/>
        <v>#REF!</v>
      </c>
      <c r="Y124" s="1540" t="e">
        <f t="shared" si="26"/>
        <v>#REF!</v>
      </c>
    </row>
    <row r="125" spans="1:25" s="1540" customFormat="1">
      <c r="A125" s="1700" t="e">
        <f>IF('Pnj APBDES'!#REF!="","",'Pnj APBDES'!#REF!)</f>
        <v>#REF!</v>
      </c>
      <c r="B125" s="1691" t="e">
        <f>IF('Pnj APBDES'!#REF!="","",'Pnj APBDES'!#REF!)</f>
        <v>#REF!</v>
      </c>
      <c r="C125" s="1691" t="e">
        <f>IF('Pnj APBDES'!#REF!="","",'Pnj APBDES'!#REF!)</f>
        <v>#REF!</v>
      </c>
      <c r="D125" s="1673" t="e">
        <f>IF('Pnj APBDES'!#REF!="","",'Pnj APBDES'!#REF!)</f>
        <v>#REF!</v>
      </c>
      <c r="E125" s="1672" t="e">
        <f>IF('Pnj APBDES'!#REF!="","",'Pnj APBDES'!#REF!)</f>
        <v>#REF!</v>
      </c>
      <c r="F125" s="1672" t="e">
        <f>IF('Pnj APBDES'!#REF!="","",'Pnj APBDES'!#REF!)</f>
        <v>#REF!</v>
      </c>
      <c r="G125" s="1672" t="e">
        <f>IF('Pnj APBDES'!#REF!="","",'Pnj APBDES'!#REF!)</f>
        <v>#REF!</v>
      </c>
      <c r="H125" s="1674" t="e">
        <f>IF('Pnj APBDES'!#REF!="","",'Pnj APBDES'!#REF!)</f>
        <v>#REF!</v>
      </c>
      <c r="I125" s="1675" t="e">
        <f>'Pnj APBDES'!#REF!</f>
        <v>#REF!</v>
      </c>
      <c r="J125" s="1745" t="e">
        <f>IF('Pnj APBDES'!#REF!="","",'Pnj APBDES'!#REF!)</f>
        <v>#REF!</v>
      </c>
      <c r="K125" s="1675">
        <f>K126</f>
        <v>0</v>
      </c>
      <c r="L125" s="1675">
        <f t="shared" ref="L125:W125" si="57">L126</f>
        <v>0</v>
      </c>
      <c r="M125" s="1675">
        <f t="shared" si="57"/>
        <v>0</v>
      </c>
      <c r="N125" s="1675" t="e">
        <f t="shared" si="57"/>
        <v>#REF!</v>
      </c>
      <c r="O125" s="1675">
        <f t="shared" si="57"/>
        <v>0</v>
      </c>
      <c r="P125" s="1675">
        <f t="shared" si="57"/>
        <v>0</v>
      </c>
      <c r="Q125" s="1675">
        <f t="shared" si="57"/>
        <v>0</v>
      </c>
      <c r="R125" s="1675">
        <f t="shared" si="57"/>
        <v>0</v>
      </c>
      <c r="S125" s="1675">
        <f t="shared" si="57"/>
        <v>0</v>
      </c>
      <c r="T125" s="1675">
        <f t="shared" si="57"/>
        <v>0</v>
      </c>
      <c r="U125" s="1675">
        <f t="shared" si="57"/>
        <v>0</v>
      </c>
      <c r="V125" s="1675">
        <f t="shared" si="57"/>
        <v>0</v>
      </c>
      <c r="W125" s="1675" t="e">
        <f t="shared" si="57"/>
        <v>#REF!</v>
      </c>
      <c r="X125" s="1751" t="e">
        <f t="shared" si="35"/>
        <v>#REF!</v>
      </c>
      <c r="Y125" s="1540" t="e">
        <f t="shared" si="26"/>
        <v>#REF!</v>
      </c>
    </row>
    <row r="126" spans="1:25">
      <c r="A126" s="1699" t="e">
        <f>IF('Pnj APBDES'!#REF!="","",'Pnj APBDES'!#REF!)</f>
        <v>#REF!</v>
      </c>
      <c r="B126" s="1687" t="e">
        <f>IF('Pnj APBDES'!#REF!="","",'Pnj APBDES'!#REF!)</f>
        <v>#REF!</v>
      </c>
      <c r="C126" s="1687" t="e">
        <f>IF('Pnj APBDES'!#REF!="","",'Pnj APBDES'!#REF!)</f>
        <v>#REF!</v>
      </c>
      <c r="D126" s="1676" t="e">
        <f>IF('Pnj APBDES'!#REF!="","",'Pnj APBDES'!#REF!)</f>
        <v>#REF!</v>
      </c>
      <c r="E126" s="1676" t="e">
        <f>IF('Pnj APBDES'!#REF!="","",'Pnj APBDES'!#REF!)</f>
        <v>#REF!</v>
      </c>
      <c r="F126" s="1676" t="e">
        <f>IF('Pnj APBDES'!#REF!="","",'Pnj APBDES'!#REF!)</f>
        <v>#REF!</v>
      </c>
      <c r="G126" s="1676" t="e">
        <f>IF('Pnj APBDES'!#REF!="","",'Pnj APBDES'!#REF!)</f>
        <v>#REF!</v>
      </c>
      <c r="H126" s="1678" t="e">
        <f>IF('Pnj APBDES'!#REF!="","",'Pnj APBDES'!#REF!)</f>
        <v>#REF!</v>
      </c>
      <c r="I126" s="1679" t="e">
        <f>'Pnj APBDES'!#REF!</f>
        <v>#REF!</v>
      </c>
      <c r="J126" s="1746" t="e">
        <f>IF('Pnj APBDES'!#REF!="","",'Pnj APBDES'!#REF!)</f>
        <v>#REF!</v>
      </c>
      <c r="K126" s="1679">
        <f>SUM(K127:K129)</f>
        <v>0</v>
      </c>
      <c r="L126" s="1679">
        <f t="shared" ref="L126:V126" si="58">SUM(L127:L129)</f>
        <v>0</v>
      </c>
      <c r="M126" s="1679">
        <f t="shared" si="58"/>
        <v>0</v>
      </c>
      <c r="N126" s="1679" t="e">
        <f t="shared" si="58"/>
        <v>#REF!</v>
      </c>
      <c r="O126" s="1679">
        <f t="shared" si="58"/>
        <v>0</v>
      </c>
      <c r="P126" s="1679">
        <f t="shared" si="58"/>
        <v>0</v>
      </c>
      <c r="Q126" s="1679">
        <f t="shared" si="58"/>
        <v>0</v>
      </c>
      <c r="R126" s="1679">
        <f t="shared" si="58"/>
        <v>0</v>
      </c>
      <c r="S126" s="1679">
        <f t="shared" si="58"/>
        <v>0</v>
      </c>
      <c r="T126" s="1679">
        <f t="shared" si="58"/>
        <v>0</v>
      </c>
      <c r="U126" s="1679">
        <f t="shared" si="58"/>
        <v>0</v>
      </c>
      <c r="V126" s="1679">
        <f t="shared" si="58"/>
        <v>0</v>
      </c>
      <c r="W126" s="1679" t="e">
        <f t="shared" si="36"/>
        <v>#REF!</v>
      </c>
      <c r="X126" s="1751" t="e">
        <f t="shared" si="35"/>
        <v>#REF!</v>
      </c>
      <c r="Y126" s="1540" t="e">
        <f t="shared" ref="Y126:Y189" si="59">W126-I126</f>
        <v>#REF!</v>
      </c>
    </row>
    <row r="127" spans="1:25">
      <c r="A127" s="1699" t="e">
        <f>IF('Pnj APBDES'!#REF!="","",'Pnj APBDES'!#REF!)</f>
        <v>#REF!</v>
      </c>
      <c r="B127" s="1687" t="e">
        <f>IF('Pnj APBDES'!#REF!="","",'Pnj APBDES'!#REF!)</f>
        <v>#REF!</v>
      </c>
      <c r="C127" s="1687" t="e">
        <f>IF('Pnj APBDES'!#REF!="","",'Pnj APBDES'!#REF!)</f>
        <v>#REF!</v>
      </c>
      <c r="D127" s="1676" t="e">
        <f>IF('Pnj APBDES'!#REF!="","",'Pnj APBDES'!#REF!)</f>
        <v>#REF!</v>
      </c>
      <c r="E127" s="1676" t="e">
        <f>IF('Pnj APBDES'!#REF!="","",'Pnj APBDES'!#REF!)</f>
        <v>#REF!</v>
      </c>
      <c r="F127" s="1676" t="e">
        <f>IF('Pnj APBDES'!#REF!="","",'Pnj APBDES'!#REF!)</f>
        <v>#REF!</v>
      </c>
      <c r="G127" s="1676" t="e">
        <f>IF('Pnj APBDES'!#REF!="","",'Pnj APBDES'!#REF!)</f>
        <v>#REF!</v>
      </c>
      <c r="H127" s="1678" t="e">
        <f>IF('Pnj APBDES'!#REF!="","",'Pnj APBDES'!#REF!)</f>
        <v>#REF!</v>
      </c>
      <c r="I127" s="1679" t="e">
        <f>'Pnj APBDES'!#REF!</f>
        <v>#REF!</v>
      </c>
      <c r="J127" s="1746" t="e">
        <f>IF('Pnj APBDES'!#REF!="","",'Pnj APBDES'!#REF!)</f>
        <v>#REF!</v>
      </c>
      <c r="K127" s="1679">
        <v>0</v>
      </c>
      <c r="L127" s="1679">
        <v>0</v>
      </c>
      <c r="M127" s="1679">
        <v>0</v>
      </c>
      <c r="N127" s="1679" t="e">
        <f t="shared" ref="N127:N128" si="60">I127</f>
        <v>#REF!</v>
      </c>
      <c r="O127" s="1679">
        <v>0</v>
      </c>
      <c r="P127" s="1679">
        <v>0</v>
      </c>
      <c r="Q127" s="1679">
        <v>0</v>
      </c>
      <c r="R127" s="1679">
        <v>0</v>
      </c>
      <c r="S127" s="1679">
        <v>0</v>
      </c>
      <c r="T127" s="1679">
        <v>0</v>
      </c>
      <c r="U127" s="1679">
        <v>0</v>
      </c>
      <c r="V127" s="1679">
        <v>0</v>
      </c>
      <c r="W127" s="1679" t="e">
        <f t="shared" si="36"/>
        <v>#REF!</v>
      </c>
      <c r="X127" s="1751" t="e">
        <f t="shared" si="35"/>
        <v>#REF!</v>
      </c>
      <c r="Y127" s="1540" t="e">
        <f t="shared" si="59"/>
        <v>#REF!</v>
      </c>
    </row>
    <row r="128" spans="1:25">
      <c r="A128" s="1699" t="e">
        <f>IF('Pnj APBDES'!#REF!="","",'Pnj APBDES'!#REF!)</f>
        <v>#REF!</v>
      </c>
      <c r="B128" s="1687" t="e">
        <f>IF('Pnj APBDES'!#REF!="","",'Pnj APBDES'!#REF!)</f>
        <v>#REF!</v>
      </c>
      <c r="C128" s="1687" t="e">
        <f>IF('Pnj APBDES'!#REF!="","",'Pnj APBDES'!#REF!)</f>
        <v>#REF!</v>
      </c>
      <c r="D128" s="1676" t="e">
        <f>IF('Pnj APBDES'!#REF!="","",'Pnj APBDES'!#REF!)</f>
        <v>#REF!</v>
      </c>
      <c r="E128" s="1676" t="e">
        <f>IF('Pnj APBDES'!#REF!="","",'Pnj APBDES'!#REF!)</f>
        <v>#REF!</v>
      </c>
      <c r="F128" s="1676" t="e">
        <f>IF('Pnj APBDES'!#REF!="","",'Pnj APBDES'!#REF!)</f>
        <v>#REF!</v>
      </c>
      <c r="G128" s="1676" t="e">
        <f>IF('Pnj APBDES'!#REF!="","",'Pnj APBDES'!#REF!)</f>
        <v>#REF!</v>
      </c>
      <c r="H128" s="1678" t="e">
        <f>IF('Pnj APBDES'!#REF!="","",'Pnj APBDES'!#REF!)</f>
        <v>#REF!</v>
      </c>
      <c r="I128" s="1679" t="e">
        <f>'Pnj APBDES'!#REF!</f>
        <v>#REF!</v>
      </c>
      <c r="J128" s="1746" t="e">
        <f>IF('Pnj APBDES'!#REF!="","",'Pnj APBDES'!#REF!)</f>
        <v>#REF!</v>
      </c>
      <c r="K128" s="1679">
        <v>0</v>
      </c>
      <c r="L128" s="1679">
        <v>0</v>
      </c>
      <c r="M128" s="1679">
        <v>0</v>
      </c>
      <c r="N128" s="1679" t="e">
        <f t="shared" si="60"/>
        <v>#REF!</v>
      </c>
      <c r="O128" s="1679">
        <v>0</v>
      </c>
      <c r="P128" s="1679">
        <v>0</v>
      </c>
      <c r="Q128" s="1679">
        <v>0</v>
      </c>
      <c r="R128" s="1679">
        <v>0</v>
      </c>
      <c r="S128" s="1679">
        <v>0</v>
      </c>
      <c r="T128" s="1679">
        <v>0</v>
      </c>
      <c r="U128" s="1679">
        <v>0</v>
      </c>
      <c r="V128" s="1679">
        <v>0</v>
      </c>
      <c r="W128" s="1679" t="e">
        <f t="shared" si="36"/>
        <v>#REF!</v>
      </c>
      <c r="X128" s="1751" t="e">
        <f t="shared" si="35"/>
        <v>#REF!</v>
      </c>
      <c r="Y128" s="1540" t="e">
        <f t="shared" si="59"/>
        <v>#REF!</v>
      </c>
    </row>
    <row r="129" spans="1:25">
      <c r="A129" s="1699" t="e">
        <f>IF('Pnj APBDES'!#REF!="","",'Pnj APBDES'!#REF!)</f>
        <v>#REF!</v>
      </c>
      <c r="B129" s="1687" t="e">
        <f>IF('Pnj APBDES'!#REF!="","",'Pnj APBDES'!#REF!)</f>
        <v>#REF!</v>
      </c>
      <c r="C129" s="1687" t="e">
        <f>IF('Pnj APBDES'!#REF!="","",'Pnj APBDES'!#REF!)</f>
        <v>#REF!</v>
      </c>
      <c r="D129" s="1676" t="e">
        <f>IF('Pnj APBDES'!#REF!="","",'Pnj APBDES'!#REF!)</f>
        <v>#REF!</v>
      </c>
      <c r="E129" s="1676" t="e">
        <f>IF('Pnj APBDES'!#REF!="","",'Pnj APBDES'!#REF!)</f>
        <v>#REF!</v>
      </c>
      <c r="F129" s="1676" t="e">
        <f>IF('Pnj APBDES'!#REF!="","",'Pnj APBDES'!#REF!)</f>
        <v>#REF!</v>
      </c>
      <c r="G129" s="1676" t="e">
        <f>IF('Pnj APBDES'!#REF!="","",'Pnj APBDES'!#REF!)</f>
        <v>#REF!</v>
      </c>
      <c r="H129" s="1678" t="e">
        <f>IF('Pnj APBDES'!#REF!="","",'Pnj APBDES'!#REF!)</f>
        <v>#REF!</v>
      </c>
      <c r="I129" s="1679" t="e">
        <f>'Pnj APBDES'!#REF!</f>
        <v>#REF!</v>
      </c>
      <c r="J129" s="1746" t="e">
        <f>IF('Pnj APBDES'!#REF!="","",'Pnj APBDES'!#REF!)</f>
        <v>#REF!</v>
      </c>
      <c r="K129" s="1679">
        <v>0</v>
      </c>
      <c r="L129" s="1679">
        <v>0</v>
      </c>
      <c r="M129" s="1679">
        <v>0</v>
      </c>
      <c r="N129" s="1679" t="e">
        <f>I129</f>
        <v>#REF!</v>
      </c>
      <c r="O129" s="1679">
        <v>0</v>
      </c>
      <c r="P129" s="1679">
        <v>0</v>
      </c>
      <c r="Q129" s="1679">
        <v>0</v>
      </c>
      <c r="R129" s="1679">
        <v>0</v>
      </c>
      <c r="S129" s="1679">
        <v>0</v>
      </c>
      <c r="T129" s="1679">
        <v>0</v>
      </c>
      <c r="U129" s="1679">
        <v>0</v>
      </c>
      <c r="V129" s="1679">
        <v>0</v>
      </c>
      <c r="W129" s="1679" t="e">
        <f t="shared" si="36"/>
        <v>#REF!</v>
      </c>
      <c r="X129" s="1751" t="e">
        <f t="shared" si="35"/>
        <v>#REF!</v>
      </c>
      <c r="Y129" s="1540" t="e">
        <f t="shared" si="59"/>
        <v>#REF!</v>
      </c>
    </row>
    <row r="130" spans="1:25">
      <c r="A130" s="1699" t="str">
        <f>IF('Pnj APBDES'!A197="","",'Pnj APBDES'!A197)</f>
        <v/>
      </c>
      <c r="B130" s="1687" t="str">
        <f>IF('Pnj APBDES'!B197="","",'Pnj APBDES'!B197)</f>
        <v/>
      </c>
      <c r="C130" s="1687" t="str">
        <f>IF('Pnj APBDES'!C197="","",'Pnj APBDES'!C197)</f>
        <v/>
      </c>
      <c r="D130" s="1676" t="str">
        <f>IF('Pnj APBDES'!D197="","",'Pnj APBDES'!D197)</f>
        <v/>
      </c>
      <c r="E130" s="1676" t="str">
        <f>IF('Pnj APBDES'!E197="","",'Pnj APBDES'!E197)</f>
        <v/>
      </c>
      <c r="F130" s="1676" t="str">
        <f>IF('Pnj APBDES'!F197="","",'Pnj APBDES'!F197)</f>
        <v/>
      </c>
      <c r="G130" s="1676" t="str">
        <f>IF('Pnj APBDES'!G197="","",'Pnj APBDES'!G197)</f>
        <v/>
      </c>
      <c r="H130" s="1678" t="str">
        <f>IF('Pnj APBDES'!H197="","",'Pnj APBDES'!H197)</f>
        <v/>
      </c>
      <c r="I130" s="1679">
        <f>'Pnj APBDES'!K197</f>
        <v>0</v>
      </c>
      <c r="J130" s="1746" t="str">
        <f>IF('Pnj APBDES'!N197="","",'Pnj APBDES'!N197)</f>
        <v/>
      </c>
      <c r="K130" s="1679"/>
      <c r="L130" s="1679"/>
      <c r="M130" s="1679"/>
      <c r="N130" s="1679"/>
      <c r="O130" s="1679"/>
      <c r="P130" s="1679"/>
      <c r="Q130" s="1679"/>
      <c r="R130" s="1679"/>
      <c r="S130" s="1679"/>
      <c r="T130" s="1679"/>
      <c r="U130" s="1679"/>
      <c r="V130" s="1679"/>
      <c r="W130" s="1679">
        <f t="shared" si="36"/>
        <v>0</v>
      </c>
      <c r="X130" s="1751" t="str">
        <f t="shared" si="35"/>
        <v>Sama</v>
      </c>
      <c r="Y130" s="1540">
        <f t="shared" si="59"/>
        <v>0</v>
      </c>
    </row>
    <row r="131" spans="1:25" s="1540" customFormat="1">
      <c r="A131" s="1700">
        <f>IF('Pnj APBDES'!A203="","",'Pnj APBDES'!A203)</f>
        <v>2</v>
      </c>
      <c r="B131" s="1691">
        <f>IF('Pnj APBDES'!B203="","",'Pnj APBDES'!B203)</f>
        <v>2</v>
      </c>
      <c r="C131" s="1691" t="str">
        <f>IF('Pnj APBDES'!C203="","",'Pnj APBDES'!C203)</f>
        <v/>
      </c>
      <c r="D131" s="1672" t="str">
        <f>IF('Pnj APBDES'!D203="","",'Pnj APBDES'!D203)</f>
        <v/>
      </c>
      <c r="E131" s="1672" t="str">
        <f>IF('Pnj APBDES'!E203="","",'Pnj APBDES'!E203)</f>
        <v/>
      </c>
      <c r="F131" s="1672" t="str">
        <f>IF('Pnj APBDES'!F203="","",'Pnj APBDES'!F203)</f>
        <v/>
      </c>
      <c r="G131" s="1672" t="str">
        <f>IF('Pnj APBDES'!G203="","",'Pnj APBDES'!G203)</f>
        <v/>
      </c>
      <c r="H131" s="1674" t="str">
        <f>IF('Pnj APBDES'!H203="","",'Pnj APBDES'!H203)</f>
        <v>Kesehatan</v>
      </c>
      <c r="I131" s="1675">
        <f>'Pnj APBDES'!K203</f>
        <v>15280000</v>
      </c>
      <c r="J131" s="1745" t="str">
        <f>IF('Pnj APBDES'!N203="","",'Pnj APBDES'!N203)</f>
        <v/>
      </c>
      <c r="K131" s="1675">
        <f>K132</f>
        <v>1000000</v>
      </c>
      <c r="L131" s="1675">
        <f t="shared" ref="L131:V132" si="61">L132</f>
        <v>1000000</v>
      </c>
      <c r="M131" s="1675">
        <f t="shared" si="61"/>
        <v>1000000</v>
      </c>
      <c r="N131" s="1675">
        <f t="shared" si="61"/>
        <v>1080000</v>
      </c>
      <c r="O131" s="1675">
        <f t="shared" si="61"/>
        <v>1050000</v>
      </c>
      <c r="P131" s="1675">
        <f t="shared" si="61"/>
        <v>1050000</v>
      </c>
      <c r="Q131" s="1675">
        <f t="shared" si="61"/>
        <v>3900000</v>
      </c>
      <c r="R131" s="1675">
        <f t="shared" si="61"/>
        <v>1050000</v>
      </c>
      <c r="S131" s="1675">
        <f t="shared" si="61"/>
        <v>1050000</v>
      </c>
      <c r="T131" s="1675">
        <f t="shared" si="61"/>
        <v>1050000</v>
      </c>
      <c r="U131" s="1675">
        <f t="shared" si="61"/>
        <v>1050000</v>
      </c>
      <c r="V131" s="1675">
        <f t="shared" si="61"/>
        <v>1000000</v>
      </c>
      <c r="W131" s="1675">
        <f t="shared" si="36"/>
        <v>15280000</v>
      </c>
      <c r="X131" s="1751" t="str">
        <f t="shared" si="35"/>
        <v>Sama</v>
      </c>
      <c r="Y131" s="1540">
        <f t="shared" si="59"/>
        <v>0</v>
      </c>
    </row>
    <row r="132" spans="1:25" ht="24">
      <c r="A132" s="1699">
        <f>IF('Pnj APBDES'!A204="","",'Pnj APBDES'!A204)</f>
        <v>2</v>
      </c>
      <c r="B132" s="1687">
        <f>IF('Pnj APBDES'!B204="","",'Pnj APBDES'!B204)</f>
        <v>2</v>
      </c>
      <c r="C132" s="1687" t="str">
        <f>IF('Pnj APBDES'!C204="","",'Pnj APBDES'!C204)</f>
        <v>02</v>
      </c>
      <c r="D132" s="1676" t="str">
        <f>IF('Pnj APBDES'!D204="","",'Pnj APBDES'!D204)</f>
        <v/>
      </c>
      <c r="E132" s="1676" t="str">
        <f>IF('Pnj APBDES'!E204="","",'Pnj APBDES'!E204)</f>
        <v/>
      </c>
      <c r="F132" s="1676" t="str">
        <f>IF('Pnj APBDES'!F204="","",'Pnj APBDES'!F204)</f>
        <v/>
      </c>
      <c r="G132" s="1676" t="str">
        <f>IF('Pnj APBDES'!G204="","",'Pnj APBDES'!G204)</f>
        <v/>
      </c>
      <c r="H132" s="1701" t="str">
        <f>IF('Pnj APBDES'!H204="","",'Pnj APBDES'!H204)</f>
        <v>Penyelenggaraan Posyandu ( Makan Tambahan, Kelas Ibu Hamil,Kelas Lamsia,Insentif Kader Posyandu)</v>
      </c>
      <c r="I132" s="1679">
        <f>'Pnj APBDES'!K204</f>
        <v>15280000</v>
      </c>
      <c r="J132" s="1746" t="str">
        <f>IF('Pnj APBDES'!N204="","",'Pnj APBDES'!N204)</f>
        <v/>
      </c>
      <c r="K132" s="1679">
        <f>K133</f>
        <v>1000000</v>
      </c>
      <c r="L132" s="1679">
        <f t="shared" si="61"/>
        <v>1000000</v>
      </c>
      <c r="M132" s="1679">
        <f t="shared" si="61"/>
        <v>1000000</v>
      </c>
      <c r="N132" s="1679">
        <f t="shared" si="61"/>
        <v>1080000</v>
      </c>
      <c r="O132" s="1679">
        <f t="shared" si="61"/>
        <v>1050000</v>
      </c>
      <c r="P132" s="1679">
        <f t="shared" si="61"/>
        <v>1050000</v>
      </c>
      <c r="Q132" s="1679">
        <f t="shared" si="61"/>
        <v>3900000</v>
      </c>
      <c r="R132" s="1679">
        <f t="shared" si="61"/>
        <v>1050000</v>
      </c>
      <c r="S132" s="1679">
        <f t="shared" si="61"/>
        <v>1050000</v>
      </c>
      <c r="T132" s="1679">
        <f t="shared" si="61"/>
        <v>1050000</v>
      </c>
      <c r="U132" s="1679">
        <f t="shared" si="61"/>
        <v>1050000</v>
      </c>
      <c r="V132" s="1679">
        <f t="shared" si="61"/>
        <v>1000000</v>
      </c>
      <c r="W132" s="1679">
        <f t="shared" si="36"/>
        <v>15280000</v>
      </c>
      <c r="X132" s="1751" t="str">
        <f t="shared" si="35"/>
        <v>Sama</v>
      </c>
      <c r="Y132" s="1540">
        <f t="shared" si="59"/>
        <v>0</v>
      </c>
    </row>
    <row r="133" spans="1:25">
      <c r="A133" s="1699">
        <f>IF('Pnj APBDES'!A205="","",'Pnj APBDES'!A205)</f>
        <v>2</v>
      </c>
      <c r="B133" s="1687">
        <f>IF('Pnj APBDES'!B205="","",'Pnj APBDES'!B205)</f>
        <v>2</v>
      </c>
      <c r="C133" s="1687" t="str">
        <f>IF('Pnj APBDES'!C205="","",'Pnj APBDES'!C205)</f>
        <v>02</v>
      </c>
      <c r="D133" s="1676">
        <f>IF('Pnj APBDES'!D205="","",'Pnj APBDES'!D205)</f>
        <v>5</v>
      </c>
      <c r="E133" s="1676">
        <f>IF('Pnj APBDES'!E205="","",'Pnj APBDES'!E205)</f>
        <v>2</v>
      </c>
      <c r="F133" s="1676" t="str">
        <f>IF('Pnj APBDES'!F205="","",'Pnj APBDES'!F205)</f>
        <v/>
      </c>
      <c r="G133" s="1676" t="str">
        <f>IF('Pnj APBDES'!G205="","",'Pnj APBDES'!G205)</f>
        <v/>
      </c>
      <c r="H133" s="1688" t="str">
        <f>IF('Pnj APBDES'!H205="","",'Pnj APBDES'!H205)</f>
        <v>Belanja Barang dan Jasa</v>
      </c>
      <c r="I133" s="1679">
        <f>'Pnj APBDES'!K205</f>
        <v>15280000</v>
      </c>
      <c r="J133" s="1746" t="str">
        <f>IF('Pnj APBDES'!N205="","",'Pnj APBDES'!N205)</f>
        <v/>
      </c>
      <c r="K133" s="1679">
        <f>K134+K136+K137</f>
        <v>1000000</v>
      </c>
      <c r="L133" s="1679">
        <f t="shared" ref="L133:V133" si="62">L134+L136+L137</f>
        <v>1000000</v>
      </c>
      <c r="M133" s="1679">
        <f t="shared" si="62"/>
        <v>1000000</v>
      </c>
      <c r="N133" s="1679">
        <f t="shared" si="62"/>
        <v>1080000</v>
      </c>
      <c r="O133" s="1679">
        <f t="shared" si="62"/>
        <v>1050000</v>
      </c>
      <c r="P133" s="1679">
        <f t="shared" si="62"/>
        <v>1050000</v>
      </c>
      <c r="Q133" s="1679">
        <f t="shared" si="62"/>
        <v>3900000</v>
      </c>
      <c r="R133" s="1679">
        <f t="shared" si="62"/>
        <v>1050000</v>
      </c>
      <c r="S133" s="1679">
        <f t="shared" si="62"/>
        <v>1050000</v>
      </c>
      <c r="T133" s="1679">
        <f t="shared" si="62"/>
        <v>1050000</v>
      </c>
      <c r="U133" s="1679">
        <f t="shared" si="62"/>
        <v>1050000</v>
      </c>
      <c r="V133" s="1679">
        <f t="shared" si="62"/>
        <v>1000000</v>
      </c>
      <c r="W133" s="1679">
        <f t="shared" si="36"/>
        <v>15280000</v>
      </c>
      <c r="X133" s="1751" t="str">
        <f t="shared" si="35"/>
        <v>Sama</v>
      </c>
      <c r="Y133" s="1540">
        <f t="shared" si="59"/>
        <v>0</v>
      </c>
    </row>
    <row r="134" spans="1:25">
      <c r="A134" s="1699">
        <f>IF('Pnj APBDES'!A206="","",'Pnj APBDES'!A206)</f>
        <v>2</v>
      </c>
      <c r="B134" s="1687">
        <f>IF('Pnj APBDES'!B206="","",'Pnj APBDES'!B206)</f>
        <v>2</v>
      </c>
      <c r="C134" s="1687" t="str">
        <f>IF('Pnj APBDES'!C206="","",'Pnj APBDES'!C206)</f>
        <v>02</v>
      </c>
      <c r="D134" s="1676">
        <f>IF('Pnj APBDES'!D206="","",'Pnj APBDES'!D206)</f>
        <v>5</v>
      </c>
      <c r="E134" s="1676">
        <f>IF('Pnj APBDES'!E206="","",'Pnj APBDES'!E206)</f>
        <v>2</v>
      </c>
      <c r="F134" s="1676">
        <f>IF('Pnj APBDES'!F206="","",'Pnj APBDES'!F206)</f>
        <v>2</v>
      </c>
      <c r="G134" s="1676" t="str">
        <f>IF('Pnj APBDES'!G206="","",'Pnj APBDES'!G206)</f>
        <v/>
      </c>
      <c r="H134" s="1678" t="str">
        <f>IF('Pnj APBDES'!H206="","",'Pnj APBDES'!H206)</f>
        <v>Belanja Jasa Honorarium</v>
      </c>
      <c r="I134" s="1679">
        <f>'Pnj APBDES'!K206</f>
        <v>9600000</v>
      </c>
      <c r="J134" s="1746" t="str">
        <f>IF('Pnj APBDES'!N206="","",'Pnj APBDES'!N206)</f>
        <v/>
      </c>
      <c r="K134" s="1679">
        <f>K135</f>
        <v>800000</v>
      </c>
      <c r="L134" s="1679">
        <f t="shared" ref="L134:V134" si="63">L135</f>
        <v>800000</v>
      </c>
      <c r="M134" s="1679">
        <f t="shared" si="63"/>
        <v>800000</v>
      </c>
      <c r="N134" s="1679">
        <f t="shared" si="63"/>
        <v>800000</v>
      </c>
      <c r="O134" s="1679">
        <f t="shared" si="63"/>
        <v>800000</v>
      </c>
      <c r="P134" s="1679">
        <f t="shared" si="63"/>
        <v>800000</v>
      </c>
      <c r="Q134" s="1679">
        <f t="shared" si="63"/>
        <v>800000</v>
      </c>
      <c r="R134" s="1679">
        <f t="shared" si="63"/>
        <v>800000</v>
      </c>
      <c r="S134" s="1679">
        <f t="shared" si="63"/>
        <v>800000</v>
      </c>
      <c r="T134" s="1679">
        <f t="shared" si="63"/>
        <v>800000</v>
      </c>
      <c r="U134" s="1679">
        <f t="shared" si="63"/>
        <v>800000</v>
      </c>
      <c r="V134" s="1679">
        <f t="shared" si="63"/>
        <v>800000</v>
      </c>
      <c r="W134" s="1679">
        <f t="shared" si="36"/>
        <v>9600000</v>
      </c>
      <c r="X134" s="1751" t="str">
        <f t="shared" si="35"/>
        <v>Sama</v>
      </c>
      <c r="Y134" s="1540">
        <f t="shared" si="59"/>
        <v>0</v>
      </c>
    </row>
    <row r="135" spans="1:25">
      <c r="A135" s="1699">
        <f>IF('Pnj APBDES'!A207="","",'Pnj APBDES'!A207)</f>
        <v>2</v>
      </c>
      <c r="B135" s="1687">
        <f>IF('Pnj APBDES'!B207="","",'Pnj APBDES'!B207)</f>
        <v>2</v>
      </c>
      <c r="C135" s="1687" t="str">
        <f>IF('Pnj APBDES'!C207="","",'Pnj APBDES'!C207)</f>
        <v>02</v>
      </c>
      <c r="D135" s="1676">
        <f>IF('Pnj APBDES'!D207="","",'Pnj APBDES'!D207)</f>
        <v>5</v>
      </c>
      <c r="E135" s="1676">
        <f>IF('Pnj APBDES'!E207="","",'Pnj APBDES'!E207)</f>
        <v>2</v>
      </c>
      <c r="F135" s="1676">
        <f>IF('Pnj APBDES'!F207="","",'Pnj APBDES'!F207)</f>
        <v>2</v>
      </c>
      <c r="G135" s="1676">
        <f>IF('Pnj APBDES'!G207="","",'Pnj APBDES'!G207)</f>
        <v>5</v>
      </c>
      <c r="H135" s="1678" t="str">
        <f>IF('Pnj APBDES'!H207="","",'Pnj APBDES'!H207)</f>
        <v>Belanja Jasa Honorarium Petugas</v>
      </c>
      <c r="I135" s="1679">
        <f>'Pnj APBDES'!K207</f>
        <v>9600000</v>
      </c>
      <c r="J135" s="1746" t="str">
        <f>IF('Pnj APBDES'!N207="","",'Pnj APBDES'!N207)</f>
        <v>DD</v>
      </c>
      <c r="K135" s="1679">
        <f>$I135/12</f>
        <v>800000</v>
      </c>
      <c r="L135" s="1679">
        <f t="shared" ref="L135:V135" si="64">$I135/12</f>
        <v>800000</v>
      </c>
      <c r="M135" s="1679">
        <f t="shared" si="64"/>
        <v>800000</v>
      </c>
      <c r="N135" s="1679">
        <f t="shared" si="64"/>
        <v>800000</v>
      </c>
      <c r="O135" s="1679">
        <f t="shared" si="64"/>
        <v>800000</v>
      </c>
      <c r="P135" s="1679">
        <f t="shared" si="64"/>
        <v>800000</v>
      </c>
      <c r="Q135" s="1679">
        <f t="shared" si="64"/>
        <v>800000</v>
      </c>
      <c r="R135" s="1679">
        <f t="shared" si="64"/>
        <v>800000</v>
      </c>
      <c r="S135" s="1679">
        <f t="shared" si="64"/>
        <v>800000</v>
      </c>
      <c r="T135" s="1679">
        <f t="shared" si="64"/>
        <v>800000</v>
      </c>
      <c r="U135" s="1679">
        <f t="shared" si="64"/>
        <v>800000</v>
      </c>
      <c r="V135" s="1679">
        <f t="shared" si="64"/>
        <v>800000</v>
      </c>
      <c r="W135" s="1679">
        <f t="shared" si="36"/>
        <v>9600000</v>
      </c>
      <c r="X135" s="1751" t="str">
        <f t="shared" si="35"/>
        <v>Sama</v>
      </c>
      <c r="Y135" s="1540">
        <f t="shared" si="59"/>
        <v>0</v>
      </c>
    </row>
    <row r="136" spans="1:25">
      <c r="A136" s="1699">
        <f>IF('Pnj APBDES'!A208="","",'Pnj APBDES'!A208)</f>
        <v>2</v>
      </c>
      <c r="B136" s="1687">
        <f>IF('Pnj APBDES'!B208="","",'Pnj APBDES'!B208)</f>
        <v>2</v>
      </c>
      <c r="C136" s="1687" t="str">
        <f>IF('Pnj APBDES'!C208="","",'Pnj APBDES'!C208)</f>
        <v>02</v>
      </c>
      <c r="D136" s="1676">
        <f>IF('Pnj APBDES'!D208="","",'Pnj APBDES'!D208)</f>
        <v>5</v>
      </c>
      <c r="E136" s="1676">
        <f>IF('Pnj APBDES'!E208="","",'Pnj APBDES'!E208)</f>
        <v>7</v>
      </c>
      <c r="F136" s="1676" t="str">
        <f>IF('Pnj APBDES'!F208="","",'Pnj APBDES'!F208)</f>
        <v/>
      </c>
      <c r="G136" s="1676" t="str">
        <f>IF('Pnj APBDES'!G208="","",'Pnj APBDES'!G208)</f>
        <v/>
      </c>
      <c r="H136" s="1678" t="str">
        <f>IF('Pnj APBDES'!H208="","",'Pnj APBDES'!H208)</f>
        <v>Belanja Barang dan Jasa yang diserahkan kepada masyarakat</v>
      </c>
      <c r="I136" s="1679">
        <f>'Pnj APBDES'!K208</f>
        <v>2880000</v>
      </c>
      <c r="J136" s="1746" t="str">
        <f>IF('Pnj APBDES'!N208="","",'Pnj APBDES'!N208)</f>
        <v>DD</v>
      </c>
      <c r="K136" s="1679">
        <v>200000</v>
      </c>
      <c r="L136" s="1679">
        <v>200000</v>
      </c>
      <c r="M136" s="1679">
        <v>200000</v>
      </c>
      <c r="N136" s="1679">
        <v>280000</v>
      </c>
      <c r="O136" s="1679">
        <v>250000</v>
      </c>
      <c r="P136" s="1679">
        <v>250000</v>
      </c>
      <c r="Q136" s="1679">
        <v>300000</v>
      </c>
      <c r="R136" s="1679">
        <v>250000</v>
      </c>
      <c r="S136" s="1679">
        <v>250000</v>
      </c>
      <c r="T136" s="1679">
        <v>250000</v>
      </c>
      <c r="U136" s="1679">
        <v>250000</v>
      </c>
      <c r="V136" s="1679">
        <v>200000</v>
      </c>
      <c r="W136" s="1679">
        <f t="shared" si="36"/>
        <v>2880000</v>
      </c>
      <c r="X136" s="1751" t="str">
        <f t="shared" si="35"/>
        <v>Sama</v>
      </c>
      <c r="Y136" s="1540">
        <f t="shared" si="59"/>
        <v>0</v>
      </c>
    </row>
    <row r="137" spans="1:25">
      <c r="A137" s="1699">
        <f>IF('Pnj APBDES'!A209="","",'Pnj APBDES'!A209)</f>
        <v>2</v>
      </c>
      <c r="B137" s="1687">
        <f>IF('Pnj APBDES'!B209="","",'Pnj APBDES'!B209)</f>
        <v>2</v>
      </c>
      <c r="C137" s="1687">
        <f>IF('Pnj APBDES'!C209="","",'Pnj APBDES'!C209)</f>
        <v>2</v>
      </c>
      <c r="D137" s="1676">
        <f>IF('Pnj APBDES'!D209="","",'Pnj APBDES'!D209)</f>
        <v>5</v>
      </c>
      <c r="E137" s="1676">
        <f>IF('Pnj APBDES'!E209="","",'Pnj APBDES'!E209)</f>
        <v>7</v>
      </c>
      <c r="F137" s="1676">
        <f>IF('Pnj APBDES'!F209="","",'Pnj APBDES'!F209)</f>
        <v>1</v>
      </c>
      <c r="G137" s="1672" t="str">
        <f>IF('Pnj APBDES'!G209="","",'Pnj APBDES'!G209)</f>
        <v/>
      </c>
      <c r="H137" s="1678" t="str">
        <f>IF('Pnj APBDES'!H209="","",'Pnj APBDES'!H209)</f>
        <v xml:space="preserve">Belanja Modal Bahan Baku </v>
      </c>
      <c r="I137" s="1679">
        <f>'Pnj APBDES'!K209</f>
        <v>2800000</v>
      </c>
      <c r="J137" s="1746" t="str">
        <f>IF('Pnj APBDES'!N209="","",'Pnj APBDES'!N209)</f>
        <v>DD</v>
      </c>
      <c r="K137" s="1757"/>
      <c r="L137" s="1757"/>
      <c r="M137" s="1757"/>
      <c r="N137" s="1757"/>
      <c r="O137" s="1757"/>
      <c r="P137" s="1757"/>
      <c r="Q137" s="1757">
        <f>I137</f>
        <v>2800000</v>
      </c>
      <c r="R137" s="1757"/>
      <c r="S137" s="1757"/>
      <c r="T137" s="1757"/>
      <c r="U137" s="1757"/>
      <c r="V137" s="1757"/>
      <c r="W137" s="1679">
        <f t="shared" si="36"/>
        <v>2800000</v>
      </c>
      <c r="X137" s="1751" t="str">
        <f t="shared" si="35"/>
        <v>Sama</v>
      </c>
      <c r="Y137" s="1540">
        <f t="shared" si="59"/>
        <v>0</v>
      </c>
    </row>
    <row r="138" spans="1:25">
      <c r="A138" s="1699" t="str">
        <f>IF('Pnj APBDES'!A210="","",'Pnj APBDES'!A210)</f>
        <v/>
      </c>
      <c r="B138" s="1687" t="str">
        <f>IF('Pnj APBDES'!B210="","",'Pnj APBDES'!B210)</f>
        <v/>
      </c>
      <c r="C138" s="1687" t="str">
        <f>IF('Pnj APBDES'!C210="","",'Pnj APBDES'!C210)</f>
        <v/>
      </c>
      <c r="D138" s="1676" t="str">
        <f>IF('Pnj APBDES'!D210="","",'Pnj APBDES'!D210)</f>
        <v/>
      </c>
      <c r="E138" s="1676" t="str">
        <f>IF('Pnj APBDES'!E210="","",'Pnj APBDES'!E210)</f>
        <v/>
      </c>
      <c r="F138" s="1676" t="str">
        <f>IF('Pnj APBDES'!F210="","",'Pnj APBDES'!F210)</f>
        <v/>
      </c>
      <c r="G138" s="1672" t="str">
        <f>IF('Pnj APBDES'!G210="","",'Pnj APBDES'!G210)</f>
        <v/>
      </c>
      <c r="H138" s="1678" t="str">
        <f>IF('Pnj APBDES'!H210="","",'Pnj APBDES'!H210)</f>
        <v/>
      </c>
      <c r="I138" s="1679">
        <f>'Pnj APBDES'!K210</f>
        <v>0</v>
      </c>
      <c r="J138" s="1746" t="str">
        <f>IF('Pnj APBDES'!N210="","",'Pnj APBDES'!N210)</f>
        <v/>
      </c>
      <c r="K138" s="1757"/>
      <c r="L138" s="1757"/>
      <c r="M138" s="1757"/>
      <c r="N138" s="1757"/>
      <c r="O138" s="1757"/>
      <c r="P138" s="1757"/>
      <c r="Q138" s="1757"/>
      <c r="R138" s="1757"/>
      <c r="S138" s="1757"/>
      <c r="T138" s="1757"/>
      <c r="U138" s="1757"/>
      <c r="V138" s="1757"/>
      <c r="W138" s="1679">
        <f t="shared" si="36"/>
        <v>0</v>
      </c>
      <c r="X138" s="1751" t="str">
        <f t="shared" si="35"/>
        <v>Sama</v>
      </c>
      <c r="Y138" s="1540">
        <f t="shared" si="59"/>
        <v>0</v>
      </c>
    </row>
    <row r="139" spans="1:25" s="1540" customFormat="1">
      <c r="A139" s="1700">
        <f>IF('Pnj APBDES'!A211="","",'Pnj APBDES'!A211)</f>
        <v>2</v>
      </c>
      <c r="B139" s="1691">
        <f>IF('Pnj APBDES'!B211="","",'Pnj APBDES'!B211)</f>
        <v>3</v>
      </c>
      <c r="C139" s="1673" t="str">
        <f>IF('Pnj APBDES'!C211="","",'Pnj APBDES'!C211)</f>
        <v/>
      </c>
      <c r="D139" s="1672" t="str">
        <f>IF('Pnj APBDES'!D211="","",'Pnj APBDES'!D211)</f>
        <v/>
      </c>
      <c r="E139" s="1672" t="str">
        <f>IF('Pnj APBDES'!E211="","",'Pnj APBDES'!E211)</f>
        <v/>
      </c>
      <c r="F139" s="1672" t="str">
        <f>IF('Pnj APBDES'!F211="","",'Pnj APBDES'!F211)</f>
        <v/>
      </c>
      <c r="G139" s="1672" t="str">
        <f>IF('Pnj APBDES'!G211="","",'Pnj APBDES'!G211)</f>
        <v/>
      </c>
      <c r="H139" s="1692" t="str">
        <f>IF('Pnj APBDES'!H211="","",'Pnj APBDES'!H211)</f>
        <v>Pekerjaan Umum dan Penataan Ruang</v>
      </c>
      <c r="I139" s="1675">
        <f>'Pnj APBDES'!K211</f>
        <v>514747000</v>
      </c>
      <c r="J139" s="1745" t="str">
        <f>IF('Pnj APBDES'!N211="","",'Pnj APBDES'!N211)</f>
        <v/>
      </c>
      <c r="K139" s="1675">
        <f>K140+K157+K152+K147</f>
        <v>0</v>
      </c>
      <c r="L139" s="1675">
        <f t="shared" ref="L139:V139" si="65">L140+L157+L152+L147</f>
        <v>0</v>
      </c>
      <c r="M139" s="1675">
        <f t="shared" si="65"/>
        <v>254511000</v>
      </c>
      <c r="N139" s="1675">
        <f t="shared" si="65"/>
        <v>0</v>
      </c>
      <c r="O139" s="1675">
        <f t="shared" si="65"/>
        <v>40000000</v>
      </c>
      <c r="P139" s="1675">
        <f t="shared" si="65"/>
        <v>102100000</v>
      </c>
      <c r="Q139" s="1675">
        <f t="shared" si="65"/>
        <v>0</v>
      </c>
      <c r="R139" s="1675">
        <f t="shared" si="65"/>
        <v>192409800</v>
      </c>
      <c r="S139" s="1675">
        <f t="shared" si="65"/>
        <v>0</v>
      </c>
      <c r="T139" s="1675">
        <f t="shared" si="65"/>
        <v>158136000</v>
      </c>
      <c r="U139" s="1675">
        <f t="shared" si="65"/>
        <v>0</v>
      </c>
      <c r="V139" s="1675">
        <f t="shared" si="65"/>
        <v>0</v>
      </c>
      <c r="W139" s="1675">
        <f t="shared" si="36"/>
        <v>747156800</v>
      </c>
      <c r="X139" s="1751" t="str">
        <f t="shared" si="35"/>
        <v>Salah</v>
      </c>
      <c r="Y139" s="1540">
        <f t="shared" si="59"/>
        <v>232409800</v>
      </c>
    </row>
    <row r="140" spans="1:25" s="1540" customFormat="1">
      <c r="A140" s="1700">
        <f>IF('Pnj APBDES'!A212="","",'Pnj APBDES'!A212)</f>
        <v>2</v>
      </c>
      <c r="B140" s="1691">
        <f>IF('Pnj APBDES'!B212="","",'Pnj APBDES'!B212)</f>
        <v>3</v>
      </c>
      <c r="C140" s="1691">
        <f>IF('Pnj APBDES'!C212="","",'Pnj APBDES'!C212)</f>
        <v>10</v>
      </c>
      <c r="D140" s="1672" t="str">
        <f>IF('Pnj APBDES'!D212="","",'Pnj APBDES'!D212)</f>
        <v/>
      </c>
      <c r="E140" s="1672" t="str">
        <f>IF('Pnj APBDES'!E212="","",'Pnj APBDES'!E212)</f>
        <v/>
      </c>
      <c r="F140" s="1672" t="str">
        <f>IF('Pnj APBDES'!F212="","",'Pnj APBDES'!F212)</f>
        <v/>
      </c>
      <c r="G140" s="1672" t="str">
        <f>IF('Pnj APBDES'!G212="","",'Pnj APBDES'!G212)</f>
        <v/>
      </c>
      <c r="H140" s="1692" t="str">
        <f>IF('Pnj APBDES'!H212="","",'Pnj APBDES'!H212)</f>
        <v>Pembangunan Pengerasan Jalan Desa</v>
      </c>
      <c r="I140" s="1675">
        <f>'Pnj APBDES'!K212</f>
        <v>514747000</v>
      </c>
      <c r="J140" s="1745" t="str">
        <f>IF('Pnj APBDES'!N212="","",'Pnj APBDES'!N212)</f>
        <v/>
      </c>
      <c r="K140" s="1675">
        <f>K141</f>
        <v>0</v>
      </c>
      <c r="L140" s="1675">
        <f t="shared" ref="L140:V141" si="66">L141</f>
        <v>0</v>
      </c>
      <c r="M140" s="1675">
        <f t="shared" si="66"/>
        <v>254511000</v>
      </c>
      <c r="N140" s="1675">
        <f t="shared" si="66"/>
        <v>0</v>
      </c>
      <c r="O140" s="1675">
        <f t="shared" si="66"/>
        <v>0</v>
      </c>
      <c r="P140" s="1675">
        <f t="shared" si="66"/>
        <v>102100000</v>
      </c>
      <c r="Q140" s="1675">
        <f t="shared" si="66"/>
        <v>0</v>
      </c>
      <c r="R140" s="1675">
        <f t="shared" si="66"/>
        <v>0</v>
      </c>
      <c r="S140" s="1675">
        <f t="shared" si="66"/>
        <v>0</v>
      </c>
      <c r="T140" s="1675">
        <f t="shared" si="66"/>
        <v>158136000</v>
      </c>
      <c r="U140" s="1675">
        <f t="shared" si="66"/>
        <v>0</v>
      </c>
      <c r="V140" s="1675">
        <f t="shared" si="66"/>
        <v>0</v>
      </c>
      <c r="W140" s="1675">
        <f t="shared" si="36"/>
        <v>514747000</v>
      </c>
      <c r="X140" s="1751" t="str">
        <f t="shared" si="35"/>
        <v>Sama</v>
      </c>
      <c r="Y140" s="1540">
        <f t="shared" si="59"/>
        <v>0</v>
      </c>
    </row>
    <row r="141" spans="1:25">
      <c r="A141" s="1699">
        <f>IF('Pnj APBDES'!A213="","",'Pnj APBDES'!A213)</f>
        <v>2</v>
      </c>
      <c r="B141" s="1687">
        <f>IF('Pnj APBDES'!B213="","",'Pnj APBDES'!B213)</f>
        <v>3</v>
      </c>
      <c r="C141" s="1687">
        <f>IF('Pnj APBDES'!C213="","",'Pnj APBDES'!C213)</f>
        <v>10</v>
      </c>
      <c r="D141" s="1676">
        <f>IF('Pnj APBDES'!D213="","",'Pnj APBDES'!D213)</f>
        <v>5</v>
      </c>
      <c r="E141" s="1676">
        <f>IF('Pnj APBDES'!E213="","",'Pnj APBDES'!E213)</f>
        <v>3</v>
      </c>
      <c r="F141" s="1676" t="str">
        <f>IF('Pnj APBDES'!F213="","",'Pnj APBDES'!F213)</f>
        <v/>
      </c>
      <c r="G141" s="1676" t="str">
        <f>IF('Pnj APBDES'!G213="","",'Pnj APBDES'!G213)</f>
        <v/>
      </c>
      <c r="H141" s="1678" t="str">
        <f>IF('Pnj APBDES'!H213="","",'Pnj APBDES'!H213)</f>
        <v>Belanja Modal</v>
      </c>
      <c r="I141" s="1679">
        <f>'Pnj APBDES'!K213</f>
        <v>514747000</v>
      </c>
      <c r="J141" s="1746" t="str">
        <f>IF('Pnj APBDES'!N213="","",'Pnj APBDES'!N213)</f>
        <v/>
      </c>
      <c r="K141" s="1679">
        <f>K142</f>
        <v>0</v>
      </c>
      <c r="L141" s="1679">
        <f t="shared" si="66"/>
        <v>0</v>
      </c>
      <c r="M141" s="1679">
        <f t="shared" si="66"/>
        <v>254511000</v>
      </c>
      <c r="N141" s="1679">
        <f t="shared" si="66"/>
        <v>0</v>
      </c>
      <c r="O141" s="1679">
        <f t="shared" si="66"/>
        <v>0</v>
      </c>
      <c r="P141" s="1679">
        <f t="shared" si="66"/>
        <v>102100000</v>
      </c>
      <c r="Q141" s="1679">
        <f t="shared" si="66"/>
        <v>0</v>
      </c>
      <c r="R141" s="1679">
        <f t="shared" si="66"/>
        <v>0</v>
      </c>
      <c r="S141" s="1679">
        <f t="shared" si="66"/>
        <v>0</v>
      </c>
      <c r="T141" s="1679">
        <f t="shared" si="66"/>
        <v>158136000</v>
      </c>
      <c r="U141" s="1679">
        <f t="shared" si="66"/>
        <v>0</v>
      </c>
      <c r="V141" s="1679">
        <f t="shared" si="66"/>
        <v>0</v>
      </c>
      <c r="W141" s="1679">
        <f t="shared" si="36"/>
        <v>514747000</v>
      </c>
      <c r="X141" s="1751" t="str">
        <f t="shared" si="35"/>
        <v>Sama</v>
      </c>
      <c r="Y141" s="1540">
        <f t="shared" si="59"/>
        <v>0</v>
      </c>
    </row>
    <row r="142" spans="1:25">
      <c r="A142" s="1699">
        <f>IF('Pnj APBDES'!A214="","",'Pnj APBDES'!A214)</f>
        <v>2</v>
      </c>
      <c r="B142" s="1687">
        <f>IF('Pnj APBDES'!B214="","",'Pnj APBDES'!B214)</f>
        <v>3</v>
      </c>
      <c r="C142" s="1687">
        <f>IF('Pnj APBDES'!C214="","",'Pnj APBDES'!C214)</f>
        <v>10</v>
      </c>
      <c r="D142" s="1676">
        <f>IF('Pnj APBDES'!D214="","",'Pnj APBDES'!D214)</f>
        <v>5</v>
      </c>
      <c r="E142" s="1676">
        <f>IF('Pnj APBDES'!E214="","",'Pnj APBDES'!E214)</f>
        <v>3</v>
      </c>
      <c r="F142" s="1676">
        <f>IF('Pnj APBDES'!F214="","",'Pnj APBDES'!F214)</f>
        <v>5</v>
      </c>
      <c r="G142" s="1676" t="str">
        <f>IF('Pnj APBDES'!G214="","",'Pnj APBDES'!G214)</f>
        <v/>
      </c>
      <c r="H142" s="1696" t="str">
        <f>IF('Pnj APBDES'!H214="","",'Pnj APBDES'!H214)</f>
        <v>Belanja Modal Jalan</v>
      </c>
      <c r="I142" s="1679">
        <f>'Pnj APBDES'!K214</f>
        <v>514747000</v>
      </c>
      <c r="J142" s="1746" t="str">
        <f>IF('Pnj APBDES'!N214="","",'Pnj APBDES'!N214)</f>
        <v/>
      </c>
      <c r="K142" s="1679">
        <f>SUM(K143:K146)</f>
        <v>0</v>
      </c>
      <c r="L142" s="1679">
        <f t="shared" ref="L142:V142" si="67">SUM(L143:L146)</f>
        <v>0</v>
      </c>
      <c r="M142" s="1679">
        <f t="shared" si="67"/>
        <v>254511000</v>
      </c>
      <c r="N142" s="1679">
        <f t="shared" si="67"/>
        <v>0</v>
      </c>
      <c r="O142" s="1679">
        <f t="shared" si="67"/>
        <v>0</v>
      </c>
      <c r="P142" s="1679">
        <f t="shared" si="67"/>
        <v>102100000</v>
      </c>
      <c r="Q142" s="1679">
        <f t="shared" si="67"/>
        <v>0</v>
      </c>
      <c r="R142" s="1679">
        <f t="shared" si="67"/>
        <v>0</v>
      </c>
      <c r="S142" s="1679">
        <f t="shared" si="67"/>
        <v>0</v>
      </c>
      <c r="T142" s="1679">
        <f t="shared" si="67"/>
        <v>158136000</v>
      </c>
      <c r="U142" s="1679">
        <f t="shared" si="67"/>
        <v>0</v>
      </c>
      <c r="V142" s="1679">
        <f t="shared" si="67"/>
        <v>0</v>
      </c>
      <c r="W142" s="1679">
        <f t="shared" si="36"/>
        <v>514747000</v>
      </c>
      <c r="X142" s="1751" t="str">
        <f t="shared" si="35"/>
        <v>Sama</v>
      </c>
      <c r="Y142" s="1540">
        <f t="shared" si="59"/>
        <v>0</v>
      </c>
    </row>
    <row r="143" spans="1:25">
      <c r="A143" s="1699">
        <f>IF('Pnj APBDES'!A215="","",'Pnj APBDES'!A215)</f>
        <v>2</v>
      </c>
      <c r="B143" s="1687">
        <f>IF('Pnj APBDES'!B215="","",'Pnj APBDES'!B215)</f>
        <v>3</v>
      </c>
      <c r="C143" s="1687">
        <f>IF('Pnj APBDES'!C215="","",'Pnj APBDES'!C215)</f>
        <v>10</v>
      </c>
      <c r="D143" s="1676">
        <f>IF('Pnj APBDES'!D215="","",'Pnj APBDES'!D215)</f>
        <v>5</v>
      </c>
      <c r="E143" s="1676">
        <f>IF('Pnj APBDES'!E215="","",'Pnj APBDES'!E215)</f>
        <v>3</v>
      </c>
      <c r="F143" s="1676">
        <f>IF('Pnj APBDES'!F215="","",'Pnj APBDES'!F215)</f>
        <v>5</v>
      </c>
      <c r="G143" s="1676">
        <f>IF('Pnj APBDES'!G215="","",'Pnj APBDES'!G215)</f>
        <v>1</v>
      </c>
      <c r="H143" s="1678" t="str">
        <f>IF('Pnj APBDES'!H215="","",'Pnj APBDES'!H215)</f>
        <v>Belanja Modal Honor Tim yang Melaksanakan Kegiatan</v>
      </c>
      <c r="I143" s="1679">
        <f>'Pnj APBDES'!K215</f>
        <v>5400000</v>
      </c>
      <c r="J143" s="1746" t="str">
        <f>IF('Pnj APBDES'!N215="","",'Pnj APBDES'!N215)</f>
        <v>DD</v>
      </c>
      <c r="K143" s="1679">
        <v>0</v>
      </c>
      <c r="L143" s="1679">
        <v>0</v>
      </c>
      <c r="M143" s="1679">
        <v>2475000</v>
      </c>
      <c r="N143" s="1679">
        <v>0</v>
      </c>
      <c r="O143" s="1679"/>
      <c r="P143" s="1679">
        <v>1275000</v>
      </c>
      <c r="Q143" s="1679">
        <v>0</v>
      </c>
      <c r="R143" s="1679">
        <v>0</v>
      </c>
      <c r="S143" s="1679">
        <v>0</v>
      </c>
      <c r="T143" s="1679">
        <v>1650000</v>
      </c>
      <c r="U143" s="1679">
        <v>0</v>
      </c>
      <c r="V143" s="1679">
        <v>0</v>
      </c>
      <c r="W143" s="1679">
        <f t="shared" si="36"/>
        <v>5400000</v>
      </c>
      <c r="X143" s="1751" t="str">
        <f t="shared" si="35"/>
        <v>Sama</v>
      </c>
      <c r="Y143" s="1540">
        <f t="shared" si="59"/>
        <v>0</v>
      </c>
    </row>
    <row r="144" spans="1:25" ht="23.25" customHeight="1">
      <c r="A144" s="1699">
        <f>IF('Pnj APBDES'!A216="","",'Pnj APBDES'!A216)</f>
        <v>2</v>
      </c>
      <c r="B144" s="1687">
        <f>IF('Pnj APBDES'!B216="","",'Pnj APBDES'!B216)</f>
        <v>3</v>
      </c>
      <c r="C144" s="1687">
        <f>IF('Pnj APBDES'!C216="","",'Pnj APBDES'!C216)</f>
        <v>10</v>
      </c>
      <c r="D144" s="1676">
        <f>IF('Pnj APBDES'!D216="","",'Pnj APBDES'!D216)</f>
        <v>5</v>
      </c>
      <c r="E144" s="1676">
        <f>IF('Pnj APBDES'!E216="","",'Pnj APBDES'!E216)</f>
        <v>3</v>
      </c>
      <c r="F144" s="1676">
        <f>IF('Pnj APBDES'!F216="","",'Pnj APBDES'!F216)</f>
        <v>5</v>
      </c>
      <c r="G144" s="1676">
        <f>IF('Pnj APBDES'!G216="","",'Pnj APBDES'!G216)</f>
        <v>2</v>
      </c>
      <c r="H144" s="1678" t="str">
        <f>IF('Pnj APBDES'!H216="","",'Pnj APBDES'!H216)</f>
        <v>Belanja Modal Upah Tenaga Kerja</v>
      </c>
      <c r="I144" s="1679">
        <f>'Pnj APBDES'!K216</f>
        <v>130020000</v>
      </c>
      <c r="J144" s="1746" t="str">
        <f>IF('Pnj APBDES'!N216="","",'Pnj APBDES'!N216)</f>
        <v>DD</v>
      </c>
      <c r="K144" s="1679">
        <v>0</v>
      </c>
      <c r="L144" s="1679">
        <v>0</v>
      </c>
      <c r="M144" s="1679">
        <v>64420000</v>
      </c>
      <c r="N144" s="1679">
        <v>0</v>
      </c>
      <c r="O144" s="1679"/>
      <c r="P144" s="1679">
        <v>25540000</v>
      </c>
      <c r="Q144" s="1679">
        <v>0</v>
      </c>
      <c r="R144" s="1679">
        <v>0</v>
      </c>
      <c r="S144" s="1679">
        <v>0</v>
      </c>
      <c r="T144" s="1679">
        <v>40060000</v>
      </c>
      <c r="U144" s="1679">
        <v>0</v>
      </c>
      <c r="V144" s="1679">
        <v>0</v>
      </c>
      <c r="W144" s="1679">
        <f t="shared" si="36"/>
        <v>130020000</v>
      </c>
      <c r="X144" s="1751" t="str">
        <f t="shared" ref="X144:X207" si="68">IF(W144=I144,"Sama","Salah")</f>
        <v>Sama</v>
      </c>
      <c r="Y144" s="1540">
        <f t="shared" si="59"/>
        <v>0</v>
      </c>
    </row>
    <row r="145" spans="1:25">
      <c r="A145" s="1699">
        <f>IF('Pnj APBDES'!A217="","",'Pnj APBDES'!A217)</f>
        <v>2</v>
      </c>
      <c r="B145" s="1687">
        <f>IF('Pnj APBDES'!B217="","",'Pnj APBDES'!B217)</f>
        <v>3</v>
      </c>
      <c r="C145" s="1687">
        <f>IF('Pnj APBDES'!C217="","",'Pnj APBDES'!C217)</f>
        <v>10</v>
      </c>
      <c r="D145" s="1676">
        <f>IF('Pnj APBDES'!D217="","",'Pnj APBDES'!D217)</f>
        <v>5</v>
      </c>
      <c r="E145" s="1676">
        <f>IF('Pnj APBDES'!E217="","",'Pnj APBDES'!E217)</f>
        <v>3</v>
      </c>
      <c r="F145" s="1676">
        <f>IF('Pnj APBDES'!F217="","",'Pnj APBDES'!F217)</f>
        <v>5</v>
      </c>
      <c r="G145" s="1676">
        <f>IF('Pnj APBDES'!G217="","",'Pnj APBDES'!G217)</f>
        <v>3</v>
      </c>
      <c r="H145" s="1678" t="str">
        <f>IF('Pnj APBDES'!H217="","",'Pnj APBDES'!H217)</f>
        <v xml:space="preserve">Belanja Modal Bahan Baku </v>
      </c>
      <c r="I145" s="1679">
        <f>'Pnj APBDES'!K217</f>
        <v>372327000</v>
      </c>
      <c r="J145" s="1746" t="str">
        <f>IF('Pnj APBDES'!N217="","",'Pnj APBDES'!N217)</f>
        <v>DD</v>
      </c>
      <c r="K145" s="1679">
        <v>0</v>
      </c>
      <c r="L145" s="1679">
        <v>0</v>
      </c>
      <c r="M145" s="1679">
        <v>184616000</v>
      </c>
      <c r="N145" s="1679">
        <v>0</v>
      </c>
      <c r="O145" s="1679">
        <v>0</v>
      </c>
      <c r="P145" s="1679">
        <v>73285000</v>
      </c>
      <c r="Q145" s="1679">
        <v>0</v>
      </c>
      <c r="R145" s="1679">
        <v>0</v>
      </c>
      <c r="S145" s="1679">
        <v>0</v>
      </c>
      <c r="T145" s="1679">
        <v>114426000</v>
      </c>
      <c r="U145" s="1679">
        <v>0</v>
      </c>
      <c r="V145" s="1679">
        <v>0</v>
      </c>
      <c r="W145" s="1679">
        <f t="shared" ref="W145:W208" si="69">SUM(K145:V145)</f>
        <v>372327000</v>
      </c>
      <c r="X145" s="1751" t="str">
        <f t="shared" si="68"/>
        <v>Sama</v>
      </c>
      <c r="Y145" s="1540">
        <f t="shared" si="59"/>
        <v>0</v>
      </c>
    </row>
    <row r="146" spans="1:25">
      <c r="A146" s="1699">
        <f>IF('Pnj APBDES'!A218="","",'Pnj APBDES'!A218)</f>
        <v>2</v>
      </c>
      <c r="B146" s="1687">
        <f>IF('Pnj APBDES'!B218="","",'Pnj APBDES'!B218)</f>
        <v>3</v>
      </c>
      <c r="C146" s="1687">
        <f>IF('Pnj APBDES'!C218="","",'Pnj APBDES'!C218)</f>
        <v>10</v>
      </c>
      <c r="D146" s="1676">
        <f>IF('Pnj APBDES'!D218="","",'Pnj APBDES'!D218)</f>
        <v>5</v>
      </c>
      <c r="E146" s="1676">
        <f>IF('Pnj APBDES'!E218="","",'Pnj APBDES'!E218)</f>
        <v>3</v>
      </c>
      <c r="F146" s="1676">
        <f>IF('Pnj APBDES'!F218="","",'Pnj APBDES'!F218)</f>
        <v>5</v>
      </c>
      <c r="G146" s="1676">
        <f>IF('Pnj APBDES'!G218="","",'Pnj APBDES'!G218)</f>
        <v>4</v>
      </c>
      <c r="H146" s="1678" t="str">
        <f>IF('Pnj APBDES'!H218="","",'Pnj APBDES'!H218)</f>
        <v xml:space="preserve">Belanja Modal Sewa Peralatan  </v>
      </c>
      <c r="I146" s="1679">
        <f>'Pnj APBDES'!K218</f>
        <v>7000000</v>
      </c>
      <c r="J146" s="1746" t="str">
        <f>IF('Pnj APBDES'!N218="","",'Pnj APBDES'!N218)</f>
        <v>DD</v>
      </c>
      <c r="K146" s="1679">
        <v>0</v>
      </c>
      <c r="L146" s="1679">
        <v>0</v>
      </c>
      <c r="M146" s="1679">
        <v>3000000</v>
      </c>
      <c r="N146" s="1679">
        <v>0</v>
      </c>
      <c r="O146" s="1679">
        <v>0</v>
      </c>
      <c r="P146" s="1679">
        <v>2000000</v>
      </c>
      <c r="Q146" s="1679">
        <v>0</v>
      </c>
      <c r="R146" s="1679">
        <v>0</v>
      </c>
      <c r="S146" s="1679">
        <v>0</v>
      </c>
      <c r="T146" s="1679">
        <v>2000000</v>
      </c>
      <c r="U146" s="1679">
        <v>0</v>
      </c>
      <c r="V146" s="1679">
        <v>0</v>
      </c>
      <c r="W146" s="1679">
        <f t="shared" si="69"/>
        <v>7000000</v>
      </c>
      <c r="X146" s="1751" t="str">
        <f t="shared" si="68"/>
        <v>Sama</v>
      </c>
      <c r="Y146" s="1540">
        <f t="shared" si="59"/>
        <v>0</v>
      </c>
    </row>
    <row r="147" spans="1:25" s="1540" customFormat="1">
      <c r="A147" s="1700" t="e">
        <f>IF('Pnj APBDES'!#REF!="","",'Pnj APBDES'!#REF!)</f>
        <v>#REF!</v>
      </c>
      <c r="B147" s="1691" t="e">
        <f>IF('Pnj APBDES'!#REF!="","",'Pnj APBDES'!#REF!)</f>
        <v>#REF!</v>
      </c>
      <c r="C147" s="1691" t="e">
        <f>IF('Pnj APBDES'!#REF!="","",'Pnj APBDES'!#REF!)</f>
        <v>#REF!</v>
      </c>
      <c r="D147" s="1672" t="e">
        <f>IF('Pnj APBDES'!#REF!="","",'Pnj APBDES'!#REF!)</f>
        <v>#REF!</v>
      </c>
      <c r="E147" s="1672" t="e">
        <f>IF('Pnj APBDES'!#REF!="","",'Pnj APBDES'!#REF!)</f>
        <v>#REF!</v>
      </c>
      <c r="F147" s="1672" t="e">
        <f>IF('Pnj APBDES'!#REF!="","",'Pnj APBDES'!#REF!)</f>
        <v>#REF!</v>
      </c>
      <c r="G147" s="1672" t="e">
        <f>IF('Pnj APBDES'!#REF!="","",'Pnj APBDES'!#REF!)</f>
        <v>#REF!</v>
      </c>
      <c r="H147" s="1692" t="e">
        <f>IF('Pnj APBDES'!#REF!="","",'Pnj APBDES'!#REF!)</f>
        <v>#REF!</v>
      </c>
      <c r="I147" s="1675" t="e">
        <f>'Pnj APBDES'!#REF!</f>
        <v>#REF!</v>
      </c>
      <c r="J147" s="1745" t="e">
        <f>IF('Pnj APBDES'!#REF!="","",'Pnj APBDES'!#REF!)</f>
        <v>#REF!</v>
      </c>
      <c r="K147" s="1675">
        <f>K148</f>
        <v>0</v>
      </c>
      <c r="L147" s="1675">
        <f t="shared" ref="L147:V148" si="70">L148</f>
        <v>0</v>
      </c>
      <c r="M147" s="1675">
        <f t="shared" si="70"/>
        <v>0</v>
      </c>
      <c r="N147" s="1675">
        <f t="shared" si="70"/>
        <v>0</v>
      </c>
      <c r="O147" s="1675">
        <f t="shared" si="70"/>
        <v>40000000</v>
      </c>
      <c r="P147" s="1675">
        <f t="shared" si="70"/>
        <v>0</v>
      </c>
      <c r="Q147" s="1675">
        <f t="shared" si="70"/>
        <v>0</v>
      </c>
      <c r="R147" s="1675">
        <f t="shared" si="70"/>
        <v>0</v>
      </c>
      <c r="S147" s="1675">
        <f t="shared" si="70"/>
        <v>0</v>
      </c>
      <c r="T147" s="1675">
        <f t="shared" si="70"/>
        <v>0</v>
      </c>
      <c r="U147" s="1675">
        <f t="shared" si="70"/>
        <v>0</v>
      </c>
      <c r="V147" s="1675">
        <f t="shared" si="70"/>
        <v>0</v>
      </c>
      <c r="W147" s="1675">
        <f t="shared" si="69"/>
        <v>40000000</v>
      </c>
      <c r="X147" s="1751" t="e">
        <f t="shared" si="68"/>
        <v>#REF!</v>
      </c>
      <c r="Y147" s="1540" t="e">
        <f t="shared" si="59"/>
        <v>#REF!</v>
      </c>
    </row>
    <row r="148" spans="1:25">
      <c r="A148" s="1699" t="e">
        <f>IF('Pnj APBDES'!#REF!="","",'Pnj APBDES'!#REF!)</f>
        <v>#REF!</v>
      </c>
      <c r="B148" s="1687" t="e">
        <f>IF('Pnj APBDES'!#REF!="","",'Pnj APBDES'!#REF!)</f>
        <v>#REF!</v>
      </c>
      <c r="C148" s="1687" t="e">
        <f>IF('Pnj APBDES'!#REF!="","",'Pnj APBDES'!#REF!)</f>
        <v>#REF!</v>
      </c>
      <c r="D148" s="1676" t="e">
        <f>IF('Pnj APBDES'!#REF!="","",'Pnj APBDES'!#REF!)</f>
        <v>#REF!</v>
      </c>
      <c r="E148" s="1676" t="e">
        <f>IF('Pnj APBDES'!#REF!="","",'Pnj APBDES'!#REF!)</f>
        <v>#REF!</v>
      </c>
      <c r="F148" s="1676" t="e">
        <f>IF('Pnj APBDES'!#REF!="","",'Pnj APBDES'!#REF!)</f>
        <v>#REF!</v>
      </c>
      <c r="G148" s="1676" t="e">
        <f>IF('Pnj APBDES'!#REF!="","",'Pnj APBDES'!#REF!)</f>
        <v>#REF!</v>
      </c>
      <c r="H148" s="1678" t="e">
        <f>IF('Pnj APBDES'!#REF!="","",'Pnj APBDES'!#REF!)</f>
        <v>#REF!</v>
      </c>
      <c r="I148" s="1679" t="e">
        <f>'Pnj APBDES'!#REF!</f>
        <v>#REF!</v>
      </c>
      <c r="J148" s="1746" t="e">
        <f>IF('Pnj APBDES'!#REF!="","",'Pnj APBDES'!#REF!)</f>
        <v>#REF!</v>
      </c>
      <c r="K148" s="1679">
        <f>K149</f>
        <v>0</v>
      </c>
      <c r="L148" s="1679">
        <f t="shared" si="70"/>
        <v>0</v>
      </c>
      <c r="M148" s="1679">
        <f t="shared" si="70"/>
        <v>0</v>
      </c>
      <c r="N148" s="1679">
        <f t="shared" si="70"/>
        <v>0</v>
      </c>
      <c r="O148" s="1679">
        <f t="shared" si="70"/>
        <v>40000000</v>
      </c>
      <c r="P148" s="1679">
        <f t="shared" si="70"/>
        <v>0</v>
      </c>
      <c r="Q148" s="1679">
        <f t="shared" si="70"/>
        <v>0</v>
      </c>
      <c r="R148" s="1679">
        <f t="shared" si="70"/>
        <v>0</v>
      </c>
      <c r="S148" s="1679">
        <f t="shared" si="70"/>
        <v>0</v>
      </c>
      <c r="T148" s="1679">
        <f t="shared" si="70"/>
        <v>0</v>
      </c>
      <c r="U148" s="1679">
        <f t="shared" si="70"/>
        <v>0</v>
      </c>
      <c r="V148" s="1679">
        <f t="shared" si="70"/>
        <v>0</v>
      </c>
      <c r="W148" s="1679">
        <f t="shared" si="69"/>
        <v>40000000</v>
      </c>
      <c r="X148" s="1751" t="e">
        <f t="shared" si="68"/>
        <v>#REF!</v>
      </c>
      <c r="Y148" s="1540" t="e">
        <f t="shared" si="59"/>
        <v>#REF!</v>
      </c>
    </row>
    <row r="149" spans="1:25">
      <c r="A149" s="1699" t="e">
        <f>IF('Pnj APBDES'!#REF!="","",'Pnj APBDES'!#REF!)</f>
        <v>#REF!</v>
      </c>
      <c r="B149" s="1687" t="e">
        <f>IF('Pnj APBDES'!#REF!="","",'Pnj APBDES'!#REF!)</f>
        <v>#REF!</v>
      </c>
      <c r="C149" s="1687" t="e">
        <f>IF('Pnj APBDES'!#REF!="","",'Pnj APBDES'!#REF!)</f>
        <v>#REF!</v>
      </c>
      <c r="D149" s="1676" t="e">
        <f>IF('Pnj APBDES'!#REF!="","",'Pnj APBDES'!#REF!)</f>
        <v>#REF!</v>
      </c>
      <c r="E149" s="1676" t="e">
        <f>IF('Pnj APBDES'!#REF!="","",'Pnj APBDES'!#REF!)</f>
        <v>#REF!</v>
      </c>
      <c r="F149" s="1676" t="e">
        <f>IF('Pnj APBDES'!#REF!="","",'Pnj APBDES'!#REF!)</f>
        <v>#REF!</v>
      </c>
      <c r="G149" s="1676" t="e">
        <f>IF('Pnj APBDES'!#REF!="","",'Pnj APBDES'!#REF!)</f>
        <v>#REF!</v>
      </c>
      <c r="H149" s="1696" t="e">
        <f>IF('Pnj APBDES'!#REF!="","",'Pnj APBDES'!#REF!)</f>
        <v>#REF!</v>
      </c>
      <c r="I149" s="1679" t="e">
        <f>'Pnj APBDES'!#REF!</f>
        <v>#REF!</v>
      </c>
      <c r="J149" s="1746" t="e">
        <f>IF('Pnj APBDES'!#REF!="","",'Pnj APBDES'!#REF!)</f>
        <v>#REF!</v>
      </c>
      <c r="K149" s="1679">
        <f>SUM(K150:K151)</f>
        <v>0</v>
      </c>
      <c r="L149" s="1679">
        <f t="shared" ref="L149:V149" si="71">SUM(L150:L151)</f>
        <v>0</v>
      </c>
      <c r="M149" s="1679">
        <f t="shared" si="71"/>
        <v>0</v>
      </c>
      <c r="N149" s="1679">
        <f t="shared" si="71"/>
        <v>0</v>
      </c>
      <c r="O149" s="1679">
        <f t="shared" si="71"/>
        <v>40000000</v>
      </c>
      <c r="P149" s="1679">
        <f t="shared" si="71"/>
        <v>0</v>
      </c>
      <c r="Q149" s="1679">
        <f t="shared" si="71"/>
        <v>0</v>
      </c>
      <c r="R149" s="1679">
        <f t="shared" si="71"/>
        <v>0</v>
      </c>
      <c r="S149" s="1679">
        <f t="shared" si="71"/>
        <v>0</v>
      </c>
      <c r="T149" s="1679">
        <f t="shared" si="71"/>
        <v>0</v>
      </c>
      <c r="U149" s="1679">
        <f t="shared" si="71"/>
        <v>0</v>
      </c>
      <c r="V149" s="1679">
        <f t="shared" si="71"/>
        <v>0</v>
      </c>
      <c r="W149" s="1679">
        <f t="shared" si="69"/>
        <v>40000000</v>
      </c>
      <c r="X149" s="1751" t="e">
        <f t="shared" si="68"/>
        <v>#REF!</v>
      </c>
      <c r="Y149" s="1540" t="e">
        <f t="shared" si="59"/>
        <v>#REF!</v>
      </c>
    </row>
    <row r="150" spans="1:25">
      <c r="A150" s="1699" t="e">
        <f>IF('Pnj APBDES'!#REF!="","",'Pnj APBDES'!#REF!)</f>
        <v>#REF!</v>
      </c>
      <c r="B150" s="1687" t="e">
        <f>IF('Pnj APBDES'!#REF!="","",'Pnj APBDES'!#REF!)</f>
        <v>#REF!</v>
      </c>
      <c r="C150" s="1687" t="e">
        <f>IF('Pnj APBDES'!#REF!="","",'Pnj APBDES'!#REF!)</f>
        <v>#REF!</v>
      </c>
      <c r="D150" s="1676" t="e">
        <f>IF('Pnj APBDES'!#REF!="","",'Pnj APBDES'!#REF!)</f>
        <v>#REF!</v>
      </c>
      <c r="E150" s="1676" t="e">
        <f>IF('Pnj APBDES'!#REF!="","",'Pnj APBDES'!#REF!)</f>
        <v>#REF!</v>
      </c>
      <c r="F150" s="1676" t="e">
        <f>IF('Pnj APBDES'!#REF!="","",'Pnj APBDES'!#REF!)</f>
        <v>#REF!</v>
      </c>
      <c r="G150" s="1676" t="e">
        <f>IF('Pnj APBDES'!#REF!="","",'Pnj APBDES'!#REF!)</f>
        <v>#REF!</v>
      </c>
      <c r="H150" s="1678" t="e">
        <f>IF('Pnj APBDES'!#REF!="","",'Pnj APBDES'!#REF!)</f>
        <v>#REF!</v>
      </c>
      <c r="I150" s="1679" t="e">
        <f>'Pnj APBDES'!#REF!</f>
        <v>#REF!</v>
      </c>
      <c r="J150" s="1746" t="e">
        <f>IF('Pnj APBDES'!#REF!="","",'Pnj APBDES'!#REF!)</f>
        <v>#REF!</v>
      </c>
      <c r="K150" s="1679">
        <v>0</v>
      </c>
      <c r="L150" s="1679">
        <v>0</v>
      </c>
      <c r="M150" s="1679">
        <v>0</v>
      </c>
      <c r="N150" s="1679">
        <v>0</v>
      </c>
      <c r="O150" s="1679">
        <v>450000</v>
      </c>
      <c r="P150" s="1679">
        <v>0</v>
      </c>
      <c r="Q150" s="1679">
        <v>0</v>
      </c>
      <c r="R150" s="1679">
        <v>0</v>
      </c>
      <c r="S150" s="1679">
        <v>0</v>
      </c>
      <c r="T150" s="1679">
        <v>0</v>
      </c>
      <c r="U150" s="1679">
        <v>0</v>
      </c>
      <c r="V150" s="1679">
        <v>0</v>
      </c>
      <c r="W150" s="1679">
        <f t="shared" si="69"/>
        <v>450000</v>
      </c>
      <c r="X150" s="1751" t="e">
        <f t="shared" si="68"/>
        <v>#REF!</v>
      </c>
      <c r="Y150" s="1540" t="e">
        <f t="shared" si="59"/>
        <v>#REF!</v>
      </c>
    </row>
    <row r="151" spans="1:25">
      <c r="A151" s="1699" t="e">
        <f>IF('Pnj APBDES'!#REF!="","",'Pnj APBDES'!#REF!)</f>
        <v>#REF!</v>
      </c>
      <c r="B151" s="1687" t="e">
        <f>IF('Pnj APBDES'!#REF!="","",'Pnj APBDES'!#REF!)</f>
        <v>#REF!</v>
      </c>
      <c r="C151" s="1687" t="e">
        <f>IF('Pnj APBDES'!#REF!="","",'Pnj APBDES'!#REF!)</f>
        <v>#REF!</v>
      </c>
      <c r="D151" s="1676" t="e">
        <f>IF('Pnj APBDES'!#REF!="","",'Pnj APBDES'!#REF!)</f>
        <v>#REF!</v>
      </c>
      <c r="E151" s="1676" t="e">
        <f>IF('Pnj APBDES'!#REF!="","",'Pnj APBDES'!#REF!)</f>
        <v>#REF!</v>
      </c>
      <c r="F151" s="1676" t="e">
        <f>IF('Pnj APBDES'!#REF!="","",'Pnj APBDES'!#REF!)</f>
        <v>#REF!</v>
      </c>
      <c r="G151" s="1676" t="e">
        <f>IF('Pnj APBDES'!#REF!="","",'Pnj APBDES'!#REF!)</f>
        <v>#REF!</v>
      </c>
      <c r="H151" s="1678" t="e">
        <f>IF('Pnj APBDES'!#REF!="","",'Pnj APBDES'!#REF!)</f>
        <v>#REF!</v>
      </c>
      <c r="I151" s="1679" t="e">
        <f>'Pnj APBDES'!#REF!</f>
        <v>#REF!</v>
      </c>
      <c r="J151" s="1746" t="e">
        <f>IF('Pnj APBDES'!#REF!="","",'Pnj APBDES'!#REF!)</f>
        <v>#REF!</v>
      </c>
      <c r="K151" s="1679">
        <v>0</v>
      </c>
      <c r="L151" s="1679">
        <v>0</v>
      </c>
      <c r="M151" s="1679">
        <v>0</v>
      </c>
      <c r="N151" s="1679">
        <v>0</v>
      </c>
      <c r="O151" s="1679">
        <v>39550000</v>
      </c>
      <c r="P151" s="1679">
        <v>0</v>
      </c>
      <c r="Q151" s="1679">
        <v>0</v>
      </c>
      <c r="R151" s="1679">
        <v>0</v>
      </c>
      <c r="S151" s="1679">
        <v>0</v>
      </c>
      <c r="T151" s="1679">
        <v>0</v>
      </c>
      <c r="U151" s="1679">
        <v>0</v>
      </c>
      <c r="V151" s="1679">
        <v>0</v>
      </c>
      <c r="W151" s="1679">
        <f t="shared" si="69"/>
        <v>39550000</v>
      </c>
      <c r="X151" s="1751" t="e">
        <f t="shared" si="68"/>
        <v>#REF!</v>
      </c>
      <c r="Y151" s="1540" t="e">
        <f t="shared" si="59"/>
        <v>#REF!</v>
      </c>
    </row>
    <row r="152" spans="1:25" s="1540" customFormat="1">
      <c r="A152" s="1700">
        <f>IF('Pnj APBDES'!A255="","",'Pnj APBDES'!A255)</f>
        <v>3</v>
      </c>
      <c r="B152" s="1691">
        <f>IF('Pnj APBDES'!B255="","",'Pnj APBDES'!B255)</f>
        <v>3</v>
      </c>
      <c r="C152" s="1691">
        <f>IF('Pnj APBDES'!C255="","",'Pnj APBDES'!C255)</f>
        <v>15</v>
      </c>
      <c r="D152" s="1672" t="str">
        <f>IF('Pnj APBDES'!D255="","",'Pnj APBDES'!D255)</f>
        <v/>
      </c>
      <c r="E152" s="1672" t="str">
        <f>IF('Pnj APBDES'!E255="","",'Pnj APBDES'!E255)</f>
        <v/>
      </c>
      <c r="F152" s="1672" t="str">
        <f>IF('Pnj APBDES'!F255="","",'Pnj APBDES'!F255)</f>
        <v/>
      </c>
      <c r="G152" s="1672" t="str">
        <f>IF('Pnj APBDES'!G255="","",'Pnj APBDES'!G255)</f>
        <v/>
      </c>
      <c r="H152" s="1674" t="str">
        <f>IF('Pnj APBDES'!H255="","",'Pnj APBDES'!H255)</f>
        <v>Pembangunan gedung sarana olah raga desa</v>
      </c>
      <c r="I152" s="1675">
        <f>'Pnj APBDES'!K255</f>
        <v>203804386</v>
      </c>
      <c r="J152" s="1745" t="str">
        <f>IF('Pnj APBDES'!N255="","",'Pnj APBDES'!N255)</f>
        <v/>
      </c>
      <c r="K152" s="1675">
        <f>K153</f>
        <v>0</v>
      </c>
      <c r="L152" s="1675">
        <f t="shared" ref="L152:P152" si="72">L153</f>
        <v>0</v>
      </c>
      <c r="M152" s="1675">
        <f t="shared" si="72"/>
        <v>0</v>
      </c>
      <c r="N152" s="1675">
        <f t="shared" si="72"/>
        <v>0</v>
      </c>
      <c r="O152" s="1675">
        <f t="shared" si="72"/>
        <v>0</v>
      </c>
      <c r="P152" s="1675">
        <f t="shared" si="72"/>
        <v>0</v>
      </c>
      <c r="Q152" s="1675">
        <f>Q153</f>
        <v>0</v>
      </c>
      <c r="R152" s="1675">
        <f t="shared" ref="R152" si="73">R153</f>
        <v>192409800</v>
      </c>
      <c r="S152" s="1675">
        <f t="shared" ref="S152" si="74">S153</f>
        <v>0</v>
      </c>
      <c r="T152" s="1675">
        <f t="shared" ref="T152" si="75">T153</f>
        <v>0</v>
      </c>
      <c r="U152" s="1675">
        <f t="shared" ref="U152" si="76">U153</f>
        <v>0</v>
      </c>
      <c r="V152" s="1675">
        <f t="shared" ref="V152" si="77">V153</f>
        <v>0</v>
      </c>
      <c r="W152" s="1675">
        <f t="shared" si="69"/>
        <v>192409800</v>
      </c>
      <c r="X152" s="1751" t="str">
        <f t="shared" si="68"/>
        <v>Salah</v>
      </c>
      <c r="Y152" s="1540">
        <f t="shared" si="59"/>
        <v>-11394586</v>
      </c>
    </row>
    <row r="153" spans="1:25">
      <c r="A153" s="1699">
        <f>IF('Pnj APBDES'!A256="","",'Pnj APBDES'!A256)</f>
        <v>2</v>
      </c>
      <c r="B153" s="1687">
        <f>IF('Pnj APBDES'!B256="","",'Pnj APBDES'!B256)</f>
        <v>3</v>
      </c>
      <c r="C153" s="1687">
        <f>IF('Pnj APBDES'!C256="","",'Pnj APBDES'!C256)</f>
        <v>15</v>
      </c>
      <c r="D153" s="1676">
        <f>IF('Pnj APBDES'!D256="","",'Pnj APBDES'!D256)</f>
        <v>5</v>
      </c>
      <c r="E153" s="1676">
        <f>IF('Pnj APBDES'!E256="","",'Pnj APBDES'!E256)</f>
        <v>3</v>
      </c>
      <c r="F153" s="1676" t="str">
        <f>IF('Pnj APBDES'!F256="","",'Pnj APBDES'!F256)</f>
        <v/>
      </c>
      <c r="G153" s="1676" t="str">
        <f>IF('Pnj APBDES'!G256="","",'Pnj APBDES'!G256)</f>
        <v/>
      </c>
      <c r="H153" s="1678" t="str">
        <f>IF('Pnj APBDES'!H256="","",'Pnj APBDES'!H256)</f>
        <v>Belanja Modal</v>
      </c>
      <c r="I153" s="1679">
        <f>'Pnj APBDES'!K256</f>
        <v>203804386</v>
      </c>
      <c r="J153" s="1746" t="str">
        <f>IF('Pnj APBDES'!N256="","",'Pnj APBDES'!N256)</f>
        <v/>
      </c>
      <c r="K153" s="1679">
        <f>SUM(K154:K156)</f>
        <v>0</v>
      </c>
      <c r="L153" s="1679">
        <f t="shared" ref="L153:V153" si="78">SUM(L154:L156)</f>
        <v>0</v>
      </c>
      <c r="M153" s="1679">
        <f t="shared" si="78"/>
        <v>0</v>
      </c>
      <c r="N153" s="1679">
        <f t="shared" si="78"/>
        <v>0</v>
      </c>
      <c r="O153" s="1679">
        <f t="shared" si="78"/>
        <v>0</v>
      </c>
      <c r="P153" s="1679">
        <f t="shared" si="78"/>
        <v>0</v>
      </c>
      <c r="Q153" s="1679">
        <f t="shared" si="78"/>
        <v>0</v>
      </c>
      <c r="R153" s="1679">
        <f t="shared" si="78"/>
        <v>192409800</v>
      </c>
      <c r="S153" s="1679">
        <f t="shared" si="78"/>
        <v>0</v>
      </c>
      <c r="T153" s="1679">
        <f t="shared" si="78"/>
        <v>0</v>
      </c>
      <c r="U153" s="1679">
        <f t="shared" si="78"/>
        <v>0</v>
      </c>
      <c r="V153" s="1679">
        <f t="shared" si="78"/>
        <v>0</v>
      </c>
      <c r="W153" s="1679">
        <f t="shared" si="69"/>
        <v>192409800</v>
      </c>
      <c r="X153" s="1751" t="str">
        <f t="shared" si="68"/>
        <v>Salah</v>
      </c>
      <c r="Y153" s="1540">
        <f t="shared" si="59"/>
        <v>-11394586</v>
      </c>
    </row>
    <row r="154" spans="1:25">
      <c r="A154" s="1699">
        <f>IF('Pnj APBDES'!A257="","",'Pnj APBDES'!A257)</f>
        <v>2</v>
      </c>
      <c r="B154" s="1687">
        <f>IF('Pnj APBDES'!B257="","",'Pnj APBDES'!B257)</f>
        <v>3</v>
      </c>
      <c r="C154" s="1687">
        <f>IF('Pnj APBDES'!C257="","",'Pnj APBDES'!C257)</f>
        <v>15</v>
      </c>
      <c r="D154" s="1676">
        <f>IF('Pnj APBDES'!D257="","",'Pnj APBDES'!D257)</f>
        <v>5</v>
      </c>
      <c r="E154" s="1676">
        <f>IF('Pnj APBDES'!E257="","",'Pnj APBDES'!E257)</f>
        <v>3</v>
      </c>
      <c r="F154" s="1676">
        <f>IF('Pnj APBDES'!F257="","",'Pnj APBDES'!F257)</f>
        <v>1</v>
      </c>
      <c r="G154" s="1676" t="str">
        <f>IF('Pnj APBDES'!G257="","",'Pnj APBDES'!G257)</f>
        <v/>
      </c>
      <c r="H154" s="1678" t="str">
        <f>IF('Pnj APBDES'!H257="","",'Pnj APBDES'!H257)</f>
        <v>Belanja Modal Honor Tim yang Melaksanakan Kegiatan</v>
      </c>
      <c r="I154" s="1679">
        <f>'Pnj APBDES'!K257</f>
        <v>825000</v>
      </c>
      <c r="J154" s="1746" t="str">
        <f>IF('Pnj APBDES'!N257="","",'Pnj APBDES'!N257)</f>
        <v>DD</v>
      </c>
      <c r="K154" s="1679">
        <v>0</v>
      </c>
      <c r="L154" s="1679">
        <v>0</v>
      </c>
      <c r="M154" s="1679">
        <v>0</v>
      </c>
      <c r="N154" s="1679">
        <v>0</v>
      </c>
      <c r="O154" s="1679">
        <v>0</v>
      </c>
      <c r="P154" s="1679">
        <v>0</v>
      </c>
      <c r="Q154" s="1679">
        <v>0</v>
      </c>
      <c r="R154" s="1679">
        <v>825000</v>
      </c>
      <c r="S154" s="1679">
        <v>0</v>
      </c>
      <c r="T154" s="1679">
        <v>0</v>
      </c>
      <c r="U154" s="1679">
        <v>0</v>
      </c>
      <c r="V154" s="1679">
        <v>0</v>
      </c>
      <c r="W154" s="1679">
        <f t="shared" si="69"/>
        <v>825000</v>
      </c>
      <c r="X154" s="1751" t="str">
        <f t="shared" si="68"/>
        <v>Sama</v>
      </c>
      <c r="Y154" s="1540">
        <f t="shared" si="59"/>
        <v>0</v>
      </c>
    </row>
    <row r="155" spans="1:25">
      <c r="A155" s="1699">
        <f>IF('Pnj APBDES'!A258="","",'Pnj APBDES'!A258)</f>
        <v>2</v>
      </c>
      <c r="B155" s="1687">
        <f>IF('Pnj APBDES'!B258="","",'Pnj APBDES'!B258)</f>
        <v>3</v>
      </c>
      <c r="C155" s="1687">
        <f>IF('Pnj APBDES'!C258="","",'Pnj APBDES'!C258)</f>
        <v>15</v>
      </c>
      <c r="D155" s="1676">
        <f>IF('Pnj APBDES'!D258="","",'Pnj APBDES'!D258)</f>
        <v>5</v>
      </c>
      <c r="E155" s="1676">
        <f>IF('Pnj APBDES'!E258="","",'Pnj APBDES'!E258)</f>
        <v>3</v>
      </c>
      <c r="F155" s="1676">
        <f>IF('Pnj APBDES'!F258="","",'Pnj APBDES'!F258)</f>
        <v>2</v>
      </c>
      <c r="G155" s="1676" t="str">
        <f>IF('Pnj APBDES'!G258="","",'Pnj APBDES'!G258)</f>
        <v/>
      </c>
      <c r="H155" s="1678" t="str">
        <f>IF('Pnj APBDES'!H258="","",'Pnj APBDES'!H258)</f>
        <v>Belanja Modal Upah Tenaga Kerja</v>
      </c>
      <c r="I155" s="1679">
        <f>'Pnj APBDES'!K258</f>
        <v>41760000</v>
      </c>
      <c r="J155" s="1746" t="str">
        <f>IF('Pnj APBDES'!N258="","",'Pnj APBDES'!N258)</f>
        <v>DD</v>
      </c>
      <c r="K155" s="1679">
        <v>0</v>
      </c>
      <c r="L155" s="1679">
        <v>0</v>
      </c>
      <c r="M155" s="1679">
        <v>0</v>
      </c>
      <c r="N155" s="1679">
        <v>0</v>
      </c>
      <c r="O155" s="1679">
        <v>0</v>
      </c>
      <c r="P155" s="1679">
        <v>0</v>
      </c>
      <c r="Q155" s="1679">
        <v>0</v>
      </c>
      <c r="R155" s="1679">
        <v>43080000</v>
      </c>
      <c r="S155" s="1679">
        <v>0</v>
      </c>
      <c r="T155" s="1679">
        <v>0</v>
      </c>
      <c r="U155" s="1679">
        <v>0</v>
      </c>
      <c r="V155" s="1679">
        <v>0</v>
      </c>
      <c r="W155" s="1679">
        <f t="shared" si="69"/>
        <v>43080000</v>
      </c>
      <c r="X155" s="1751" t="str">
        <f t="shared" si="68"/>
        <v>Salah</v>
      </c>
      <c r="Y155" s="1540">
        <f t="shared" si="59"/>
        <v>1320000</v>
      </c>
    </row>
    <row r="156" spans="1:25">
      <c r="A156" s="1699">
        <f>IF('Pnj APBDES'!A259="","",'Pnj APBDES'!A259)</f>
        <v>2</v>
      </c>
      <c r="B156" s="1687">
        <f>IF('Pnj APBDES'!B259="","",'Pnj APBDES'!B259)</f>
        <v>3</v>
      </c>
      <c r="C156" s="1687">
        <f>IF('Pnj APBDES'!C259="","",'Pnj APBDES'!C259)</f>
        <v>15</v>
      </c>
      <c r="D156" s="1676">
        <f>IF('Pnj APBDES'!D259="","",'Pnj APBDES'!D259)</f>
        <v>5</v>
      </c>
      <c r="E156" s="1676">
        <f>IF('Pnj APBDES'!E259="","",'Pnj APBDES'!E259)</f>
        <v>3</v>
      </c>
      <c r="F156" s="1676">
        <f>IF('Pnj APBDES'!F259="","",'Pnj APBDES'!F259)</f>
        <v>3</v>
      </c>
      <c r="G156" s="1676" t="str">
        <f>IF('Pnj APBDES'!G259="","",'Pnj APBDES'!G259)</f>
        <v/>
      </c>
      <c r="H156" s="1678" t="str">
        <f>IF('Pnj APBDES'!H259="","",'Pnj APBDES'!H259)</f>
        <v xml:space="preserve">Belanja Modal Bahan Baku </v>
      </c>
      <c r="I156" s="1679">
        <f>'Pnj APBDES'!K259</f>
        <v>161219386</v>
      </c>
      <c r="J156" s="1746" t="str">
        <f>IF('Pnj APBDES'!N259="","",'Pnj APBDES'!N259)</f>
        <v>DD</v>
      </c>
      <c r="K156" s="1679">
        <v>0</v>
      </c>
      <c r="L156" s="1679">
        <v>0</v>
      </c>
      <c r="M156" s="1679">
        <v>0</v>
      </c>
      <c r="N156" s="1679">
        <v>0</v>
      </c>
      <c r="O156" s="1679">
        <v>0</v>
      </c>
      <c r="P156" s="1679">
        <v>0</v>
      </c>
      <c r="Q156" s="1679">
        <v>0</v>
      </c>
      <c r="R156" s="1679">
        <v>148504800</v>
      </c>
      <c r="S156" s="1679">
        <v>0</v>
      </c>
      <c r="T156" s="1679">
        <v>0</v>
      </c>
      <c r="U156" s="1679">
        <v>0</v>
      </c>
      <c r="V156" s="1679">
        <v>0</v>
      </c>
      <c r="W156" s="1679">
        <f t="shared" si="69"/>
        <v>148504800</v>
      </c>
      <c r="X156" s="1751" t="str">
        <f t="shared" si="68"/>
        <v>Salah</v>
      </c>
      <c r="Y156" s="1540">
        <f t="shared" si="59"/>
        <v>-12714586</v>
      </c>
    </row>
    <row r="157" spans="1:25">
      <c r="A157" s="1699" t="e">
        <f>IF('Pnj APBDES'!#REF!="","",'Pnj APBDES'!#REF!)</f>
        <v>#REF!</v>
      </c>
      <c r="B157" s="1687" t="e">
        <f>IF('Pnj APBDES'!#REF!="","",'Pnj APBDES'!#REF!)</f>
        <v>#REF!</v>
      </c>
      <c r="C157" s="1687" t="e">
        <f>IF('Pnj APBDES'!#REF!="","",'Pnj APBDES'!#REF!)</f>
        <v>#REF!</v>
      </c>
      <c r="D157" s="1676" t="e">
        <f>IF('Pnj APBDES'!#REF!="","",'Pnj APBDES'!#REF!)</f>
        <v>#REF!</v>
      </c>
      <c r="E157" s="1676" t="e">
        <f>IF('Pnj APBDES'!#REF!="","",'Pnj APBDES'!#REF!)</f>
        <v>#REF!</v>
      </c>
      <c r="F157" s="1676" t="e">
        <f>IF('Pnj APBDES'!#REF!="","",'Pnj APBDES'!#REF!)</f>
        <v>#REF!</v>
      </c>
      <c r="G157" s="1676" t="e">
        <f>IF('Pnj APBDES'!#REF!="","",'Pnj APBDES'!#REF!)</f>
        <v>#REF!</v>
      </c>
      <c r="H157" s="1678" t="e">
        <f>IF('Pnj APBDES'!#REF!="","",'Pnj APBDES'!#REF!)</f>
        <v>#REF!</v>
      </c>
      <c r="I157" s="1679" t="e">
        <f>'Pnj APBDES'!#REF!</f>
        <v>#REF!</v>
      </c>
      <c r="J157" s="1746" t="e">
        <f>IF('Pnj APBDES'!#REF!="","",'Pnj APBDES'!#REF!)</f>
        <v>#REF!</v>
      </c>
      <c r="K157" s="1679"/>
      <c r="L157" s="1679"/>
      <c r="M157" s="1679"/>
      <c r="N157" s="1679"/>
      <c r="O157" s="1679"/>
      <c r="P157" s="1679"/>
      <c r="Q157" s="1679"/>
      <c r="R157" s="1679"/>
      <c r="S157" s="1679"/>
      <c r="T157" s="1679"/>
      <c r="U157" s="1679"/>
      <c r="V157" s="1679"/>
      <c r="W157" s="1679">
        <f t="shared" si="69"/>
        <v>0</v>
      </c>
      <c r="X157" s="1751" t="e">
        <f t="shared" si="68"/>
        <v>#REF!</v>
      </c>
      <c r="Y157" s="1540" t="e">
        <f t="shared" si="59"/>
        <v>#REF!</v>
      </c>
    </row>
    <row r="158" spans="1:25" s="1540" customFormat="1">
      <c r="A158" s="1669">
        <f>IF('Pnj APBDES'!A226="","",'Pnj APBDES'!A226)</f>
        <v>3</v>
      </c>
      <c r="B158" s="1697" t="str">
        <f>IF('Pnj APBDES'!B226="","",'Pnj APBDES'!B226)</f>
        <v/>
      </c>
      <c r="C158" s="1697" t="str">
        <f>IF('Pnj APBDES'!C226="","",'Pnj APBDES'!C226)</f>
        <v/>
      </c>
      <c r="D158" s="1669" t="str">
        <f>IF('Pnj APBDES'!D226="","",'Pnj APBDES'!D226)</f>
        <v/>
      </c>
      <c r="E158" s="1669" t="str">
        <f>IF('Pnj APBDES'!E226="","",'Pnj APBDES'!E226)</f>
        <v/>
      </c>
      <c r="F158" s="1669" t="str">
        <f>IF('Pnj APBDES'!F226="","",'Pnj APBDES'!F226)</f>
        <v/>
      </c>
      <c r="G158" s="1669" t="str">
        <f>IF('Pnj APBDES'!G226="","",'Pnj APBDES'!G226)</f>
        <v/>
      </c>
      <c r="H158" s="1670" t="str">
        <f>IF('Pnj APBDES'!H226="","",'Pnj APBDES'!H226)</f>
        <v>PEMBINAAN KEMASYARAKATAN DESA</v>
      </c>
      <c r="I158" s="1671">
        <f>'Pnj APBDES'!K226</f>
        <v>270759386</v>
      </c>
      <c r="J158" s="1744" t="str">
        <f>IF('Pnj APBDES'!N226="","",'Pnj APBDES'!N226)</f>
        <v/>
      </c>
      <c r="K158" s="1671" t="e">
        <f>K159+K164+K183+K188</f>
        <v>#REF!</v>
      </c>
      <c r="L158" s="1671" t="e">
        <f t="shared" ref="L158:V158" si="79">L159+L164+L183+L188</f>
        <v>#REF!</v>
      </c>
      <c r="M158" s="1671" t="e">
        <f t="shared" si="79"/>
        <v>#REF!</v>
      </c>
      <c r="N158" s="1671" t="e">
        <f t="shared" si="79"/>
        <v>#REF!</v>
      </c>
      <c r="O158" s="1671" t="e">
        <f t="shared" si="79"/>
        <v>#REF!</v>
      </c>
      <c r="P158" s="1671" t="e">
        <f t="shared" si="79"/>
        <v>#REF!</v>
      </c>
      <c r="Q158" s="1671" t="e">
        <f t="shared" si="79"/>
        <v>#REF!</v>
      </c>
      <c r="R158" s="1671" t="e">
        <f t="shared" si="79"/>
        <v>#REF!</v>
      </c>
      <c r="S158" s="1671" t="e">
        <f t="shared" si="79"/>
        <v>#REF!</v>
      </c>
      <c r="T158" s="1671" t="e">
        <f t="shared" si="79"/>
        <v>#REF!</v>
      </c>
      <c r="U158" s="1671" t="e">
        <f t="shared" si="79"/>
        <v>#REF!</v>
      </c>
      <c r="V158" s="1671" t="e">
        <f t="shared" si="79"/>
        <v>#REF!</v>
      </c>
      <c r="W158" s="1671" t="e">
        <f t="shared" si="69"/>
        <v>#REF!</v>
      </c>
      <c r="X158" s="1751" t="e">
        <f t="shared" si="68"/>
        <v>#REF!</v>
      </c>
      <c r="Y158" s="1540" t="e">
        <f t="shared" si="59"/>
        <v>#REF!</v>
      </c>
    </row>
    <row r="159" spans="1:25" s="1540" customFormat="1">
      <c r="A159" s="1672">
        <f>IF('Pnj APBDES'!A227="","",'Pnj APBDES'!A227)</f>
        <v>3</v>
      </c>
      <c r="B159" s="1673">
        <f>IF('Pnj APBDES'!B227="","",'Pnj APBDES'!B227)</f>
        <v>1</v>
      </c>
      <c r="C159" s="1673" t="str">
        <f>IF('Pnj APBDES'!C227="","",'Pnj APBDES'!C227)</f>
        <v/>
      </c>
      <c r="D159" s="1672" t="str">
        <f>IF('Pnj APBDES'!D227="","",'Pnj APBDES'!D227)</f>
        <v/>
      </c>
      <c r="E159" s="1672" t="str">
        <f>IF('Pnj APBDES'!E227="","",'Pnj APBDES'!E227)</f>
        <v/>
      </c>
      <c r="F159" s="1672" t="str">
        <f>IF('Pnj APBDES'!F227="","",'Pnj APBDES'!F227)</f>
        <v/>
      </c>
      <c r="G159" s="1672" t="str">
        <f>IF('Pnj APBDES'!G227="","",'Pnj APBDES'!G227)</f>
        <v/>
      </c>
      <c r="H159" s="1674" t="str">
        <f>IF('Pnj APBDES'!H227="","",'Pnj APBDES'!H227)</f>
        <v>Ketenteraman, Ketertiban Umum, dan Pelindungan Masyarakat</v>
      </c>
      <c r="I159" s="1675">
        <f>'Pnj APBDES'!K227</f>
        <v>8700000</v>
      </c>
      <c r="J159" s="1745" t="str">
        <f>IF('Pnj APBDES'!N227="","",'Pnj APBDES'!N227)</f>
        <v/>
      </c>
      <c r="K159" s="1675">
        <f>K160</f>
        <v>725000</v>
      </c>
      <c r="L159" s="1675">
        <f t="shared" ref="L159:V161" si="80">L160</f>
        <v>725000</v>
      </c>
      <c r="M159" s="1675">
        <f t="shared" si="80"/>
        <v>725000</v>
      </c>
      <c r="N159" s="1675">
        <f t="shared" si="80"/>
        <v>725000</v>
      </c>
      <c r="O159" s="1675">
        <f t="shared" si="80"/>
        <v>725000</v>
      </c>
      <c r="P159" s="1675">
        <f t="shared" si="80"/>
        <v>725000</v>
      </c>
      <c r="Q159" s="1675">
        <f t="shared" si="80"/>
        <v>725000</v>
      </c>
      <c r="R159" s="1675">
        <f t="shared" si="80"/>
        <v>725000</v>
      </c>
      <c r="S159" s="1675">
        <f t="shared" si="80"/>
        <v>725000</v>
      </c>
      <c r="T159" s="1675">
        <f t="shared" si="80"/>
        <v>725000</v>
      </c>
      <c r="U159" s="1675">
        <f t="shared" si="80"/>
        <v>725000</v>
      </c>
      <c r="V159" s="1675">
        <f t="shared" si="80"/>
        <v>725000</v>
      </c>
      <c r="W159" s="1675">
        <f t="shared" si="69"/>
        <v>8700000</v>
      </c>
      <c r="X159" s="1751" t="str">
        <f t="shared" si="68"/>
        <v>Sama</v>
      </c>
      <c r="Y159" s="1540">
        <f t="shared" si="59"/>
        <v>0</v>
      </c>
    </row>
    <row r="160" spans="1:25" ht="24">
      <c r="A160" s="1699">
        <f>IF('Pnj APBDES'!A228="","",'Pnj APBDES'!A228)</f>
        <v>3</v>
      </c>
      <c r="B160" s="1687">
        <f>IF('Pnj APBDES'!B228="","",'Pnj APBDES'!B228)</f>
        <v>1</v>
      </c>
      <c r="C160" s="1687" t="str">
        <f>IF('Pnj APBDES'!C228="","",'Pnj APBDES'!C228)</f>
        <v>02</v>
      </c>
      <c r="D160" s="1676">
        <f>IF('Pnj APBDES'!D228="","",'Pnj APBDES'!D228)</f>
        <v>5</v>
      </c>
      <c r="E160" s="1676" t="str">
        <f>IF('Pnj APBDES'!E228="","",'Pnj APBDES'!E228)</f>
        <v/>
      </c>
      <c r="F160" s="1676" t="str">
        <f>IF('Pnj APBDES'!F228="","",'Pnj APBDES'!F228)</f>
        <v/>
      </c>
      <c r="G160" s="1676" t="str">
        <f>IF('Pnj APBDES'!G228="","",'Pnj APBDES'!G228)</f>
        <v/>
      </c>
      <c r="H160" s="1688" t="str">
        <f>IF('Pnj APBDES'!H228="","",'Pnj APBDES'!H228)</f>
        <v>Penguatan dan Peningkatan Kapasitas Tenaga Keamanan/Ketertiban oleh Pemerintah Desa (Satlinmas desa)</v>
      </c>
      <c r="I160" s="1679">
        <f>'Pnj APBDES'!K228</f>
        <v>8700000</v>
      </c>
      <c r="J160" s="1746" t="str">
        <f>IF('Pnj APBDES'!N228="","",'Pnj APBDES'!N228)</f>
        <v/>
      </c>
      <c r="K160" s="1679">
        <f>K161</f>
        <v>725000</v>
      </c>
      <c r="L160" s="1679">
        <f t="shared" si="80"/>
        <v>725000</v>
      </c>
      <c r="M160" s="1679">
        <f t="shared" si="80"/>
        <v>725000</v>
      </c>
      <c r="N160" s="1679">
        <f t="shared" si="80"/>
        <v>725000</v>
      </c>
      <c r="O160" s="1679">
        <f t="shared" si="80"/>
        <v>725000</v>
      </c>
      <c r="P160" s="1679">
        <f t="shared" si="80"/>
        <v>725000</v>
      </c>
      <c r="Q160" s="1679">
        <f t="shared" si="80"/>
        <v>725000</v>
      </c>
      <c r="R160" s="1679">
        <f t="shared" si="80"/>
        <v>725000</v>
      </c>
      <c r="S160" s="1679">
        <f t="shared" si="80"/>
        <v>725000</v>
      </c>
      <c r="T160" s="1679">
        <f t="shared" si="80"/>
        <v>725000</v>
      </c>
      <c r="U160" s="1679">
        <f t="shared" si="80"/>
        <v>725000</v>
      </c>
      <c r="V160" s="1679">
        <f t="shared" si="80"/>
        <v>725000</v>
      </c>
      <c r="W160" s="1679">
        <f t="shared" si="69"/>
        <v>8700000</v>
      </c>
      <c r="X160" s="1751" t="str">
        <f t="shared" si="68"/>
        <v>Sama</v>
      </c>
      <c r="Y160" s="1540">
        <f t="shared" si="59"/>
        <v>0</v>
      </c>
    </row>
    <row r="161" spans="1:25">
      <c r="A161" s="1699">
        <f>IF('Pnj APBDES'!A229="","",'Pnj APBDES'!A229)</f>
        <v>3</v>
      </c>
      <c r="B161" s="1687">
        <f>IF('Pnj APBDES'!B229="","",'Pnj APBDES'!B229)</f>
        <v>1</v>
      </c>
      <c r="C161" s="1687" t="str">
        <f>IF('Pnj APBDES'!C229="","",'Pnj APBDES'!C229)</f>
        <v>02</v>
      </c>
      <c r="D161" s="1676">
        <f>IF('Pnj APBDES'!D229="","",'Pnj APBDES'!D229)</f>
        <v>5</v>
      </c>
      <c r="E161" s="1676">
        <f>IF('Pnj APBDES'!E229="","",'Pnj APBDES'!E229)</f>
        <v>2</v>
      </c>
      <c r="F161" s="1676" t="str">
        <f>IF('Pnj APBDES'!F229="","",'Pnj APBDES'!F229)</f>
        <v/>
      </c>
      <c r="G161" s="1676" t="str">
        <f>IF('Pnj APBDES'!G229="","",'Pnj APBDES'!G229)</f>
        <v/>
      </c>
      <c r="H161" s="1678" t="str">
        <f>IF('Pnj APBDES'!H229="","",'Pnj APBDES'!H229)</f>
        <v>Belanja Barang dan Jasa</v>
      </c>
      <c r="I161" s="1679">
        <f>'Pnj APBDES'!K229</f>
        <v>8700000</v>
      </c>
      <c r="J161" s="1746" t="str">
        <f>IF('Pnj APBDES'!N229="","",'Pnj APBDES'!N229)</f>
        <v/>
      </c>
      <c r="K161" s="1679">
        <f>K162</f>
        <v>725000</v>
      </c>
      <c r="L161" s="1679">
        <f t="shared" si="80"/>
        <v>725000</v>
      </c>
      <c r="M161" s="1679">
        <f t="shared" si="80"/>
        <v>725000</v>
      </c>
      <c r="N161" s="1679">
        <f t="shared" si="80"/>
        <v>725000</v>
      </c>
      <c r="O161" s="1679">
        <f t="shared" si="80"/>
        <v>725000</v>
      </c>
      <c r="P161" s="1679">
        <f t="shared" si="80"/>
        <v>725000</v>
      </c>
      <c r="Q161" s="1679">
        <f t="shared" si="80"/>
        <v>725000</v>
      </c>
      <c r="R161" s="1679">
        <f t="shared" si="80"/>
        <v>725000</v>
      </c>
      <c r="S161" s="1679">
        <f t="shared" si="80"/>
        <v>725000</v>
      </c>
      <c r="T161" s="1679">
        <f t="shared" si="80"/>
        <v>725000</v>
      </c>
      <c r="U161" s="1679">
        <f t="shared" si="80"/>
        <v>725000</v>
      </c>
      <c r="V161" s="1679">
        <f t="shared" si="80"/>
        <v>725000</v>
      </c>
      <c r="W161" s="1679">
        <f t="shared" si="69"/>
        <v>8700000</v>
      </c>
      <c r="X161" s="1751" t="str">
        <f t="shared" si="68"/>
        <v>Sama</v>
      </c>
      <c r="Y161" s="1540">
        <f t="shared" si="59"/>
        <v>0</v>
      </c>
    </row>
    <row r="162" spans="1:25">
      <c r="A162" s="1699">
        <f>IF('Pnj APBDES'!A230="","",'Pnj APBDES'!A230)</f>
        <v>3</v>
      </c>
      <c r="B162" s="1687">
        <f>IF('Pnj APBDES'!B230="","",'Pnj APBDES'!B230)</f>
        <v>1</v>
      </c>
      <c r="C162" s="1687" t="str">
        <f>IF('Pnj APBDES'!C230="","",'Pnj APBDES'!C230)</f>
        <v>02</v>
      </c>
      <c r="D162" s="1676">
        <f>IF('Pnj APBDES'!D230="","",'Pnj APBDES'!D230)</f>
        <v>5</v>
      </c>
      <c r="E162" s="1676">
        <f>IF('Pnj APBDES'!E230="","",'Pnj APBDES'!E230)</f>
        <v>2</v>
      </c>
      <c r="F162" s="1676">
        <f>IF('Pnj APBDES'!F230="","",'Pnj APBDES'!F230)</f>
        <v>2</v>
      </c>
      <c r="G162" s="1676" t="str">
        <f>IF('Pnj APBDES'!G230="","",'Pnj APBDES'!G230)</f>
        <v/>
      </c>
      <c r="H162" s="1678" t="str">
        <f>IF('Pnj APBDES'!H230="","",'Pnj APBDES'!H230)</f>
        <v>Belanja Jasa Honorarium</v>
      </c>
      <c r="I162" s="1679">
        <f>'Pnj APBDES'!K230</f>
        <v>8700000</v>
      </c>
      <c r="J162" s="1746" t="str">
        <f>IF('Pnj APBDES'!N230="","",'Pnj APBDES'!N230)</f>
        <v/>
      </c>
      <c r="K162" s="1679">
        <f>SUM(K163:K163)</f>
        <v>725000</v>
      </c>
      <c r="L162" s="1679">
        <f t="shared" ref="L162:V162" si="81">SUM(L163:L163)</f>
        <v>725000</v>
      </c>
      <c r="M162" s="1679">
        <f t="shared" si="81"/>
        <v>725000</v>
      </c>
      <c r="N162" s="1679">
        <f t="shared" si="81"/>
        <v>725000</v>
      </c>
      <c r="O162" s="1679">
        <f t="shared" si="81"/>
        <v>725000</v>
      </c>
      <c r="P162" s="1679">
        <f t="shared" si="81"/>
        <v>725000</v>
      </c>
      <c r="Q162" s="1679">
        <f t="shared" si="81"/>
        <v>725000</v>
      </c>
      <c r="R162" s="1679">
        <f t="shared" si="81"/>
        <v>725000</v>
      </c>
      <c r="S162" s="1679">
        <f t="shared" si="81"/>
        <v>725000</v>
      </c>
      <c r="T162" s="1679">
        <f t="shared" si="81"/>
        <v>725000</v>
      </c>
      <c r="U162" s="1679">
        <f t="shared" si="81"/>
        <v>725000</v>
      </c>
      <c r="V162" s="1679">
        <f t="shared" si="81"/>
        <v>725000</v>
      </c>
      <c r="W162" s="1679">
        <f t="shared" si="69"/>
        <v>8700000</v>
      </c>
      <c r="X162" s="1751" t="str">
        <f t="shared" si="68"/>
        <v>Sama</v>
      </c>
      <c r="Y162" s="1540">
        <f t="shared" si="59"/>
        <v>0</v>
      </c>
    </row>
    <row r="163" spans="1:25">
      <c r="A163" s="1699">
        <f>IF('Pnj APBDES'!A231="","",'Pnj APBDES'!A231)</f>
        <v>3</v>
      </c>
      <c r="B163" s="1687">
        <f>IF('Pnj APBDES'!B231="","",'Pnj APBDES'!B231)</f>
        <v>1</v>
      </c>
      <c r="C163" s="1687" t="str">
        <f>IF('Pnj APBDES'!C231="","",'Pnj APBDES'!C231)</f>
        <v>02</v>
      </c>
      <c r="D163" s="1676">
        <f>IF('Pnj APBDES'!D231="","",'Pnj APBDES'!D231)</f>
        <v>5</v>
      </c>
      <c r="E163" s="1676">
        <f>IF('Pnj APBDES'!E231="","",'Pnj APBDES'!E231)</f>
        <v>2</v>
      </c>
      <c r="F163" s="1676">
        <f>IF('Pnj APBDES'!F231="","",'Pnj APBDES'!F231)</f>
        <v>2</v>
      </c>
      <c r="G163" s="1676">
        <f>IF('Pnj APBDES'!G231="","",'Pnj APBDES'!G231)</f>
        <v>5</v>
      </c>
      <c r="H163" s="1678" t="str">
        <f>IF('Pnj APBDES'!H231="","",'Pnj APBDES'!H231)</f>
        <v>Belanja Jasa Honorarium Petugas</v>
      </c>
      <c r="I163" s="1679">
        <f>'Pnj APBDES'!K231</f>
        <v>8700000</v>
      </c>
      <c r="J163" s="1746" t="str">
        <f>IF('Pnj APBDES'!N231="","",'Pnj APBDES'!N231)</f>
        <v>PAD</v>
      </c>
      <c r="K163" s="1679">
        <f>$I163/12</f>
        <v>725000</v>
      </c>
      <c r="L163" s="1679">
        <f t="shared" ref="L163:V163" si="82">$I163/12</f>
        <v>725000</v>
      </c>
      <c r="M163" s="1679">
        <f t="shared" si="82"/>
        <v>725000</v>
      </c>
      <c r="N163" s="1679">
        <f t="shared" si="82"/>
        <v>725000</v>
      </c>
      <c r="O163" s="1679">
        <f t="shared" si="82"/>
        <v>725000</v>
      </c>
      <c r="P163" s="1679">
        <f t="shared" si="82"/>
        <v>725000</v>
      </c>
      <c r="Q163" s="1679">
        <f t="shared" si="82"/>
        <v>725000</v>
      </c>
      <c r="R163" s="1679">
        <f t="shared" si="82"/>
        <v>725000</v>
      </c>
      <c r="S163" s="1679">
        <f t="shared" si="82"/>
        <v>725000</v>
      </c>
      <c r="T163" s="1679">
        <f t="shared" si="82"/>
        <v>725000</v>
      </c>
      <c r="U163" s="1679">
        <f t="shared" si="82"/>
        <v>725000</v>
      </c>
      <c r="V163" s="1679">
        <f t="shared" si="82"/>
        <v>725000</v>
      </c>
      <c r="W163" s="1679">
        <f t="shared" si="69"/>
        <v>8700000</v>
      </c>
      <c r="X163" s="1751" t="str">
        <f t="shared" si="68"/>
        <v>Sama</v>
      </c>
      <c r="Y163" s="1540">
        <f t="shared" si="59"/>
        <v>0</v>
      </c>
    </row>
    <row r="164" spans="1:25" s="1540" customFormat="1">
      <c r="A164" s="1672">
        <f>IF('Pnj APBDES'!A232="","",'Pnj APBDES'!A232)</f>
        <v>3</v>
      </c>
      <c r="B164" s="1673">
        <f>IF('Pnj APBDES'!B232="","",'Pnj APBDES'!B232)</f>
        <v>2</v>
      </c>
      <c r="C164" s="1691" t="str">
        <f>IF('Pnj APBDES'!C232="","",'Pnj APBDES'!C232)</f>
        <v/>
      </c>
      <c r="D164" s="1672" t="str">
        <f>IF('Pnj APBDES'!D232="","",'Pnj APBDES'!D232)</f>
        <v/>
      </c>
      <c r="E164" s="1672" t="str">
        <f>IF('Pnj APBDES'!E232="","",'Pnj APBDES'!E232)</f>
        <v/>
      </c>
      <c r="F164" s="1672" t="str">
        <f>IF('Pnj APBDES'!F232="","",'Pnj APBDES'!F232)</f>
        <v/>
      </c>
      <c r="G164" s="1672" t="str">
        <f>IF('Pnj APBDES'!G232="","",'Pnj APBDES'!G232)</f>
        <v/>
      </c>
      <c r="H164" s="1703" t="str">
        <f>IF('Pnj APBDES'!H232="","",'Pnj APBDES'!H232)</f>
        <v>Kebudayaan dan Keagamaan</v>
      </c>
      <c r="I164" s="1675">
        <f>'Pnj APBDES'!K232</f>
        <v>33270000</v>
      </c>
      <c r="J164" s="1745" t="str">
        <f>IF('Pnj APBDES'!N232="","",'Pnj APBDES'!N232)</f>
        <v/>
      </c>
      <c r="K164" s="1675">
        <f>K165+K170+K169</f>
        <v>2025000</v>
      </c>
      <c r="L164" s="1675">
        <f t="shared" ref="L164:V164" si="83">L165+L170+L169</f>
        <v>2025000</v>
      </c>
      <c r="M164" s="1675">
        <f t="shared" si="83"/>
        <v>2025000</v>
      </c>
      <c r="N164" s="1675">
        <f t="shared" si="83"/>
        <v>2025000</v>
      </c>
      <c r="O164" s="1675">
        <f t="shared" si="83"/>
        <v>2025000</v>
      </c>
      <c r="P164" s="1675">
        <f t="shared" si="83"/>
        <v>2025000</v>
      </c>
      <c r="Q164" s="1675">
        <f t="shared" si="83"/>
        <v>2025000</v>
      </c>
      <c r="R164" s="1675">
        <f t="shared" si="83"/>
        <v>2025000</v>
      </c>
      <c r="S164" s="1675">
        <f t="shared" si="83"/>
        <v>10995000</v>
      </c>
      <c r="T164" s="1675">
        <f t="shared" si="83"/>
        <v>2025000</v>
      </c>
      <c r="U164" s="1675">
        <f t="shared" si="83"/>
        <v>2025000</v>
      </c>
      <c r="V164" s="1675">
        <f t="shared" si="83"/>
        <v>2025000</v>
      </c>
      <c r="W164" s="1675">
        <f t="shared" si="69"/>
        <v>33270000</v>
      </c>
      <c r="X164" s="1751" t="str">
        <f t="shared" si="68"/>
        <v>Sama</v>
      </c>
      <c r="Y164" s="1540">
        <f t="shared" si="59"/>
        <v>0</v>
      </c>
    </row>
    <row r="165" spans="1:25">
      <c r="A165" s="1676">
        <f>IF('Pnj APBDES'!A233="","",'Pnj APBDES'!A233)</f>
        <v>3</v>
      </c>
      <c r="B165" s="1677">
        <f>IF('Pnj APBDES'!B233="","",'Pnj APBDES'!B233)</f>
        <v>2</v>
      </c>
      <c r="C165" s="1687">
        <f>IF('Pnj APBDES'!C233="","",'Pnj APBDES'!C233)</f>
        <v>90</v>
      </c>
      <c r="D165" s="1676" t="str">
        <f>IF('Pnj APBDES'!D233="","",'Pnj APBDES'!D233)</f>
        <v/>
      </c>
      <c r="E165" s="1676" t="str">
        <f>IF('Pnj APBDES'!E233="","",'Pnj APBDES'!E233)</f>
        <v/>
      </c>
      <c r="F165" s="1676" t="str">
        <f>IF('Pnj APBDES'!F233="","",'Pnj APBDES'!F233)</f>
        <v/>
      </c>
      <c r="G165" s="1676" t="str">
        <f>IF('Pnj APBDES'!G233="","",'Pnj APBDES'!G233)</f>
        <v/>
      </c>
      <c r="H165" s="1696" t="str">
        <f>IF('Pnj APBDES'!H233="","",'Pnj APBDES'!H233)</f>
        <v>Pembinaan Pegawai sara Desa</v>
      </c>
      <c r="I165" s="1679">
        <f>'Pnj APBDES'!K233</f>
        <v>24300000</v>
      </c>
      <c r="J165" s="1746" t="str">
        <f>IF('Pnj APBDES'!N233="","",'Pnj APBDES'!N233)</f>
        <v/>
      </c>
      <c r="K165" s="1679">
        <f>K166</f>
        <v>2025000</v>
      </c>
      <c r="L165" s="1679">
        <f t="shared" ref="L165:V166" si="84">L166</f>
        <v>2025000</v>
      </c>
      <c r="M165" s="1679">
        <f t="shared" si="84"/>
        <v>2025000</v>
      </c>
      <c r="N165" s="1679">
        <f t="shared" si="84"/>
        <v>2025000</v>
      </c>
      <c r="O165" s="1679">
        <f t="shared" si="84"/>
        <v>2025000</v>
      </c>
      <c r="P165" s="1679">
        <f t="shared" si="84"/>
        <v>2025000</v>
      </c>
      <c r="Q165" s="1679">
        <f t="shared" si="84"/>
        <v>2025000</v>
      </c>
      <c r="R165" s="1679">
        <f t="shared" si="84"/>
        <v>2025000</v>
      </c>
      <c r="S165" s="1679">
        <f t="shared" si="84"/>
        <v>2025000</v>
      </c>
      <c r="T165" s="1679">
        <f t="shared" si="84"/>
        <v>2025000</v>
      </c>
      <c r="U165" s="1679">
        <f t="shared" si="84"/>
        <v>2025000</v>
      </c>
      <c r="V165" s="1679">
        <f t="shared" si="84"/>
        <v>2025000</v>
      </c>
      <c r="W165" s="1679">
        <f t="shared" si="69"/>
        <v>24300000</v>
      </c>
      <c r="X165" s="1751" t="str">
        <f t="shared" si="68"/>
        <v>Sama</v>
      </c>
      <c r="Y165" s="1540">
        <f t="shared" si="59"/>
        <v>0</v>
      </c>
    </row>
    <row r="166" spans="1:25">
      <c r="A166" s="1699">
        <f>IF('Pnj APBDES'!A234="","",'Pnj APBDES'!A234)</f>
        <v>3</v>
      </c>
      <c r="B166" s="1687">
        <f>IF('Pnj APBDES'!B234="","",'Pnj APBDES'!B234)</f>
        <v>2</v>
      </c>
      <c r="C166" s="1687">
        <f>IF('Pnj APBDES'!C234="","",'Pnj APBDES'!C234)</f>
        <v>90</v>
      </c>
      <c r="D166" s="1676">
        <f>IF('Pnj APBDES'!D234="","",'Pnj APBDES'!D234)</f>
        <v>5</v>
      </c>
      <c r="E166" s="1676">
        <f>IF('Pnj APBDES'!E234="","",'Pnj APBDES'!E234)</f>
        <v>2</v>
      </c>
      <c r="F166" s="1676" t="str">
        <f>IF('Pnj APBDES'!F234="","",'Pnj APBDES'!F234)</f>
        <v/>
      </c>
      <c r="G166" s="1676" t="str">
        <f>IF('Pnj APBDES'!G234="","",'Pnj APBDES'!G234)</f>
        <v/>
      </c>
      <c r="H166" s="1678" t="str">
        <f>IF('Pnj APBDES'!H234="","",'Pnj APBDES'!H234)</f>
        <v>Belanja Barang dan Jasa</v>
      </c>
      <c r="I166" s="1679">
        <f>'Pnj APBDES'!K234</f>
        <v>24300000</v>
      </c>
      <c r="J166" s="1746" t="str">
        <f>IF('Pnj APBDES'!N234="","",'Pnj APBDES'!N234)</f>
        <v/>
      </c>
      <c r="K166" s="1679">
        <f>K167</f>
        <v>2025000</v>
      </c>
      <c r="L166" s="1679">
        <f t="shared" si="84"/>
        <v>2025000</v>
      </c>
      <c r="M166" s="1679">
        <f t="shared" si="84"/>
        <v>2025000</v>
      </c>
      <c r="N166" s="1679">
        <f t="shared" si="84"/>
        <v>2025000</v>
      </c>
      <c r="O166" s="1679">
        <f t="shared" si="84"/>
        <v>2025000</v>
      </c>
      <c r="P166" s="1679">
        <f t="shared" si="84"/>
        <v>2025000</v>
      </c>
      <c r="Q166" s="1679">
        <f t="shared" si="84"/>
        <v>2025000</v>
      </c>
      <c r="R166" s="1679">
        <f t="shared" si="84"/>
        <v>2025000</v>
      </c>
      <c r="S166" s="1679">
        <f t="shared" si="84"/>
        <v>2025000</v>
      </c>
      <c r="T166" s="1679">
        <f t="shared" si="84"/>
        <v>2025000</v>
      </c>
      <c r="U166" s="1679">
        <f t="shared" si="84"/>
        <v>2025000</v>
      </c>
      <c r="V166" s="1679">
        <f t="shared" si="84"/>
        <v>2025000</v>
      </c>
      <c r="W166" s="1679">
        <f t="shared" si="69"/>
        <v>24300000</v>
      </c>
      <c r="X166" s="1751" t="str">
        <f t="shared" si="68"/>
        <v>Sama</v>
      </c>
      <c r="Y166" s="1540">
        <f t="shared" si="59"/>
        <v>0</v>
      </c>
    </row>
    <row r="167" spans="1:25">
      <c r="A167" s="1699">
        <f>IF('Pnj APBDES'!A235="","",'Pnj APBDES'!A235)</f>
        <v>3</v>
      </c>
      <c r="B167" s="1677">
        <f>IF('Pnj APBDES'!B235="","",'Pnj APBDES'!B235)</f>
        <v>2</v>
      </c>
      <c r="C167" s="1687">
        <f>IF('Pnj APBDES'!C235="","",'Pnj APBDES'!C235)</f>
        <v>90</v>
      </c>
      <c r="D167" s="1676">
        <f>IF('Pnj APBDES'!D235="","",'Pnj APBDES'!D235)</f>
        <v>5</v>
      </c>
      <c r="E167" s="1676">
        <f>IF('Pnj APBDES'!E235="","",'Pnj APBDES'!E235)</f>
        <v>2</v>
      </c>
      <c r="F167" s="1676">
        <f>IF('Pnj APBDES'!F235="","",'Pnj APBDES'!F235)</f>
        <v>2</v>
      </c>
      <c r="G167" s="1676" t="str">
        <f>IF('Pnj APBDES'!G235="","",'Pnj APBDES'!G235)</f>
        <v/>
      </c>
      <c r="H167" s="1678" t="str">
        <f>IF('Pnj APBDES'!H235="","",'Pnj APBDES'!H235)</f>
        <v>Belanja Jasa Honorarium</v>
      </c>
      <c r="I167" s="1679">
        <f>'Pnj APBDES'!K235</f>
        <v>24300000</v>
      </c>
      <c r="J167" s="1746" t="str">
        <f>IF('Pnj APBDES'!N235="","",'Pnj APBDES'!N235)</f>
        <v/>
      </c>
      <c r="K167" s="1679">
        <f>SUM(K168:K168)</f>
        <v>2025000</v>
      </c>
      <c r="L167" s="1679">
        <f t="shared" ref="L167:V167" si="85">SUM(L168:L168)</f>
        <v>2025000</v>
      </c>
      <c r="M167" s="1679">
        <f t="shared" si="85"/>
        <v>2025000</v>
      </c>
      <c r="N167" s="1679">
        <f t="shared" si="85"/>
        <v>2025000</v>
      </c>
      <c r="O167" s="1679">
        <f t="shared" si="85"/>
        <v>2025000</v>
      </c>
      <c r="P167" s="1679">
        <f t="shared" si="85"/>
        <v>2025000</v>
      </c>
      <c r="Q167" s="1679">
        <f t="shared" si="85"/>
        <v>2025000</v>
      </c>
      <c r="R167" s="1679">
        <f t="shared" si="85"/>
        <v>2025000</v>
      </c>
      <c r="S167" s="1679">
        <f t="shared" si="85"/>
        <v>2025000</v>
      </c>
      <c r="T167" s="1679">
        <f t="shared" si="85"/>
        <v>2025000</v>
      </c>
      <c r="U167" s="1679">
        <f t="shared" si="85"/>
        <v>2025000</v>
      </c>
      <c r="V167" s="1679">
        <f t="shared" si="85"/>
        <v>2025000</v>
      </c>
      <c r="W167" s="1679">
        <f t="shared" si="69"/>
        <v>24300000</v>
      </c>
      <c r="X167" s="1751" t="str">
        <f t="shared" si="68"/>
        <v>Sama</v>
      </c>
      <c r="Y167" s="1540">
        <f t="shared" si="59"/>
        <v>0</v>
      </c>
    </row>
    <row r="168" spans="1:25">
      <c r="A168" s="1699">
        <f>IF('Pnj APBDES'!A236="","",'Pnj APBDES'!A236)</f>
        <v>3</v>
      </c>
      <c r="B168" s="1677">
        <f>IF('Pnj APBDES'!B236="","",'Pnj APBDES'!B236)</f>
        <v>2</v>
      </c>
      <c r="C168" s="1687">
        <f>IF('Pnj APBDES'!C236="","",'Pnj APBDES'!C236)</f>
        <v>90</v>
      </c>
      <c r="D168" s="1676">
        <f>IF('Pnj APBDES'!D236="","",'Pnj APBDES'!D236)</f>
        <v>5</v>
      </c>
      <c r="E168" s="1676">
        <f>IF('Pnj APBDES'!E236="","",'Pnj APBDES'!E236)</f>
        <v>2</v>
      </c>
      <c r="F168" s="1676">
        <f>IF('Pnj APBDES'!F236="","",'Pnj APBDES'!F236)</f>
        <v>2</v>
      </c>
      <c r="G168" s="1676">
        <f>IF('Pnj APBDES'!G236="","",'Pnj APBDES'!G236)</f>
        <v>5</v>
      </c>
      <c r="H168" s="1678" t="str">
        <f>IF('Pnj APBDES'!H236="","",'Pnj APBDES'!H236)</f>
        <v>Belanja Jasa Honorarium Petugas</v>
      </c>
      <c r="I168" s="1679">
        <f>'Pnj APBDES'!K236</f>
        <v>24300000</v>
      </c>
      <c r="J168" s="1746" t="str">
        <f>IF('Pnj APBDES'!N236="","",'Pnj APBDES'!N236)</f>
        <v>PBH</v>
      </c>
      <c r="K168" s="1679">
        <f>$I168/12</f>
        <v>2025000</v>
      </c>
      <c r="L168" s="1679">
        <f t="shared" ref="L168:V168" si="86">$I168/12</f>
        <v>2025000</v>
      </c>
      <c r="M168" s="1679">
        <f t="shared" si="86"/>
        <v>2025000</v>
      </c>
      <c r="N168" s="1679">
        <f t="shared" si="86"/>
        <v>2025000</v>
      </c>
      <c r="O168" s="1679">
        <f t="shared" si="86"/>
        <v>2025000</v>
      </c>
      <c r="P168" s="1679">
        <f t="shared" si="86"/>
        <v>2025000</v>
      </c>
      <c r="Q168" s="1679">
        <f t="shared" si="86"/>
        <v>2025000</v>
      </c>
      <c r="R168" s="1679">
        <f t="shared" si="86"/>
        <v>2025000</v>
      </c>
      <c r="S168" s="1679">
        <f t="shared" si="86"/>
        <v>2025000</v>
      </c>
      <c r="T168" s="1679">
        <f t="shared" si="86"/>
        <v>2025000</v>
      </c>
      <c r="U168" s="1679">
        <f t="shared" si="86"/>
        <v>2025000</v>
      </c>
      <c r="V168" s="1679">
        <f t="shared" si="86"/>
        <v>2025000</v>
      </c>
      <c r="W168" s="1679">
        <f t="shared" si="69"/>
        <v>24300000</v>
      </c>
      <c r="X168" s="1751" t="str">
        <f t="shared" si="68"/>
        <v>Sama</v>
      </c>
      <c r="Y168" s="1540">
        <f t="shared" si="59"/>
        <v>0</v>
      </c>
    </row>
    <row r="169" spans="1:25">
      <c r="A169" s="1700" t="e">
        <f>IF('Pnj APBDES'!#REF!="","",'Pnj APBDES'!#REF!)</f>
        <v>#REF!</v>
      </c>
      <c r="B169" s="1673" t="e">
        <f>IF('Pnj APBDES'!#REF!="","",'Pnj APBDES'!#REF!)</f>
        <v>#REF!</v>
      </c>
      <c r="C169" s="1691" t="e">
        <f>IF('Pnj APBDES'!#REF!="","",'Pnj APBDES'!#REF!)</f>
        <v>#REF!</v>
      </c>
      <c r="D169" s="1672" t="e">
        <f>IF('Pnj APBDES'!#REF!="","",'Pnj APBDES'!#REF!)</f>
        <v>#REF!</v>
      </c>
      <c r="E169" s="1672" t="e">
        <f>IF('Pnj APBDES'!#REF!="","",'Pnj APBDES'!#REF!)</f>
        <v>#REF!</v>
      </c>
      <c r="F169" s="1672" t="e">
        <f>IF('Pnj APBDES'!#REF!="","",'Pnj APBDES'!#REF!)</f>
        <v>#REF!</v>
      </c>
      <c r="G169" s="1672" t="e">
        <f>IF('Pnj APBDES'!#REF!="","",'Pnj APBDES'!#REF!)</f>
        <v>#REF!</v>
      </c>
      <c r="H169" s="1674" t="e">
        <f>IF('Pnj APBDES'!#REF!="","",'Pnj APBDES'!#REF!)</f>
        <v>#REF!</v>
      </c>
      <c r="I169" s="1675" t="e">
        <f>'Pnj APBDES'!#REF!</f>
        <v>#REF!</v>
      </c>
      <c r="J169" s="1745" t="e">
        <f>IF('Pnj APBDES'!#REF!="","",'Pnj APBDES'!#REF!)</f>
        <v>#REF!</v>
      </c>
      <c r="K169" s="1675"/>
      <c r="L169" s="1675"/>
      <c r="M169" s="1675"/>
      <c r="N169" s="1675"/>
      <c r="O169" s="1675"/>
      <c r="P169" s="1675"/>
      <c r="Q169" s="1675"/>
      <c r="R169" s="1675"/>
      <c r="S169" s="1675"/>
      <c r="T169" s="1675"/>
      <c r="U169" s="1675"/>
      <c r="V169" s="1675"/>
      <c r="W169" s="1675">
        <f t="shared" si="69"/>
        <v>0</v>
      </c>
      <c r="X169" s="1751" t="e">
        <f t="shared" si="68"/>
        <v>#REF!</v>
      </c>
      <c r="Y169" s="1540" t="e">
        <f t="shared" si="59"/>
        <v>#REF!</v>
      </c>
    </row>
    <row r="170" spans="1:25" s="1540" customFormat="1" ht="24">
      <c r="A170" s="1672">
        <f>IF('Pnj APBDES'!A237="","",'Pnj APBDES'!A237)</f>
        <v>3</v>
      </c>
      <c r="B170" s="1673">
        <f>IF('Pnj APBDES'!B237="","",'Pnj APBDES'!B237)</f>
        <v>2</v>
      </c>
      <c r="C170" s="1691" t="str">
        <f>IF('Pnj APBDES'!C237="","",'Pnj APBDES'!C237)</f>
        <v>03</v>
      </c>
      <c r="D170" s="1672" t="str">
        <f>IF('Pnj APBDES'!D237="","",'Pnj APBDES'!D237)</f>
        <v/>
      </c>
      <c r="E170" s="1672" t="str">
        <f>IF('Pnj APBDES'!E237="","",'Pnj APBDES'!E237)</f>
        <v/>
      </c>
      <c r="F170" s="1672" t="str">
        <f>IF('Pnj APBDES'!F237="","",'Pnj APBDES'!F237)</f>
        <v/>
      </c>
      <c r="G170" s="1672" t="str">
        <f>IF('Pnj APBDES'!G237="","",'Pnj APBDES'!G237)</f>
        <v/>
      </c>
      <c r="H170" s="1704" t="str">
        <f>IF('Pnj APBDES'!H237="","",'Pnj APBDES'!H237)</f>
        <v>Penyelenggaraan Festival Kesenian, Adat/Kebudayaan, dan Keagamaan (perayaan hari kemerdekaan, hari besar keagamaan, dll) tingkat Desa</v>
      </c>
      <c r="I170" s="1675">
        <f>'Pnj APBDES'!K237</f>
        <v>8970000</v>
      </c>
      <c r="J170" s="1745" t="str">
        <f>IF('Pnj APBDES'!N237="","",'Pnj APBDES'!N237)</f>
        <v/>
      </c>
      <c r="K170" s="1675">
        <f>K171+K177+K180</f>
        <v>0</v>
      </c>
      <c r="L170" s="1675">
        <f t="shared" ref="L170:V170" si="87">L171+L177+L180</f>
        <v>0</v>
      </c>
      <c r="M170" s="1675">
        <f t="shared" si="87"/>
        <v>0</v>
      </c>
      <c r="N170" s="1675">
        <f t="shared" si="87"/>
        <v>0</v>
      </c>
      <c r="O170" s="1675">
        <f t="shared" si="87"/>
        <v>0</v>
      </c>
      <c r="P170" s="1675">
        <f t="shared" si="87"/>
        <v>0</v>
      </c>
      <c r="Q170" s="1675">
        <f t="shared" si="87"/>
        <v>0</v>
      </c>
      <c r="R170" s="1675">
        <f t="shared" si="87"/>
        <v>0</v>
      </c>
      <c r="S170" s="1675">
        <f t="shared" si="87"/>
        <v>8970000</v>
      </c>
      <c r="T170" s="1675">
        <f t="shared" si="87"/>
        <v>0</v>
      </c>
      <c r="U170" s="1675">
        <f t="shared" si="87"/>
        <v>0</v>
      </c>
      <c r="V170" s="1675">
        <f t="shared" si="87"/>
        <v>0</v>
      </c>
      <c r="W170" s="1675">
        <f t="shared" si="69"/>
        <v>8970000</v>
      </c>
      <c r="X170" s="1751" t="str">
        <f t="shared" si="68"/>
        <v>Sama</v>
      </c>
      <c r="Y170" s="1540">
        <f t="shared" si="59"/>
        <v>0</v>
      </c>
    </row>
    <row r="171" spans="1:25" s="1540" customFormat="1">
      <c r="A171" s="1700">
        <f>IF('Pnj APBDES'!A238="","",'Pnj APBDES'!A238)</f>
        <v>3</v>
      </c>
      <c r="B171" s="1691">
        <f>IF('Pnj APBDES'!B238="","",'Pnj APBDES'!B238)</f>
        <v>2</v>
      </c>
      <c r="C171" s="1691" t="str">
        <f>IF('Pnj APBDES'!C238="","",'Pnj APBDES'!C238)</f>
        <v>03</v>
      </c>
      <c r="D171" s="1672">
        <f>IF('Pnj APBDES'!D238="","",'Pnj APBDES'!D238)</f>
        <v>5</v>
      </c>
      <c r="E171" s="1672">
        <f>IF('Pnj APBDES'!E238="","",'Pnj APBDES'!E238)</f>
        <v>2</v>
      </c>
      <c r="F171" s="1672" t="str">
        <f>IF('Pnj APBDES'!F238="","",'Pnj APBDES'!F238)</f>
        <v/>
      </c>
      <c r="G171" s="1672" t="str">
        <f>IF('Pnj APBDES'!G238="","",'Pnj APBDES'!G238)</f>
        <v/>
      </c>
      <c r="H171" s="1674" t="str">
        <f>IF('Pnj APBDES'!H238="","",'Pnj APBDES'!H238)</f>
        <v>Belanja Barang dan Jasa</v>
      </c>
      <c r="I171" s="1675">
        <f>'Pnj APBDES'!K238</f>
        <v>7020000</v>
      </c>
      <c r="J171" s="1745" t="str">
        <f>IF('Pnj APBDES'!N238="","",'Pnj APBDES'!N238)</f>
        <v/>
      </c>
      <c r="K171" s="1675">
        <f>SUM(K172:K176)</f>
        <v>0</v>
      </c>
      <c r="L171" s="1675">
        <f t="shared" ref="L171:V171" si="88">SUM(L172:L176)</f>
        <v>0</v>
      </c>
      <c r="M171" s="1675">
        <f t="shared" si="88"/>
        <v>0</v>
      </c>
      <c r="N171" s="1675">
        <f t="shared" si="88"/>
        <v>0</v>
      </c>
      <c r="O171" s="1675">
        <f t="shared" si="88"/>
        <v>0</v>
      </c>
      <c r="P171" s="1675">
        <f t="shared" si="88"/>
        <v>0</v>
      </c>
      <c r="Q171" s="1675">
        <f t="shared" si="88"/>
        <v>0</v>
      </c>
      <c r="R171" s="1675">
        <f t="shared" si="88"/>
        <v>0</v>
      </c>
      <c r="S171" s="1675">
        <f t="shared" si="88"/>
        <v>7020000</v>
      </c>
      <c r="T171" s="1675">
        <f t="shared" si="88"/>
        <v>0</v>
      </c>
      <c r="U171" s="1675">
        <f t="shared" si="88"/>
        <v>0</v>
      </c>
      <c r="V171" s="1675">
        <f t="shared" si="88"/>
        <v>0</v>
      </c>
      <c r="W171" s="1675">
        <f t="shared" si="69"/>
        <v>7020000</v>
      </c>
      <c r="X171" s="1751" t="str">
        <f t="shared" si="68"/>
        <v>Sama</v>
      </c>
      <c r="Y171" s="1540">
        <f t="shared" si="59"/>
        <v>0</v>
      </c>
    </row>
    <row r="172" spans="1:25">
      <c r="A172" s="1699">
        <f>IF('Pnj APBDES'!A239="","",'Pnj APBDES'!A239)</f>
        <v>3</v>
      </c>
      <c r="B172" s="1677">
        <f>IF('Pnj APBDES'!B239="","",'Pnj APBDES'!B239)</f>
        <v>2</v>
      </c>
      <c r="C172" s="1687" t="str">
        <f>IF('Pnj APBDES'!C239="","",'Pnj APBDES'!C239)</f>
        <v>03</v>
      </c>
      <c r="D172" s="1676">
        <f>IF('Pnj APBDES'!D239="","",'Pnj APBDES'!D239)</f>
        <v>5</v>
      </c>
      <c r="E172" s="1676">
        <f>IF('Pnj APBDES'!E239="","",'Pnj APBDES'!E239)</f>
        <v>2</v>
      </c>
      <c r="F172" s="1676">
        <f>IF('Pnj APBDES'!F239="","",'Pnj APBDES'!F239)</f>
        <v>1</v>
      </c>
      <c r="G172" s="1676">
        <f>IF('Pnj APBDES'!G239="","",'Pnj APBDES'!G239)</f>
        <v>3</v>
      </c>
      <c r="H172" s="1678" t="str">
        <f>IF('Pnj APBDES'!H239="","",'Pnj APBDES'!H239)</f>
        <v>Belanja Perlengkapan Alat-alat Rumah Tangga</v>
      </c>
      <c r="I172" s="1679">
        <f>'Pnj APBDES'!K239</f>
        <v>1200000</v>
      </c>
      <c r="J172" s="1746" t="str">
        <f>IF('Pnj APBDES'!N239="","",'Pnj APBDES'!N239)</f>
        <v>ADD</v>
      </c>
      <c r="K172" s="1679">
        <v>0</v>
      </c>
      <c r="L172" s="1679">
        <v>0</v>
      </c>
      <c r="M172" s="1679">
        <v>0</v>
      </c>
      <c r="N172" s="1679">
        <v>0</v>
      </c>
      <c r="O172" s="1679">
        <v>0</v>
      </c>
      <c r="P172" s="1679">
        <v>0</v>
      </c>
      <c r="Q172" s="1679">
        <v>0</v>
      </c>
      <c r="R172" s="1679">
        <v>0</v>
      </c>
      <c r="S172" s="1679">
        <v>1200000</v>
      </c>
      <c r="T172" s="1679">
        <v>0</v>
      </c>
      <c r="U172" s="1679">
        <v>0</v>
      </c>
      <c r="V172" s="1679">
        <v>0</v>
      </c>
      <c r="W172" s="1679">
        <f t="shared" si="69"/>
        <v>1200000</v>
      </c>
      <c r="X172" s="1751" t="str">
        <f t="shared" si="68"/>
        <v>Sama</v>
      </c>
      <c r="Y172" s="1540">
        <f t="shared" si="59"/>
        <v>0</v>
      </c>
    </row>
    <row r="173" spans="1:25" ht="24">
      <c r="A173" s="1699">
        <f>IF('Pnj APBDES'!A240="","",'Pnj APBDES'!A240)</f>
        <v>3</v>
      </c>
      <c r="B173" s="1677">
        <f>IF('Pnj APBDES'!B240="","",'Pnj APBDES'!B240)</f>
        <v>2</v>
      </c>
      <c r="C173" s="1687" t="str">
        <f>IF('Pnj APBDES'!C240="","",'Pnj APBDES'!C240)</f>
        <v>03</v>
      </c>
      <c r="D173" s="1676">
        <f>IF('Pnj APBDES'!D240="","",'Pnj APBDES'!D240)</f>
        <v>5</v>
      </c>
      <c r="E173" s="1676">
        <f>IF('Pnj APBDES'!E240="","",'Pnj APBDES'!E240)</f>
        <v>2</v>
      </c>
      <c r="F173" s="1677">
        <f>IF('Pnj APBDES'!F240="","",'Pnj APBDES'!F240)</f>
        <v>1</v>
      </c>
      <c r="G173" s="1677">
        <f>IF('Pnj APBDES'!G240="","",'Pnj APBDES'!G240)</f>
        <v>4</v>
      </c>
      <c r="H173" s="1678" t="str">
        <f>IF('Pnj APBDES'!H240="","",'Pnj APBDES'!H240)</f>
        <v>Belanja Perlengkapan Barang Konsumsi (Makan/minum) - Belanja Barang Konsumsi</v>
      </c>
      <c r="I173" s="1679">
        <f>'Pnj APBDES'!K240</f>
        <v>3425000</v>
      </c>
      <c r="J173" s="1746" t="str">
        <f>IF('Pnj APBDES'!N240="","",'Pnj APBDES'!N240)</f>
        <v>ADD</v>
      </c>
      <c r="K173" s="1679">
        <v>0</v>
      </c>
      <c r="L173" s="1679">
        <v>0</v>
      </c>
      <c r="M173" s="1679">
        <v>0</v>
      </c>
      <c r="N173" s="1679">
        <v>0</v>
      </c>
      <c r="O173" s="1679">
        <v>0</v>
      </c>
      <c r="P173" s="1679">
        <v>0</v>
      </c>
      <c r="Q173" s="1679">
        <v>0</v>
      </c>
      <c r="R173" s="1679">
        <v>0</v>
      </c>
      <c r="S173" s="1679">
        <v>3425000</v>
      </c>
      <c r="T173" s="1679">
        <v>0</v>
      </c>
      <c r="U173" s="1679">
        <v>0</v>
      </c>
      <c r="V173" s="1679">
        <v>0</v>
      </c>
      <c r="W173" s="1679">
        <f t="shared" si="69"/>
        <v>3425000</v>
      </c>
      <c r="X173" s="1751" t="str">
        <f t="shared" si="68"/>
        <v>Sama</v>
      </c>
      <c r="Y173" s="1540">
        <f t="shared" si="59"/>
        <v>0</v>
      </c>
    </row>
    <row r="174" spans="1:25">
      <c r="A174" s="1699">
        <f>IF('Pnj APBDES'!A241="","",'Pnj APBDES'!A241)</f>
        <v>4</v>
      </c>
      <c r="B174" s="1687">
        <f>IF('Pnj APBDES'!B241="","",'Pnj APBDES'!B241)</f>
        <v>3</v>
      </c>
      <c r="C174" s="1687" t="str">
        <f>IF('Pnj APBDES'!C241="","",'Pnj APBDES'!C241)</f>
        <v>03</v>
      </c>
      <c r="D174" s="1676">
        <f>IF('Pnj APBDES'!D241="","",'Pnj APBDES'!D241)</f>
        <v>5</v>
      </c>
      <c r="E174" s="1676">
        <f>IF('Pnj APBDES'!E241="","",'Pnj APBDES'!E241)</f>
        <v>2</v>
      </c>
      <c r="F174" s="1676">
        <f>IF('Pnj APBDES'!F241="","",'Pnj APBDES'!F241)</f>
        <v>1</v>
      </c>
      <c r="G174" s="1676">
        <f>IF('Pnj APBDES'!G241="","",'Pnj APBDES'!G241)</f>
        <v>1</v>
      </c>
      <c r="H174" s="1705" t="str">
        <f>IF('Pnj APBDES'!H241="","",'Pnj APBDES'!H241)</f>
        <v>Belanja barang cetak dan penggadaan</v>
      </c>
      <c r="I174" s="1679">
        <f>'Pnj APBDES'!K241</f>
        <v>315000</v>
      </c>
      <c r="J174" s="1746" t="str">
        <f>IF('Pnj APBDES'!N241="","",'Pnj APBDES'!N241)</f>
        <v>ADD</v>
      </c>
      <c r="K174" s="1679">
        <v>0</v>
      </c>
      <c r="L174" s="1679">
        <v>0</v>
      </c>
      <c r="M174" s="1679">
        <v>0</v>
      </c>
      <c r="N174" s="1679">
        <v>0</v>
      </c>
      <c r="O174" s="1679">
        <v>0</v>
      </c>
      <c r="P174" s="1679">
        <v>0</v>
      </c>
      <c r="Q174" s="1679">
        <v>0</v>
      </c>
      <c r="R174" s="1679">
        <v>0</v>
      </c>
      <c r="S174" s="1679">
        <v>315000</v>
      </c>
      <c r="T174" s="1679">
        <v>0</v>
      </c>
      <c r="U174" s="1679">
        <v>0</v>
      </c>
      <c r="V174" s="1679">
        <v>0</v>
      </c>
      <c r="W174" s="1679">
        <f t="shared" si="69"/>
        <v>315000</v>
      </c>
      <c r="X174" s="1751" t="str">
        <f t="shared" si="68"/>
        <v>Sama</v>
      </c>
      <c r="Y174" s="1540">
        <f t="shared" si="59"/>
        <v>0</v>
      </c>
    </row>
    <row r="175" spans="1:25">
      <c r="A175" s="1699">
        <f>IF('Pnj APBDES'!A242="","",'Pnj APBDES'!A242)</f>
        <v>4</v>
      </c>
      <c r="B175" s="1687">
        <f>IF('Pnj APBDES'!B242="","",'Pnj APBDES'!B242)</f>
        <v>3</v>
      </c>
      <c r="C175" s="1687" t="str">
        <f>IF('Pnj APBDES'!C242="","",'Pnj APBDES'!C242)</f>
        <v>03</v>
      </c>
      <c r="D175" s="1676">
        <f>IF('Pnj APBDES'!D242="","",'Pnj APBDES'!D242)</f>
        <v>5</v>
      </c>
      <c r="E175" s="1676">
        <f>IF('Pnj APBDES'!E242="","",'Pnj APBDES'!E242)</f>
        <v>2</v>
      </c>
      <c r="F175" s="1676">
        <f>IF('Pnj APBDES'!F242="","",'Pnj APBDES'!F242)</f>
        <v>1</v>
      </c>
      <c r="G175" s="1676">
        <f>IF('Pnj APBDES'!G242="","",'Pnj APBDES'!G242)</f>
        <v>2</v>
      </c>
      <c r="H175" s="1705" t="str">
        <f>IF('Pnj APBDES'!H242="","",'Pnj APBDES'!H242)</f>
        <v>Belanja pakaian dinas/seragam/atribut</v>
      </c>
      <c r="I175" s="1679">
        <f>'Pnj APBDES'!K242</f>
        <v>1725000</v>
      </c>
      <c r="J175" s="1746" t="str">
        <f>IF('Pnj APBDES'!N242="","",'Pnj APBDES'!N242)</f>
        <v>ADD</v>
      </c>
      <c r="K175" s="1679">
        <v>0</v>
      </c>
      <c r="L175" s="1679">
        <v>0</v>
      </c>
      <c r="M175" s="1679">
        <v>0</v>
      </c>
      <c r="N175" s="1679">
        <v>0</v>
      </c>
      <c r="O175" s="1679">
        <v>0</v>
      </c>
      <c r="P175" s="1679">
        <v>0</v>
      </c>
      <c r="Q175" s="1679">
        <v>0</v>
      </c>
      <c r="R175" s="1679">
        <v>0</v>
      </c>
      <c r="S175" s="1679">
        <v>1725000</v>
      </c>
      <c r="T175" s="1679">
        <v>0</v>
      </c>
      <c r="U175" s="1679">
        <v>0</v>
      </c>
      <c r="V175" s="1679">
        <v>0</v>
      </c>
      <c r="W175" s="1679">
        <f t="shared" si="69"/>
        <v>1725000</v>
      </c>
      <c r="X175" s="1751" t="str">
        <f t="shared" si="68"/>
        <v>Sama</v>
      </c>
      <c r="Y175" s="1540">
        <f t="shared" si="59"/>
        <v>0</v>
      </c>
    </row>
    <row r="176" spans="1:25">
      <c r="A176" s="1699">
        <f>IF('Pnj APBDES'!A243="","",'Pnj APBDES'!A243)</f>
        <v>4</v>
      </c>
      <c r="B176" s="1687">
        <f>IF('Pnj APBDES'!B243="","",'Pnj APBDES'!B243)</f>
        <v>3</v>
      </c>
      <c r="C176" s="1687" t="str">
        <f>IF('Pnj APBDES'!C243="","",'Pnj APBDES'!C243)</f>
        <v>03</v>
      </c>
      <c r="D176" s="1676">
        <f>IF('Pnj APBDES'!D243="","",'Pnj APBDES'!D243)</f>
        <v>5</v>
      </c>
      <c r="E176" s="1676">
        <f>IF('Pnj APBDES'!E243="","",'Pnj APBDES'!E243)</f>
        <v>2</v>
      </c>
      <c r="F176" s="1676">
        <f>IF('Pnj APBDES'!F243="","",'Pnj APBDES'!F243)</f>
        <v>1</v>
      </c>
      <c r="G176" s="1676">
        <f>IF('Pnj APBDES'!G243="","",'Pnj APBDES'!G243)</f>
        <v>4</v>
      </c>
      <c r="H176" s="1678" t="str">
        <f>IF('Pnj APBDES'!H243="","",'Pnj APBDES'!H243)</f>
        <v>Belanja barang yang diberikan kepada masyarakat</v>
      </c>
      <c r="I176" s="1679">
        <f>'Pnj APBDES'!K243</f>
        <v>355000</v>
      </c>
      <c r="J176" s="1746" t="str">
        <f>IF('Pnj APBDES'!N243="","",'Pnj APBDES'!N243)</f>
        <v>ADD</v>
      </c>
      <c r="K176" s="1679">
        <v>0</v>
      </c>
      <c r="L176" s="1679">
        <v>0</v>
      </c>
      <c r="M176" s="1679">
        <v>0</v>
      </c>
      <c r="N176" s="1679">
        <v>0</v>
      </c>
      <c r="O176" s="1679">
        <v>0</v>
      </c>
      <c r="P176" s="1679">
        <v>0</v>
      </c>
      <c r="Q176" s="1679">
        <v>0</v>
      </c>
      <c r="R176" s="1679">
        <v>0</v>
      </c>
      <c r="S176" s="1679">
        <v>355000</v>
      </c>
      <c r="T176" s="1679">
        <v>0</v>
      </c>
      <c r="U176" s="1679">
        <v>0</v>
      </c>
      <c r="V176" s="1679">
        <v>0</v>
      </c>
      <c r="W176" s="1679">
        <f t="shared" si="69"/>
        <v>355000</v>
      </c>
      <c r="X176" s="1751" t="str">
        <f t="shared" si="68"/>
        <v>Sama</v>
      </c>
      <c r="Y176" s="1540">
        <f t="shared" si="59"/>
        <v>0</v>
      </c>
    </row>
    <row r="177" spans="1:25" s="1540" customFormat="1">
      <c r="A177" s="1700">
        <f>IF('Pnj APBDES'!A244="","",'Pnj APBDES'!A244)</f>
        <v>4</v>
      </c>
      <c r="B177" s="1691">
        <f>IF('Pnj APBDES'!B244="","",'Pnj APBDES'!B244)</f>
        <v>3</v>
      </c>
      <c r="C177" s="1691" t="str">
        <f>IF('Pnj APBDES'!C244="","",'Pnj APBDES'!C244)</f>
        <v>03</v>
      </c>
      <c r="D177" s="1672">
        <f>IF('Pnj APBDES'!D244="","",'Pnj APBDES'!D244)</f>
        <v>5</v>
      </c>
      <c r="E177" s="1672">
        <f>IF('Pnj APBDES'!E244="","",'Pnj APBDES'!E244)</f>
        <v>2</v>
      </c>
      <c r="F177" s="1672">
        <f>IF('Pnj APBDES'!F244="","",'Pnj APBDES'!F244)</f>
        <v>2</v>
      </c>
      <c r="G177" s="1672" t="str">
        <f>IF('Pnj APBDES'!G244="","",'Pnj APBDES'!G244)</f>
        <v/>
      </c>
      <c r="H177" s="1706" t="str">
        <f>IF('Pnj APBDES'!H244="","",'Pnj APBDES'!H244)</f>
        <v>Belanja jasa honorarium</v>
      </c>
      <c r="I177" s="1675">
        <f>'Pnj APBDES'!K244</f>
        <v>1150000</v>
      </c>
      <c r="J177" s="1745" t="str">
        <f>IF('Pnj APBDES'!N244="","",'Pnj APBDES'!N244)</f>
        <v/>
      </c>
      <c r="K177" s="1675">
        <f>K178</f>
        <v>0</v>
      </c>
      <c r="L177" s="1675">
        <f t="shared" ref="L177:V177" si="89">L178</f>
        <v>0</v>
      </c>
      <c r="M177" s="1675">
        <f t="shared" si="89"/>
        <v>0</v>
      </c>
      <c r="N177" s="1675">
        <f t="shared" si="89"/>
        <v>0</v>
      </c>
      <c r="O177" s="1675">
        <f t="shared" si="89"/>
        <v>0</v>
      </c>
      <c r="P177" s="1675">
        <f t="shared" si="89"/>
        <v>0</v>
      </c>
      <c r="Q177" s="1675">
        <f t="shared" si="89"/>
        <v>0</v>
      </c>
      <c r="R177" s="1675">
        <f t="shared" si="89"/>
        <v>0</v>
      </c>
      <c r="S177" s="1675">
        <f t="shared" si="89"/>
        <v>1150000</v>
      </c>
      <c r="T177" s="1675">
        <f t="shared" si="89"/>
        <v>0</v>
      </c>
      <c r="U177" s="1675">
        <f t="shared" si="89"/>
        <v>0</v>
      </c>
      <c r="V177" s="1675">
        <f t="shared" si="89"/>
        <v>0</v>
      </c>
      <c r="W177" s="1675">
        <f t="shared" si="69"/>
        <v>1150000</v>
      </c>
      <c r="X177" s="1751" t="str">
        <f t="shared" si="68"/>
        <v>Sama</v>
      </c>
      <c r="Y177" s="1540">
        <f t="shared" si="59"/>
        <v>0</v>
      </c>
    </row>
    <row r="178" spans="1:25">
      <c r="A178" s="1699">
        <f>IF('Pnj APBDES'!A245="","",'Pnj APBDES'!A245)</f>
        <v>4</v>
      </c>
      <c r="B178" s="1687">
        <f>IF('Pnj APBDES'!B245="","",'Pnj APBDES'!B245)</f>
        <v>3</v>
      </c>
      <c r="C178" s="1687" t="str">
        <f>IF('Pnj APBDES'!C245="","",'Pnj APBDES'!C245)</f>
        <v>03</v>
      </c>
      <c r="D178" s="1676">
        <f>IF('Pnj APBDES'!D245="","",'Pnj APBDES'!D245)</f>
        <v>5</v>
      </c>
      <c r="E178" s="1676">
        <f>IF('Pnj APBDES'!E245="","",'Pnj APBDES'!E245)</f>
        <v>2</v>
      </c>
      <c r="F178" s="1676">
        <f>IF('Pnj APBDES'!F245="","",'Pnj APBDES'!F245)</f>
        <v>2</v>
      </c>
      <c r="G178" s="1698">
        <f>IF('Pnj APBDES'!G245="","",'Pnj APBDES'!G245)</f>
        <v>90</v>
      </c>
      <c r="H178" s="1705" t="str">
        <f>IF('Pnj APBDES'!H245="","",'Pnj APBDES'!H245)</f>
        <v>Belanja uang saku</v>
      </c>
      <c r="I178" s="1679">
        <f>'Pnj APBDES'!K245</f>
        <v>1150000</v>
      </c>
      <c r="J178" s="1746" t="str">
        <f>IF('Pnj APBDES'!N245="","",'Pnj APBDES'!N245)</f>
        <v>ADD</v>
      </c>
      <c r="K178" s="1679">
        <v>0</v>
      </c>
      <c r="L178" s="1679">
        <v>0</v>
      </c>
      <c r="M178" s="1679">
        <v>0</v>
      </c>
      <c r="N178" s="1679">
        <v>0</v>
      </c>
      <c r="O178" s="1679">
        <v>0</v>
      </c>
      <c r="P178" s="1679">
        <v>0</v>
      </c>
      <c r="Q178" s="1679">
        <v>0</v>
      </c>
      <c r="R178" s="1679">
        <v>0</v>
      </c>
      <c r="S178" s="1679">
        <v>1150000</v>
      </c>
      <c r="T178" s="1679">
        <v>0</v>
      </c>
      <c r="U178" s="1679">
        <v>0</v>
      </c>
      <c r="V178" s="1679">
        <v>0</v>
      </c>
      <c r="W178" s="1679">
        <f t="shared" si="69"/>
        <v>1150000</v>
      </c>
      <c r="X178" s="1751" t="str">
        <f t="shared" si="68"/>
        <v>Sama</v>
      </c>
      <c r="Y178" s="1540">
        <f t="shared" si="59"/>
        <v>0</v>
      </c>
    </row>
    <row r="179" spans="1:25">
      <c r="A179" s="1699" t="str">
        <f>IF('Pnj APBDES'!A246="","",'Pnj APBDES'!A246)</f>
        <v/>
      </c>
      <c r="B179" s="1677" t="str">
        <f>IF('Pnj APBDES'!B246="","",'Pnj APBDES'!B246)</f>
        <v/>
      </c>
      <c r="C179" s="1687" t="str">
        <f>IF('Pnj APBDES'!C246="","",'Pnj APBDES'!C246)</f>
        <v/>
      </c>
      <c r="D179" s="1676" t="str">
        <f>IF('Pnj APBDES'!D246="","",'Pnj APBDES'!D246)</f>
        <v/>
      </c>
      <c r="E179" s="1676" t="str">
        <f>IF('Pnj APBDES'!E246="","",'Pnj APBDES'!E246)</f>
        <v/>
      </c>
      <c r="F179" s="1677" t="str">
        <f>IF('Pnj APBDES'!F246="","",'Pnj APBDES'!F246)</f>
        <v/>
      </c>
      <c r="G179" s="1677" t="str">
        <f>IF('Pnj APBDES'!G246="","",'Pnj APBDES'!G246)</f>
        <v/>
      </c>
      <c r="H179" s="1678" t="str">
        <f>IF('Pnj APBDES'!H246="","",'Pnj APBDES'!H246)</f>
        <v/>
      </c>
      <c r="I179" s="1679">
        <f>'Pnj APBDES'!K246</f>
        <v>0</v>
      </c>
      <c r="J179" s="1746" t="str">
        <f>IF('Pnj APBDES'!N246="","",'Pnj APBDES'!N246)</f>
        <v/>
      </c>
      <c r="K179" s="1679"/>
      <c r="L179" s="1679"/>
      <c r="M179" s="1679"/>
      <c r="N179" s="1679"/>
      <c r="O179" s="1679"/>
      <c r="P179" s="1679"/>
      <c r="Q179" s="1679"/>
      <c r="R179" s="1679"/>
      <c r="S179" s="1679"/>
      <c r="T179" s="1679"/>
      <c r="U179" s="1679"/>
      <c r="V179" s="1679"/>
      <c r="W179" s="1679">
        <f t="shared" si="69"/>
        <v>0</v>
      </c>
      <c r="X179" s="1751" t="str">
        <f t="shared" si="68"/>
        <v>Sama</v>
      </c>
      <c r="Y179" s="1540">
        <f t="shared" si="59"/>
        <v>0</v>
      </c>
    </row>
    <row r="180" spans="1:25" s="1540" customFormat="1">
      <c r="A180" s="1700">
        <f>IF('Pnj APBDES'!A247="","",'Pnj APBDES'!A247)</f>
        <v>3</v>
      </c>
      <c r="B180" s="1673">
        <f>IF('Pnj APBDES'!B247="","",'Pnj APBDES'!B247)</f>
        <v>2</v>
      </c>
      <c r="C180" s="1691" t="str">
        <f>IF('Pnj APBDES'!C247="","",'Pnj APBDES'!C247)</f>
        <v>03</v>
      </c>
      <c r="D180" s="1672">
        <f>IF('Pnj APBDES'!D247="","",'Pnj APBDES'!D247)</f>
        <v>5</v>
      </c>
      <c r="E180" s="1672">
        <f>IF('Pnj APBDES'!E247="","",'Pnj APBDES'!E247)</f>
        <v>2</v>
      </c>
      <c r="F180" s="1672">
        <f>IF('Pnj APBDES'!F247="","",'Pnj APBDES'!F247)</f>
        <v>4</v>
      </c>
      <c r="G180" s="1672" t="str">
        <f>IF('Pnj APBDES'!G247="","",'Pnj APBDES'!G247)</f>
        <v/>
      </c>
      <c r="H180" s="1674" t="str">
        <f>IF('Pnj APBDES'!H247="","",'Pnj APBDES'!H247)</f>
        <v>Belanja Jasa Sewa</v>
      </c>
      <c r="I180" s="1675">
        <f>'Pnj APBDES'!K247</f>
        <v>800000</v>
      </c>
      <c r="J180" s="1745" t="str">
        <f>IF('Pnj APBDES'!N247="","",'Pnj APBDES'!N247)</f>
        <v/>
      </c>
      <c r="K180" s="1675">
        <f>K181</f>
        <v>0</v>
      </c>
      <c r="L180" s="1675">
        <f t="shared" ref="L180:V180" si="90">L181</f>
        <v>0</v>
      </c>
      <c r="M180" s="1675">
        <f t="shared" si="90"/>
        <v>0</v>
      </c>
      <c r="N180" s="1675">
        <f t="shared" si="90"/>
        <v>0</v>
      </c>
      <c r="O180" s="1675">
        <f t="shared" si="90"/>
        <v>0</v>
      </c>
      <c r="P180" s="1675">
        <f t="shared" si="90"/>
        <v>0</v>
      </c>
      <c r="Q180" s="1675">
        <f t="shared" si="90"/>
        <v>0</v>
      </c>
      <c r="R180" s="1675">
        <f t="shared" si="90"/>
        <v>0</v>
      </c>
      <c r="S180" s="1675">
        <f t="shared" si="90"/>
        <v>800000</v>
      </c>
      <c r="T180" s="1675">
        <f t="shared" si="90"/>
        <v>0</v>
      </c>
      <c r="U180" s="1675">
        <f t="shared" si="90"/>
        <v>0</v>
      </c>
      <c r="V180" s="1675">
        <f t="shared" si="90"/>
        <v>0</v>
      </c>
      <c r="W180" s="1675">
        <f t="shared" si="69"/>
        <v>800000</v>
      </c>
      <c r="X180" s="1751" t="str">
        <f t="shared" si="68"/>
        <v>Sama</v>
      </c>
      <c r="Y180" s="1540">
        <f t="shared" si="59"/>
        <v>0</v>
      </c>
    </row>
    <row r="181" spans="1:25">
      <c r="A181" s="1699">
        <f>IF('Pnj APBDES'!A248="","",'Pnj APBDES'!A248)</f>
        <v>3</v>
      </c>
      <c r="B181" s="1677">
        <f>IF('Pnj APBDES'!B248="","",'Pnj APBDES'!B248)</f>
        <v>2</v>
      </c>
      <c r="C181" s="1687" t="str">
        <f>IF('Pnj APBDES'!C248="","",'Pnj APBDES'!C248)</f>
        <v>03</v>
      </c>
      <c r="D181" s="1676">
        <f>IF('Pnj APBDES'!D248="","",'Pnj APBDES'!D248)</f>
        <v>5</v>
      </c>
      <c r="E181" s="1676">
        <f>IF('Pnj APBDES'!E248="","",'Pnj APBDES'!E248)</f>
        <v>2</v>
      </c>
      <c r="F181" s="1676">
        <f>IF('Pnj APBDES'!F248="","",'Pnj APBDES'!F248)</f>
        <v>4</v>
      </c>
      <c r="G181" s="1676">
        <f>IF('Pnj APBDES'!G248="","",'Pnj APBDES'!G248)</f>
        <v>2</v>
      </c>
      <c r="H181" s="1678" t="str">
        <f>IF('Pnj APBDES'!H248="","",'Pnj APBDES'!H248)</f>
        <v>Belanja Jasa Sewa Peralatan/Perlengkapan</v>
      </c>
      <c r="I181" s="1679">
        <f>'Pnj APBDES'!K248</f>
        <v>800000</v>
      </c>
      <c r="J181" s="1746" t="str">
        <f>IF('Pnj APBDES'!N248="","",'Pnj APBDES'!N248)</f>
        <v>ADD</v>
      </c>
      <c r="K181" s="1679">
        <v>0</v>
      </c>
      <c r="L181" s="1679">
        <v>0</v>
      </c>
      <c r="M181" s="1679">
        <v>0</v>
      </c>
      <c r="N181" s="1679">
        <v>0</v>
      </c>
      <c r="O181" s="1679">
        <v>0</v>
      </c>
      <c r="P181" s="1679">
        <v>0</v>
      </c>
      <c r="Q181" s="1679">
        <v>0</v>
      </c>
      <c r="R181" s="1679">
        <v>0</v>
      </c>
      <c r="S181" s="1679">
        <v>800000</v>
      </c>
      <c r="T181" s="1679">
        <v>0</v>
      </c>
      <c r="U181" s="1679">
        <v>0</v>
      </c>
      <c r="V181" s="1679">
        <v>0</v>
      </c>
      <c r="W181" s="1679">
        <f t="shared" si="69"/>
        <v>800000</v>
      </c>
      <c r="X181" s="1751" t="str">
        <f t="shared" si="68"/>
        <v>Sama</v>
      </c>
      <c r="Y181" s="1540">
        <f t="shared" si="59"/>
        <v>0</v>
      </c>
    </row>
    <row r="182" spans="1:25">
      <c r="A182" s="1707" t="str">
        <f>IF('Pnj APBDES'!A249="","",'Pnj APBDES'!A249)</f>
        <v/>
      </c>
      <c r="B182" s="1708" t="str">
        <f>IF('Pnj APBDES'!B249="","",'Pnj APBDES'!B249)</f>
        <v/>
      </c>
      <c r="C182" s="1708" t="str">
        <f>IF('Pnj APBDES'!C249="","",'Pnj APBDES'!C249)</f>
        <v/>
      </c>
      <c r="D182" s="1709" t="str">
        <f>IF('Pnj APBDES'!D249="","",'Pnj APBDES'!D249)</f>
        <v/>
      </c>
      <c r="E182" s="1709" t="str">
        <f>IF('Pnj APBDES'!E249="","",'Pnj APBDES'!E249)</f>
        <v/>
      </c>
      <c r="F182" s="1709" t="str">
        <f>IF('Pnj APBDES'!F249="","",'Pnj APBDES'!F249)</f>
        <v/>
      </c>
      <c r="G182" s="1709" t="str">
        <f>IF('Pnj APBDES'!G249="","",'Pnj APBDES'!G249)</f>
        <v/>
      </c>
      <c r="H182" s="1710" t="str">
        <f>IF('Pnj APBDES'!H249="","",'Pnj APBDES'!H249)</f>
        <v/>
      </c>
      <c r="I182" s="1711">
        <f>'Pnj APBDES'!K249</f>
        <v>0</v>
      </c>
      <c r="J182" s="1748" t="str">
        <f>IF('Pnj APBDES'!N249="","",'Pnj APBDES'!N249)</f>
        <v/>
      </c>
      <c r="K182" s="1711">
        <v>0</v>
      </c>
      <c r="L182" s="1711">
        <v>0</v>
      </c>
      <c r="M182" s="1711">
        <v>0</v>
      </c>
      <c r="N182" s="1711">
        <v>0</v>
      </c>
      <c r="O182" s="1711">
        <v>0</v>
      </c>
      <c r="P182" s="1711">
        <v>0</v>
      </c>
      <c r="Q182" s="1711">
        <v>0</v>
      </c>
      <c r="R182" s="1711">
        <v>0</v>
      </c>
      <c r="S182" s="1711">
        <v>0</v>
      </c>
      <c r="T182" s="1711">
        <v>0</v>
      </c>
      <c r="U182" s="1711">
        <v>0</v>
      </c>
      <c r="V182" s="1711">
        <v>0</v>
      </c>
      <c r="W182" s="1711">
        <f t="shared" si="69"/>
        <v>0</v>
      </c>
      <c r="X182" s="1751" t="str">
        <f t="shared" si="68"/>
        <v>Sama</v>
      </c>
      <c r="Y182" s="1540">
        <f t="shared" si="59"/>
        <v>0</v>
      </c>
    </row>
    <row r="183" spans="1:25" s="1540" customFormat="1">
      <c r="A183" s="1700">
        <f>IF('Pnj APBDES'!A250="","",'Pnj APBDES'!A250)</f>
        <v>3</v>
      </c>
      <c r="B183" s="1673">
        <f>IF('Pnj APBDES'!B250="","",'Pnj APBDES'!B250)</f>
        <v>3</v>
      </c>
      <c r="C183" s="1691" t="str">
        <f>IF('Pnj APBDES'!C250="","",'Pnj APBDES'!C250)</f>
        <v/>
      </c>
      <c r="D183" s="1672" t="str">
        <f>IF('Pnj APBDES'!D250="","",'Pnj APBDES'!D250)</f>
        <v/>
      </c>
      <c r="E183" s="1672" t="str">
        <f>IF('Pnj APBDES'!E250="","",'Pnj APBDES'!E250)</f>
        <v/>
      </c>
      <c r="F183" s="1672" t="str">
        <f>IF('Pnj APBDES'!F250="","",'Pnj APBDES'!F250)</f>
        <v/>
      </c>
      <c r="G183" s="1672" t="str">
        <f>IF('Pnj APBDES'!G250="","",'Pnj APBDES'!G250)</f>
        <v/>
      </c>
      <c r="H183" s="1674" t="str">
        <f>IF('Pnj APBDES'!H250="","",'Pnj APBDES'!H250)</f>
        <v>Kepemudaan dan Olah Raga</v>
      </c>
      <c r="I183" s="1675">
        <f>'Pnj APBDES'!K250</f>
        <v>1200000</v>
      </c>
      <c r="J183" s="1745" t="str">
        <f>IF('Pnj APBDES'!N250="","",'Pnj APBDES'!N250)</f>
        <v/>
      </c>
      <c r="K183" s="1675">
        <f>K184</f>
        <v>100000</v>
      </c>
      <c r="L183" s="1675">
        <f t="shared" ref="L183:V185" si="91">L184</f>
        <v>100000</v>
      </c>
      <c r="M183" s="1675">
        <f t="shared" si="91"/>
        <v>100000</v>
      </c>
      <c r="N183" s="1675">
        <f t="shared" si="91"/>
        <v>100000</v>
      </c>
      <c r="O183" s="1675">
        <f t="shared" si="91"/>
        <v>100000</v>
      </c>
      <c r="P183" s="1675">
        <f t="shared" si="91"/>
        <v>100000</v>
      </c>
      <c r="Q183" s="1675">
        <f t="shared" si="91"/>
        <v>100000</v>
      </c>
      <c r="R183" s="1675">
        <f t="shared" si="91"/>
        <v>100000</v>
      </c>
      <c r="S183" s="1675">
        <f t="shared" si="91"/>
        <v>100000</v>
      </c>
      <c r="T183" s="1675">
        <f t="shared" si="91"/>
        <v>100000</v>
      </c>
      <c r="U183" s="1675">
        <f t="shared" si="91"/>
        <v>100000</v>
      </c>
      <c r="V183" s="1675">
        <f t="shared" si="91"/>
        <v>100000</v>
      </c>
      <c r="W183" s="1675">
        <f t="shared" si="69"/>
        <v>1200000</v>
      </c>
      <c r="X183" s="1751" t="str">
        <f t="shared" si="68"/>
        <v>Sama</v>
      </c>
      <c r="Y183" s="1540">
        <f t="shared" si="59"/>
        <v>0</v>
      </c>
    </row>
    <row r="184" spans="1:25">
      <c r="A184" s="1699">
        <f>IF('Pnj APBDES'!A251="","",'Pnj APBDES'!A251)</f>
        <v>3</v>
      </c>
      <c r="B184" s="1677">
        <f>IF('Pnj APBDES'!B251="","",'Pnj APBDES'!B251)</f>
        <v>3</v>
      </c>
      <c r="C184" s="1687" t="str">
        <f>IF('Pnj APBDES'!C251="","",'Pnj APBDES'!C251)</f>
        <v>06</v>
      </c>
      <c r="D184" s="1676">
        <f>IF('Pnj APBDES'!D251="","",'Pnj APBDES'!D251)</f>
        <v>5</v>
      </c>
      <c r="E184" s="1676" t="str">
        <f>IF('Pnj APBDES'!E251="","",'Pnj APBDES'!E251)</f>
        <v/>
      </c>
      <c r="F184" s="1676" t="str">
        <f>IF('Pnj APBDES'!F251="","",'Pnj APBDES'!F251)</f>
        <v/>
      </c>
      <c r="G184" s="1676" t="str">
        <f>IF('Pnj APBDES'!G251="","",'Pnj APBDES'!G251)</f>
        <v/>
      </c>
      <c r="H184" s="1712" t="str">
        <f>IF('Pnj APBDES'!H251="","",'Pnj APBDES'!H251)</f>
        <v>Pembinaan Karang Taruna/Klub Kepemudaan/Klub Olah raga</v>
      </c>
      <c r="I184" s="1679">
        <f>'Pnj APBDES'!K251</f>
        <v>1200000</v>
      </c>
      <c r="J184" s="1746" t="str">
        <f>IF('Pnj APBDES'!N251="","",'Pnj APBDES'!N251)</f>
        <v/>
      </c>
      <c r="K184" s="1679">
        <f>K185</f>
        <v>100000</v>
      </c>
      <c r="L184" s="1679">
        <f t="shared" si="91"/>
        <v>100000</v>
      </c>
      <c r="M184" s="1679">
        <f t="shared" si="91"/>
        <v>100000</v>
      </c>
      <c r="N184" s="1679">
        <f t="shared" si="91"/>
        <v>100000</v>
      </c>
      <c r="O184" s="1679">
        <f t="shared" si="91"/>
        <v>100000</v>
      </c>
      <c r="P184" s="1679">
        <f t="shared" si="91"/>
        <v>100000</v>
      </c>
      <c r="Q184" s="1679">
        <f t="shared" si="91"/>
        <v>100000</v>
      </c>
      <c r="R184" s="1679">
        <f t="shared" si="91"/>
        <v>100000</v>
      </c>
      <c r="S184" s="1679">
        <f t="shared" si="91"/>
        <v>100000</v>
      </c>
      <c r="T184" s="1679">
        <f t="shared" si="91"/>
        <v>100000</v>
      </c>
      <c r="U184" s="1679">
        <f t="shared" si="91"/>
        <v>100000</v>
      </c>
      <c r="V184" s="1679">
        <f t="shared" si="91"/>
        <v>100000</v>
      </c>
      <c r="W184" s="1679">
        <f t="shared" si="69"/>
        <v>1200000</v>
      </c>
      <c r="X184" s="1751" t="str">
        <f t="shared" si="68"/>
        <v>Sama</v>
      </c>
      <c r="Y184" s="1540">
        <f t="shared" si="59"/>
        <v>0</v>
      </c>
    </row>
    <row r="185" spans="1:25">
      <c r="A185" s="1699">
        <f>IF('Pnj APBDES'!A252="","",'Pnj APBDES'!A252)</f>
        <v>3</v>
      </c>
      <c r="B185" s="1677">
        <f>IF('Pnj APBDES'!B252="","",'Pnj APBDES'!B252)</f>
        <v>3</v>
      </c>
      <c r="C185" s="1687" t="str">
        <f>IF('Pnj APBDES'!C252="","",'Pnj APBDES'!C252)</f>
        <v>06</v>
      </c>
      <c r="D185" s="1676">
        <f>IF('Pnj APBDES'!D252="","",'Pnj APBDES'!D252)</f>
        <v>5</v>
      </c>
      <c r="E185" s="1676">
        <f>IF('Pnj APBDES'!E252="","",'Pnj APBDES'!E252)</f>
        <v>2</v>
      </c>
      <c r="F185" s="1676" t="str">
        <f>IF('Pnj APBDES'!F252="","",'Pnj APBDES'!F252)</f>
        <v/>
      </c>
      <c r="G185" s="1676" t="str">
        <f>IF('Pnj APBDES'!G252="","",'Pnj APBDES'!G252)</f>
        <v/>
      </c>
      <c r="H185" s="1678" t="str">
        <f>IF('Pnj APBDES'!H252="","",'Pnj APBDES'!H252)</f>
        <v>Belanja Barang dan Jasa</v>
      </c>
      <c r="I185" s="1679">
        <f>'Pnj APBDES'!K252</f>
        <v>1200000</v>
      </c>
      <c r="J185" s="1746" t="str">
        <f>IF('Pnj APBDES'!N252="","",'Pnj APBDES'!N252)</f>
        <v/>
      </c>
      <c r="K185" s="1679">
        <f>K186</f>
        <v>100000</v>
      </c>
      <c r="L185" s="1679">
        <f t="shared" si="91"/>
        <v>100000</v>
      </c>
      <c r="M185" s="1679">
        <f t="shared" si="91"/>
        <v>100000</v>
      </c>
      <c r="N185" s="1679">
        <f t="shared" si="91"/>
        <v>100000</v>
      </c>
      <c r="O185" s="1679">
        <f t="shared" si="91"/>
        <v>100000</v>
      </c>
      <c r="P185" s="1679">
        <f t="shared" si="91"/>
        <v>100000</v>
      </c>
      <c r="Q185" s="1679">
        <f t="shared" si="91"/>
        <v>100000</v>
      </c>
      <c r="R185" s="1679">
        <f t="shared" si="91"/>
        <v>100000</v>
      </c>
      <c r="S185" s="1679">
        <f t="shared" si="91"/>
        <v>100000</v>
      </c>
      <c r="T185" s="1679">
        <f t="shared" si="91"/>
        <v>100000</v>
      </c>
      <c r="U185" s="1679">
        <f t="shared" si="91"/>
        <v>100000</v>
      </c>
      <c r="V185" s="1679">
        <f t="shared" si="91"/>
        <v>100000</v>
      </c>
      <c r="W185" s="1679">
        <f t="shared" si="69"/>
        <v>1200000</v>
      </c>
      <c r="X185" s="1751" t="str">
        <f t="shared" si="68"/>
        <v>Sama</v>
      </c>
      <c r="Y185" s="1540">
        <f t="shared" si="59"/>
        <v>0</v>
      </c>
    </row>
    <row r="186" spans="1:25">
      <c r="A186" s="1699">
        <f>IF('Pnj APBDES'!A253="","",'Pnj APBDES'!A253)</f>
        <v>3</v>
      </c>
      <c r="B186" s="1677">
        <f>IF('Pnj APBDES'!B253="","",'Pnj APBDES'!B253)</f>
        <v>3</v>
      </c>
      <c r="C186" s="1687" t="str">
        <f>IF('Pnj APBDES'!C253="","",'Pnj APBDES'!C253)</f>
        <v>06</v>
      </c>
      <c r="D186" s="1676">
        <f>IF('Pnj APBDES'!D253="","",'Pnj APBDES'!D253)</f>
        <v>5</v>
      </c>
      <c r="E186" s="1676">
        <f>IF('Pnj APBDES'!E253="","",'Pnj APBDES'!E253)</f>
        <v>2</v>
      </c>
      <c r="F186" s="1676">
        <f>IF('Pnj APBDES'!F253="","",'Pnj APBDES'!F253)</f>
        <v>2</v>
      </c>
      <c r="G186" s="1676" t="str">
        <f>IF('Pnj APBDES'!G253="","",'Pnj APBDES'!G253)</f>
        <v/>
      </c>
      <c r="H186" s="1678" t="str">
        <f>IF('Pnj APBDES'!H253="","",'Pnj APBDES'!H253)</f>
        <v>Belanja Jasa Honorarium</v>
      </c>
      <c r="I186" s="1679">
        <f>'Pnj APBDES'!K253</f>
        <v>1200000</v>
      </c>
      <c r="J186" s="1746" t="str">
        <f>IF('Pnj APBDES'!N253="","",'Pnj APBDES'!N253)</f>
        <v/>
      </c>
      <c r="K186" s="1679">
        <f>SUM(K187:K187)</f>
        <v>100000</v>
      </c>
      <c r="L186" s="1679">
        <f t="shared" ref="L186:V186" si="92">SUM(L187:L187)</f>
        <v>100000</v>
      </c>
      <c r="M186" s="1679">
        <f t="shared" si="92"/>
        <v>100000</v>
      </c>
      <c r="N186" s="1679">
        <f t="shared" si="92"/>
        <v>100000</v>
      </c>
      <c r="O186" s="1679">
        <f t="shared" si="92"/>
        <v>100000</v>
      </c>
      <c r="P186" s="1679">
        <f t="shared" si="92"/>
        <v>100000</v>
      </c>
      <c r="Q186" s="1679">
        <f t="shared" si="92"/>
        <v>100000</v>
      </c>
      <c r="R186" s="1679">
        <f t="shared" si="92"/>
        <v>100000</v>
      </c>
      <c r="S186" s="1679">
        <f t="shared" si="92"/>
        <v>100000</v>
      </c>
      <c r="T186" s="1679">
        <f t="shared" si="92"/>
        <v>100000</v>
      </c>
      <c r="U186" s="1679">
        <f t="shared" si="92"/>
        <v>100000</v>
      </c>
      <c r="V186" s="1679">
        <f t="shared" si="92"/>
        <v>100000</v>
      </c>
      <c r="W186" s="1679">
        <f t="shared" si="69"/>
        <v>1200000</v>
      </c>
      <c r="X186" s="1751" t="str">
        <f t="shared" si="68"/>
        <v>Sama</v>
      </c>
      <c r="Y186" s="1540">
        <f t="shared" si="59"/>
        <v>0</v>
      </c>
    </row>
    <row r="187" spans="1:25">
      <c r="A187" s="1699">
        <f>IF('Pnj APBDES'!A254="","",'Pnj APBDES'!A254)</f>
        <v>3</v>
      </c>
      <c r="B187" s="1677">
        <f>IF('Pnj APBDES'!B254="","",'Pnj APBDES'!B254)</f>
        <v>3</v>
      </c>
      <c r="C187" s="1687" t="str">
        <f>IF('Pnj APBDES'!C254="","",'Pnj APBDES'!C254)</f>
        <v>06</v>
      </c>
      <c r="D187" s="1676">
        <f>IF('Pnj APBDES'!D254="","",'Pnj APBDES'!D254)</f>
        <v>5</v>
      </c>
      <c r="E187" s="1676">
        <f>IF('Pnj APBDES'!E254="","",'Pnj APBDES'!E254)</f>
        <v>2</v>
      </c>
      <c r="F187" s="1676">
        <f>IF('Pnj APBDES'!F254="","",'Pnj APBDES'!F254)</f>
        <v>2</v>
      </c>
      <c r="G187" s="1676">
        <f>IF('Pnj APBDES'!G254="","",'Pnj APBDES'!G254)</f>
        <v>5</v>
      </c>
      <c r="H187" s="1678" t="str">
        <f>IF('Pnj APBDES'!H254="","",'Pnj APBDES'!H254)</f>
        <v>Belanja Jasa Honorarium Petugas</v>
      </c>
      <c r="I187" s="1679">
        <f>'Pnj APBDES'!K254</f>
        <v>1200000</v>
      </c>
      <c r="J187" s="1746" t="str">
        <f>IF('Pnj APBDES'!N254="","",'Pnj APBDES'!N254)</f>
        <v>ADD</v>
      </c>
      <c r="K187" s="1679">
        <f>$I$187/12</f>
        <v>100000</v>
      </c>
      <c r="L187" s="1679">
        <f t="shared" ref="L187:V187" si="93">$I$187/12</f>
        <v>100000</v>
      </c>
      <c r="M187" s="1679">
        <f t="shared" si="93"/>
        <v>100000</v>
      </c>
      <c r="N187" s="1679">
        <f t="shared" si="93"/>
        <v>100000</v>
      </c>
      <c r="O187" s="1679">
        <f t="shared" si="93"/>
        <v>100000</v>
      </c>
      <c r="P187" s="1679">
        <f t="shared" si="93"/>
        <v>100000</v>
      </c>
      <c r="Q187" s="1679">
        <f t="shared" si="93"/>
        <v>100000</v>
      </c>
      <c r="R187" s="1679">
        <f t="shared" si="93"/>
        <v>100000</v>
      </c>
      <c r="S187" s="1679">
        <f t="shared" si="93"/>
        <v>100000</v>
      </c>
      <c r="T187" s="1679">
        <f t="shared" si="93"/>
        <v>100000</v>
      </c>
      <c r="U187" s="1679">
        <f t="shared" si="93"/>
        <v>100000</v>
      </c>
      <c r="V187" s="1679">
        <f t="shared" si="93"/>
        <v>100000</v>
      </c>
      <c r="W187" s="1679">
        <f t="shared" si="69"/>
        <v>1200000</v>
      </c>
      <c r="X187" s="1751" t="str">
        <f t="shared" si="68"/>
        <v>Sama</v>
      </c>
      <c r="Y187" s="1540">
        <f t="shared" si="59"/>
        <v>0</v>
      </c>
    </row>
    <row r="188" spans="1:25" s="1540" customFormat="1">
      <c r="A188" s="1700">
        <f>IF('Pnj APBDES'!A260="","",'Pnj APBDES'!A260)</f>
        <v>3</v>
      </c>
      <c r="B188" s="1673">
        <f>IF('Pnj APBDES'!B260="","",'Pnj APBDES'!B260)</f>
        <v>4</v>
      </c>
      <c r="C188" s="1691" t="str">
        <f>IF('Pnj APBDES'!C260="","",'Pnj APBDES'!C260)</f>
        <v/>
      </c>
      <c r="D188" s="1672" t="str">
        <f>IF('Pnj APBDES'!D260="","",'Pnj APBDES'!D260)</f>
        <v/>
      </c>
      <c r="E188" s="1672" t="str">
        <f>IF('Pnj APBDES'!E260="","",'Pnj APBDES'!E260)</f>
        <v/>
      </c>
      <c r="F188" s="1672" t="str">
        <f>IF('Pnj APBDES'!F260="","",'Pnj APBDES'!F260)</f>
        <v/>
      </c>
      <c r="G188" s="1672" t="str">
        <f>IF('Pnj APBDES'!G260="","",'Pnj APBDES'!G260)</f>
        <v/>
      </c>
      <c r="H188" s="1693" t="str">
        <f>IF('Pnj APBDES'!H260="","",'Pnj APBDES'!H260)</f>
        <v>Kelembagaan Masyarakat</v>
      </c>
      <c r="I188" s="1675">
        <f>'Pnj APBDES'!K260</f>
        <v>2400000</v>
      </c>
      <c r="J188" s="1745" t="str">
        <f>IF('Pnj APBDES'!N260="","",'Pnj APBDES'!N260)</f>
        <v/>
      </c>
      <c r="K188" s="1675" t="e">
        <f>K189+K193+K197+K212</f>
        <v>#REF!</v>
      </c>
      <c r="L188" s="1675" t="e">
        <f t="shared" ref="L188:V188" si="94">L189+L193+L197+L212</f>
        <v>#REF!</v>
      </c>
      <c r="M188" s="1675" t="e">
        <f t="shared" si="94"/>
        <v>#REF!</v>
      </c>
      <c r="N188" s="1675" t="e">
        <f t="shared" si="94"/>
        <v>#REF!</v>
      </c>
      <c r="O188" s="1675" t="e">
        <f t="shared" si="94"/>
        <v>#REF!</v>
      </c>
      <c r="P188" s="1675" t="e">
        <f t="shared" si="94"/>
        <v>#REF!</v>
      </c>
      <c r="Q188" s="1675" t="e">
        <f t="shared" si="94"/>
        <v>#REF!</v>
      </c>
      <c r="R188" s="1675" t="e">
        <f t="shared" si="94"/>
        <v>#REF!</v>
      </c>
      <c r="S188" s="1675" t="e">
        <f t="shared" si="94"/>
        <v>#REF!</v>
      </c>
      <c r="T188" s="1675" t="e">
        <f t="shared" si="94"/>
        <v>#REF!</v>
      </c>
      <c r="U188" s="1675" t="e">
        <f t="shared" si="94"/>
        <v>#REF!</v>
      </c>
      <c r="V188" s="1675" t="e">
        <f t="shared" si="94"/>
        <v>#REF!</v>
      </c>
      <c r="W188" s="1675" t="e">
        <f t="shared" si="69"/>
        <v>#REF!</v>
      </c>
      <c r="X188" s="1751" t="e">
        <f t="shared" si="68"/>
        <v>#REF!</v>
      </c>
      <c r="Y188" s="1540" t="e">
        <f t="shared" si="59"/>
        <v>#REF!</v>
      </c>
    </row>
    <row r="189" spans="1:25" s="1540" customFormat="1">
      <c r="A189" s="1700">
        <f>IF('Pnj APBDES'!A261="","",'Pnj APBDES'!A261)</f>
        <v>3</v>
      </c>
      <c r="B189" s="1673">
        <f>IF('Pnj APBDES'!B261="","",'Pnj APBDES'!B261)</f>
        <v>4</v>
      </c>
      <c r="C189" s="1691" t="str">
        <f>IF('Pnj APBDES'!C261="","",'Pnj APBDES'!C261)</f>
        <v>01</v>
      </c>
      <c r="D189" s="1672">
        <f>IF('Pnj APBDES'!D261="","",'Pnj APBDES'!D261)</f>
        <v>5</v>
      </c>
      <c r="E189" s="1672" t="str">
        <f>IF('Pnj APBDES'!E261="","",'Pnj APBDES'!E261)</f>
        <v/>
      </c>
      <c r="F189" s="1672" t="str">
        <f>IF('Pnj APBDES'!F261="","",'Pnj APBDES'!F261)</f>
        <v/>
      </c>
      <c r="G189" s="1672" t="str">
        <f>IF('Pnj APBDES'!G261="","",'Pnj APBDES'!G261)</f>
        <v/>
      </c>
      <c r="H189" s="1693" t="str">
        <f>IF('Pnj APBDES'!H261="","",'Pnj APBDES'!H261)</f>
        <v>Pembinaan Lembaga Adat</v>
      </c>
      <c r="I189" s="1675">
        <f>'Pnj APBDES'!K261</f>
        <v>2400000</v>
      </c>
      <c r="J189" s="1745" t="str">
        <f>IF('Pnj APBDES'!N261="","",'Pnj APBDES'!N261)</f>
        <v/>
      </c>
      <c r="K189" s="1675">
        <f>K190</f>
        <v>200000</v>
      </c>
      <c r="L189" s="1675">
        <f t="shared" ref="L189:V190" si="95">L190</f>
        <v>200000</v>
      </c>
      <c r="M189" s="1675">
        <f t="shared" si="95"/>
        <v>200000</v>
      </c>
      <c r="N189" s="1675">
        <f t="shared" si="95"/>
        <v>200000</v>
      </c>
      <c r="O189" s="1675">
        <f t="shared" si="95"/>
        <v>200000</v>
      </c>
      <c r="P189" s="1675">
        <f t="shared" si="95"/>
        <v>200000</v>
      </c>
      <c r="Q189" s="1675">
        <f t="shared" si="95"/>
        <v>200000</v>
      </c>
      <c r="R189" s="1675">
        <f t="shared" si="95"/>
        <v>200000</v>
      </c>
      <c r="S189" s="1675">
        <f t="shared" si="95"/>
        <v>200000</v>
      </c>
      <c r="T189" s="1675">
        <f t="shared" si="95"/>
        <v>200000</v>
      </c>
      <c r="U189" s="1675">
        <f t="shared" si="95"/>
        <v>200000</v>
      </c>
      <c r="V189" s="1675">
        <f t="shared" si="95"/>
        <v>200000</v>
      </c>
      <c r="W189" s="1675">
        <f t="shared" si="69"/>
        <v>2400000</v>
      </c>
      <c r="X189" s="1752" t="str">
        <f t="shared" si="68"/>
        <v>Sama</v>
      </c>
      <c r="Y189" s="1540">
        <f t="shared" si="59"/>
        <v>0</v>
      </c>
    </row>
    <row r="190" spans="1:25">
      <c r="A190" s="1699">
        <f>IF('Pnj APBDES'!A262="","",'Pnj APBDES'!A262)</f>
        <v>3</v>
      </c>
      <c r="B190" s="1677">
        <f>IF('Pnj APBDES'!B262="","",'Pnj APBDES'!B262)</f>
        <v>4</v>
      </c>
      <c r="C190" s="1687" t="str">
        <f>IF('Pnj APBDES'!C262="","",'Pnj APBDES'!C262)</f>
        <v>01</v>
      </c>
      <c r="D190" s="1676">
        <f>IF('Pnj APBDES'!D262="","",'Pnj APBDES'!D262)</f>
        <v>5</v>
      </c>
      <c r="E190" s="1676">
        <f>IF('Pnj APBDES'!E262="","",'Pnj APBDES'!E262)</f>
        <v>2</v>
      </c>
      <c r="F190" s="1676" t="str">
        <f>IF('Pnj APBDES'!F262="","",'Pnj APBDES'!F262)</f>
        <v/>
      </c>
      <c r="G190" s="1676" t="str">
        <f>IF('Pnj APBDES'!G262="","",'Pnj APBDES'!G262)</f>
        <v/>
      </c>
      <c r="H190" s="1678" t="str">
        <f>IF('Pnj APBDES'!H262="","",'Pnj APBDES'!H262)</f>
        <v>Belanja Barang dan Jasa</v>
      </c>
      <c r="I190" s="1679">
        <f>'Pnj APBDES'!K262</f>
        <v>2400000</v>
      </c>
      <c r="J190" s="1746" t="str">
        <f>IF('Pnj APBDES'!N262="","",'Pnj APBDES'!N262)</f>
        <v/>
      </c>
      <c r="K190" s="1679">
        <f>K191</f>
        <v>200000</v>
      </c>
      <c r="L190" s="1679">
        <f t="shared" si="95"/>
        <v>200000</v>
      </c>
      <c r="M190" s="1679">
        <f t="shared" si="95"/>
        <v>200000</v>
      </c>
      <c r="N190" s="1679">
        <f t="shared" si="95"/>
        <v>200000</v>
      </c>
      <c r="O190" s="1679">
        <f t="shared" si="95"/>
        <v>200000</v>
      </c>
      <c r="P190" s="1679">
        <f t="shared" si="95"/>
        <v>200000</v>
      </c>
      <c r="Q190" s="1679">
        <f t="shared" si="95"/>
        <v>200000</v>
      </c>
      <c r="R190" s="1679">
        <f t="shared" si="95"/>
        <v>200000</v>
      </c>
      <c r="S190" s="1679">
        <f t="shared" si="95"/>
        <v>200000</v>
      </c>
      <c r="T190" s="1679">
        <f t="shared" si="95"/>
        <v>200000</v>
      </c>
      <c r="U190" s="1679">
        <f t="shared" si="95"/>
        <v>200000</v>
      </c>
      <c r="V190" s="1679">
        <f t="shared" si="95"/>
        <v>200000</v>
      </c>
      <c r="W190" s="1679">
        <f t="shared" si="69"/>
        <v>2400000</v>
      </c>
      <c r="X190" s="1751" t="str">
        <f t="shared" si="68"/>
        <v>Sama</v>
      </c>
      <c r="Y190" s="1540">
        <f t="shared" ref="Y190:Y253" si="96">W190-I190</f>
        <v>0</v>
      </c>
    </row>
    <row r="191" spans="1:25">
      <c r="A191" s="1699">
        <f>IF('Pnj APBDES'!A263="","",'Pnj APBDES'!A263)</f>
        <v>3</v>
      </c>
      <c r="B191" s="1677">
        <f>IF('Pnj APBDES'!B263="","",'Pnj APBDES'!B263)</f>
        <v>4</v>
      </c>
      <c r="C191" s="1687" t="str">
        <f>IF('Pnj APBDES'!C263="","",'Pnj APBDES'!C263)</f>
        <v>01</v>
      </c>
      <c r="D191" s="1676">
        <f>IF('Pnj APBDES'!D263="","",'Pnj APBDES'!D263)</f>
        <v>5</v>
      </c>
      <c r="E191" s="1676">
        <f>IF('Pnj APBDES'!E263="","",'Pnj APBDES'!E263)</f>
        <v>2</v>
      </c>
      <c r="F191" s="1676">
        <f>IF('Pnj APBDES'!F263="","",'Pnj APBDES'!F263)</f>
        <v>2</v>
      </c>
      <c r="G191" s="1676" t="str">
        <f>IF('Pnj APBDES'!G263="","",'Pnj APBDES'!G263)</f>
        <v/>
      </c>
      <c r="H191" s="1678" t="str">
        <f>IF('Pnj APBDES'!H263="","",'Pnj APBDES'!H263)</f>
        <v>Belanja Jasa Honorarium</v>
      </c>
      <c r="I191" s="1679">
        <f>'Pnj APBDES'!K263</f>
        <v>2400000</v>
      </c>
      <c r="J191" s="1746" t="str">
        <f>IF('Pnj APBDES'!N263="","",'Pnj APBDES'!N263)</f>
        <v/>
      </c>
      <c r="K191" s="1679">
        <f>SUM(K192:K192)</f>
        <v>200000</v>
      </c>
      <c r="L191" s="1679">
        <f t="shared" ref="L191:V191" si="97">SUM(L192:L192)</f>
        <v>200000</v>
      </c>
      <c r="M191" s="1679">
        <f t="shared" si="97"/>
        <v>200000</v>
      </c>
      <c r="N191" s="1679">
        <f t="shared" si="97"/>
        <v>200000</v>
      </c>
      <c r="O191" s="1679">
        <f t="shared" si="97"/>
        <v>200000</v>
      </c>
      <c r="P191" s="1679">
        <f t="shared" si="97"/>
        <v>200000</v>
      </c>
      <c r="Q191" s="1679">
        <f t="shared" si="97"/>
        <v>200000</v>
      </c>
      <c r="R191" s="1679">
        <f t="shared" si="97"/>
        <v>200000</v>
      </c>
      <c r="S191" s="1679">
        <f t="shared" si="97"/>
        <v>200000</v>
      </c>
      <c r="T191" s="1679">
        <f t="shared" si="97"/>
        <v>200000</v>
      </c>
      <c r="U191" s="1679">
        <f t="shared" si="97"/>
        <v>200000</v>
      </c>
      <c r="V191" s="1679">
        <f t="shared" si="97"/>
        <v>200000</v>
      </c>
      <c r="W191" s="1679">
        <f t="shared" si="69"/>
        <v>2400000</v>
      </c>
      <c r="X191" s="1751" t="str">
        <f t="shared" si="68"/>
        <v>Sama</v>
      </c>
      <c r="Y191" s="1540">
        <f t="shared" si="96"/>
        <v>0</v>
      </c>
    </row>
    <row r="192" spans="1:25">
      <c r="A192" s="1699">
        <f>IF('Pnj APBDES'!A264="","",'Pnj APBDES'!A264)</f>
        <v>3</v>
      </c>
      <c r="B192" s="1677">
        <f>IF('Pnj APBDES'!B264="","",'Pnj APBDES'!B264)</f>
        <v>4</v>
      </c>
      <c r="C192" s="1687" t="str">
        <f>IF('Pnj APBDES'!C264="","",'Pnj APBDES'!C264)</f>
        <v>01</v>
      </c>
      <c r="D192" s="1676">
        <f>IF('Pnj APBDES'!D264="","",'Pnj APBDES'!D264)</f>
        <v>5</v>
      </c>
      <c r="E192" s="1676">
        <f>IF('Pnj APBDES'!E264="","",'Pnj APBDES'!E264)</f>
        <v>2</v>
      </c>
      <c r="F192" s="1676">
        <f>IF('Pnj APBDES'!F264="","",'Pnj APBDES'!F264)</f>
        <v>2</v>
      </c>
      <c r="G192" s="1676">
        <f>IF('Pnj APBDES'!G264="","",'Pnj APBDES'!G264)</f>
        <v>5</v>
      </c>
      <c r="H192" s="1678" t="str">
        <f>IF('Pnj APBDES'!H264="","",'Pnj APBDES'!H264)</f>
        <v>Belanja Jasa Honorarium Petugas</v>
      </c>
      <c r="I192" s="1679">
        <f>'Pnj APBDES'!K264</f>
        <v>2400000</v>
      </c>
      <c r="J192" s="1746" t="str">
        <f>IF('Pnj APBDES'!N264="","",'Pnj APBDES'!N264)</f>
        <v>BPP</v>
      </c>
      <c r="K192" s="1679">
        <f>$I192/12</f>
        <v>200000</v>
      </c>
      <c r="L192" s="1679">
        <f t="shared" ref="L192:V192" si="98">$I192/12</f>
        <v>200000</v>
      </c>
      <c r="M192" s="1679">
        <f t="shared" si="98"/>
        <v>200000</v>
      </c>
      <c r="N192" s="1679">
        <f t="shared" si="98"/>
        <v>200000</v>
      </c>
      <c r="O192" s="1679">
        <f t="shared" si="98"/>
        <v>200000</v>
      </c>
      <c r="P192" s="1679">
        <f t="shared" si="98"/>
        <v>200000</v>
      </c>
      <c r="Q192" s="1679">
        <f t="shared" si="98"/>
        <v>200000</v>
      </c>
      <c r="R192" s="1679">
        <f t="shared" si="98"/>
        <v>200000</v>
      </c>
      <c r="S192" s="1679">
        <f t="shared" si="98"/>
        <v>200000</v>
      </c>
      <c r="T192" s="1679">
        <f t="shared" si="98"/>
        <v>200000</v>
      </c>
      <c r="U192" s="1679">
        <f t="shared" si="98"/>
        <v>200000</v>
      </c>
      <c r="V192" s="1679">
        <f t="shared" si="98"/>
        <v>200000</v>
      </c>
      <c r="W192" s="1679">
        <f t="shared" si="69"/>
        <v>2400000</v>
      </c>
      <c r="X192" s="1751" t="str">
        <f t="shared" si="68"/>
        <v>Sama</v>
      </c>
      <c r="Y192" s="1540">
        <f t="shared" si="96"/>
        <v>0</v>
      </c>
    </row>
    <row r="193" spans="1:25" s="1540" customFormat="1">
      <c r="A193" s="1700">
        <f>IF('Pnj APBDES'!A265="","",'Pnj APBDES'!A265)</f>
        <v>3</v>
      </c>
      <c r="B193" s="1673">
        <f>IF('Pnj APBDES'!B265="","",'Pnj APBDES'!B265)</f>
        <v>4</v>
      </c>
      <c r="C193" s="1691" t="str">
        <f>IF('Pnj APBDES'!C265="","",'Pnj APBDES'!C265)</f>
        <v>02</v>
      </c>
      <c r="D193" s="1672">
        <f>IF('Pnj APBDES'!D265="","",'Pnj APBDES'!D265)</f>
        <v>5</v>
      </c>
      <c r="E193" s="1672" t="str">
        <f>IF('Pnj APBDES'!E265="","",'Pnj APBDES'!E265)</f>
        <v/>
      </c>
      <c r="F193" s="1672" t="str">
        <f>IF('Pnj APBDES'!F265="","",'Pnj APBDES'!F265)</f>
        <v/>
      </c>
      <c r="G193" s="1672" t="str">
        <f>IF('Pnj APBDES'!G265="","",'Pnj APBDES'!G265)</f>
        <v/>
      </c>
      <c r="H193" s="1693" t="str">
        <f>IF('Pnj APBDES'!H265="","",'Pnj APBDES'!H265)</f>
        <v>Pembinaan LKMD/LPM/LPMD</v>
      </c>
      <c r="I193" s="1675">
        <f>'Pnj APBDES'!K265</f>
        <v>3900000</v>
      </c>
      <c r="J193" s="1745" t="str">
        <f>IF('Pnj APBDES'!N265="","",'Pnj APBDES'!N265)</f>
        <v/>
      </c>
      <c r="K193" s="1675">
        <f>K194</f>
        <v>325000</v>
      </c>
      <c r="L193" s="1675">
        <f t="shared" ref="L193:V194" si="99">L194</f>
        <v>325000</v>
      </c>
      <c r="M193" s="1675">
        <f t="shared" si="99"/>
        <v>325000</v>
      </c>
      <c r="N193" s="1675">
        <f t="shared" si="99"/>
        <v>325000</v>
      </c>
      <c r="O193" s="1675">
        <f t="shared" si="99"/>
        <v>325000</v>
      </c>
      <c r="P193" s="1675">
        <f t="shared" si="99"/>
        <v>325000</v>
      </c>
      <c r="Q193" s="1675">
        <f t="shared" si="99"/>
        <v>325000</v>
      </c>
      <c r="R193" s="1675">
        <f t="shared" si="99"/>
        <v>325000</v>
      </c>
      <c r="S193" s="1675">
        <f t="shared" si="99"/>
        <v>325000</v>
      </c>
      <c r="T193" s="1675">
        <f t="shared" si="99"/>
        <v>325000</v>
      </c>
      <c r="U193" s="1675">
        <f t="shared" si="99"/>
        <v>325000</v>
      </c>
      <c r="V193" s="1675">
        <f t="shared" si="99"/>
        <v>325000</v>
      </c>
      <c r="W193" s="1675">
        <f t="shared" si="69"/>
        <v>3900000</v>
      </c>
      <c r="X193" s="1751" t="str">
        <f t="shared" si="68"/>
        <v>Sama</v>
      </c>
      <c r="Y193" s="1540">
        <f t="shared" si="96"/>
        <v>0</v>
      </c>
    </row>
    <row r="194" spans="1:25">
      <c r="A194" s="1699">
        <f>IF('Pnj APBDES'!A266="","",'Pnj APBDES'!A266)</f>
        <v>3</v>
      </c>
      <c r="B194" s="1677">
        <f>IF('Pnj APBDES'!B266="","",'Pnj APBDES'!B266)</f>
        <v>4</v>
      </c>
      <c r="C194" s="1687" t="str">
        <f>IF('Pnj APBDES'!C266="","",'Pnj APBDES'!C266)</f>
        <v>02</v>
      </c>
      <c r="D194" s="1676">
        <f>IF('Pnj APBDES'!D266="","",'Pnj APBDES'!D266)</f>
        <v>5</v>
      </c>
      <c r="E194" s="1676">
        <f>IF('Pnj APBDES'!E266="","",'Pnj APBDES'!E266)</f>
        <v>2</v>
      </c>
      <c r="F194" s="1676" t="str">
        <f>IF('Pnj APBDES'!F266="","",'Pnj APBDES'!F266)</f>
        <v/>
      </c>
      <c r="G194" s="1676" t="str">
        <f>IF('Pnj APBDES'!G266="","",'Pnj APBDES'!G266)</f>
        <v/>
      </c>
      <c r="H194" s="1678" t="str">
        <f>IF('Pnj APBDES'!H266="","",'Pnj APBDES'!H266)</f>
        <v>Belanja Barang dan Jasa</v>
      </c>
      <c r="I194" s="1679">
        <f>'Pnj APBDES'!K266</f>
        <v>3900000</v>
      </c>
      <c r="J194" s="1746" t="str">
        <f>IF('Pnj APBDES'!N266="","",'Pnj APBDES'!N266)</f>
        <v/>
      </c>
      <c r="K194" s="1679">
        <f>K195</f>
        <v>325000</v>
      </c>
      <c r="L194" s="1679">
        <f t="shared" si="99"/>
        <v>325000</v>
      </c>
      <c r="M194" s="1679">
        <f t="shared" si="99"/>
        <v>325000</v>
      </c>
      <c r="N194" s="1679">
        <f t="shared" si="99"/>
        <v>325000</v>
      </c>
      <c r="O194" s="1679">
        <f t="shared" si="99"/>
        <v>325000</v>
      </c>
      <c r="P194" s="1679">
        <f t="shared" si="99"/>
        <v>325000</v>
      </c>
      <c r="Q194" s="1679">
        <f t="shared" si="99"/>
        <v>325000</v>
      </c>
      <c r="R194" s="1679">
        <f t="shared" si="99"/>
        <v>325000</v>
      </c>
      <c r="S194" s="1679">
        <f t="shared" si="99"/>
        <v>325000</v>
      </c>
      <c r="T194" s="1679">
        <f t="shared" si="99"/>
        <v>325000</v>
      </c>
      <c r="U194" s="1679">
        <f t="shared" si="99"/>
        <v>325000</v>
      </c>
      <c r="V194" s="1679">
        <f t="shared" si="99"/>
        <v>325000</v>
      </c>
      <c r="W194" s="1679">
        <f t="shared" si="69"/>
        <v>3900000</v>
      </c>
      <c r="X194" s="1751" t="str">
        <f t="shared" si="68"/>
        <v>Sama</v>
      </c>
      <c r="Y194" s="1540">
        <f t="shared" si="96"/>
        <v>0</v>
      </c>
    </row>
    <row r="195" spans="1:25" ht="22.5" customHeight="1">
      <c r="A195" s="1699">
        <f>IF('Pnj APBDES'!A267="","",'Pnj APBDES'!A267)</f>
        <v>3</v>
      </c>
      <c r="B195" s="1677">
        <f>IF('Pnj APBDES'!B267="","",'Pnj APBDES'!B267)</f>
        <v>4</v>
      </c>
      <c r="C195" s="1687" t="str">
        <f>IF('Pnj APBDES'!C267="","",'Pnj APBDES'!C267)</f>
        <v>02</v>
      </c>
      <c r="D195" s="1676">
        <f>IF('Pnj APBDES'!D267="","",'Pnj APBDES'!D267)</f>
        <v>5</v>
      </c>
      <c r="E195" s="1676">
        <f>IF('Pnj APBDES'!E267="","",'Pnj APBDES'!E267)</f>
        <v>2</v>
      </c>
      <c r="F195" s="1676">
        <f>IF('Pnj APBDES'!F267="","",'Pnj APBDES'!F267)</f>
        <v>2</v>
      </c>
      <c r="G195" s="1676" t="str">
        <f>IF('Pnj APBDES'!G267="","",'Pnj APBDES'!G267)</f>
        <v/>
      </c>
      <c r="H195" s="1678" t="str">
        <f>IF('Pnj APBDES'!H267="","",'Pnj APBDES'!H267)</f>
        <v>Belanja Jasa Honorarium</v>
      </c>
      <c r="I195" s="1679">
        <f>'Pnj APBDES'!K267</f>
        <v>3900000</v>
      </c>
      <c r="J195" s="1746" t="str">
        <f>IF('Pnj APBDES'!N267="","",'Pnj APBDES'!N267)</f>
        <v/>
      </c>
      <c r="K195" s="1679">
        <f>SUM(K196:K196)</f>
        <v>325000</v>
      </c>
      <c r="L195" s="1679">
        <f t="shared" ref="L195:V195" si="100">SUM(L196:L196)</f>
        <v>325000</v>
      </c>
      <c r="M195" s="1679">
        <f t="shared" si="100"/>
        <v>325000</v>
      </c>
      <c r="N195" s="1679">
        <f t="shared" si="100"/>
        <v>325000</v>
      </c>
      <c r="O195" s="1679">
        <f t="shared" si="100"/>
        <v>325000</v>
      </c>
      <c r="P195" s="1679">
        <f t="shared" si="100"/>
        <v>325000</v>
      </c>
      <c r="Q195" s="1679">
        <f t="shared" si="100"/>
        <v>325000</v>
      </c>
      <c r="R195" s="1679">
        <f t="shared" si="100"/>
        <v>325000</v>
      </c>
      <c r="S195" s="1679">
        <f t="shared" si="100"/>
        <v>325000</v>
      </c>
      <c r="T195" s="1679">
        <f t="shared" si="100"/>
        <v>325000</v>
      </c>
      <c r="U195" s="1679">
        <f t="shared" si="100"/>
        <v>325000</v>
      </c>
      <c r="V195" s="1679">
        <f t="shared" si="100"/>
        <v>325000</v>
      </c>
      <c r="W195" s="1679">
        <f t="shared" si="69"/>
        <v>3900000</v>
      </c>
      <c r="X195" s="1751" t="str">
        <f t="shared" si="68"/>
        <v>Sama</v>
      </c>
      <c r="Y195" s="1540">
        <f t="shared" si="96"/>
        <v>0</v>
      </c>
    </row>
    <row r="196" spans="1:25">
      <c r="A196" s="1699">
        <f>IF('Pnj APBDES'!A268="","",'Pnj APBDES'!A268)</f>
        <v>3</v>
      </c>
      <c r="B196" s="1677">
        <f>IF('Pnj APBDES'!B268="","",'Pnj APBDES'!B268)</f>
        <v>4</v>
      </c>
      <c r="C196" s="1687" t="str">
        <f>IF('Pnj APBDES'!C268="","",'Pnj APBDES'!C268)</f>
        <v>02</v>
      </c>
      <c r="D196" s="1676">
        <f>IF('Pnj APBDES'!D268="","",'Pnj APBDES'!D268)</f>
        <v>5</v>
      </c>
      <c r="E196" s="1676">
        <f>IF('Pnj APBDES'!E268="","",'Pnj APBDES'!E268)</f>
        <v>2</v>
      </c>
      <c r="F196" s="1676">
        <f>IF('Pnj APBDES'!F268="","",'Pnj APBDES'!F268)</f>
        <v>2</v>
      </c>
      <c r="G196" s="1676">
        <f>IF('Pnj APBDES'!G268="","",'Pnj APBDES'!G268)</f>
        <v>5</v>
      </c>
      <c r="H196" s="1678" t="str">
        <f>IF('Pnj APBDES'!H268="","",'Pnj APBDES'!H268)</f>
        <v>Belanja Jasa Honorarium Petugas</v>
      </c>
      <c r="I196" s="1679">
        <f>'Pnj APBDES'!K268</f>
        <v>3900000</v>
      </c>
      <c r="J196" s="1746" t="str">
        <f>IF('Pnj APBDES'!N268="","",'Pnj APBDES'!N268)</f>
        <v>ADD</v>
      </c>
      <c r="K196" s="1679">
        <f>$I196/12</f>
        <v>325000</v>
      </c>
      <c r="L196" s="1679">
        <f t="shared" ref="L196:V196" si="101">$I196/12</f>
        <v>325000</v>
      </c>
      <c r="M196" s="1679">
        <f t="shared" si="101"/>
        <v>325000</v>
      </c>
      <c r="N196" s="1679">
        <f t="shared" si="101"/>
        <v>325000</v>
      </c>
      <c r="O196" s="1679">
        <f t="shared" si="101"/>
        <v>325000</v>
      </c>
      <c r="P196" s="1679">
        <f t="shared" si="101"/>
        <v>325000</v>
      </c>
      <c r="Q196" s="1679">
        <f t="shared" si="101"/>
        <v>325000</v>
      </c>
      <c r="R196" s="1679">
        <f t="shared" si="101"/>
        <v>325000</v>
      </c>
      <c r="S196" s="1679">
        <f t="shared" si="101"/>
        <v>325000</v>
      </c>
      <c r="T196" s="1679">
        <f t="shared" si="101"/>
        <v>325000</v>
      </c>
      <c r="U196" s="1679">
        <f t="shared" si="101"/>
        <v>325000</v>
      </c>
      <c r="V196" s="1679">
        <f t="shared" si="101"/>
        <v>325000</v>
      </c>
      <c r="W196" s="1679">
        <f t="shared" si="69"/>
        <v>3900000</v>
      </c>
      <c r="X196" s="1751" t="str">
        <f t="shared" si="68"/>
        <v>Sama</v>
      </c>
      <c r="Y196" s="1540">
        <f t="shared" si="96"/>
        <v>0</v>
      </c>
    </row>
    <row r="197" spans="1:25" s="1540" customFormat="1">
      <c r="A197" s="1700">
        <f>IF('Pnj APBDES'!A269="","",'Pnj APBDES'!A269)</f>
        <v>3</v>
      </c>
      <c r="B197" s="1673">
        <f>IF('Pnj APBDES'!B269="","",'Pnj APBDES'!B269)</f>
        <v>4</v>
      </c>
      <c r="C197" s="1691" t="str">
        <f>IF('Pnj APBDES'!C269="","",'Pnj APBDES'!C269)</f>
        <v>03</v>
      </c>
      <c r="D197" s="1672" t="str">
        <f>IF('Pnj APBDES'!D269="","",'Pnj APBDES'!D269)</f>
        <v/>
      </c>
      <c r="E197" s="1672" t="str">
        <f>IF('Pnj APBDES'!E269="","",'Pnj APBDES'!E269)</f>
        <v/>
      </c>
      <c r="F197" s="1672" t="str">
        <f>IF('Pnj APBDES'!F269="","",'Pnj APBDES'!F269)</f>
        <v/>
      </c>
      <c r="G197" s="1672" t="str">
        <f>IF('Pnj APBDES'!G269="","",'Pnj APBDES'!G269)</f>
        <v/>
      </c>
      <c r="H197" s="1693" t="str">
        <f>IF('Pnj APBDES'!H269="","",'Pnj APBDES'!H269)</f>
        <v>Pembinaan PKK</v>
      </c>
      <c r="I197" s="1675">
        <f>'Pnj APBDES'!K269</f>
        <v>17485000</v>
      </c>
      <c r="J197" s="1745" t="str">
        <f>IF('Pnj APBDES'!N269="","",'Pnj APBDES'!N269)</f>
        <v/>
      </c>
      <c r="K197" s="1675">
        <f>K198</f>
        <v>920000</v>
      </c>
      <c r="L197" s="1675">
        <f t="shared" ref="L197:V197" si="102">L198</f>
        <v>920000</v>
      </c>
      <c r="M197" s="1675">
        <f t="shared" si="102"/>
        <v>1720000</v>
      </c>
      <c r="N197" s="1675">
        <f t="shared" si="102"/>
        <v>1470000</v>
      </c>
      <c r="O197" s="1675">
        <f t="shared" si="102"/>
        <v>1360000</v>
      </c>
      <c r="P197" s="1675">
        <f t="shared" si="102"/>
        <v>920000</v>
      </c>
      <c r="Q197" s="1675">
        <f t="shared" si="102"/>
        <v>1420000</v>
      </c>
      <c r="R197" s="1675">
        <f t="shared" si="102"/>
        <v>920000</v>
      </c>
      <c r="S197" s="1675">
        <f t="shared" si="102"/>
        <v>920000</v>
      </c>
      <c r="T197" s="1675">
        <f t="shared" si="102"/>
        <v>1340000</v>
      </c>
      <c r="U197" s="1675">
        <f t="shared" si="102"/>
        <v>920000</v>
      </c>
      <c r="V197" s="1675">
        <f t="shared" si="102"/>
        <v>920000</v>
      </c>
      <c r="W197" s="1675">
        <f t="shared" si="69"/>
        <v>13750000</v>
      </c>
      <c r="X197" s="1751" t="str">
        <f t="shared" si="68"/>
        <v>Salah</v>
      </c>
      <c r="Y197" s="1540">
        <f t="shared" si="96"/>
        <v>-3735000</v>
      </c>
    </row>
    <row r="198" spans="1:25">
      <c r="A198" s="1699">
        <f>IF('Pnj APBDES'!A270="","",'Pnj APBDES'!A270)</f>
        <v>3</v>
      </c>
      <c r="B198" s="1677">
        <f>IF('Pnj APBDES'!B270="","",'Pnj APBDES'!B270)</f>
        <v>4</v>
      </c>
      <c r="C198" s="1687" t="str">
        <f>IF('Pnj APBDES'!C270="","",'Pnj APBDES'!C270)</f>
        <v>03</v>
      </c>
      <c r="D198" s="1676">
        <f>IF('Pnj APBDES'!D270="","",'Pnj APBDES'!D270)</f>
        <v>5</v>
      </c>
      <c r="E198" s="1676">
        <f>IF('Pnj APBDES'!E270="","",'Pnj APBDES'!E270)</f>
        <v>2</v>
      </c>
      <c r="F198" s="1676" t="str">
        <f>IF('Pnj APBDES'!F270="","",'Pnj APBDES'!F270)</f>
        <v/>
      </c>
      <c r="G198" s="1676" t="str">
        <f>IF('Pnj APBDES'!G270="","",'Pnj APBDES'!G270)</f>
        <v/>
      </c>
      <c r="H198" s="1678" t="str">
        <f>IF('Pnj APBDES'!H270="","",'Pnj APBDES'!H270)</f>
        <v>Belanja Barang dan Jasa</v>
      </c>
      <c r="I198" s="1679">
        <f>'Pnj APBDES'!K270</f>
        <v>17485000</v>
      </c>
      <c r="J198" s="1746" t="str">
        <f>IF('Pnj APBDES'!N270="","",'Pnj APBDES'!N270)</f>
        <v/>
      </c>
      <c r="K198" s="1679">
        <f>K199+K204+K207+K209</f>
        <v>920000</v>
      </c>
      <c r="L198" s="1679">
        <f t="shared" ref="L198:V198" si="103">L199+L204+L207+L209</f>
        <v>920000</v>
      </c>
      <c r="M198" s="1679">
        <f t="shared" si="103"/>
        <v>1720000</v>
      </c>
      <c r="N198" s="1679">
        <f t="shared" si="103"/>
        <v>1470000</v>
      </c>
      <c r="O198" s="1679">
        <f t="shared" si="103"/>
        <v>1360000</v>
      </c>
      <c r="P198" s="1679">
        <f t="shared" si="103"/>
        <v>920000</v>
      </c>
      <c r="Q198" s="1679">
        <f t="shared" si="103"/>
        <v>1420000</v>
      </c>
      <c r="R198" s="1679">
        <f t="shared" si="103"/>
        <v>920000</v>
      </c>
      <c r="S198" s="1679">
        <f t="shared" si="103"/>
        <v>920000</v>
      </c>
      <c r="T198" s="1679">
        <f t="shared" si="103"/>
        <v>1340000</v>
      </c>
      <c r="U198" s="1679">
        <f t="shared" si="103"/>
        <v>920000</v>
      </c>
      <c r="V198" s="1679">
        <f t="shared" si="103"/>
        <v>920000</v>
      </c>
      <c r="W198" s="1679">
        <f t="shared" si="69"/>
        <v>13750000</v>
      </c>
      <c r="X198" s="1751" t="str">
        <f t="shared" si="68"/>
        <v>Salah</v>
      </c>
      <c r="Y198" s="1540">
        <f t="shared" si="96"/>
        <v>-3735000</v>
      </c>
    </row>
    <row r="199" spans="1:25">
      <c r="A199" s="1699">
        <f>IF('Pnj APBDES'!A271="","",'Pnj APBDES'!A271)</f>
        <v>3</v>
      </c>
      <c r="B199" s="1677">
        <f>IF('Pnj APBDES'!B271="","",'Pnj APBDES'!B271)</f>
        <v>4</v>
      </c>
      <c r="C199" s="1687" t="str">
        <f>IF('Pnj APBDES'!C271="","",'Pnj APBDES'!C271)</f>
        <v>03</v>
      </c>
      <c r="D199" s="1676">
        <f>IF('Pnj APBDES'!D271="","",'Pnj APBDES'!D271)</f>
        <v>5</v>
      </c>
      <c r="E199" s="1676">
        <f>IF('Pnj APBDES'!E271="","",'Pnj APBDES'!E271)</f>
        <v>2</v>
      </c>
      <c r="F199" s="1676">
        <f>IF('Pnj APBDES'!F271="","",'Pnj APBDES'!F271)</f>
        <v>1</v>
      </c>
      <c r="G199" s="1676" t="str">
        <f>IF('Pnj APBDES'!G271="","",'Pnj APBDES'!G271)</f>
        <v/>
      </c>
      <c r="H199" s="1678" t="str">
        <f>IF('Pnj APBDES'!H271="","",'Pnj APBDES'!H271)</f>
        <v>Belanja Barang Perlengkapan Kantor</v>
      </c>
      <c r="I199" s="1679">
        <f>'Pnj APBDES'!K271</f>
        <v>4610000</v>
      </c>
      <c r="J199" s="1746" t="str">
        <f>IF('Pnj APBDES'!N271="","",'Pnj APBDES'!N271)</f>
        <v/>
      </c>
      <c r="K199" s="1679">
        <f>SUM(K200:K203)</f>
        <v>0</v>
      </c>
      <c r="L199" s="1679">
        <f t="shared" ref="L199:V199" si="104">SUM(L200:L203)</f>
        <v>0</v>
      </c>
      <c r="M199" s="1679">
        <f t="shared" si="104"/>
        <v>300000</v>
      </c>
      <c r="N199" s="1679">
        <f t="shared" si="104"/>
        <v>400000</v>
      </c>
      <c r="O199" s="1679">
        <f t="shared" si="104"/>
        <v>440000</v>
      </c>
      <c r="P199" s="1679">
        <f t="shared" si="104"/>
        <v>0</v>
      </c>
      <c r="Q199" s="1679">
        <f t="shared" si="104"/>
        <v>300000</v>
      </c>
      <c r="R199" s="1679">
        <f t="shared" si="104"/>
        <v>0</v>
      </c>
      <c r="S199" s="1679">
        <f t="shared" si="104"/>
        <v>0</v>
      </c>
      <c r="T199" s="1679">
        <f t="shared" si="104"/>
        <v>310000</v>
      </c>
      <c r="U199" s="1679">
        <f t="shared" si="104"/>
        <v>0</v>
      </c>
      <c r="V199" s="1679">
        <f t="shared" si="104"/>
        <v>0</v>
      </c>
      <c r="W199" s="1679">
        <f t="shared" si="69"/>
        <v>1750000</v>
      </c>
      <c r="X199" s="1751" t="str">
        <f t="shared" si="68"/>
        <v>Salah</v>
      </c>
      <c r="Y199" s="1540">
        <f t="shared" si="96"/>
        <v>-2860000</v>
      </c>
    </row>
    <row r="200" spans="1:25">
      <c r="A200" s="1699">
        <f>IF('Pnj APBDES'!A272="","",'Pnj APBDES'!A272)</f>
        <v>3</v>
      </c>
      <c r="B200" s="1677">
        <f>IF('Pnj APBDES'!B272="","",'Pnj APBDES'!B272)</f>
        <v>4</v>
      </c>
      <c r="C200" s="1687" t="str">
        <f>IF('Pnj APBDES'!C272="","",'Pnj APBDES'!C272)</f>
        <v>03</v>
      </c>
      <c r="D200" s="1676">
        <f>IF('Pnj APBDES'!D272="","",'Pnj APBDES'!D272)</f>
        <v>5</v>
      </c>
      <c r="E200" s="1676">
        <f>IF('Pnj APBDES'!E272="","",'Pnj APBDES'!E272)</f>
        <v>2</v>
      </c>
      <c r="F200" s="1676">
        <f>IF('Pnj APBDES'!F272="","",'Pnj APBDES'!F272)</f>
        <v>1</v>
      </c>
      <c r="G200" s="1676">
        <f>IF('Pnj APBDES'!G272="","",'Pnj APBDES'!G272)</f>
        <v>1</v>
      </c>
      <c r="H200" s="1678" t="str">
        <f>IF('Pnj APBDES'!H272="","",'Pnj APBDES'!H272)</f>
        <v>Belanja perlengkapan alat tulis kantor dan benda pos</v>
      </c>
      <c r="I200" s="1679">
        <f>'Pnj APBDES'!K272</f>
        <v>1600000</v>
      </c>
      <c r="J200" s="1746" t="str">
        <f>IF('Pnj APBDES'!N272="","",'Pnj APBDES'!N272)</f>
        <v>ADD</v>
      </c>
      <c r="K200" s="1679">
        <v>0</v>
      </c>
      <c r="L200" s="1679">
        <v>0</v>
      </c>
      <c r="M200" s="1679">
        <v>0</v>
      </c>
      <c r="N200" s="1679">
        <v>0</v>
      </c>
      <c r="O200" s="1679">
        <v>300000</v>
      </c>
      <c r="P200" s="1679">
        <v>0</v>
      </c>
      <c r="Q200" s="1679">
        <v>0</v>
      </c>
      <c r="R200" s="1679">
        <v>0</v>
      </c>
      <c r="S200" s="1679">
        <v>0</v>
      </c>
      <c r="T200" s="1679">
        <v>0</v>
      </c>
      <c r="U200" s="1679">
        <v>0</v>
      </c>
      <c r="V200" s="1679">
        <v>0</v>
      </c>
      <c r="W200" s="1679">
        <f t="shared" si="69"/>
        <v>300000</v>
      </c>
      <c r="X200" s="1751" t="str">
        <f t="shared" si="68"/>
        <v>Salah</v>
      </c>
      <c r="Y200" s="1540">
        <f t="shared" si="96"/>
        <v>-1300000</v>
      </c>
    </row>
    <row r="201" spans="1:25">
      <c r="A201" s="1699">
        <f>IF('Pnj APBDES'!A273="","",'Pnj APBDES'!A273)</f>
        <v>3</v>
      </c>
      <c r="B201" s="1677">
        <f>IF('Pnj APBDES'!B273="","",'Pnj APBDES'!B273)</f>
        <v>4</v>
      </c>
      <c r="C201" s="1687" t="str">
        <f>IF('Pnj APBDES'!C273="","",'Pnj APBDES'!C273)</f>
        <v>03</v>
      </c>
      <c r="D201" s="1676">
        <f>IF('Pnj APBDES'!D273="","",'Pnj APBDES'!D273)</f>
        <v>5</v>
      </c>
      <c r="E201" s="1676">
        <f>IF('Pnj APBDES'!E273="","",'Pnj APBDES'!E273)</f>
        <v>2</v>
      </c>
      <c r="F201" s="1676">
        <f>IF('Pnj APBDES'!F273="","",'Pnj APBDES'!F273)</f>
        <v>1</v>
      </c>
      <c r="G201" s="1676">
        <f>IF('Pnj APBDES'!G273="","",'Pnj APBDES'!G273)</f>
        <v>5</v>
      </c>
      <c r="H201" s="1678" t="str">
        <f>IF('Pnj APBDES'!H273="","",'Pnj APBDES'!H273)</f>
        <v>Belanja Cetak dan penggadaan</v>
      </c>
      <c r="I201" s="1679">
        <f>'Pnj APBDES'!K273</f>
        <v>140000</v>
      </c>
      <c r="J201" s="1746" t="str">
        <f>IF('Pnj APBDES'!N273="","",'Pnj APBDES'!N273)</f>
        <v>ADD</v>
      </c>
      <c r="K201" s="1679">
        <v>0</v>
      </c>
      <c r="L201" s="1679">
        <v>0</v>
      </c>
      <c r="M201" s="1679">
        <v>0</v>
      </c>
      <c r="N201" s="1679">
        <v>0</v>
      </c>
      <c r="O201" s="1679">
        <v>140000</v>
      </c>
      <c r="P201" s="1679">
        <v>0</v>
      </c>
      <c r="Q201" s="1679">
        <v>0</v>
      </c>
      <c r="R201" s="1679">
        <v>0</v>
      </c>
      <c r="S201" s="1679">
        <v>0</v>
      </c>
      <c r="T201" s="1679">
        <v>0</v>
      </c>
      <c r="U201" s="1679">
        <v>0</v>
      </c>
      <c r="V201" s="1679">
        <v>0</v>
      </c>
      <c r="W201" s="1679">
        <f t="shared" si="69"/>
        <v>140000</v>
      </c>
      <c r="X201" s="1751" t="str">
        <f t="shared" si="68"/>
        <v>Sama</v>
      </c>
      <c r="Y201" s="1540">
        <f t="shared" si="96"/>
        <v>0</v>
      </c>
    </row>
    <row r="202" spans="1:25">
      <c r="A202" s="1699">
        <f>IF('Pnj APBDES'!A274="","",'Pnj APBDES'!A274)</f>
        <v>3</v>
      </c>
      <c r="B202" s="1677">
        <f>IF('Pnj APBDES'!B274="","",'Pnj APBDES'!B274)</f>
        <v>4</v>
      </c>
      <c r="C202" s="1687" t="str">
        <f>IF('Pnj APBDES'!C274="","",'Pnj APBDES'!C274)</f>
        <v>03</v>
      </c>
      <c r="D202" s="1676">
        <f>IF('Pnj APBDES'!D274="","",'Pnj APBDES'!D274)</f>
        <v>5</v>
      </c>
      <c r="E202" s="1676">
        <f>IF('Pnj APBDES'!E274="","",'Pnj APBDES'!E274)</f>
        <v>2</v>
      </c>
      <c r="F202" s="1676">
        <f>IF('Pnj APBDES'!F274="","",'Pnj APBDES'!F274)</f>
        <v>1</v>
      </c>
      <c r="G202" s="1676">
        <f>IF('Pnj APBDES'!G274="","",'Pnj APBDES'!G274)</f>
        <v>6</v>
      </c>
      <c r="H202" s="1678" t="str">
        <f>IF('Pnj APBDES'!H274="","",'Pnj APBDES'!H274)</f>
        <v>Belanja barang konsumsi</v>
      </c>
      <c r="I202" s="1679">
        <f>'Pnj APBDES'!K274</f>
        <v>1670000</v>
      </c>
      <c r="J202" s="1746" t="str">
        <f>IF('Pnj APBDES'!N274="","",'Pnj APBDES'!N274)</f>
        <v>ADD</v>
      </c>
      <c r="K202" s="1679">
        <v>0</v>
      </c>
      <c r="L202" s="1679">
        <v>0</v>
      </c>
      <c r="M202" s="1679">
        <v>300000</v>
      </c>
      <c r="N202" s="1679">
        <v>0</v>
      </c>
      <c r="O202" s="1679">
        <v>0</v>
      </c>
      <c r="P202" s="1679">
        <v>0</v>
      </c>
      <c r="Q202" s="1679">
        <v>300000</v>
      </c>
      <c r="R202" s="1679">
        <v>0</v>
      </c>
      <c r="S202" s="1679">
        <v>0</v>
      </c>
      <c r="T202" s="1679">
        <v>310000</v>
      </c>
      <c r="U202" s="1679">
        <v>0</v>
      </c>
      <c r="V202" s="1679">
        <v>0</v>
      </c>
      <c r="W202" s="1679">
        <f t="shared" si="69"/>
        <v>910000</v>
      </c>
      <c r="X202" s="1751" t="str">
        <f t="shared" si="68"/>
        <v>Salah</v>
      </c>
      <c r="Y202" s="1540">
        <f t="shared" si="96"/>
        <v>-760000</v>
      </c>
    </row>
    <row r="203" spans="1:25">
      <c r="A203" s="1699">
        <f>IF('Pnj APBDES'!A275="","",'Pnj APBDES'!A275)</f>
        <v>3</v>
      </c>
      <c r="B203" s="1677">
        <f>IF('Pnj APBDES'!B275="","",'Pnj APBDES'!B275)</f>
        <v>4</v>
      </c>
      <c r="C203" s="1687" t="str">
        <f>IF('Pnj APBDES'!C275="","",'Pnj APBDES'!C275)</f>
        <v>03</v>
      </c>
      <c r="D203" s="1676">
        <f>IF('Pnj APBDES'!D275="","",'Pnj APBDES'!D275)</f>
        <v>5</v>
      </c>
      <c r="E203" s="1676">
        <f>IF('Pnj APBDES'!E275="","",'Pnj APBDES'!E275)</f>
        <v>2</v>
      </c>
      <c r="F203" s="1676">
        <f>IF('Pnj APBDES'!F275="","",'Pnj APBDES'!F275)</f>
        <v>1</v>
      </c>
      <c r="G203" s="1676">
        <f>IF('Pnj APBDES'!G275="","",'Pnj APBDES'!G275)</f>
        <v>90</v>
      </c>
      <c r="H203" s="1678" t="str">
        <f>IF('Pnj APBDES'!H275="","",'Pnj APBDES'!H275)</f>
        <v>Belanja perlengkapan barang lainya</v>
      </c>
      <c r="I203" s="1679">
        <f>'Pnj APBDES'!K275</f>
        <v>1200000</v>
      </c>
      <c r="J203" s="1746" t="str">
        <f>IF('Pnj APBDES'!N275="","",'Pnj APBDES'!N275)</f>
        <v>ADD</v>
      </c>
      <c r="K203" s="1679">
        <v>0</v>
      </c>
      <c r="L203" s="1679">
        <v>0</v>
      </c>
      <c r="M203" s="1679">
        <v>0</v>
      </c>
      <c r="N203" s="1679">
        <v>400000</v>
      </c>
      <c r="O203" s="1679">
        <v>0</v>
      </c>
      <c r="P203" s="1679">
        <v>0</v>
      </c>
      <c r="Q203" s="1679">
        <v>0</v>
      </c>
      <c r="R203" s="1679">
        <v>0</v>
      </c>
      <c r="S203" s="1679">
        <v>0</v>
      </c>
      <c r="T203" s="1679">
        <v>0</v>
      </c>
      <c r="U203" s="1679">
        <v>0</v>
      </c>
      <c r="V203" s="1679">
        <v>0</v>
      </c>
      <c r="W203" s="1679">
        <f t="shared" si="69"/>
        <v>400000</v>
      </c>
      <c r="X203" s="1751" t="str">
        <f t="shared" si="68"/>
        <v>Salah</v>
      </c>
      <c r="Y203" s="1540">
        <f t="shared" si="96"/>
        <v>-800000</v>
      </c>
    </row>
    <row r="204" spans="1:25">
      <c r="A204" s="1699">
        <f>IF('Pnj APBDES'!A276="","",'Pnj APBDES'!A276)</f>
        <v>3</v>
      </c>
      <c r="B204" s="1677">
        <f>IF('Pnj APBDES'!B276="","",'Pnj APBDES'!B276)</f>
        <v>4</v>
      </c>
      <c r="C204" s="1687" t="str">
        <f>IF('Pnj APBDES'!C276="","",'Pnj APBDES'!C276)</f>
        <v>03</v>
      </c>
      <c r="D204" s="1676">
        <f>IF('Pnj APBDES'!D276="","",'Pnj APBDES'!D276)</f>
        <v>5</v>
      </c>
      <c r="E204" s="1676">
        <f>IF('Pnj APBDES'!E276="","",'Pnj APBDES'!E276)</f>
        <v>2</v>
      </c>
      <c r="F204" s="1676">
        <f>IF('Pnj APBDES'!F276="","",'Pnj APBDES'!F276)</f>
        <v>2</v>
      </c>
      <c r="G204" s="1676" t="str">
        <f>IF('Pnj APBDES'!G276="","",'Pnj APBDES'!G276)</f>
        <v/>
      </c>
      <c r="H204" s="1678" t="str">
        <f>IF('Pnj APBDES'!H276="","",'Pnj APBDES'!H276)</f>
        <v>Belanja Jasa Honorarium</v>
      </c>
      <c r="I204" s="1679">
        <f>'Pnj APBDES'!K276</f>
        <v>11340000</v>
      </c>
      <c r="J204" s="1746" t="str">
        <f>IF('Pnj APBDES'!N276="","",'Pnj APBDES'!N276)</f>
        <v/>
      </c>
      <c r="K204" s="1679">
        <f>SUM(K205:K206)</f>
        <v>920000</v>
      </c>
      <c r="L204" s="1679">
        <f t="shared" ref="L204:V204" si="105">SUM(L205:L206)</f>
        <v>920000</v>
      </c>
      <c r="M204" s="1679">
        <f t="shared" si="105"/>
        <v>1220000</v>
      </c>
      <c r="N204" s="1679">
        <f t="shared" si="105"/>
        <v>920000</v>
      </c>
      <c r="O204" s="1679">
        <f t="shared" si="105"/>
        <v>920000</v>
      </c>
      <c r="P204" s="1679">
        <f t="shared" si="105"/>
        <v>920000</v>
      </c>
      <c r="Q204" s="1679">
        <f t="shared" si="105"/>
        <v>920000</v>
      </c>
      <c r="R204" s="1679">
        <f t="shared" si="105"/>
        <v>920000</v>
      </c>
      <c r="S204" s="1679">
        <f t="shared" si="105"/>
        <v>920000</v>
      </c>
      <c r="T204" s="1679">
        <f t="shared" si="105"/>
        <v>920000</v>
      </c>
      <c r="U204" s="1679">
        <f t="shared" si="105"/>
        <v>920000</v>
      </c>
      <c r="V204" s="1679">
        <f t="shared" si="105"/>
        <v>920000</v>
      </c>
      <c r="W204" s="1679">
        <f t="shared" si="69"/>
        <v>11340000</v>
      </c>
      <c r="X204" s="1751" t="str">
        <f t="shared" si="68"/>
        <v>Sama</v>
      </c>
      <c r="Y204" s="1540">
        <f t="shared" si="96"/>
        <v>0</v>
      </c>
    </row>
    <row r="205" spans="1:25">
      <c r="A205" s="1699">
        <f>IF('Pnj APBDES'!A277="","",'Pnj APBDES'!A277)</f>
        <v>3</v>
      </c>
      <c r="B205" s="1677">
        <f>IF('Pnj APBDES'!B277="","",'Pnj APBDES'!B277)</f>
        <v>4</v>
      </c>
      <c r="C205" s="1687" t="str">
        <f>IF('Pnj APBDES'!C277="","",'Pnj APBDES'!C277)</f>
        <v>03</v>
      </c>
      <c r="D205" s="1676">
        <f>IF('Pnj APBDES'!D277="","",'Pnj APBDES'!D277)</f>
        <v>5</v>
      </c>
      <c r="E205" s="1676">
        <f>IF('Pnj APBDES'!E277="","",'Pnj APBDES'!E277)</f>
        <v>2</v>
      </c>
      <c r="F205" s="1676">
        <f>IF('Pnj APBDES'!F277="","",'Pnj APBDES'!F277)</f>
        <v>2</v>
      </c>
      <c r="G205" s="1676">
        <f>IF('Pnj APBDES'!G277="","",'Pnj APBDES'!G277)</f>
        <v>4</v>
      </c>
      <c r="H205" s="1678" t="str">
        <f>IF('Pnj APBDES'!H277="","",'Pnj APBDES'!H277)</f>
        <v>Belanja jasa honorarium profesi</v>
      </c>
      <c r="I205" s="1679">
        <f>'Pnj APBDES'!K277</f>
        <v>300000</v>
      </c>
      <c r="J205" s="1746" t="str">
        <f>IF('Pnj APBDES'!N277="","",'Pnj APBDES'!N277)</f>
        <v>ADD</v>
      </c>
      <c r="K205" s="1679">
        <v>0</v>
      </c>
      <c r="L205" s="1679">
        <v>0</v>
      </c>
      <c r="M205" s="1679">
        <v>300000</v>
      </c>
      <c r="N205" s="1679">
        <v>0</v>
      </c>
      <c r="O205" s="1679">
        <v>0</v>
      </c>
      <c r="P205" s="1679">
        <v>0</v>
      </c>
      <c r="Q205" s="1679">
        <v>0</v>
      </c>
      <c r="R205" s="1679">
        <v>0</v>
      </c>
      <c r="S205" s="1679">
        <v>0</v>
      </c>
      <c r="T205" s="1679">
        <v>0</v>
      </c>
      <c r="U205" s="1679">
        <v>0</v>
      </c>
      <c r="V205" s="1679">
        <v>0</v>
      </c>
      <c r="W205" s="1679">
        <f t="shared" si="69"/>
        <v>300000</v>
      </c>
      <c r="X205" s="1751" t="str">
        <f t="shared" si="68"/>
        <v>Sama</v>
      </c>
      <c r="Y205" s="1540">
        <f t="shared" si="96"/>
        <v>0</v>
      </c>
    </row>
    <row r="206" spans="1:25">
      <c r="A206" s="1699">
        <f>IF('Pnj APBDES'!A278="","",'Pnj APBDES'!A278)</f>
        <v>3</v>
      </c>
      <c r="B206" s="1677">
        <f>IF('Pnj APBDES'!B278="","",'Pnj APBDES'!B278)</f>
        <v>4</v>
      </c>
      <c r="C206" s="1687" t="str">
        <f>IF('Pnj APBDES'!C278="","",'Pnj APBDES'!C278)</f>
        <v>03</v>
      </c>
      <c r="D206" s="1676">
        <f>IF('Pnj APBDES'!D278="","",'Pnj APBDES'!D278)</f>
        <v>5</v>
      </c>
      <c r="E206" s="1676">
        <f>IF('Pnj APBDES'!E278="","",'Pnj APBDES'!E278)</f>
        <v>2</v>
      </c>
      <c r="F206" s="1676">
        <f>IF('Pnj APBDES'!F278="","",'Pnj APBDES'!F278)</f>
        <v>2</v>
      </c>
      <c r="G206" s="1676">
        <f>IF('Pnj APBDES'!G278="","",'Pnj APBDES'!G278)</f>
        <v>5</v>
      </c>
      <c r="H206" s="1678" t="str">
        <f>IF('Pnj APBDES'!H278="","",'Pnj APBDES'!H278)</f>
        <v>Belanja Jasa Honorarium Petugas</v>
      </c>
      <c r="I206" s="1679">
        <f>'Pnj APBDES'!K278</f>
        <v>11040000</v>
      </c>
      <c r="J206" s="1746" t="str">
        <f>IF('Pnj APBDES'!N278="","",'Pnj APBDES'!N278)</f>
        <v>ADD</v>
      </c>
      <c r="K206" s="1679">
        <f>$I206/12</f>
        <v>920000</v>
      </c>
      <c r="L206" s="1679">
        <f t="shared" ref="L206:V206" si="106">$I206/12</f>
        <v>920000</v>
      </c>
      <c r="M206" s="1679">
        <f t="shared" si="106"/>
        <v>920000</v>
      </c>
      <c r="N206" s="1679">
        <f t="shared" si="106"/>
        <v>920000</v>
      </c>
      <c r="O206" s="1679">
        <f t="shared" si="106"/>
        <v>920000</v>
      </c>
      <c r="P206" s="1679">
        <f t="shared" si="106"/>
        <v>920000</v>
      </c>
      <c r="Q206" s="1679">
        <f t="shared" si="106"/>
        <v>920000</v>
      </c>
      <c r="R206" s="1679">
        <f t="shared" si="106"/>
        <v>920000</v>
      </c>
      <c r="S206" s="1679">
        <f t="shared" si="106"/>
        <v>920000</v>
      </c>
      <c r="T206" s="1679">
        <f t="shared" si="106"/>
        <v>920000</v>
      </c>
      <c r="U206" s="1679">
        <f t="shared" si="106"/>
        <v>920000</v>
      </c>
      <c r="V206" s="1679">
        <f t="shared" si="106"/>
        <v>920000</v>
      </c>
      <c r="W206" s="1679">
        <f>SUM(K206:V206)</f>
        <v>11040000</v>
      </c>
      <c r="X206" s="1751" t="str">
        <f t="shared" si="68"/>
        <v>Sama</v>
      </c>
      <c r="Y206" s="1540">
        <f t="shared" si="96"/>
        <v>0</v>
      </c>
    </row>
    <row r="207" spans="1:25">
      <c r="A207" s="1699">
        <f>IF('Pnj APBDES'!A279="","",'Pnj APBDES'!A279)</f>
        <v>3</v>
      </c>
      <c r="B207" s="1677">
        <f>IF('Pnj APBDES'!B279="","",'Pnj APBDES'!B279)</f>
        <v>4</v>
      </c>
      <c r="C207" s="1687" t="str">
        <f>IF('Pnj APBDES'!C279="","",'Pnj APBDES'!C279)</f>
        <v>03</v>
      </c>
      <c r="D207" s="1676">
        <f>IF('Pnj APBDES'!D279="","",'Pnj APBDES'!D279)</f>
        <v>5</v>
      </c>
      <c r="E207" s="1676">
        <f>IF('Pnj APBDES'!E279="","",'Pnj APBDES'!E279)</f>
        <v>2</v>
      </c>
      <c r="F207" s="1676">
        <f>IF('Pnj APBDES'!F279="","",'Pnj APBDES'!F279)</f>
        <v>3</v>
      </c>
      <c r="G207" s="1676" t="str">
        <f>IF('Pnj APBDES'!G279="","",'Pnj APBDES'!G279)</f>
        <v/>
      </c>
      <c r="H207" s="1713" t="str">
        <f>IF('Pnj APBDES'!H279="","",'Pnj APBDES'!H279)</f>
        <v>Belanja Perjalana Dinas</v>
      </c>
      <c r="I207" s="1679">
        <f>'Pnj APBDES'!K279</f>
        <v>510000</v>
      </c>
      <c r="J207" s="1746" t="str">
        <f>IF('Pnj APBDES'!N279="","",'Pnj APBDES'!N279)</f>
        <v/>
      </c>
      <c r="K207" s="1679">
        <f>K208</f>
        <v>0</v>
      </c>
      <c r="L207" s="1679">
        <f t="shared" ref="L207:V207" si="107">L208</f>
        <v>0</v>
      </c>
      <c r="M207" s="1679">
        <f t="shared" si="107"/>
        <v>200000</v>
      </c>
      <c r="N207" s="1679">
        <f t="shared" si="107"/>
        <v>0</v>
      </c>
      <c r="O207" s="1679">
        <f t="shared" si="107"/>
        <v>0</v>
      </c>
      <c r="P207" s="1679">
        <f t="shared" si="107"/>
        <v>0</v>
      </c>
      <c r="Q207" s="1679">
        <f t="shared" si="107"/>
        <v>200000</v>
      </c>
      <c r="R207" s="1679">
        <f t="shared" si="107"/>
        <v>0</v>
      </c>
      <c r="S207" s="1679">
        <f t="shared" si="107"/>
        <v>0</v>
      </c>
      <c r="T207" s="1679">
        <f t="shared" si="107"/>
        <v>110000</v>
      </c>
      <c r="U207" s="1679">
        <f t="shared" si="107"/>
        <v>0</v>
      </c>
      <c r="V207" s="1679">
        <f t="shared" si="107"/>
        <v>0</v>
      </c>
      <c r="W207" s="1679">
        <f t="shared" si="69"/>
        <v>510000</v>
      </c>
      <c r="X207" s="1751" t="str">
        <f t="shared" si="68"/>
        <v>Sama</v>
      </c>
      <c r="Y207" s="1540">
        <f t="shared" si="96"/>
        <v>0</v>
      </c>
    </row>
    <row r="208" spans="1:25">
      <c r="A208" s="1699">
        <f>IF('Pnj APBDES'!A280="","",'Pnj APBDES'!A280)</f>
        <v>3</v>
      </c>
      <c r="B208" s="1677">
        <f>IF('Pnj APBDES'!B280="","",'Pnj APBDES'!B280)</f>
        <v>4</v>
      </c>
      <c r="C208" s="1687" t="str">
        <f>IF('Pnj APBDES'!C280="","",'Pnj APBDES'!C280)</f>
        <v>03</v>
      </c>
      <c r="D208" s="1676">
        <f>IF('Pnj APBDES'!D280="","",'Pnj APBDES'!D280)</f>
        <v>5</v>
      </c>
      <c r="E208" s="1676">
        <f>IF('Pnj APBDES'!E280="","",'Pnj APBDES'!E280)</f>
        <v>2</v>
      </c>
      <c r="F208" s="1676">
        <f>IF('Pnj APBDES'!F280="","",'Pnj APBDES'!F280)</f>
        <v>3</v>
      </c>
      <c r="G208" s="1676">
        <f>IF('Pnj APBDES'!G280="","",'Pnj APBDES'!G280)</f>
        <v>1</v>
      </c>
      <c r="H208" s="1713" t="str">
        <f>IF('Pnj APBDES'!H280="","",'Pnj APBDES'!H280)</f>
        <v>Belanja Perjalana Dinas Dalam Kabupaten/Kota</v>
      </c>
      <c r="I208" s="1679">
        <f>'Pnj APBDES'!K280</f>
        <v>510000</v>
      </c>
      <c r="J208" s="1746" t="str">
        <f>IF('Pnj APBDES'!N280="","",'Pnj APBDES'!N280)</f>
        <v>ADD</v>
      </c>
      <c r="K208" s="1679">
        <v>0</v>
      </c>
      <c r="L208" s="1679">
        <v>0</v>
      </c>
      <c r="M208" s="1679">
        <v>200000</v>
      </c>
      <c r="N208" s="1679">
        <v>0</v>
      </c>
      <c r="O208" s="1679">
        <v>0</v>
      </c>
      <c r="P208" s="1679">
        <v>0</v>
      </c>
      <c r="Q208" s="1679">
        <v>200000</v>
      </c>
      <c r="R208" s="1679">
        <v>0</v>
      </c>
      <c r="S208" s="1679">
        <v>0</v>
      </c>
      <c r="T208" s="1679">
        <v>110000</v>
      </c>
      <c r="U208" s="1679">
        <v>0</v>
      </c>
      <c r="V208" s="1679">
        <v>0</v>
      </c>
      <c r="W208" s="1679">
        <f t="shared" si="69"/>
        <v>510000</v>
      </c>
      <c r="X208" s="1751" t="str">
        <f t="shared" ref="X208:X271" si="108">IF(W208=I208,"Sama","Salah")</f>
        <v>Sama</v>
      </c>
      <c r="Y208" s="1540">
        <f t="shared" si="96"/>
        <v>0</v>
      </c>
    </row>
    <row r="209" spans="1:25">
      <c r="A209" s="1699">
        <f>IF('Pnj APBDES'!A281="","",'Pnj APBDES'!A281)</f>
        <v>3</v>
      </c>
      <c r="B209" s="1677">
        <f>IF('Pnj APBDES'!B281="","",'Pnj APBDES'!B281)</f>
        <v>4</v>
      </c>
      <c r="C209" s="1687" t="str">
        <f>IF('Pnj APBDES'!C281="","",'Pnj APBDES'!C281)</f>
        <v>03</v>
      </c>
      <c r="D209" s="1676">
        <f>IF('Pnj APBDES'!D281="","",'Pnj APBDES'!D281)</f>
        <v>5</v>
      </c>
      <c r="E209" s="1676">
        <f>IF('Pnj APBDES'!E281="","",'Pnj APBDES'!E281)</f>
        <v>2</v>
      </c>
      <c r="F209" s="1676">
        <f>IF('Pnj APBDES'!F281="","",'Pnj APBDES'!F281)</f>
        <v>4</v>
      </c>
      <c r="G209" s="1676" t="str">
        <f>IF('Pnj APBDES'!G281="","",'Pnj APBDES'!G281)</f>
        <v/>
      </c>
      <c r="H209" s="1713" t="str">
        <f>IF('Pnj APBDES'!H281="","",'Pnj APBDES'!H281)</f>
        <v>Belanja Jasa Sewa</v>
      </c>
      <c r="I209" s="1679">
        <f>'Pnj APBDES'!K281</f>
        <v>150000</v>
      </c>
      <c r="J209" s="1746" t="str">
        <f>IF('Pnj APBDES'!N281="","",'Pnj APBDES'!N281)</f>
        <v/>
      </c>
      <c r="K209" s="1679">
        <f>K210</f>
        <v>0</v>
      </c>
      <c r="L209" s="1679">
        <f t="shared" ref="L209:V209" si="109">L210</f>
        <v>0</v>
      </c>
      <c r="M209" s="1679">
        <f t="shared" si="109"/>
        <v>0</v>
      </c>
      <c r="N209" s="1679">
        <f t="shared" si="109"/>
        <v>150000</v>
      </c>
      <c r="O209" s="1679">
        <f t="shared" si="109"/>
        <v>0</v>
      </c>
      <c r="P209" s="1679">
        <f t="shared" si="109"/>
        <v>0</v>
      </c>
      <c r="Q209" s="1679">
        <f t="shared" si="109"/>
        <v>0</v>
      </c>
      <c r="R209" s="1679">
        <f t="shared" si="109"/>
        <v>0</v>
      </c>
      <c r="S209" s="1679">
        <f t="shared" si="109"/>
        <v>0</v>
      </c>
      <c r="T209" s="1679">
        <f t="shared" si="109"/>
        <v>0</v>
      </c>
      <c r="U209" s="1679">
        <f t="shared" si="109"/>
        <v>0</v>
      </c>
      <c r="V209" s="1679">
        <f t="shared" si="109"/>
        <v>0</v>
      </c>
      <c r="W209" s="1679">
        <f t="shared" ref="W209:W272" si="110">SUM(K209:V209)</f>
        <v>150000</v>
      </c>
      <c r="X209" s="1751" t="str">
        <f t="shared" si="108"/>
        <v>Sama</v>
      </c>
      <c r="Y209" s="1540">
        <f t="shared" si="96"/>
        <v>0</v>
      </c>
    </row>
    <row r="210" spans="1:25">
      <c r="A210" s="1699">
        <f>IF('Pnj APBDES'!A282="","",'Pnj APBDES'!A282)</f>
        <v>3</v>
      </c>
      <c r="B210" s="1677">
        <f>IF('Pnj APBDES'!B282="","",'Pnj APBDES'!B282)</f>
        <v>4</v>
      </c>
      <c r="C210" s="1687" t="str">
        <f>IF('Pnj APBDES'!C282="","",'Pnj APBDES'!C282)</f>
        <v>03</v>
      </c>
      <c r="D210" s="1676">
        <f>IF('Pnj APBDES'!D282="","",'Pnj APBDES'!D282)</f>
        <v>5</v>
      </c>
      <c r="E210" s="1676">
        <f>IF('Pnj APBDES'!E282="","",'Pnj APBDES'!E282)</f>
        <v>2</v>
      </c>
      <c r="F210" s="1676">
        <f>IF('Pnj APBDES'!F282="","",'Pnj APBDES'!F282)</f>
        <v>4</v>
      </c>
      <c r="G210" s="1676">
        <f>IF('Pnj APBDES'!G282="","",'Pnj APBDES'!G282)</f>
        <v>2</v>
      </c>
      <c r="H210" s="1713" t="str">
        <f>IF('Pnj APBDES'!H282="","",'Pnj APBDES'!H282)</f>
        <v>Belanja Jasa Sewa Peralatan/Perlengkapan</v>
      </c>
      <c r="I210" s="1679">
        <f>'Pnj APBDES'!K282</f>
        <v>150000</v>
      </c>
      <c r="J210" s="1746" t="str">
        <f>IF('Pnj APBDES'!N282="","",'Pnj APBDES'!N282)</f>
        <v>ADD</v>
      </c>
      <c r="K210" s="1679">
        <v>0</v>
      </c>
      <c r="L210" s="1679">
        <v>0</v>
      </c>
      <c r="M210" s="1679">
        <v>0</v>
      </c>
      <c r="N210" s="1679">
        <v>150000</v>
      </c>
      <c r="O210" s="1679">
        <v>0</v>
      </c>
      <c r="P210" s="1679">
        <v>0</v>
      </c>
      <c r="Q210" s="1679">
        <v>0</v>
      </c>
      <c r="R210" s="1679">
        <v>0</v>
      </c>
      <c r="S210" s="1679">
        <v>0</v>
      </c>
      <c r="T210" s="1679">
        <v>0</v>
      </c>
      <c r="U210" s="1679">
        <v>0</v>
      </c>
      <c r="V210" s="1679">
        <v>0</v>
      </c>
      <c r="W210" s="1679">
        <f t="shared" si="110"/>
        <v>150000</v>
      </c>
      <c r="X210" s="1751" t="str">
        <f t="shared" si="108"/>
        <v>Sama</v>
      </c>
      <c r="Y210" s="1540">
        <f t="shared" si="96"/>
        <v>0</v>
      </c>
    </row>
    <row r="211" spans="1:25">
      <c r="A211" s="1699" t="e">
        <f>IF('Pnj APBDES'!#REF!="","",'Pnj APBDES'!#REF!)</f>
        <v>#REF!</v>
      </c>
      <c r="B211" s="1677" t="e">
        <f>IF('Pnj APBDES'!#REF!="","",'Pnj APBDES'!#REF!)</f>
        <v>#REF!</v>
      </c>
      <c r="C211" s="1687" t="e">
        <f>IF('Pnj APBDES'!#REF!="","",'Pnj APBDES'!#REF!)</f>
        <v>#REF!</v>
      </c>
      <c r="D211" s="1676" t="e">
        <f>IF('Pnj APBDES'!#REF!="","",'Pnj APBDES'!#REF!)</f>
        <v>#REF!</v>
      </c>
      <c r="E211" s="1676" t="e">
        <f>IF('Pnj APBDES'!#REF!="","",'Pnj APBDES'!#REF!)</f>
        <v>#REF!</v>
      </c>
      <c r="F211" s="1676" t="e">
        <f>IF('Pnj APBDES'!#REF!="","",'Pnj APBDES'!#REF!)</f>
        <v>#REF!</v>
      </c>
      <c r="G211" s="1676" t="e">
        <f>IF('Pnj APBDES'!#REF!="","",'Pnj APBDES'!#REF!)</f>
        <v>#REF!</v>
      </c>
      <c r="H211" s="1713" t="e">
        <f>IF('Pnj APBDES'!#REF!="","",'Pnj APBDES'!#REF!)</f>
        <v>#REF!</v>
      </c>
      <c r="I211" s="1679" t="e">
        <f>'Pnj APBDES'!#REF!</f>
        <v>#REF!</v>
      </c>
      <c r="J211" s="1746" t="e">
        <f>IF('Pnj APBDES'!#REF!="","",'Pnj APBDES'!#REF!)</f>
        <v>#REF!</v>
      </c>
      <c r="K211" s="1679"/>
      <c r="L211" s="1679"/>
      <c r="M211" s="1679"/>
      <c r="N211" s="1679"/>
      <c r="O211" s="1679"/>
      <c r="P211" s="1679"/>
      <c r="Q211" s="1679"/>
      <c r="R211" s="1679"/>
      <c r="S211" s="1679"/>
      <c r="T211" s="1679"/>
      <c r="U211" s="1679"/>
      <c r="V211" s="1679"/>
      <c r="W211" s="1679">
        <f t="shared" si="110"/>
        <v>0</v>
      </c>
      <c r="X211" s="1751" t="e">
        <f t="shared" si="108"/>
        <v>#REF!</v>
      </c>
      <c r="Y211" s="1540" t="e">
        <f t="shared" si="96"/>
        <v>#REF!</v>
      </c>
    </row>
    <row r="212" spans="1:25" s="1540" customFormat="1">
      <c r="A212" s="1700" t="e">
        <f>IF('Pnj APBDES'!#REF!="","",'Pnj APBDES'!#REF!)</f>
        <v>#REF!</v>
      </c>
      <c r="B212" s="1673" t="e">
        <f>IF('Pnj APBDES'!#REF!="","",'Pnj APBDES'!#REF!)</f>
        <v>#REF!</v>
      </c>
      <c r="C212" s="1691" t="e">
        <f>IF('Pnj APBDES'!#REF!="","",'Pnj APBDES'!#REF!)</f>
        <v>#REF!</v>
      </c>
      <c r="D212" s="1672" t="e">
        <f>IF('Pnj APBDES'!#REF!="","",'Pnj APBDES'!#REF!)</f>
        <v>#REF!</v>
      </c>
      <c r="E212" s="1672" t="e">
        <f>IF('Pnj APBDES'!#REF!="","",'Pnj APBDES'!#REF!)</f>
        <v>#REF!</v>
      </c>
      <c r="F212" s="1672" t="e">
        <f>IF('Pnj APBDES'!#REF!="","",'Pnj APBDES'!#REF!)</f>
        <v>#REF!</v>
      </c>
      <c r="G212" s="1672" t="e">
        <f>IF('Pnj APBDES'!#REF!="","",'Pnj APBDES'!#REF!)</f>
        <v>#REF!</v>
      </c>
      <c r="H212" s="1714" t="e">
        <f>IF('Pnj APBDES'!#REF!="","",'Pnj APBDES'!#REF!)</f>
        <v>#REF!</v>
      </c>
      <c r="I212" s="1675" t="e">
        <f>'Pnj APBDES'!#REF!</f>
        <v>#REF!</v>
      </c>
      <c r="J212" s="1745" t="e">
        <f>IF('Pnj APBDES'!#REF!="","",'Pnj APBDES'!#REF!)</f>
        <v>#REF!</v>
      </c>
      <c r="K212" s="1675" t="e">
        <f>K213</f>
        <v>#REF!</v>
      </c>
      <c r="L212" s="1675" t="e">
        <f t="shared" ref="L212:V213" si="111">L213</f>
        <v>#REF!</v>
      </c>
      <c r="M212" s="1675" t="e">
        <f t="shared" si="111"/>
        <v>#REF!</v>
      </c>
      <c r="N212" s="1675" t="e">
        <f t="shared" si="111"/>
        <v>#REF!</v>
      </c>
      <c r="O212" s="1675" t="e">
        <f t="shared" si="111"/>
        <v>#REF!</v>
      </c>
      <c r="P212" s="1675" t="e">
        <f t="shared" si="111"/>
        <v>#REF!</v>
      </c>
      <c r="Q212" s="1675" t="e">
        <f t="shared" si="111"/>
        <v>#REF!</v>
      </c>
      <c r="R212" s="1675" t="e">
        <f t="shared" si="111"/>
        <v>#REF!</v>
      </c>
      <c r="S212" s="1675" t="e">
        <f t="shared" si="111"/>
        <v>#REF!</v>
      </c>
      <c r="T212" s="1675" t="e">
        <f t="shared" si="111"/>
        <v>#REF!</v>
      </c>
      <c r="U212" s="1675" t="e">
        <f t="shared" si="111"/>
        <v>#REF!</v>
      </c>
      <c r="V212" s="1675" t="e">
        <f t="shared" si="111"/>
        <v>#REF!</v>
      </c>
      <c r="W212" s="1675" t="e">
        <f t="shared" si="110"/>
        <v>#REF!</v>
      </c>
      <c r="X212" s="1751" t="e">
        <f t="shared" si="108"/>
        <v>#REF!</v>
      </c>
      <c r="Y212" s="1540" t="e">
        <f t="shared" si="96"/>
        <v>#REF!</v>
      </c>
    </row>
    <row r="213" spans="1:25">
      <c r="A213" s="1699" t="e">
        <f>IF('Pnj APBDES'!#REF!="","",'Pnj APBDES'!#REF!)</f>
        <v>#REF!</v>
      </c>
      <c r="B213" s="1677" t="e">
        <f>IF('Pnj APBDES'!#REF!="","",'Pnj APBDES'!#REF!)</f>
        <v>#REF!</v>
      </c>
      <c r="C213" s="1687" t="e">
        <f>IF('Pnj APBDES'!#REF!="","",'Pnj APBDES'!#REF!)</f>
        <v>#REF!</v>
      </c>
      <c r="D213" s="1676" t="e">
        <f>IF('Pnj APBDES'!#REF!="","",'Pnj APBDES'!#REF!)</f>
        <v>#REF!</v>
      </c>
      <c r="E213" s="1676" t="e">
        <f>IF('Pnj APBDES'!#REF!="","",'Pnj APBDES'!#REF!)</f>
        <v>#REF!</v>
      </c>
      <c r="F213" s="1676" t="e">
        <f>IF('Pnj APBDES'!#REF!="","",'Pnj APBDES'!#REF!)</f>
        <v>#REF!</v>
      </c>
      <c r="G213" s="1676" t="e">
        <f>IF('Pnj APBDES'!#REF!="","",'Pnj APBDES'!#REF!)</f>
        <v>#REF!</v>
      </c>
      <c r="H213" s="1678" t="e">
        <f>IF('Pnj APBDES'!#REF!="","",'Pnj APBDES'!#REF!)</f>
        <v>#REF!</v>
      </c>
      <c r="I213" s="1679" t="e">
        <f>'Pnj APBDES'!#REF!</f>
        <v>#REF!</v>
      </c>
      <c r="J213" s="1746" t="e">
        <f>IF('Pnj APBDES'!#REF!="","",'Pnj APBDES'!#REF!)</f>
        <v>#REF!</v>
      </c>
      <c r="K213" s="1679" t="e">
        <f>K214</f>
        <v>#REF!</v>
      </c>
      <c r="L213" s="1679" t="e">
        <f t="shared" si="111"/>
        <v>#REF!</v>
      </c>
      <c r="M213" s="1679" t="e">
        <f t="shared" si="111"/>
        <v>#REF!</v>
      </c>
      <c r="N213" s="1679" t="e">
        <f t="shared" si="111"/>
        <v>#REF!</v>
      </c>
      <c r="O213" s="1679" t="e">
        <f t="shared" si="111"/>
        <v>#REF!</v>
      </c>
      <c r="P213" s="1679" t="e">
        <f t="shared" si="111"/>
        <v>#REF!</v>
      </c>
      <c r="Q213" s="1679" t="e">
        <f t="shared" si="111"/>
        <v>#REF!</v>
      </c>
      <c r="R213" s="1679" t="e">
        <f t="shared" si="111"/>
        <v>#REF!</v>
      </c>
      <c r="S213" s="1679" t="e">
        <f t="shared" si="111"/>
        <v>#REF!</v>
      </c>
      <c r="T213" s="1679" t="e">
        <f t="shared" si="111"/>
        <v>#REF!</v>
      </c>
      <c r="U213" s="1679" t="e">
        <f t="shared" si="111"/>
        <v>#REF!</v>
      </c>
      <c r="V213" s="1679" t="e">
        <f t="shared" si="111"/>
        <v>#REF!</v>
      </c>
      <c r="W213" s="1679" t="e">
        <f t="shared" si="110"/>
        <v>#REF!</v>
      </c>
      <c r="X213" s="1751" t="e">
        <f t="shared" si="108"/>
        <v>#REF!</v>
      </c>
      <c r="Y213" s="1540" t="e">
        <f t="shared" si="96"/>
        <v>#REF!</v>
      </c>
    </row>
    <row r="214" spans="1:25">
      <c r="A214" s="1699" t="e">
        <f>IF('Pnj APBDES'!#REF!="","",'Pnj APBDES'!#REF!)</f>
        <v>#REF!</v>
      </c>
      <c r="B214" s="1677" t="e">
        <f>IF('Pnj APBDES'!#REF!="","",'Pnj APBDES'!#REF!)</f>
        <v>#REF!</v>
      </c>
      <c r="C214" s="1687" t="e">
        <f>IF('Pnj APBDES'!#REF!="","",'Pnj APBDES'!#REF!)</f>
        <v>#REF!</v>
      </c>
      <c r="D214" s="1676" t="e">
        <f>IF('Pnj APBDES'!#REF!="","",'Pnj APBDES'!#REF!)</f>
        <v>#REF!</v>
      </c>
      <c r="E214" s="1676" t="e">
        <f>IF('Pnj APBDES'!#REF!="","",'Pnj APBDES'!#REF!)</f>
        <v>#REF!</v>
      </c>
      <c r="F214" s="1676" t="e">
        <f>IF('Pnj APBDES'!#REF!="","",'Pnj APBDES'!#REF!)</f>
        <v>#REF!</v>
      </c>
      <c r="G214" s="1676" t="e">
        <f>IF('Pnj APBDES'!#REF!="","",'Pnj APBDES'!#REF!)</f>
        <v>#REF!</v>
      </c>
      <c r="H214" s="1678" t="e">
        <f>IF('Pnj APBDES'!#REF!="","",'Pnj APBDES'!#REF!)</f>
        <v>#REF!</v>
      </c>
      <c r="I214" s="1679" t="e">
        <f>'Pnj APBDES'!#REF!</f>
        <v>#REF!</v>
      </c>
      <c r="J214" s="1746" t="e">
        <f>IF('Pnj APBDES'!#REF!="","",'Pnj APBDES'!#REF!)</f>
        <v>#REF!</v>
      </c>
      <c r="K214" s="1679" t="e">
        <f>$I214/12</f>
        <v>#REF!</v>
      </c>
      <c r="L214" s="1679" t="e">
        <f t="shared" ref="L214:V214" si="112">$I214/12</f>
        <v>#REF!</v>
      </c>
      <c r="M214" s="1679" t="e">
        <f t="shared" si="112"/>
        <v>#REF!</v>
      </c>
      <c r="N214" s="1679" t="e">
        <f t="shared" si="112"/>
        <v>#REF!</v>
      </c>
      <c r="O214" s="1679" t="e">
        <f t="shared" si="112"/>
        <v>#REF!</v>
      </c>
      <c r="P214" s="1679" t="e">
        <f t="shared" si="112"/>
        <v>#REF!</v>
      </c>
      <c r="Q214" s="1679" t="e">
        <f t="shared" si="112"/>
        <v>#REF!</v>
      </c>
      <c r="R214" s="1679" t="e">
        <f t="shared" si="112"/>
        <v>#REF!</v>
      </c>
      <c r="S214" s="1679" t="e">
        <f t="shared" si="112"/>
        <v>#REF!</v>
      </c>
      <c r="T214" s="1679" t="e">
        <f t="shared" si="112"/>
        <v>#REF!</v>
      </c>
      <c r="U214" s="1679" t="e">
        <f t="shared" si="112"/>
        <v>#REF!</v>
      </c>
      <c r="V214" s="1679" t="e">
        <f t="shared" si="112"/>
        <v>#REF!</v>
      </c>
      <c r="W214" s="1679" t="e">
        <f t="shared" si="110"/>
        <v>#REF!</v>
      </c>
      <c r="X214" s="1751" t="e">
        <f t="shared" si="108"/>
        <v>#REF!</v>
      </c>
      <c r="Y214" s="1540" t="e">
        <f t="shared" si="96"/>
        <v>#REF!</v>
      </c>
    </row>
    <row r="215" spans="1:25" s="1540" customFormat="1">
      <c r="A215" s="1669">
        <f>IF('Pnj APBDES'!A285="","",'Pnj APBDES'!A285)</f>
        <v>4</v>
      </c>
      <c r="B215" s="1697" t="str">
        <f>IF('Pnj APBDES'!B285="","",'Pnj APBDES'!B285)</f>
        <v/>
      </c>
      <c r="C215" s="1697" t="str">
        <f>IF('Pnj APBDES'!C285="","",'Pnj APBDES'!C285)</f>
        <v/>
      </c>
      <c r="D215" s="1669" t="str">
        <f>IF('Pnj APBDES'!D285="","",'Pnj APBDES'!D285)</f>
        <v/>
      </c>
      <c r="E215" s="1669" t="str">
        <f>IF('Pnj APBDES'!E285="","",'Pnj APBDES'!E285)</f>
        <v/>
      </c>
      <c r="F215" s="1669" t="str">
        <f>IF('Pnj APBDES'!F285="","",'Pnj APBDES'!F285)</f>
        <v/>
      </c>
      <c r="G215" s="1669" t="str">
        <f>IF('Pnj APBDES'!G285="","",'Pnj APBDES'!G285)</f>
        <v/>
      </c>
      <c r="H215" s="1670" t="str">
        <f>IF('Pnj APBDES'!H285="","",'Pnj APBDES'!H285)</f>
        <v>PEMBERDAYAAN MASYARAKAT DESA</v>
      </c>
      <c r="I215" s="1671">
        <f>'Pnj APBDES'!K285</f>
        <v>39804564</v>
      </c>
      <c r="J215" s="1744" t="str">
        <f>IF('Pnj APBDES'!N285="","",'Pnj APBDES'!N285)</f>
        <v/>
      </c>
      <c r="K215" s="1671">
        <f>K216+K240+K251</f>
        <v>0</v>
      </c>
      <c r="L215" s="1671">
        <f t="shared" ref="L215:V215" si="113">L216+L240+L251</f>
        <v>0</v>
      </c>
      <c r="M215" s="1671">
        <f t="shared" si="113"/>
        <v>0</v>
      </c>
      <c r="N215" s="1671">
        <f t="shared" si="113"/>
        <v>5000000</v>
      </c>
      <c r="O215" s="1671">
        <f t="shared" si="113"/>
        <v>0</v>
      </c>
      <c r="P215" s="1671">
        <f t="shared" si="113"/>
        <v>0</v>
      </c>
      <c r="Q215" s="1671">
        <f t="shared" si="113"/>
        <v>10000000</v>
      </c>
      <c r="R215" s="1671">
        <f t="shared" si="113"/>
        <v>20000000</v>
      </c>
      <c r="S215" s="1671">
        <f t="shared" si="113"/>
        <v>7204564</v>
      </c>
      <c r="T215" s="1671">
        <f t="shared" si="113"/>
        <v>0</v>
      </c>
      <c r="U215" s="1671">
        <f t="shared" si="113"/>
        <v>0</v>
      </c>
      <c r="V215" s="1671">
        <f t="shared" si="113"/>
        <v>0</v>
      </c>
      <c r="W215" s="1671">
        <f>SUM(K215:V215)</f>
        <v>42204564</v>
      </c>
      <c r="X215" s="1751" t="str">
        <f t="shared" si="108"/>
        <v>Salah</v>
      </c>
      <c r="Y215" s="1540">
        <f t="shared" si="96"/>
        <v>2400000</v>
      </c>
    </row>
    <row r="216" spans="1:25" s="1540" customFormat="1">
      <c r="A216" s="1672" t="e">
        <f>IF('Pnj APBDES'!#REF!="","",'Pnj APBDES'!#REF!)</f>
        <v>#REF!</v>
      </c>
      <c r="B216" s="1673" t="e">
        <f>IF('Pnj APBDES'!#REF!="","",'Pnj APBDES'!#REF!)</f>
        <v>#REF!</v>
      </c>
      <c r="C216" s="1673" t="e">
        <f>IF('Pnj APBDES'!#REF!="","",'Pnj APBDES'!#REF!)</f>
        <v>#REF!</v>
      </c>
      <c r="D216" s="1672" t="e">
        <f>IF('Pnj APBDES'!#REF!="","",'Pnj APBDES'!#REF!)</f>
        <v>#REF!</v>
      </c>
      <c r="E216" s="1672" t="e">
        <f>IF('Pnj APBDES'!#REF!="","",'Pnj APBDES'!#REF!)</f>
        <v>#REF!</v>
      </c>
      <c r="F216" s="1672" t="e">
        <f>IF('Pnj APBDES'!#REF!="","",'Pnj APBDES'!#REF!)</f>
        <v>#REF!</v>
      </c>
      <c r="G216" s="1672" t="e">
        <f>IF('Pnj APBDES'!#REF!="","",'Pnj APBDES'!#REF!)</f>
        <v>#REF!</v>
      </c>
      <c r="H216" s="1674" t="e">
        <f>IF('Pnj APBDES'!#REF!="","",'Pnj APBDES'!#REF!)</f>
        <v>#REF!</v>
      </c>
      <c r="I216" s="1675" t="e">
        <f>'Pnj APBDES'!#REF!</f>
        <v>#REF!</v>
      </c>
      <c r="J216" s="1745" t="e">
        <f>IF('Pnj APBDES'!#REF!="","",'Pnj APBDES'!#REF!)</f>
        <v>#REF!</v>
      </c>
      <c r="K216" s="1675">
        <f>K217+K229</f>
        <v>0</v>
      </c>
      <c r="L216" s="1675">
        <f t="shared" ref="L216:V216" si="114">L217+L229</f>
        <v>0</v>
      </c>
      <c r="M216" s="1675">
        <f t="shared" si="114"/>
        <v>0</v>
      </c>
      <c r="N216" s="1675">
        <f t="shared" si="114"/>
        <v>5000000</v>
      </c>
      <c r="O216" s="1675">
        <f t="shared" si="114"/>
        <v>0</v>
      </c>
      <c r="P216" s="1675">
        <f t="shared" si="114"/>
        <v>0</v>
      </c>
      <c r="Q216" s="1675">
        <f t="shared" si="114"/>
        <v>10000000</v>
      </c>
      <c r="R216" s="1675">
        <f t="shared" si="114"/>
        <v>0</v>
      </c>
      <c r="S216" s="1675">
        <f t="shared" si="114"/>
        <v>0</v>
      </c>
      <c r="T216" s="1675">
        <f t="shared" si="114"/>
        <v>0</v>
      </c>
      <c r="U216" s="1675">
        <f t="shared" si="114"/>
        <v>0</v>
      </c>
      <c r="V216" s="1675">
        <f t="shared" si="114"/>
        <v>0</v>
      </c>
      <c r="W216" s="1675">
        <f t="shared" si="110"/>
        <v>15000000</v>
      </c>
      <c r="X216" s="1751" t="e">
        <f t="shared" si="108"/>
        <v>#REF!</v>
      </c>
      <c r="Y216" s="1540" t="e">
        <f t="shared" si="96"/>
        <v>#REF!</v>
      </c>
    </row>
    <row r="217" spans="1:25" s="1540" customFormat="1">
      <c r="A217" s="1700" t="e">
        <f>IF('Pnj APBDES'!#REF!="","",'Pnj APBDES'!#REF!)</f>
        <v>#REF!</v>
      </c>
      <c r="B217" s="1691" t="e">
        <f>IF('Pnj APBDES'!#REF!="","",'Pnj APBDES'!#REF!)</f>
        <v>#REF!</v>
      </c>
      <c r="C217" s="1691" t="e">
        <f>IF('Pnj APBDES'!#REF!="","",'Pnj APBDES'!#REF!)</f>
        <v>#REF!</v>
      </c>
      <c r="D217" s="1672" t="e">
        <f>IF('Pnj APBDES'!#REF!="","",'Pnj APBDES'!#REF!)</f>
        <v>#REF!</v>
      </c>
      <c r="E217" s="1672" t="e">
        <f>IF('Pnj APBDES'!#REF!="","",'Pnj APBDES'!#REF!)</f>
        <v>#REF!</v>
      </c>
      <c r="F217" s="1672" t="e">
        <f>IF('Pnj APBDES'!#REF!="","",'Pnj APBDES'!#REF!)</f>
        <v>#REF!</v>
      </c>
      <c r="G217" s="1672" t="e">
        <f>IF('Pnj APBDES'!#REF!="","",'Pnj APBDES'!#REF!)</f>
        <v>#REF!</v>
      </c>
      <c r="H217" s="1706" t="e">
        <f>IF('Pnj APBDES'!#REF!="","",'Pnj APBDES'!#REF!)</f>
        <v>#REF!</v>
      </c>
      <c r="I217" s="1675" t="e">
        <f>'Pnj APBDES'!#REF!</f>
        <v>#REF!</v>
      </c>
      <c r="J217" s="1745" t="e">
        <f>IF('Pnj APBDES'!#REF!="","",'Pnj APBDES'!#REF!)</f>
        <v>#REF!</v>
      </c>
      <c r="K217" s="1675">
        <f>K219+K223+K227</f>
        <v>0</v>
      </c>
      <c r="L217" s="1675">
        <f t="shared" ref="L217:V217" si="115">L219+L223+L227</f>
        <v>0</v>
      </c>
      <c r="M217" s="1675">
        <f t="shared" si="115"/>
        <v>0</v>
      </c>
      <c r="N217" s="1675">
        <f t="shared" si="115"/>
        <v>5000000</v>
      </c>
      <c r="O217" s="1675">
        <f t="shared" si="115"/>
        <v>0</v>
      </c>
      <c r="P217" s="1675">
        <f t="shared" si="115"/>
        <v>0</v>
      </c>
      <c r="Q217" s="1675">
        <f t="shared" si="115"/>
        <v>0</v>
      </c>
      <c r="R217" s="1675">
        <f t="shared" si="115"/>
        <v>0</v>
      </c>
      <c r="S217" s="1675">
        <f t="shared" si="115"/>
        <v>0</v>
      </c>
      <c r="T217" s="1675">
        <f t="shared" si="115"/>
        <v>0</v>
      </c>
      <c r="U217" s="1675">
        <f t="shared" si="115"/>
        <v>0</v>
      </c>
      <c r="V217" s="1675">
        <f t="shared" si="115"/>
        <v>0</v>
      </c>
      <c r="W217" s="1675">
        <f t="shared" si="110"/>
        <v>5000000</v>
      </c>
      <c r="X217" s="1751" t="e">
        <f t="shared" si="108"/>
        <v>#REF!</v>
      </c>
      <c r="Y217" s="1540" t="e">
        <f t="shared" si="96"/>
        <v>#REF!</v>
      </c>
    </row>
    <row r="218" spans="1:25">
      <c r="A218" s="1699" t="e">
        <f>IF('Pnj APBDES'!#REF!="","",'Pnj APBDES'!#REF!)</f>
        <v>#REF!</v>
      </c>
      <c r="B218" s="1687" t="e">
        <f>IF('Pnj APBDES'!#REF!="","",'Pnj APBDES'!#REF!)</f>
        <v>#REF!</v>
      </c>
      <c r="C218" s="1687" t="e">
        <f>IF('Pnj APBDES'!#REF!="","",'Pnj APBDES'!#REF!)</f>
        <v>#REF!</v>
      </c>
      <c r="D218" s="1676" t="e">
        <f>IF('Pnj APBDES'!#REF!="","",'Pnj APBDES'!#REF!)</f>
        <v>#REF!</v>
      </c>
      <c r="E218" s="1676" t="e">
        <f>IF('Pnj APBDES'!#REF!="","",'Pnj APBDES'!#REF!)</f>
        <v>#REF!</v>
      </c>
      <c r="F218" s="1676" t="e">
        <f>IF('Pnj APBDES'!#REF!="","",'Pnj APBDES'!#REF!)</f>
        <v>#REF!</v>
      </c>
      <c r="G218" s="1676" t="e">
        <f>IF('Pnj APBDES'!#REF!="","",'Pnj APBDES'!#REF!)</f>
        <v>#REF!</v>
      </c>
      <c r="H218" s="1705" t="e">
        <f>IF('Pnj APBDES'!#REF!="","",'Pnj APBDES'!#REF!)</f>
        <v>#REF!</v>
      </c>
      <c r="I218" s="1679" t="e">
        <f>'Pnj APBDES'!#REF!</f>
        <v>#REF!</v>
      </c>
      <c r="J218" s="1746" t="e">
        <f>IF('Pnj APBDES'!#REF!="","",'Pnj APBDES'!#REF!)</f>
        <v>#REF!</v>
      </c>
      <c r="K218" s="1679"/>
      <c r="L218" s="1679"/>
      <c r="M218" s="1679"/>
      <c r="N218" s="1679"/>
      <c r="O218" s="1679"/>
      <c r="P218" s="1679"/>
      <c r="Q218" s="1679"/>
      <c r="R218" s="1679"/>
      <c r="S218" s="1679"/>
      <c r="T218" s="1679"/>
      <c r="U218" s="1679"/>
      <c r="V218" s="1679"/>
      <c r="W218" s="1679">
        <f t="shared" si="110"/>
        <v>0</v>
      </c>
      <c r="X218" s="1751" t="e">
        <f t="shared" si="108"/>
        <v>#REF!</v>
      </c>
      <c r="Y218" s="1540" t="e">
        <f t="shared" si="96"/>
        <v>#REF!</v>
      </c>
    </row>
    <row r="219" spans="1:25">
      <c r="A219" s="1699" t="e">
        <f>IF('Pnj APBDES'!#REF!="","",'Pnj APBDES'!#REF!)</f>
        <v>#REF!</v>
      </c>
      <c r="B219" s="1687" t="e">
        <f>IF('Pnj APBDES'!#REF!="","",'Pnj APBDES'!#REF!)</f>
        <v>#REF!</v>
      </c>
      <c r="C219" s="1687" t="e">
        <f>IF('Pnj APBDES'!#REF!="","",'Pnj APBDES'!#REF!)</f>
        <v>#REF!</v>
      </c>
      <c r="D219" s="1676" t="e">
        <f>IF('Pnj APBDES'!#REF!="","",'Pnj APBDES'!#REF!)</f>
        <v>#REF!</v>
      </c>
      <c r="E219" s="1676" t="e">
        <f>IF('Pnj APBDES'!#REF!="","",'Pnj APBDES'!#REF!)</f>
        <v>#REF!</v>
      </c>
      <c r="F219" s="1676" t="e">
        <f>IF('Pnj APBDES'!#REF!="","",'Pnj APBDES'!#REF!)</f>
        <v>#REF!</v>
      </c>
      <c r="G219" s="1676" t="e">
        <f>IF('Pnj APBDES'!#REF!="","",'Pnj APBDES'!#REF!)</f>
        <v>#REF!</v>
      </c>
      <c r="H219" s="1705" t="e">
        <f>IF('Pnj APBDES'!#REF!="","",'Pnj APBDES'!#REF!)</f>
        <v>#REF!</v>
      </c>
      <c r="I219" s="1679" t="e">
        <f>'Pnj APBDES'!#REF!</f>
        <v>#REF!</v>
      </c>
      <c r="J219" s="1746" t="e">
        <f>IF('Pnj APBDES'!#REF!="","",'Pnj APBDES'!#REF!)</f>
        <v>#REF!</v>
      </c>
      <c r="K219" s="1679">
        <f>SUM(K220:K222)</f>
        <v>0</v>
      </c>
      <c r="L219" s="1679">
        <f t="shared" ref="L219:V219" si="116">SUM(L220:L222)</f>
        <v>0</v>
      </c>
      <c r="M219" s="1679">
        <f t="shared" si="116"/>
        <v>0</v>
      </c>
      <c r="N219" s="1679">
        <f t="shared" si="116"/>
        <v>965000</v>
      </c>
      <c r="O219" s="1679">
        <f t="shared" si="116"/>
        <v>0</v>
      </c>
      <c r="P219" s="1679">
        <f t="shared" si="116"/>
        <v>0</v>
      </c>
      <c r="Q219" s="1679">
        <f t="shared" si="116"/>
        <v>0</v>
      </c>
      <c r="R219" s="1679">
        <f t="shared" si="116"/>
        <v>0</v>
      </c>
      <c r="S219" s="1679">
        <f t="shared" si="116"/>
        <v>0</v>
      </c>
      <c r="T219" s="1679">
        <f t="shared" si="116"/>
        <v>0</v>
      </c>
      <c r="U219" s="1679">
        <f t="shared" si="116"/>
        <v>0</v>
      </c>
      <c r="V219" s="1679">
        <f t="shared" si="116"/>
        <v>0</v>
      </c>
      <c r="W219" s="1679">
        <f t="shared" si="110"/>
        <v>965000</v>
      </c>
      <c r="X219" s="1751" t="e">
        <f t="shared" si="108"/>
        <v>#REF!</v>
      </c>
      <c r="Y219" s="1540" t="e">
        <f t="shared" si="96"/>
        <v>#REF!</v>
      </c>
    </row>
    <row r="220" spans="1:25">
      <c r="A220" s="1699" t="e">
        <f>IF('Pnj APBDES'!#REF!="","",'Pnj APBDES'!#REF!)</f>
        <v>#REF!</v>
      </c>
      <c r="B220" s="1687" t="e">
        <f>IF('Pnj APBDES'!#REF!="","",'Pnj APBDES'!#REF!)</f>
        <v>#REF!</v>
      </c>
      <c r="C220" s="1687" t="e">
        <f>IF('Pnj APBDES'!#REF!="","",'Pnj APBDES'!#REF!)</f>
        <v>#REF!</v>
      </c>
      <c r="D220" s="1676" t="e">
        <f>IF('Pnj APBDES'!#REF!="","",'Pnj APBDES'!#REF!)</f>
        <v>#REF!</v>
      </c>
      <c r="E220" s="1676" t="e">
        <f>IF('Pnj APBDES'!#REF!="","",'Pnj APBDES'!#REF!)</f>
        <v>#REF!</v>
      </c>
      <c r="F220" s="1676" t="e">
        <f>IF('Pnj APBDES'!#REF!="","",'Pnj APBDES'!#REF!)</f>
        <v>#REF!</v>
      </c>
      <c r="G220" s="1676" t="e">
        <f>IF('Pnj APBDES'!#REF!="","",'Pnj APBDES'!#REF!)</f>
        <v>#REF!</v>
      </c>
      <c r="H220" s="1705" t="e">
        <f>IF('Pnj APBDES'!#REF!="","",'Pnj APBDES'!#REF!)</f>
        <v>#REF!</v>
      </c>
      <c r="I220" s="1679" t="e">
        <f>'Pnj APBDES'!#REF!</f>
        <v>#REF!</v>
      </c>
      <c r="J220" s="1746" t="e">
        <f>IF('Pnj APBDES'!#REF!="","",'Pnj APBDES'!#REF!)</f>
        <v>#REF!</v>
      </c>
      <c r="K220" s="1679">
        <v>0</v>
      </c>
      <c r="L220" s="1679">
        <v>0</v>
      </c>
      <c r="M220" s="1679">
        <v>0</v>
      </c>
      <c r="N220" s="1679">
        <v>135000</v>
      </c>
      <c r="O220" s="1679">
        <v>0</v>
      </c>
      <c r="P220" s="1679">
        <v>0</v>
      </c>
      <c r="Q220" s="1679">
        <v>0</v>
      </c>
      <c r="R220" s="1679">
        <v>0</v>
      </c>
      <c r="S220" s="1679">
        <v>0</v>
      </c>
      <c r="T220" s="1679">
        <v>0</v>
      </c>
      <c r="U220" s="1679">
        <v>0</v>
      </c>
      <c r="V220" s="1679">
        <v>0</v>
      </c>
      <c r="W220" s="1679">
        <f t="shared" si="110"/>
        <v>135000</v>
      </c>
      <c r="X220" s="1751" t="e">
        <f t="shared" si="108"/>
        <v>#REF!</v>
      </c>
      <c r="Y220" s="1540" t="e">
        <f t="shared" si="96"/>
        <v>#REF!</v>
      </c>
    </row>
    <row r="221" spans="1:25">
      <c r="A221" s="1699" t="e">
        <f>IF('Pnj APBDES'!#REF!="","",'Pnj APBDES'!#REF!)</f>
        <v>#REF!</v>
      </c>
      <c r="B221" s="1687" t="e">
        <f>IF('Pnj APBDES'!#REF!="","",'Pnj APBDES'!#REF!)</f>
        <v>#REF!</v>
      </c>
      <c r="C221" s="1687" t="e">
        <f>IF('Pnj APBDES'!#REF!="","",'Pnj APBDES'!#REF!)</f>
        <v>#REF!</v>
      </c>
      <c r="D221" s="1676" t="e">
        <f>IF('Pnj APBDES'!#REF!="","",'Pnj APBDES'!#REF!)</f>
        <v>#REF!</v>
      </c>
      <c r="E221" s="1676" t="e">
        <f>IF('Pnj APBDES'!#REF!="","",'Pnj APBDES'!#REF!)</f>
        <v>#REF!</v>
      </c>
      <c r="F221" s="1676" t="e">
        <f>IF('Pnj APBDES'!#REF!="","",'Pnj APBDES'!#REF!)</f>
        <v>#REF!</v>
      </c>
      <c r="G221" s="1676" t="e">
        <f>IF('Pnj APBDES'!#REF!="","",'Pnj APBDES'!#REF!)</f>
        <v>#REF!</v>
      </c>
      <c r="H221" s="1705" t="e">
        <f>IF('Pnj APBDES'!#REF!="","",'Pnj APBDES'!#REF!)</f>
        <v>#REF!</v>
      </c>
      <c r="I221" s="1679" t="e">
        <f>'Pnj APBDES'!#REF!</f>
        <v>#REF!</v>
      </c>
      <c r="J221" s="1746" t="e">
        <f>IF('Pnj APBDES'!#REF!="","",'Pnj APBDES'!#REF!)</f>
        <v>#REF!</v>
      </c>
      <c r="K221" s="1679">
        <v>0</v>
      </c>
      <c r="L221" s="1679">
        <v>0</v>
      </c>
      <c r="M221" s="1679">
        <v>0</v>
      </c>
      <c r="N221" s="1679">
        <v>400000</v>
      </c>
      <c r="O221" s="1679">
        <v>0</v>
      </c>
      <c r="P221" s="1679">
        <v>0</v>
      </c>
      <c r="Q221" s="1679">
        <v>0</v>
      </c>
      <c r="R221" s="1679">
        <v>0</v>
      </c>
      <c r="S221" s="1679">
        <v>0</v>
      </c>
      <c r="T221" s="1679">
        <v>0</v>
      </c>
      <c r="U221" s="1679">
        <v>0</v>
      </c>
      <c r="V221" s="1679">
        <v>0</v>
      </c>
      <c r="W221" s="1679">
        <f t="shared" si="110"/>
        <v>400000</v>
      </c>
      <c r="X221" s="1751" t="e">
        <f t="shared" si="108"/>
        <v>#REF!</v>
      </c>
      <c r="Y221" s="1540" t="e">
        <f t="shared" si="96"/>
        <v>#REF!</v>
      </c>
    </row>
    <row r="222" spans="1:25" ht="12" customHeight="1">
      <c r="A222" s="1699" t="e">
        <f>IF('Pnj APBDES'!#REF!="","",'Pnj APBDES'!#REF!)</f>
        <v>#REF!</v>
      </c>
      <c r="B222" s="1687" t="e">
        <f>IF('Pnj APBDES'!#REF!="","",'Pnj APBDES'!#REF!)</f>
        <v>#REF!</v>
      </c>
      <c r="C222" s="1687" t="e">
        <f>IF('Pnj APBDES'!#REF!="","",'Pnj APBDES'!#REF!)</f>
        <v>#REF!</v>
      </c>
      <c r="D222" s="1676" t="e">
        <f>IF('Pnj APBDES'!#REF!="","",'Pnj APBDES'!#REF!)</f>
        <v>#REF!</v>
      </c>
      <c r="E222" s="1676" t="e">
        <f>IF('Pnj APBDES'!#REF!="","",'Pnj APBDES'!#REF!)</f>
        <v>#REF!</v>
      </c>
      <c r="F222" s="1676" t="e">
        <f>IF('Pnj APBDES'!#REF!="","",'Pnj APBDES'!#REF!)</f>
        <v>#REF!</v>
      </c>
      <c r="G222" s="1676" t="e">
        <f>IF('Pnj APBDES'!#REF!="","",'Pnj APBDES'!#REF!)</f>
        <v>#REF!</v>
      </c>
      <c r="H222" s="1705" t="e">
        <f>IF('Pnj APBDES'!#REF!="","",'Pnj APBDES'!#REF!)</f>
        <v>#REF!</v>
      </c>
      <c r="I222" s="1679" t="e">
        <f>'Pnj APBDES'!#REF!</f>
        <v>#REF!</v>
      </c>
      <c r="J222" s="1746" t="e">
        <f>IF('Pnj APBDES'!#REF!="","",'Pnj APBDES'!#REF!)</f>
        <v>#REF!</v>
      </c>
      <c r="K222" s="1679">
        <v>0</v>
      </c>
      <c r="L222" s="1679">
        <v>0</v>
      </c>
      <c r="M222" s="1679">
        <v>0</v>
      </c>
      <c r="N222" s="1679">
        <v>430000</v>
      </c>
      <c r="O222" s="1679">
        <v>0</v>
      </c>
      <c r="P222" s="1679">
        <v>0</v>
      </c>
      <c r="Q222" s="1679">
        <v>0</v>
      </c>
      <c r="R222" s="1679">
        <v>0</v>
      </c>
      <c r="S222" s="1679">
        <v>0</v>
      </c>
      <c r="T222" s="1679">
        <v>0</v>
      </c>
      <c r="U222" s="1679">
        <v>0</v>
      </c>
      <c r="V222" s="1679">
        <v>0</v>
      </c>
      <c r="W222" s="1679">
        <f t="shared" si="110"/>
        <v>430000</v>
      </c>
      <c r="X222" s="1751" t="e">
        <f t="shared" si="108"/>
        <v>#REF!</v>
      </c>
      <c r="Y222" s="1540" t="e">
        <f t="shared" si="96"/>
        <v>#REF!</v>
      </c>
    </row>
    <row r="223" spans="1:25">
      <c r="A223" s="1699" t="e">
        <f>IF('Pnj APBDES'!#REF!="","",'Pnj APBDES'!#REF!)</f>
        <v>#REF!</v>
      </c>
      <c r="B223" s="1687" t="e">
        <f>IF('Pnj APBDES'!#REF!="","",'Pnj APBDES'!#REF!)</f>
        <v>#REF!</v>
      </c>
      <c r="C223" s="1687" t="e">
        <f>IF('Pnj APBDES'!#REF!="","",'Pnj APBDES'!#REF!)</f>
        <v>#REF!</v>
      </c>
      <c r="D223" s="1676" t="e">
        <f>IF('Pnj APBDES'!#REF!="","",'Pnj APBDES'!#REF!)</f>
        <v>#REF!</v>
      </c>
      <c r="E223" s="1676" t="e">
        <f>IF('Pnj APBDES'!#REF!="","",'Pnj APBDES'!#REF!)</f>
        <v>#REF!</v>
      </c>
      <c r="F223" s="1676" t="e">
        <f>IF('Pnj APBDES'!#REF!="","",'Pnj APBDES'!#REF!)</f>
        <v>#REF!</v>
      </c>
      <c r="G223" s="1676" t="e">
        <f>IF('Pnj APBDES'!#REF!="","",'Pnj APBDES'!#REF!)</f>
        <v>#REF!</v>
      </c>
      <c r="H223" s="1705" t="e">
        <f>IF('Pnj APBDES'!#REF!="","",'Pnj APBDES'!#REF!)</f>
        <v>#REF!</v>
      </c>
      <c r="I223" s="1679" t="e">
        <f>'Pnj APBDES'!#REF!</f>
        <v>#REF!</v>
      </c>
      <c r="J223" s="1746" t="e">
        <f>IF('Pnj APBDES'!#REF!="","",'Pnj APBDES'!#REF!)</f>
        <v>#REF!</v>
      </c>
      <c r="K223" s="1679">
        <f>SUM(K224:K226)</f>
        <v>0</v>
      </c>
      <c r="L223" s="1679">
        <f t="shared" ref="L223:V223" si="117">SUM(L224:L226)</f>
        <v>0</v>
      </c>
      <c r="M223" s="1679">
        <f t="shared" si="117"/>
        <v>0</v>
      </c>
      <c r="N223" s="1679">
        <f t="shared" si="117"/>
        <v>2235000</v>
      </c>
      <c r="O223" s="1679">
        <f t="shared" si="117"/>
        <v>0</v>
      </c>
      <c r="P223" s="1679">
        <f t="shared" si="117"/>
        <v>0</v>
      </c>
      <c r="Q223" s="1679">
        <f t="shared" si="117"/>
        <v>0</v>
      </c>
      <c r="R223" s="1679">
        <f t="shared" si="117"/>
        <v>0</v>
      </c>
      <c r="S223" s="1679">
        <f t="shared" si="117"/>
        <v>0</v>
      </c>
      <c r="T223" s="1679">
        <f t="shared" si="117"/>
        <v>0</v>
      </c>
      <c r="U223" s="1679">
        <f t="shared" si="117"/>
        <v>0</v>
      </c>
      <c r="V223" s="1679">
        <f t="shared" si="117"/>
        <v>0</v>
      </c>
      <c r="W223" s="1679">
        <f t="shared" si="110"/>
        <v>2235000</v>
      </c>
      <c r="X223" s="1751" t="e">
        <f t="shared" si="108"/>
        <v>#REF!</v>
      </c>
      <c r="Y223" s="1540" t="e">
        <f t="shared" si="96"/>
        <v>#REF!</v>
      </c>
    </row>
    <row r="224" spans="1:25">
      <c r="A224" s="1699" t="e">
        <f>IF('Pnj APBDES'!#REF!="","",'Pnj APBDES'!#REF!)</f>
        <v>#REF!</v>
      </c>
      <c r="B224" s="1687" t="e">
        <f>IF('Pnj APBDES'!#REF!="","",'Pnj APBDES'!#REF!)</f>
        <v>#REF!</v>
      </c>
      <c r="C224" s="1687" t="e">
        <f>IF('Pnj APBDES'!#REF!="","",'Pnj APBDES'!#REF!)</f>
        <v>#REF!</v>
      </c>
      <c r="D224" s="1676" t="e">
        <f>IF('Pnj APBDES'!#REF!="","",'Pnj APBDES'!#REF!)</f>
        <v>#REF!</v>
      </c>
      <c r="E224" s="1676" t="e">
        <f>IF('Pnj APBDES'!#REF!="","",'Pnj APBDES'!#REF!)</f>
        <v>#REF!</v>
      </c>
      <c r="F224" s="1676" t="e">
        <f>IF('Pnj APBDES'!#REF!="","",'Pnj APBDES'!#REF!)</f>
        <v>#REF!</v>
      </c>
      <c r="G224" s="1698" t="e">
        <f>IF('Pnj APBDES'!#REF!="","",'Pnj APBDES'!#REF!)</f>
        <v>#REF!</v>
      </c>
      <c r="H224" s="1705" t="e">
        <f>IF('Pnj APBDES'!#REF!="","",'Pnj APBDES'!#REF!)</f>
        <v>#REF!</v>
      </c>
      <c r="I224" s="1679" t="e">
        <f>'Pnj APBDES'!#REF!</f>
        <v>#REF!</v>
      </c>
      <c r="J224" s="1746" t="e">
        <f>IF('Pnj APBDES'!#REF!="","",'Pnj APBDES'!#REF!)</f>
        <v>#REF!</v>
      </c>
      <c r="K224" s="1679">
        <v>0</v>
      </c>
      <c r="L224" s="1679">
        <v>0</v>
      </c>
      <c r="M224" s="1679">
        <v>0</v>
      </c>
      <c r="N224" s="1679">
        <v>675000</v>
      </c>
      <c r="O224" s="1679">
        <v>0</v>
      </c>
      <c r="P224" s="1679">
        <v>0</v>
      </c>
      <c r="Q224" s="1679">
        <v>0</v>
      </c>
      <c r="R224" s="1679">
        <v>0</v>
      </c>
      <c r="S224" s="1679">
        <v>0</v>
      </c>
      <c r="T224" s="1679">
        <v>0</v>
      </c>
      <c r="U224" s="1679">
        <v>0</v>
      </c>
      <c r="V224" s="1679">
        <v>0</v>
      </c>
      <c r="W224" s="1679">
        <f t="shared" si="110"/>
        <v>675000</v>
      </c>
      <c r="X224" s="1751" t="e">
        <f t="shared" si="108"/>
        <v>#REF!</v>
      </c>
      <c r="Y224" s="1540" t="e">
        <f t="shared" si="96"/>
        <v>#REF!</v>
      </c>
    </row>
    <row r="225" spans="1:25">
      <c r="A225" s="1715" t="e">
        <f>IF('Pnj APBDES'!#REF!="","",'Pnj APBDES'!#REF!)</f>
        <v>#REF!</v>
      </c>
      <c r="B225" s="1716" t="e">
        <f>IF('Pnj APBDES'!#REF!="","",'Pnj APBDES'!#REF!)</f>
        <v>#REF!</v>
      </c>
      <c r="C225" s="1716" t="e">
        <f>IF('Pnj APBDES'!#REF!="","",'Pnj APBDES'!#REF!)</f>
        <v>#REF!</v>
      </c>
      <c r="D225" s="1698" t="e">
        <f>IF('Pnj APBDES'!#REF!="","",'Pnj APBDES'!#REF!)</f>
        <v>#REF!</v>
      </c>
      <c r="E225" s="1698" t="e">
        <f>IF('Pnj APBDES'!#REF!="","",'Pnj APBDES'!#REF!)</f>
        <v>#REF!</v>
      </c>
      <c r="F225" s="1698" t="e">
        <f>IF('Pnj APBDES'!#REF!="","",'Pnj APBDES'!#REF!)</f>
        <v>#REF!</v>
      </c>
      <c r="G225" s="1698" t="e">
        <f>IF('Pnj APBDES'!#REF!="","",'Pnj APBDES'!#REF!)</f>
        <v>#REF!</v>
      </c>
      <c r="H225" s="1717" t="e">
        <f>IF('Pnj APBDES'!#REF!="","",'Pnj APBDES'!#REF!)</f>
        <v>#REF!</v>
      </c>
      <c r="I225" s="1679" t="e">
        <f>'Pnj APBDES'!#REF!</f>
        <v>#REF!</v>
      </c>
      <c r="J225" s="1746" t="e">
        <f>IF('Pnj APBDES'!#REF!="","",'Pnj APBDES'!#REF!)</f>
        <v>#REF!</v>
      </c>
      <c r="K225" s="1679">
        <v>0</v>
      </c>
      <c r="L225" s="1679">
        <v>0</v>
      </c>
      <c r="M225" s="1679">
        <v>0</v>
      </c>
      <c r="N225" s="1679">
        <v>1260000</v>
      </c>
      <c r="O225" s="1679">
        <v>0</v>
      </c>
      <c r="P225" s="1679">
        <v>0</v>
      </c>
      <c r="Q225" s="1679">
        <v>0</v>
      </c>
      <c r="R225" s="1679">
        <v>0</v>
      </c>
      <c r="S225" s="1679">
        <v>0</v>
      </c>
      <c r="T225" s="1679">
        <v>0</v>
      </c>
      <c r="U225" s="1679">
        <v>0</v>
      </c>
      <c r="V225" s="1679">
        <v>0</v>
      </c>
      <c r="W225" s="1679">
        <f t="shared" si="110"/>
        <v>1260000</v>
      </c>
      <c r="X225" s="1751" t="e">
        <f t="shared" si="108"/>
        <v>#REF!</v>
      </c>
      <c r="Y225" s="1540" t="e">
        <f t="shared" si="96"/>
        <v>#REF!</v>
      </c>
    </row>
    <row r="226" spans="1:25">
      <c r="A226" s="1699" t="e">
        <f>IF('Pnj APBDES'!#REF!="","",'Pnj APBDES'!#REF!)</f>
        <v>#REF!</v>
      </c>
      <c r="B226" s="1687" t="e">
        <f>IF('Pnj APBDES'!#REF!="","",'Pnj APBDES'!#REF!)</f>
        <v>#REF!</v>
      </c>
      <c r="C226" s="1687" t="e">
        <f>IF('Pnj APBDES'!#REF!="","",'Pnj APBDES'!#REF!)</f>
        <v>#REF!</v>
      </c>
      <c r="D226" s="1676" t="e">
        <f>IF('Pnj APBDES'!#REF!="","",'Pnj APBDES'!#REF!)</f>
        <v>#REF!</v>
      </c>
      <c r="E226" s="1676" t="e">
        <f>IF('Pnj APBDES'!#REF!="","",'Pnj APBDES'!#REF!)</f>
        <v>#REF!</v>
      </c>
      <c r="F226" s="1676" t="e">
        <f>IF('Pnj APBDES'!#REF!="","",'Pnj APBDES'!#REF!)</f>
        <v>#REF!</v>
      </c>
      <c r="G226" s="1698" t="e">
        <f>IF('Pnj APBDES'!#REF!="","",'Pnj APBDES'!#REF!)</f>
        <v>#REF!</v>
      </c>
      <c r="H226" s="1705" t="e">
        <f>IF('Pnj APBDES'!#REF!="","",'Pnj APBDES'!#REF!)</f>
        <v>#REF!</v>
      </c>
      <c r="I226" s="1679" t="e">
        <f>'Pnj APBDES'!#REF!</f>
        <v>#REF!</v>
      </c>
      <c r="J226" s="1746" t="e">
        <f>IF('Pnj APBDES'!#REF!="","",'Pnj APBDES'!#REF!)</f>
        <v>#REF!</v>
      </c>
      <c r="K226" s="1679">
        <v>0</v>
      </c>
      <c r="L226" s="1679">
        <v>0</v>
      </c>
      <c r="M226" s="1679">
        <v>0</v>
      </c>
      <c r="N226" s="1679">
        <v>300000</v>
      </c>
      <c r="O226" s="1679">
        <v>0</v>
      </c>
      <c r="P226" s="1679">
        <v>0</v>
      </c>
      <c r="Q226" s="1679">
        <v>0</v>
      </c>
      <c r="R226" s="1679">
        <v>0</v>
      </c>
      <c r="S226" s="1679">
        <v>0</v>
      </c>
      <c r="T226" s="1679">
        <v>0</v>
      </c>
      <c r="U226" s="1679">
        <v>0</v>
      </c>
      <c r="V226" s="1679">
        <v>0</v>
      </c>
      <c r="W226" s="1679">
        <f t="shared" si="110"/>
        <v>300000</v>
      </c>
      <c r="X226" s="1751" t="e">
        <f t="shared" si="108"/>
        <v>#REF!</v>
      </c>
      <c r="Y226" s="1540" t="e">
        <f t="shared" si="96"/>
        <v>#REF!</v>
      </c>
    </row>
    <row r="227" spans="1:25">
      <c r="A227" s="1699" t="e">
        <f>IF('Pnj APBDES'!#REF!="","",'Pnj APBDES'!#REF!)</f>
        <v>#REF!</v>
      </c>
      <c r="B227" s="1687" t="e">
        <f>IF('Pnj APBDES'!#REF!="","",'Pnj APBDES'!#REF!)</f>
        <v>#REF!</v>
      </c>
      <c r="C227" s="1687" t="e">
        <f>IF('Pnj APBDES'!#REF!="","",'Pnj APBDES'!#REF!)</f>
        <v>#REF!</v>
      </c>
      <c r="D227" s="1676" t="e">
        <f>IF('Pnj APBDES'!#REF!="","",'Pnj APBDES'!#REF!)</f>
        <v>#REF!</v>
      </c>
      <c r="E227" s="1676" t="e">
        <f>IF('Pnj APBDES'!#REF!="","",'Pnj APBDES'!#REF!)</f>
        <v>#REF!</v>
      </c>
      <c r="F227" s="1676" t="e">
        <f>IF('Pnj APBDES'!#REF!="","",'Pnj APBDES'!#REF!)</f>
        <v>#REF!</v>
      </c>
      <c r="G227" s="1676" t="e">
        <f>IF('Pnj APBDES'!#REF!="","",'Pnj APBDES'!#REF!)</f>
        <v>#REF!</v>
      </c>
      <c r="H227" s="1705" t="e">
        <f>IF('Pnj APBDES'!#REF!="","",'Pnj APBDES'!#REF!)</f>
        <v>#REF!</v>
      </c>
      <c r="I227" s="1679" t="e">
        <f>'Pnj APBDES'!#REF!</f>
        <v>#REF!</v>
      </c>
      <c r="J227" s="1746" t="e">
        <f>IF('Pnj APBDES'!#REF!="","",'Pnj APBDES'!#REF!)</f>
        <v>#REF!</v>
      </c>
      <c r="K227" s="1679">
        <f>K228</f>
        <v>0</v>
      </c>
      <c r="L227" s="1679">
        <f t="shared" ref="L227:V227" si="118">L228</f>
        <v>0</v>
      </c>
      <c r="M227" s="1679">
        <f t="shared" si="118"/>
        <v>0</v>
      </c>
      <c r="N227" s="1679">
        <f t="shared" si="118"/>
        <v>1800000</v>
      </c>
      <c r="O227" s="1679">
        <f t="shared" si="118"/>
        <v>0</v>
      </c>
      <c r="P227" s="1679">
        <f t="shared" si="118"/>
        <v>0</v>
      </c>
      <c r="Q227" s="1679">
        <f t="shared" si="118"/>
        <v>0</v>
      </c>
      <c r="R227" s="1679">
        <f t="shared" si="118"/>
        <v>0</v>
      </c>
      <c r="S227" s="1679">
        <f t="shared" si="118"/>
        <v>0</v>
      </c>
      <c r="T227" s="1679">
        <f t="shared" si="118"/>
        <v>0</v>
      </c>
      <c r="U227" s="1679">
        <f t="shared" si="118"/>
        <v>0</v>
      </c>
      <c r="V227" s="1679">
        <f t="shared" si="118"/>
        <v>0</v>
      </c>
      <c r="W227" s="1679">
        <f t="shared" si="110"/>
        <v>1800000</v>
      </c>
      <c r="X227" s="1751" t="e">
        <f t="shared" si="108"/>
        <v>#REF!</v>
      </c>
      <c r="Y227" s="1540" t="e">
        <f t="shared" si="96"/>
        <v>#REF!</v>
      </c>
    </row>
    <row r="228" spans="1:25">
      <c r="A228" s="1699" t="e">
        <f>IF('Pnj APBDES'!#REF!="","",'Pnj APBDES'!#REF!)</f>
        <v>#REF!</v>
      </c>
      <c r="B228" s="1687" t="e">
        <f>IF('Pnj APBDES'!#REF!="","",'Pnj APBDES'!#REF!)</f>
        <v>#REF!</v>
      </c>
      <c r="C228" s="1687" t="e">
        <f>IF('Pnj APBDES'!#REF!="","",'Pnj APBDES'!#REF!)</f>
        <v>#REF!</v>
      </c>
      <c r="D228" s="1676" t="e">
        <f>IF('Pnj APBDES'!#REF!="","",'Pnj APBDES'!#REF!)</f>
        <v>#REF!</v>
      </c>
      <c r="E228" s="1676" t="e">
        <f>IF('Pnj APBDES'!#REF!="","",'Pnj APBDES'!#REF!)</f>
        <v>#REF!</v>
      </c>
      <c r="F228" s="1676" t="e">
        <f>IF('Pnj APBDES'!#REF!="","",'Pnj APBDES'!#REF!)</f>
        <v>#REF!</v>
      </c>
      <c r="G228" s="1676" t="e">
        <f>IF('Pnj APBDES'!#REF!="","",'Pnj APBDES'!#REF!)</f>
        <v>#REF!</v>
      </c>
      <c r="H228" s="1705" t="e">
        <f>IF('Pnj APBDES'!#REF!="","",'Pnj APBDES'!#REF!)</f>
        <v>#REF!</v>
      </c>
      <c r="I228" s="1679" t="e">
        <f>'Pnj APBDES'!#REF!</f>
        <v>#REF!</v>
      </c>
      <c r="J228" s="1746" t="e">
        <f>IF('Pnj APBDES'!#REF!="","",'Pnj APBDES'!#REF!)</f>
        <v>#REF!</v>
      </c>
      <c r="K228" s="1679">
        <v>0</v>
      </c>
      <c r="L228" s="1679">
        <v>0</v>
      </c>
      <c r="M228" s="1679">
        <v>0</v>
      </c>
      <c r="N228" s="1679">
        <v>1800000</v>
      </c>
      <c r="O228" s="1679">
        <v>0</v>
      </c>
      <c r="P228" s="1679">
        <v>0</v>
      </c>
      <c r="Q228" s="1679">
        <v>0</v>
      </c>
      <c r="R228" s="1679">
        <v>0</v>
      </c>
      <c r="S228" s="1679">
        <v>0</v>
      </c>
      <c r="T228" s="1679">
        <v>0</v>
      </c>
      <c r="U228" s="1679">
        <v>0</v>
      </c>
      <c r="V228" s="1679">
        <v>0</v>
      </c>
      <c r="W228" s="1679">
        <f t="shared" si="110"/>
        <v>1800000</v>
      </c>
      <c r="X228" s="1751" t="e">
        <f t="shared" si="108"/>
        <v>#REF!</v>
      </c>
      <c r="Y228" s="1540" t="e">
        <f t="shared" si="96"/>
        <v>#REF!</v>
      </c>
    </row>
    <row r="229" spans="1:25" s="1540" customFormat="1">
      <c r="A229" s="1700" t="e">
        <f>IF('Pnj APBDES'!#REF!="","",'Pnj APBDES'!#REF!)</f>
        <v>#REF!</v>
      </c>
      <c r="B229" s="1691" t="e">
        <f>IF('Pnj APBDES'!#REF!="","",'Pnj APBDES'!#REF!)</f>
        <v>#REF!</v>
      </c>
      <c r="C229" s="1691" t="e">
        <f>IF('Pnj APBDES'!#REF!="","",'Pnj APBDES'!#REF!)</f>
        <v>#REF!</v>
      </c>
      <c r="D229" s="1672" t="e">
        <f>IF('Pnj APBDES'!#REF!="","",'Pnj APBDES'!#REF!)</f>
        <v>#REF!</v>
      </c>
      <c r="E229" s="1672" t="e">
        <f>IF('Pnj APBDES'!#REF!="","",'Pnj APBDES'!#REF!)</f>
        <v>#REF!</v>
      </c>
      <c r="F229" s="1672" t="e">
        <f>IF('Pnj APBDES'!#REF!="","",'Pnj APBDES'!#REF!)</f>
        <v>#REF!</v>
      </c>
      <c r="G229" s="1672" t="e">
        <f>IF('Pnj APBDES'!#REF!="","",'Pnj APBDES'!#REF!)</f>
        <v>#REF!</v>
      </c>
      <c r="H229" s="1706" t="e">
        <f>IF('Pnj APBDES'!#REF!="","",'Pnj APBDES'!#REF!)</f>
        <v>#REF!</v>
      </c>
      <c r="I229" s="1675" t="e">
        <f>'Pnj APBDES'!#REF!</f>
        <v>#REF!</v>
      </c>
      <c r="J229" s="1745" t="e">
        <f>IF('Pnj APBDES'!#REF!="","",'Pnj APBDES'!#REF!)</f>
        <v>#REF!</v>
      </c>
      <c r="K229" s="1675">
        <f>K231+K236</f>
        <v>0</v>
      </c>
      <c r="L229" s="1675">
        <f t="shared" ref="L229:V229" si="119">L231+L236</f>
        <v>0</v>
      </c>
      <c r="M229" s="1675">
        <f t="shared" si="119"/>
        <v>0</v>
      </c>
      <c r="N229" s="1675">
        <f t="shared" si="119"/>
        <v>0</v>
      </c>
      <c r="O229" s="1675">
        <f t="shared" si="119"/>
        <v>0</v>
      </c>
      <c r="P229" s="1675">
        <f t="shared" si="119"/>
        <v>0</v>
      </c>
      <c r="Q229" s="1675">
        <f t="shared" si="119"/>
        <v>10000000</v>
      </c>
      <c r="R229" s="1675">
        <f t="shared" si="119"/>
        <v>0</v>
      </c>
      <c r="S229" s="1675">
        <f t="shared" si="119"/>
        <v>0</v>
      </c>
      <c r="T229" s="1675">
        <f t="shared" si="119"/>
        <v>0</v>
      </c>
      <c r="U229" s="1675">
        <f t="shared" si="119"/>
        <v>0</v>
      </c>
      <c r="V229" s="1675">
        <f t="shared" si="119"/>
        <v>0</v>
      </c>
      <c r="W229" s="1675">
        <f t="shared" si="110"/>
        <v>10000000</v>
      </c>
      <c r="X229" s="1752" t="e">
        <f t="shared" si="108"/>
        <v>#REF!</v>
      </c>
      <c r="Y229" s="1540" t="e">
        <f t="shared" si="96"/>
        <v>#REF!</v>
      </c>
    </row>
    <row r="230" spans="1:25">
      <c r="A230" s="1699" t="e">
        <f>IF('Pnj APBDES'!#REF!="","",'Pnj APBDES'!#REF!)</f>
        <v>#REF!</v>
      </c>
      <c r="B230" s="1687" t="e">
        <f>IF('Pnj APBDES'!#REF!="","",'Pnj APBDES'!#REF!)</f>
        <v>#REF!</v>
      </c>
      <c r="C230" s="1687" t="e">
        <f>IF('Pnj APBDES'!#REF!="","",'Pnj APBDES'!#REF!)</f>
        <v>#REF!</v>
      </c>
      <c r="D230" s="1676" t="e">
        <f>IF('Pnj APBDES'!#REF!="","",'Pnj APBDES'!#REF!)</f>
        <v>#REF!</v>
      </c>
      <c r="E230" s="1676" t="e">
        <f>IF('Pnj APBDES'!#REF!="","",'Pnj APBDES'!#REF!)</f>
        <v>#REF!</v>
      </c>
      <c r="F230" s="1676" t="e">
        <f>IF('Pnj APBDES'!#REF!="","",'Pnj APBDES'!#REF!)</f>
        <v>#REF!</v>
      </c>
      <c r="G230" s="1676" t="e">
        <f>IF('Pnj APBDES'!#REF!="","",'Pnj APBDES'!#REF!)</f>
        <v>#REF!</v>
      </c>
      <c r="H230" s="1705" t="e">
        <f>IF('Pnj APBDES'!#REF!="","",'Pnj APBDES'!#REF!)</f>
        <v>#REF!</v>
      </c>
      <c r="I230" s="1679" t="e">
        <f>'Pnj APBDES'!#REF!</f>
        <v>#REF!</v>
      </c>
      <c r="J230" s="1746" t="e">
        <f>IF('Pnj APBDES'!#REF!="","",'Pnj APBDES'!#REF!)</f>
        <v>#REF!</v>
      </c>
      <c r="K230" s="1679"/>
      <c r="L230" s="1679"/>
      <c r="M230" s="1679"/>
      <c r="N230" s="1679"/>
      <c r="O230" s="1679"/>
      <c r="P230" s="1679"/>
      <c r="Q230" s="1679"/>
      <c r="R230" s="1679"/>
      <c r="S230" s="1679"/>
      <c r="T230" s="1679"/>
      <c r="U230" s="1679"/>
      <c r="V230" s="1679"/>
      <c r="W230" s="1679">
        <f t="shared" si="110"/>
        <v>0</v>
      </c>
      <c r="X230" s="1751" t="e">
        <f t="shared" si="108"/>
        <v>#REF!</v>
      </c>
      <c r="Y230" s="1540" t="e">
        <f t="shared" si="96"/>
        <v>#REF!</v>
      </c>
    </row>
    <row r="231" spans="1:25">
      <c r="A231" s="1699" t="e">
        <f>IF('Pnj APBDES'!#REF!="","",'Pnj APBDES'!#REF!)</f>
        <v>#REF!</v>
      </c>
      <c r="B231" s="1687" t="e">
        <f>IF('Pnj APBDES'!#REF!="","",'Pnj APBDES'!#REF!)</f>
        <v>#REF!</v>
      </c>
      <c r="C231" s="1687" t="e">
        <f>IF('Pnj APBDES'!#REF!="","",'Pnj APBDES'!#REF!)</f>
        <v>#REF!</v>
      </c>
      <c r="D231" s="1676" t="e">
        <f>IF('Pnj APBDES'!#REF!="","",'Pnj APBDES'!#REF!)</f>
        <v>#REF!</v>
      </c>
      <c r="E231" s="1676" t="e">
        <f>IF('Pnj APBDES'!#REF!="","",'Pnj APBDES'!#REF!)</f>
        <v>#REF!</v>
      </c>
      <c r="F231" s="1676" t="e">
        <f>IF('Pnj APBDES'!#REF!="","",'Pnj APBDES'!#REF!)</f>
        <v>#REF!</v>
      </c>
      <c r="G231" s="1676" t="e">
        <f>IF('Pnj APBDES'!#REF!="","",'Pnj APBDES'!#REF!)</f>
        <v>#REF!</v>
      </c>
      <c r="H231" s="1705" t="e">
        <f>IF('Pnj APBDES'!#REF!="","",'Pnj APBDES'!#REF!)</f>
        <v>#REF!</v>
      </c>
      <c r="I231" s="1679" t="e">
        <f>'Pnj APBDES'!#REF!</f>
        <v>#REF!</v>
      </c>
      <c r="J231" s="1746" t="e">
        <f>IF('Pnj APBDES'!#REF!="","",'Pnj APBDES'!#REF!)</f>
        <v>#REF!</v>
      </c>
      <c r="K231" s="1679">
        <f>SUM(K232:K235)</f>
        <v>0</v>
      </c>
      <c r="L231" s="1679">
        <f t="shared" ref="L231:V231" si="120">SUM(L232:L235)</f>
        <v>0</v>
      </c>
      <c r="M231" s="1679">
        <f t="shared" si="120"/>
        <v>0</v>
      </c>
      <c r="N231" s="1679">
        <f t="shared" si="120"/>
        <v>0</v>
      </c>
      <c r="O231" s="1679">
        <f t="shared" si="120"/>
        <v>0</v>
      </c>
      <c r="P231" s="1679">
        <f t="shared" si="120"/>
        <v>0</v>
      </c>
      <c r="Q231" s="1679">
        <f t="shared" si="120"/>
        <v>4720000</v>
      </c>
      <c r="R231" s="1679">
        <f t="shared" si="120"/>
        <v>0</v>
      </c>
      <c r="S231" s="1679">
        <f t="shared" si="120"/>
        <v>0</v>
      </c>
      <c r="T231" s="1679">
        <f t="shared" si="120"/>
        <v>0</v>
      </c>
      <c r="U231" s="1679">
        <f t="shared" si="120"/>
        <v>0</v>
      </c>
      <c r="V231" s="1679">
        <f t="shared" si="120"/>
        <v>0</v>
      </c>
      <c r="W231" s="1679">
        <f t="shared" si="110"/>
        <v>4720000</v>
      </c>
      <c r="X231" s="1751" t="e">
        <f t="shared" si="108"/>
        <v>#REF!</v>
      </c>
      <c r="Y231" s="1540" t="e">
        <f t="shared" si="96"/>
        <v>#REF!</v>
      </c>
    </row>
    <row r="232" spans="1:25">
      <c r="A232" s="1699" t="e">
        <f>IF('Pnj APBDES'!#REF!="","",'Pnj APBDES'!#REF!)</f>
        <v>#REF!</v>
      </c>
      <c r="B232" s="1687" t="e">
        <f>IF('Pnj APBDES'!#REF!="","",'Pnj APBDES'!#REF!)</f>
        <v>#REF!</v>
      </c>
      <c r="C232" s="1687" t="e">
        <f>IF('Pnj APBDES'!#REF!="","",'Pnj APBDES'!#REF!)</f>
        <v>#REF!</v>
      </c>
      <c r="D232" s="1676" t="e">
        <f>IF('Pnj APBDES'!#REF!="","",'Pnj APBDES'!#REF!)</f>
        <v>#REF!</v>
      </c>
      <c r="E232" s="1676" t="e">
        <f>IF('Pnj APBDES'!#REF!="","",'Pnj APBDES'!#REF!)</f>
        <v>#REF!</v>
      </c>
      <c r="F232" s="1676" t="e">
        <f>IF('Pnj APBDES'!#REF!="","",'Pnj APBDES'!#REF!)</f>
        <v>#REF!</v>
      </c>
      <c r="G232" s="1676" t="e">
        <f>IF('Pnj APBDES'!#REF!="","",'Pnj APBDES'!#REF!)</f>
        <v>#REF!</v>
      </c>
      <c r="H232" s="1705" t="e">
        <f>IF('Pnj APBDES'!#REF!="","",'Pnj APBDES'!#REF!)</f>
        <v>#REF!</v>
      </c>
      <c r="I232" s="1679" t="e">
        <f>'Pnj APBDES'!#REF!</f>
        <v>#REF!</v>
      </c>
      <c r="J232" s="1746" t="e">
        <f>IF('Pnj APBDES'!#REF!="","",'Pnj APBDES'!#REF!)</f>
        <v>#REF!</v>
      </c>
      <c r="K232" s="1679">
        <v>0</v>
      </c>
      <c r="L232" s="1679">
        <v>0</v>
      </c>
      <c r="M232" s="1679">
        <v>0</v>
      </c>
      <c r="N232" s="1679">
        <v>0</v>
      </c>
      <c r="O232" s="1679">
        <v>0</v>
      </c>
      <c r="P232" s="1679">
        <v>0</v>
      </c>
      <c r="Q232" s="1679">
        <v>520000</v>
      </c>
      <c r="R232" s="1679">
        <v>0</v>
      </c>
      <c r="S232" s="1679">
        <v>0</v>
      </c>
      <c r="T232" s="1679">
        <v>0</v>
      </c>
      <c r="U232" s="1679">
        <v>0</v>
      </c>
      <c r="V232" s="1679">
        <v>0</v>
      </c>
      <c r="W232" s="1679">
        <f t="shared" si="110"/>
        <v>520000</v>
      </c>
      <c r="X232" s="1751" t="e">
        <f t="shared" si="108"/>
        <v>#REF!</v>
      </c>
      <c r="Y232" s="1540" t="e">
        <f t="shared" si="96"/>
        <v>#REF!</v>
      </c>
    </row>
    <row r="233" spans="1:25">
      <c r="A233" s="1699" t="e">
        <f>IF('Pnj APBDES'!#REF!="","",'Pnj APBDES'!#REF!)</f>
        <v>#REF!</v>
      </c>
      <c r="B233" s="1687" t="e">
        <f>IF('Pnj APBDES'!#REF!="","",'Pnj APBDES'!#REF!)</f>
        <v>#REF!</v>
      </c>
      <c r="C233" s="1687" t="e">
        <f>IF('Pnj APBDES'!#REF!="","",'Pnj APBDES'!#REF!)</f>
        <v>#REF!</v>
      </c>
      <c r="D233" s="1676" t="e">
        <f>IF('Pnj APBDES'!#REF!="","",'Pnj APBDES'!#REF!)</f>
        <v>#REF!</v>
      </c>
      <c r="E233" s="1676" t="e">
        <f>IF('Pnj APBDES'!#REF!="","",'Pnj APBDES'!#REF!)</f>
        <v>#REF!</v>
      </c>
      <c r="F233" s="1676" t="e">
        <f>IF('Pnj APBDES'!#REF!="","",'Pnj APBDES'!#REF!)</f>
        <v>#REF!</v>
      </c>
      <c r="G233" s="1676" t="e">
        <f>IF('Pnj APBDES'!#REF!="","",'Pnj APBDES'!#REF!)</f>
        <v>#REF!</v>
      </c>
      <c r="H233" s="1705" t="e">
        <f>IF('Pnj APBDES'!#REF!="","",'Pnj APBDES'!#REF!)</f>
        <v>#REF!</v>
      </c>
      <c r="I233" s="1679" t="e">
        <f>'Pnj APBDES'!#REF!</f>
        <v>#REF!</v>
      </c>
      <c r="J233" s="1746" t="e">
        <f>IF('Pnj APBDES'!#REF!="","",'Pnj APBDES'!#REF!)</f>
        <v>#REF!</v>
      </c>
      <c r="K233" s="1679">
        <v>0</v>
      </c>
      <c r="L233" s="1679">
        <v>0</v>
      </c>
      <c r="M233" s="1679">
        <v>0</v>
      </c>
      <c r="N233" s="1679">
        <v>0</v>
      </c>
      <c r="O233" s="1679">
        <v>0</v>
      </c>
      <c r="P233" s="1679">
        <v>0</v>
      </c>
      <c r="Q233" s="1679">
        <v>510000</v>
      </c>
      <c r="R233" s="1679">
        <v>0</v>
      </c>
      <c r="S233" s="1679">
        <v>0</v>
      </c>
      <c r="T233" s="1679">
        <v>0</v>
      </c>
      <c r="U233" s="1679">
        <v>0</v>
      </c>
      <c r="V233" s="1679">
        <v>0</v>
      </c>
      <c r="W233" s="1679">
        <f t="shared" si="110"/>
        <v>510000</v>
      </c>
      <c r="X233" s="1751" t="e">
        <f t="shared" si="108"/>
        <v>#REF!</v>
      </c>
      <c r="Y233" s="1540" t="e">
        <f t="shared" si="96"/>
        <v>#REF!</v>
      </c>
    </row>
    <row r="234" spans="1:25">
      <c r="A234" s="1699" t="e">
        <f>IF('Pnj APBDES'!#REF!="","",'Pnj APBDES'!#REF!)</f>
        <v>#REF!</v>
      </c>
      <c r="B234" s="1687" t="e">
        <f>IF('Pnj APBDES'!#REF!="","",'Pnj APBDES'!#REF!)</f>
        <v>#REF!</v>
      </c>
      <c r="C234" s="1687" t="e">
        <f>IF('Pnj APBDES'!#REF!="","",'Pnj APBDES'!#REF!)</f>
        <v>#REF!</v>
      </c>
      <c r="D234" s="1676" t="e">
        <f>IF('Pnj APBDES'!#REF!="","",'Pnj APBDES'!#REF!)</f>
        <v>#REF!</v>
      </c>
      <c r="E234" s="1676" t="e">
        <f>IF('Pnj APBDES'!#REF!="","",'Pnj APBDES'!#REF!)</f>
        <v>#REF!</v>
      </c>
      <c r="F234" s="1676" t="e">
        <f>IF('Pnj APBDES'!#REF!="","",'Pnj APBDES'!#REF!)</f>
        <v>#REF!</v>
      </c>
      <c r="G234" s="1676" t="e">
        <f>IF('Pnj APBDES'!#REF!="","",'Pnj APBDES'!#REF!)</f>
        <v>#REF!</v>
      </c>
      <c r="H234" s="1705" t="e">
        <f>IF('Pnj APBDES'!#REF!="","",'Pnj APBDES'!#REF!)</f>
        <v>#REF!</v>
      </c>
      <c r="I234" s="1679" t="e">
        <f>'Pnj APBDES'!#REF!</f>
        <v>#REF!</v>
      </c>
      <c r="J234" s="1746" t="e">
        <f>IF('Pnj APBDES'!#REF!="","",'Pnj APBDES'!#REF!)</f>
        <v>#REF!</v>
      </c>
      <c r="K234" s="1679">
        <v>0</v>
      </c>
      <c r="L234" s="1679">
        <v>0</v>
      </c>
      <c r="M234" s="1679">
        <v>0</v>
      </c>
      <c r="N234" s="1679">
        <v>0</v>
      </c>
      <c r="O234" s="1679">
        <v>0</v>
      </c>
      <c r="P234" s="1679">
        <v>0</v>
      </c>
      <c r="Q234" s="1679">
        <v>890000</v>
      </c>
      <c r="R234" s="1679">
        <v>0</v>
      </c>
      <c r="S234" s="1679">
        <v>0</v>
      </c>
      <c r="T234" s="1679">
        <v>0</v>
      </c>
      <c r="U234" s="1679">
        <v>0</v>
      </c>
      <c r="V234" s="1679">
        <v>0</v>
      </c>
      <c r="W234" s="1679">
        <f t="shared" si="110"/>
        <v>890000</v>
      </c>
      <c r="X234" s="1751" t="e">
        <f t="shared" si="108"/>
        <v>#REF!</v>
      </c>
      <c r="Y234" s="1540" t="e">
        <f t="shared" si="96"/>
        <v>#REF!</v>
      </c>
    </row>
    <row r="235" spans="1:25">
      <c r="A235" s="1699" t="e">
        <f>IF('Pnj APBDES'!#REF!="","",'Pnj APBDES'!#REF!)</f>
        <v>#REF!</v>
      </c>
      <c r="B235" s="1687" t="e">
        <f>IF('Pnj APBDES'!#REF!="","",'Pnj APBDES'!#REF!)</f>
        <v>#REF!</v>
      </c>
      <c r="C235" s="1687" t="e">
        <f>IF('Pnj APBDES'!#REF!="","",'Pnj APBDES'!#REF!)</f>
        <v>#REF!</v>
      </c>
      <c r="D235" s="1676" t="e">
        <f>IF('Pnj APBDES'!#REF!="","",'Pnj APBDES'!#REF!)</f>
        <v>#REF!</v>
      </c>
      <c r="E235" s="1676" t="e">
        <f>IF('Pnj APBDES'!#REF!="","",'Pnj APBDES'!#REF!)</f>
        <v>#REF!</v>
      </c>
      <c r="F235" s="1676" t="e">
        <f>IF('Pnj APBDES'!#REF!="","",'Pnj APBDES'!#REF!)</f>
        <v>#REF!</v>
      </c>
      <c r="G235" s="1676" t="e">
        <f>IF('Pnj APBDES'!#REF!="","",'Pnj APBDES'!#REF!)</f>
        <v>#REF!</v>
      </c>
      <c r="H235" s="1705" t="e">
        <f>IF('Pnj APBDES'!#REF!="","",'Pnj APBDES'!#REF!)</f>
        <v>#REF!</v>
      </c>
      <c r="I235" s="1679" t="e">
        <f>'Pnj APBDES'!#REF!</f>
        <v>#REF!</v>
      </c>
      <c r="J235" s="1746" t="e">
        <f>IF('Pnj APBDES'!#REF!="","",'Pnj APBDES'!#REF!)</f>
        <v>#REF!</v>
      </c>
      <c r="K235" s="1679">
        <v>0</v>
      </c>
      <c r="L235" s="1679">
        <v>0</v>
      </c>
      <c r="M235" s="1679">
        <v>0</v>
      </c>
      <c r="N235" s="1679">
        <v>0</v>
      </c>
      <c r="O235" s="1679">
        <v>0</v>
      </c>
      <c r="P235" s="1679">
        <v>0</v>
      </c>
      <c r="Q235" s="1679">
        <v>2800000</v>
      </c>
      <c r="R235" s="1679">
        <v>0</v>
      </c>
      <c r="S235" s="1679">
        <v>0</v>
      </c>
      <c r="T235" s="1679">
        <v>0</v>
      </c>
      <c r="U235" s="1679">
        <v>0</v>
      </c>
      <c r="V235" s="1679">
        <v>0</v>
      </c>
      <c r="W235" s="1679">
        <f t="shared" si="110"/>
        <v>2800000</v>
      </c>
      <c r="X235" s="1751" t="e">
        <f t="shared" si="108"/>
        <v>#REF!</v>
      </c>
      <c r="Y235" s="1540" t="e">
        <f t="shared" si="96"/>
        <v>#REF!</v>
      </c>
    </row>
    <row r="236" spans="1:25">
      <c r="A236" s="1699" t="e">
        <f>IF('Pnj APBDES'!#REF!="","",'Pnj APBDES'!#REF!)</f>
        <v>#REF!</v>
      </c>
      <c r="B236" s="1687" t="e">
        <f>IF('Pnj APBDES'!#REF!="","",'Pnj APBDES'!#REF!)</f>
        <v>#REF!</v>
      </c>
      <c r="C236" s="1687" t="e">
        <f>IF('Pnj APBDES'!#REF!="","",'Pnj APBDES'!#REF!)</f>
        <v>#REF!</v>
      </c>
      <c r="D236" s="1676" t="e">
        <f>IF('Pnj APBDES'!#REF!="","",'Pnj APBDES'!#REF!)</f>
        <v>#REF!</v>
      </c>
      <c r="E236" s="1676" t="e">
        <f>IF('Pnj APBDES'!#REF!="","",'Pnj APBDES'!#REF!)</f>
        <v>#REF!</v>
      </c>
      <c r="F236" s="1676" t="e">
        <f>IF('Pnj APBDES'!#REF!="","",'Pnj APBDES'!#REF!)</f>
        <v>#REF!</v>
      </c>
      <c r="G236" s="1676" t="e">
        <f>IF('Pnj APBDES'!#REF!="","",'Pnj APBDES'!#REF!)</f>
        <v>#REF!</v>
      </c>
      <c r="H236" s="1705" t="e">
        <f>IF('Pnj APBDES'!#REF!="","",'Pnj APBDES'!#REF!)</f>
        <v>#REF!</v>
      </c>
      <c r="I236" s="1679" t="e">
        <f>'Pnj APBDES'!#REF!</f>
        <v>#REF!</v>
      </c>
      <c r="J236" s="1746" t="e">
        <f>IF('Pnj APBDES'!#REF!="","",'Pnj APBDES'!#REF!)</f>
        <v>#REF!</v>
      </c>
      <c r="K236" s="1679">
        <f>SUM(K237:K239)</f>
        <v>0</v>
      </c>
      <c r="L236" s="1679">
        <f t="shared" ref="L236:V236" si="121">SUM(L237:L239)</f>
        <v>0</v>
      </c>
      <c r="M236" s="1679">
        <f t="shared" si="121"/>
        <v>0</v>
      </c>
      <c r="N236" s="1679">
        <f t="shared" si="121"/>
        <v>0</v>
      </c>
      <c r="O236" s="1679">
        <f t="shared" si="121"/>
        <v>0</v>
      </c>
      <c r="P236" s="1679">
        <f t="shared" si="121"/>
        <v>0</v>
      </c>
      <c r="Q236" s="1679">
        <f t="shared" si="121"/>
        <v>5280000</v>
      </c>
      <c r="R236" s="1679">
        <f t="shared" si="121"/>
        <v>0</v>
      </c>
      <c r="S236" s="1679">
        <f t="shared" si="121"/>
        <v>0</v>
      </c>
      <c r="T236" s="1679">
        <f t="shared" si="121"/>
        <v>0</v>
      </c>
      <c r="U236" s="1679">
        <f t="shared" si="121"/>
        <v>0</v>
      </c>
      <c r="V236" s="1679">
        <f t="shared" si="121"/>
        <v>0</v>
      </c>
      <c r="W236" s="1679">
        <f t="shared" si="110"/>
        <v>5280000</v>
      </c>
      <c r="X236" s="1751" t="e">
        <f t="shared" si="108"/>
        <v>#REF!</v>
      </c>
      <c r="Y236" s="1540" t="e">
        <f t="shared" si="96"/>
        <v>#REF!</v>
      </c>
    </row>
    <row r="237" spans="1:25">
      <c r="A237" s="1699" t="e">
        <f>IF('Pnj APBDES'!#REF!="","",'Pnj APBDES'!#REF!)</f>
        <v>#REF!</v>
      </c>
      <c r="B237" s="1687" t="e">
        <f>IF('Pnj APBDES'!#REF!="","",'Pnj APBDES'!#REF!)</f>
        <v>#REF!</v>
      </c>
      <c r="C237" s="1687" t="e">
        <f>IF('Pnj APBDES'!#REF!="","",'Pnj APBDES'!#REF!)</f>
        <v>#REF!</v>
      </c>
      <c r="D237" s="1676" t="e">
        <f>IF('Pnj APBDES'!#REF!="","",'Pnj APBDES'!#REF!)</f>
        <v>#REF!</v>
      </c>
      <c r="E237" s="1676" t="e">
        <f>IF('Pnj APBDES'!#REF!="","",'Pnj APBDES'!#REF!)</f>
        <v>#REF!</v>
      </c>
      <c r="F237" s="1676" t="e">
        <f>IF('Pnj APBDES'!#REF!="","",'Pnj APBDES'!#REF!)</f>
        <v>#REF!</v>
      </c>
      <c r="G237" s="1698" t="e">
        <f>IF('Pnj APBDES'!#REF!="","",'Pnj APBDES'!#REF!)</f>
        <v>#REF!</v>
      </c>
      <c r="H237" s="1705" t="e">
        <f>IF('Pnj APBDES'!#REF!="","",'Pnj APBDES'!#REF!)</f>
        <v>#REF!</v>
      </c>
      <c r="I237" s="1679" t="e">
        <f>'Pnj APBDES'!#REF!</f>
        <v>#REF!</v>
      </c>
      <c r="J237" s="1746" t="e">
        <f>IF('Pnj APBDES'!#REF!="","",'Pnj APBDES'!#REF!)</f>
        <v>#REF!</v>
      </c>
      <c r="K237" s="1679">
        <v>0</v>
      </c>
      <c r="L237" s="1679">
        <v>0</v>
      </c>
      <c r="M237" s="1679">
        <v>0</v>
      </c>
      <c r="N237" s="1679">
        <v>0</v>
      </c>
      <c r="O237" s="1679">
        <v>0</v>
      </c>
      <c r="P237" s="1679">
        <v>0</v>
      </c>
      <c r="Q237" s="1679">
        <v>675000</v>
      </c>
      <c r="R237" s="1679">
        <v>0</v>
      </c>
      <c r="S237" s="1679">
        <v>0</v>
      </c>
      <c r="T237" s="1679">
        <v>0</v>
      </c>
      <c r="U237" s="1679">
        <v>0</v>
      </c>
      <c r="V237" s="1679">
        <v>0</v>
      </c>
      <c r="W237" s="1679">
        <f t="shared" si="110"/>
        <v>675000</v>
      </c>
      <c r="X237" s="1751" t="e">
        <f t="shared" si="108"/>
        <v>#REF!</v>
      </c>
      <c r="Y237" s="1540" t="e">
        <f t="shared" si="96"/>
        <v>#REF!</v>
      </c>
    </row>
    <row r="238" spans="1:25">
      <c r="A238" s="1715" t="e">
        <f>IF('Pnj APBDES'!#REF!="","",'Pnj APBDES'!#REF!)</f>
        <v>#REF!</v>
      </c>
      <c r="B238" s="1716" t="e">
        <f>IF('Pnj APBDES'!#REF!="","",'Pnj APBDES'!#REF!)</f>
        <v>#REF!</v>
      </c>
      <c r="C238" s="1716" t="e">
        <f>IF('Pnj APBDES'!#REF!="","",'Pnj APBDES'!#REF!)</f>
        <v>#REF!</v>
      </c>
      <c r="D238" s="1698" t="e">
        <f>IF('Pnj APBDES'!#REF!="","",'Pnj APBDES'!#REF!)</f>
        <v>#REF!</v>
      </c>
      <c r="E238" s="1698" t="e">
        <f>IF('Pnj APBDES'!#REF!="","",'Pnj APBDES'!#REF!)</f>
        <v>#REF!</v>
      </c>
      <c r="F238" s="1698" t="e">
        <f>IF('Pnj APBDES'!#REF!="","",'Pnj APBDES'!#REF!)</f>
        <v>#REF!</v>
      </c>
      <c r="G238" s="1698" t="e">
        <f>IF('Pnj APBDES'!#REF!="","",'Pnj APBDES'!#REF!)</f>
        <v>#REF!</v>
      </c>
      <c r="H238" s="1717" t="e">
        <f>IF('Pnj APBDES'!#REF!="","",'Pnj APBDES'!#REF!)</f>
        <v>#REF!</v>
      </c>
      <c r="I238" s="1679" t="e">
        <f>'Pnj APBDES'!#REF!</f>
        <v>#REF!</v>
      </c>
      <c r="J238" s="1746" t="e">
        <f>IF('Pnj APBDES'!#REF!="","",'Pnj APBDES'!#REF!)</f>
        <v>#REF!</v>
      </c>
      <c r="K238" s="1679">
        <v>0</v>
      </c>
      <c r="L238" s="1679">
        <v>0</v>
      </c>
      <c r="M238" s="1679">
        <v>0</v>
      </c>
      <c r="N238" s="1679">
        <v>0</v>
      </c>
      <c r="O238" s="1679">
        <v>0</v>
      </c>
      <c r="P238" s="1679">
        <v>0</v>
      </c>
      <c r="Q238" s="1679">
        <v>2205000</v>
      </c>
      <c r="R238" s="1679">
        <v>0</v>
      </c>
      <c r="S238" s="1679">
        <v>0</v>
      </c>
      <c r="T238" s="1679">
        <v>0</v>
      </c>
      <c r="U238" s="1679">
        <v>0</v>
      </c>
      <c r="V238" s="1679">
        <v>0</v>
      </c>
      <c r="W238" s="1679">
        <f t="shared" si="110"/>
        <v>2205000</v>
      </c>
      <c r="X238" s="1751" t="e">
        <f t="shared" si="108"/>
        <v>#REF!</v>
      </c>
      <c r="Y238" s="1540" t="e">
        <f t="shared" si="96"/>
        <v>#REF!</v>
      </c>
    </row>
    <row r="239" spans="1:25">
      <c r="A239" s="1699" t="e">
        <f>IF('Pnj APBDES'!#REF!="","",'Pnj APBDES'!#REF!)</f>
        <v>#REF!</v>
      </c>
      <c r="B239" s="1687" t="e">
        <f>IF('Pnj APBDES'!#REF!="","",'Pnj APBDES'!#REF!)</f>
        <v>#REF!</v>
      </c>
      <c r="C239" s="1687" t="e">
        <f>IF('Pnj APBDES'!#REF!="","",'Pnj APBDES'!#REF!)</f>
        <v>#REF!</v>
      </c>
      <c r="D239" s="1676" t="e">
        <f>IF('Pnj APBDES'!#REF!="","",'Pnj APBDES'!#REF!)</f>
        <v>#REF!</v>
      </c>
      <c r="E239" s="1676" t="e">
        <f>IF('Pnj APBDES'!#REF!="","",'Pnj APBDES'!#REF!)</f>
        <v>#REF!</v>
      </c>
      <c r="F239" s="1676" t="e">
        <f>IF('Pnj APBDES'!#REF!="","",'Pnj APBDES'!#REF!)</f>
        <v>#REF!</v>
      </c>
      <c r="G239" s="1698" t="e">
        <f>IF('Pnj APBDES'!#REF!="","",'Pnj APBDES'!#REF!)</f>
        <v>#REF!</v>
      </c>
      <c r="H239" s="1705" t="e">
        <f>IF('Pnj APBDES'!#REF!="","",'Pnj APBDES'!#REF!)</f>
        <v>#REF!</v>
      </c>
      <c r="I239" s="1679" t="e">
        <f>'Pnj APBDES'!#REF!</f>
        <v>#REF!</v>
      </c>
      <c r="J239" s="1746" t="e">
        <f>IF('Pnj APBDES'!#REF!="","",'Pnj APBDES'!#REF!)</f>
        <v>#REF!</v>
      </c>
      <c r="K239" s="1679">
        <v>0</v>
      </c>
      <c r="L239" s="1679">
        <v>0</v>
      </c>
      <c r="M239" s="1679">
        <v>0</v>
      </c>
      <c r="N239" s="1679">
        <v>0</v>
      </c>
      <c r="O239" s="1679">
        <v>0</v>
      </c>
      <c r="P239" s="1679">
        <v>0</v>
      </c>
      <c r="Q239" s="1679">
        <v>2400000</v>
      </c>
      <c r="R239" s="1679">
        <v>0</v>
      </c>
      <c r="S239" s="1679">
        <v>0</v>
      </c>
      <c r="T239" s="1679">
        <v>0</v>
      </c>
      <c r="U239" s="1679">
        <v>0</v>
      </c>
      <c r="V239" s="1679">
        <v>0</v>
      </c>
      <c r="W239" s="1679">
        <f t="shared" si="110"/>
        <v>2400000</v>
      </c>
      <c r="X239" s="1751" t="e">
        <f t="shared" si="108"/>
        <v>#REF!</v>
      </c>
      <c r="Y239" s="1540" t="e">
        <f t="shared" si="96"/>
        <v>#REF!</v>
      </c>
    </row>
    <row r="240" spans="1:25" s="1540" customFormat="1">
      <c r="A240" s="1700" t="e">
        <f>IF('Pnj APBDES'!#REF!="","",'Pnj APBDES'!#REF!)</f>
        <v>#REF!</v>
      </c>
      <c r="B240" s="1691" t="e">
        <f>IF('Pnj APBDES'!#REF!="","",'Pnj APBDES'!#REF!)</f>
        <v>#REF!</v>
      </c>
      <c r="C240" s="1691" t="e">
        <f>IF('Pnj APBDES'!#REF!="","",'Pnj APBDES'!#REF!)</f>
        <v>#REF!</v>
      </c>
      <c r="D240" s="1672" t="e">
        <f>IF('Pnj APBDES'!#REF!="","",'Pnj APBDES'!#REF!)</f>
        <v>#REF!</v>
      </c>
      <c r="E240" s="1672" t="e">
        <f>IF('Pnj APBDES'!#REF!="","",'Pnj APBDES'!#REF!)</f>
        <v>#REF!</v>
      </c>
      <c r="F240" s="1672" t="e">
        <f>IF('Pnj APBDES'!#REF!="","",'Pnj APBDES'!#REF!)</f>
        <v>#REF!</v>
      </c>
      <c r="G240" s="1672" t="e">
        <f>IF('Pnj APBDES'!#REF!="","",'Pnj APBDES'!#REF!)</f>
        <v>#REF!</v>
      </c>
      <c r="H240" s="1706" t="e">
        <f>IF('Pnj APBDES'!#REF!="","",'Pnj APBDES'!#REF!)</f>
        <v>#REF!</v>
      </c>
      <c r="I240" s="1675" t="e">
        <f>'Pnj APBDES'!#REF!</f>
        <v>#REF!</v>
      </c>
      <c r="J240" s="1745" t="e">
        <f>IF('Pnj APBDES'!#REF!="","",'Pnj APBDES'!#REF!)</f>
        <v>#REF!</v>
      </c>
      <c r="K240" s="1675">
        <f>K242+K247</f>
        <v>0</v>
      </c>
      <c r="L240" s="1675">
        <f t="shared" ref="L240:V240" si="122">L242+L247</f>
        <v>0</v>
      </c>
      <c r="M240" s="1675">
        <f t="shared" si="122"/>
        <v>0</v>
      </c>
      <c r="N240" s="1675">
        <f t="shared" si="122"/>
        <v>0</v>
      </c>
      <c r="O240" s="1675">
        <f t="shared" si="122"/>
        <v>0</v>
      </c>
      <c r="P240" s="1675">
        <f t="shared" si="122"/>
        <v>0</v>
      </c>
      <c r="Q240" s="1675">
        <f t="shared" si="122"/>
        <v>0</v>
      </c>
      <c r="R240" s="1675">
        <f t="shared" si="122"/>
        <v>0</v>
      </c>
      <c r="S240" s="1675">
        <f t="shared" si="122"/>
        <v>7204564</v>
      </c>
      <c r="T240" s="1675">
        <f t="shared" si="122"/>
        <v>0</v>
      </c>
      <c r="U240" s="1675">
        <f t="shared" si="122"/>
        <v>0</v>
      </c>
      <c r="V240" s="1675">
        <f t="shared" si="122"/>
        <v>0</v>
      </c>
      <c r="W240" s="1675">
        <f t="shared" si="110"/>
        <v>7204564</v>
      </c>
      <c r="X240" s="1752" t="e">
        <f t="shared" si="108"/>
        <v>#REF!</v>
      </c>
      <c r="Y240" s="1540" t="e">
        <f t="shared" si="96"/>
        <v>#REF!</v>
      </c>
    </row>
    <row r="241" spans="1:25">
      <c r="A241" s="1699" t="e">
        <f>IF('Pnj APBDES'!#REF!="","",'Pnj APBDES'!#REF!)</f>
        <v>#REF!</v>
      </c>
      <c r="B241" s="1687" t="e">
        <f>IF('Pnj APBDES'!#REF!="","",'Pnj APBDES'!#REF!)</f>
        <v>#REF!</v>
      </c>
      <c r="C241" s="1687" t="e">
        <f>IF('Pnj APBDES'!#REF!="","",'Pnj APBDES'!#REF!)</f>
        <v>#REF!</v>
      </c>
      <c r="D241" s="1676" t="e">
        <f>IF('Pnj APBDES'!#REF!="","",'Pnj APBDES'!#REF!)</f>
        <v>#REF!</v>
      </c>
      <c r="E241" s="1676" t="e">
        <f>IF('Pnj APBDES'!#REF!="","",'Pnj APBDES'!#REF!)</f>
        <v>#REF!</v>
      </c>
      <c r="F241" s="1676" t="e">
        <f>IF('Pnj APBDES'!#REF!="","",'Pnj APBDES'!#REF!)</f>
        <v>#REF!</v>
      </c>
      <c r="G241" s="1676" t="e">
        <f>IF('Pnj APBDES'!#REF!="","",'Pnj APBDES'!#REF!)</f>
        <v>#REF!</v>
      </c>
      <c r="H241" s="1705" t="e">
        <f>IF('Pnj APBDES'!#REF!="","",'Pnj APBDES'!#REF!)</f>
        <v>#REF!</v>
      </c>
      <c r="I241" s="1679" t="e">
        <f>'Pnj APBDES'!#REF!</f>
        <v>#REF!</v>
      </c>
      <c r="J241" s="1746" t="e">
        <f>IF('Pnj APBDES'!#REF!="","",'Pnj APBDES'!#REF!)</f>
        <v>#REF!</v>
      </c>
      <c r="K241" s="1679"/>
      <c r="L241" s="1679"/>
      <c r="M241" s="1679"/>
      <c r="N241" s="1679"/>
      <c r="O241" s="1679"/>
      <c r="P241" s="1679"/>
      <c r="Q241" s="1679"/>
      <c r="R241" s="1679"/>
      <c r="S241" s="1679"/>
      <c r="T241" s="1679"/>
      <c r="U241" s="1679"/>
      <c r="V241" s="1679"/>
      <c r="W241" s="1679">
        <f t="shared" si="110"/>
        <v>0</v>
      </c>
      <c r="X241" s="1751" t="e">
        <f t="shared" si="108"/>
        <v>#REF!</v>
      </c>
      <c r="Y241" s="1540" t="e">
        <f t="shared" si="96"/>
        <v>#REF!</v>
      </c>
    </row>
    <row r="242" spans="1:25">
      <c r="A242" s="1699" t="e">
        <f>IF('Pnj APBDES'!#REF!="","",'Pnj APBDES'!#REF!)</f>
        <v>#REF!</v>
      </c>
      <c r="B242" s="1687" t="e">
        <f>IF('Pnj APBDES'!#REF!="","",'Pnj APBDES'!#REF!)</f>
        <v>#REF!</v>
      </c>
      <c r="C242" s="1687" t="e">
        <f>IF('Pnj APBDES'!#REF!="","",'Pnj APBDES'!#REF!)</f>
        <v>#REF!</v>
      </c>
      <c r="D242" s="1676" t="e">
        <f>IF('Pnj APBDES'!#REF!="","",'Pnj APBDES'!#REF!)</f>
        <v>#REF!</v>
      </c>
      <c r="E242" s="1676" t="e">
        <f>IF('Pnj APBDES'!#REF!="","",'Pnj APBDES'!#REF!)</f>
        <v>#REF!</v>
      </c>
      <c r="F242" s="1676" t="e">
        <f>IF('Pnj APBDES'!#REF!="","",'Pnj APBDES'!#REF!)</f>
        <v>#REF!</v>
      </c>
      <c r="G242" s="1676" t="e">
        <f>IF('Pnj APBDES'!#REF!="","",'Pnj APBDES'!#REF!)</f>
        <v>#REF!</v>
      </c>
      <c r="H242" s="1705" t="e">
        <f>IF('Pnj APBDES'!#REF!="","",'Pnj APBDES'!#REF!)</f>
        <v>#REF!</v>
      </c>
      <c r="I242" s="1679" t="e">
        <f>'Pnj APBDES'!#REF!</f>
        <v>#REF!</v>
      </c>
      <c r="J242" s="1746" t="e">
        <f>IF('Pnj APBDES'!#REF!="","",'Pnj APBDES'!#REF!)</f>
        <v>#REF!</v>
      </c>
      <c r="K242" s="1679">
        <f>SUM(K243:K246)</f>
        <v>0</v>
      </c>
      <c r="L242" s="1679">
        <f t="shared" ref="L242:V242" si="123">SUM(L243:L246)</f>
        <v>0</v>
      </c>
      <c r="M242" s="1679">
        <f t="shared" si="123"/>
        <v>0</v>
      </c>
      <c r="N242" s="1679">
        <f t="shared" si="123"/>
        <v>0</v>
      </c>
      <c r="O242" s="1679">
        <f t="shared" si="123"/>
        <v>0</v>
      </c>
      <c r="P242" s="1679">
        <f t="shared" si="123"/>
        <v>0</v>
      </c>
      <c r="Q242" s="1679">
        <f t="shared" si="123"/>
        <v>0</v>
      </c>
      <c r="R242" s="1679">
        <f t="shared" si="123"/>
        <v>0</v>
      </c>
      <c r="S242" s="1679">
        <f t="shared" si="123"/>
        <v>4444564</v>
      </c>
      <c r="T242" s="1679">
        <f t="shared" si="123"/>
        <v>0</v>
      </c>
      <c r="U242" s="1679">
        <f t="shared" si="123"/>
        <v>0</v>
      </c>
      <c r="V242" s="1679">
        <f t="shared" si="123"/>
        <v>0</v>
      </c>
      <c r="W242" s="1679">
        <f t="shared" si="110"/>
        <v>4444564</v>
      </c>
      <c r="X242" s="1751" t="e">
        <f t="shared" si="108"/>
        <v>#REF!</v>
      </c>
      <c r="Y242" s="1540" t="e">
        <f t="shared" si="96"/>
        <v>#REF!</v>
      </c>
    </row>
    <row r="243" spans="1:25">
      <c r="A243" s="1699" t="e">
        <f>IF('Pnj APBDES'!#REF!="","",'Pnj APBDES'!#REF!)</f>
        <v>#REF!</v>
      </c>
      <c r="B243" s="1687" t="e">
        <f>IF('Pnj APBDES'!#REF!="","",'Pnj APBDES'!#REF!)</f>
        <v>#REF!</v>
      </c>
      <c r="C243" s="1687" t="e">
        <f>IF('Pnj APBDES'!#REF!="","",'Pnj APBDES'!#REF!)</f>
        <v>#REF!</v>
      </c>
      <c r="D243" s="1676" t="e">
        <f>IF('Pnj APBDES'!#REF!="","",'Pnj APBDES'!#REF!)</f>
        <v>#REF!</v>
      </c>
      <c r="E243" s="1676" t="e">
        <f>IF('Pnj APBDES'!#REF!="","",'Pnj APBDES'!#REF!)</f>
        <v>#REF!</v>
      </c>
      <c r="F243" s="1676" t="e">
        <f>IF('Pnj APBDES'!#REF!="","",'Pnj APBDES'!#REF!)</f>
        <v>#REF!</v>
      </c>
      <c r="G243" s="1676" t="e">
        <f>IF('Pnj APBDES'!#REF!="","",'Pnj APBDES'!#REF!)</f>
        <v>#REF!</v>
      </c>
      <c r="H243" s="1705" t="e">
        <f>IF('Pnj APBDES'!#REF!="","",'Pnj APBDES'!#REF!)</f>
        <v>#REF!</v>
      </c>
      <c r="I243" s="1679" t="e">
        <f>'Pnj APBDES'!#REF!</f>
        <v>#REF!</v>
      </c>
      <c r="J243" s="1746" t="e">
        <f>IF('Pnj APBDES'!#REF!="","",'Pnj APBDES'!#REF!)</f>
        <v>#REF!</v>
      </c>
      <c r="K243" s="1679">
        <v>0</v>
      </c>
      <c r="L243" s="1679">
        <v>0</v>
      </c>
      <c r="M243" s="1679">
        <v>0</v>
      </c>
      <c r="N243" s="1679">
        <v>0</v>
      </c>
      <c r="O243" s="1679">
        <v>0</v>
      </c>
      <c r="P243" s="1679">
        <v>0</v>
      </c>
      <c r="Q243" s="1679">
        <v>0</v>
      </c>
      <c r="R243" s="1679">
        <v>0</v>
      </c>
      <c r="S243" s="1679">
        <v>600000</v>
      </c>
      <c r="T243" s="1679">
        <v>0</v>
      </c>
      <c r="U243" s="1679">
        <v>0</v>
      </c>
      <c r="V243" s="1679">
        <v>0</v>
      </c>
      <c r="W243" s="1679">
        <f t="shared" si="110"/>
        <v>600000</v>
      </c>
      <c r="X243" s="1751" t="e">
        <f t="shared" si="108"/>
        <v>#REF!</v>
      </c>
      <c r="Y243" s="1540" t="e">
        <f t="shared" si="96"/>
        <v>#REF!</v>
      </c>
    </row>
    <row r="244" spans="1:25">
      <c r="A244" s="1699" t="e">
        <f>IF('Pnj APBDES'!#REF!="","",'Pnj APBDES'!#REF!)</f>
        <v>#REF!</v>
      </c>
      <c r="B244" s="1687" t="e">
        <f>IF('Pnj APBDES'!#REF!="","",'Pnj APBDES'!#REF!)</f>
        <v>#REF!</v>
      </c>
      <c r="C244" s="1687" t="e">
        <f>IF('Pnj APBDES'!#REF!="","",'Pnj APBDES'!#REF!)</f>
        <v>#REF!</v>
      </c>
      <c r="D244" s="1676" t="e">
        <f>IF('Pnj APBDES'!#REF!="","",'Pnj APBDES'!#REF!)</f>
        <v>#REF!</v>
      </c>
      <c r="E244" s="1676" t="e">
        <f>IF('Pnj APBDES'!#REF!="","",'Pnj APBDES'!#REF!)</f>
        <v>#REF!</v>
      </c>
      <c r="F244" s="1676" t="e">
        <f>IF('Pnj APBDES'!#REF!="","",'Pnj APBDES'!#REF!)</f>
        <v>#REF!</v>
      </c>
      <c r="G244" s="1676" t="e">
        <f>IF('Pnj APBDES'!#REF!="","",'Pnj APBDES'!#REF!)</f>
        <v>#REF!</v>
      </c>
      <c r="H244" s="1705" t="e">
        <f>IF('Pnj APBDES'!#REF!="","",'Pnj APBDES'!#REF!)</f>
        <v>#REF!</v>
      </c>
      <c r="I244" s="1679" t="e">
        <f>'Pnj APBDES'!#REF!</f>
        <v>#REF!</v>
      </c>
      <c r="J244" s="1746" t="e">
        <f>IF('Pnj APBDES'!#REF!="","",'Pnj APBDES'!#REF!)</f>
        <v>#REF!</v>
      </c>
      <c r="K244" s="1679">
        <v>0</v>
      </c>
      <c r="L244" s="1679">
        <v>0</v>
      </c>
      <c r="M244" s="1679">
        <v>0</v>
      </c>
      <c r="N244" s="1679">
        <v>0</v>
      </c>
      <c r="O244" s="1679">
        <v>0</v>
      </c>
      <c r="P244" s="1679">
        <v>0</v>
      </c>
      <c r="Q244" s="1679">
        <v>0</v>
      </c>
      <c r="R244" s="1679">
        <v>0</v>
      </c>
      <c r="S244" s="1679">
        <v>1019564</v>
      </c>
      <c r="T244" s="1679">
        <v>0</v>
      </c>
      <c r="U244" s="1679">
        <v>0</v>
      </c>
      <c r="V244" s="1679">
        <v>0</v>
      </c>
      <c r="W244" s="1679">
        <f t="shared" si="110"/>
        <v>1019564</v>
      </c>
      <c r="X244" s="1751" t="e">
        <f t="shared" si="108"/>
        <v>#REF!</v>
      </c>
      <c r="Y244" s="1540" t="e">
        <f t="shared" si="96"/>
        <v>#REF!</v>
      </c>
    </row>
    <row r="245" spans="1:25">
      <c r="A245" s="1699" t="e">
        <f>IF('Pnj APBDES'!#REF!="","",'Pnj APBDES'!#REF!)</f>
        <v>#REF!</v>
      </c>
      <c r="B245" s="1687" t="e">
        <f>IF('Pnj APBDES'!#REF!="","",'Pnj APBDES'!#REF!)</f>
        <v>#REF!</v>
      </c>
      <c r="C245" s="1687" t="e">
        <f>IF('Pnj APBDES'!#REF!="","",'Pnj APBDES'!#REF!)</f>
        <v>#REF!</v>
      </c>
      <c r="D245" s="1676" t="e">
        <f>IF('Pnj APBDES'!#REF!="","",'Pnj APBDES'!#REF!)</f>
        <v>#REF!</v>
      </c>
      <c r="E245" s="1676" t="e">
        <f>IF('Pnj APBDES'!#REF!="","",'Pnj APBDES'!#REF!)</f>
        <v>#REF!</v>
      </c>
      <c r="F245" s="1676" t="e">
        <f>IF('Pnj APBDES'!#REF!="","",'Pnj APBDES'!#REF!)</f>
        <v>#REF!</v>
      </c>
      <c r="G245" s="1676" t="e">
        <f>IF('Pnj APBDES'!#REF!="","",'Pnj APBDES'!#REF!)</f>
        <v>#REF!</v>
      </c>
      <c r="H245" s="1705" t="e">
        <f>IF('Pnj APBDES'!#REF!="","",'Pnj APBDES'!#REF!)</f>
        <v>#REF!</v>
      </c>
      <c r="I245" s="1679" t="e">
        <f>'Pnj APBDES'!#REF!</f>
        <v>#REF!</v>
      </c>
      <c r="J245" s="1746" t="e">
        <f>IF('Pnj APBDES'!#REF!="","",'Pnj APBDES'!#REF!)</f>
        <v>#REF!</v>
      </c>
      <c r="K245" s="1679">
        <v>0</v>
      </c>
      <c r="L245" s="1679">
        <v>0</v>
      </c>
      <c r="M245" s="1679">
        <v>0</v>
      </c>
      <c r="N245" s="1679">
        <v>0</v>
      </c>
      <c r="O245" s="1679">
        <v>0</v>
      </c>
      <c r="P245" s="1679">
        <v>0</v>
      </c>
      <c r="Q245" s="1679">
        <v>0</v>
      </c>
      <c r="R245" s="1679">
        <v>0</v>
      </c>
      <c r="S245" s="1679">
        <v>875000</v>
      </c>
      <c r="T245" s="1679">
        <v>0</v>
      </c>
      <c r="U245" s="1679">
        <v>0</v>
      </c>
      <c r="V245" s="1679">
        <v>0</v>
      </c>
      <c r="W245" s="1679">
        <f t="shared" si="110"/>
        <v>875000</v>
      </c>
      <c r="X245" s="1751" t="e">
        <f t="shared" si="108"/>
        <v>#REF!</v>
      </c>
      <c r="Y245" s="1540" t="e">
        <f t="shared" si="96"/>
        <v>#REF!</v>
      </c>
    </row>
    <row r="246" spans="1:25">
      <c r="A246" s="1699" t="e">
        <f>IF('Pnj APBDES'!#REF!="","",'Pnj APBDES'!#REF!)</f>
        <v>#REF!</v>
      </c>
      <c r="B246" s="1687" t="e">
        <f>IF('Pnj APBDES'!#REF!="","",'Pnj APBDES'!#REF!)</f>
        <v>#REF!</v>
      </c>
      <c r="C246" s="1687" t="e">
        <f>IF('Pnj APBDES'!#REF!="","",'Pnj APBDES'!#REF!)</f>
        <v>#REF!</v>
      </c>
      <c r="D246" s="1676" t="e">
        <f>IF('Pnj APBDES'!#REF!="","",'Pnj APBDES'!#REF!)</f>
        <v>#REF!</v>
      </c>
      <c r="E246" s="1676" t="e">
        <f>IF('Pnj APBDES'!#REF!="","",'Pnj APBDES'!#REF!)</f>
        <v>#REF!</v>
      </c>
      <c r="F246" s="1676" t="e">
        <f>IF('Pnj APBDES'!#REF!="","",'Pnj APBDES'!#REF!)</f>
        <v>#REF!</v>
      </c>
      <c r="G246" s="1676" t="e">
        <f>IF('Pnj APBDES'!#REF!="","",'Pnj APBDES'!#REF!)</f>
        <v>#REF!</v>
      </c>
      <c r="H246" s="1705" t="e">
        <f>IF('Pnj APBDES'!#REF!="","",'Pnj APBDES'!#REF!)</f>
        <v>#REF!</v>
      </c>
      <c r="I246" s="1679" t="e">
        <f>'Pnj APBDES'!#REF!</f>
        <v>#REF!</v>
      </c>
      <c r="J246" s="1746" t="e">
        <f>IF('Pnj APBDES'!#REF!="","",'Pnj APBDES'!#REF!)</f>
        <v>#REF!</v>
      </c>
      <c r="K246" s="1679">
        <v>0</v>
      </c>
      <c r="L246" s="1679">
        <v>0</v>
      </c>
      <c r="M246" s="1679">
        <v>0</v>
      </c>
      <c r="N246" s="1679">
        <v>0</v>
      </c>
      <c r="O246" s="1679">
        <v>0</v>
      </c>
      <c r="P246" s="1679">
        <v>0</v>
      </c>
      <c r="Q246" s="1679">
        <v>0</v>
      </c>
      <c r="R246" s="1679">
        <v>0</v>
      </c>
      <c r="S246" s="1679">
        <v>1950000</v>
      </c>
      <c r="T246" s="1679">
        <v>0</v>
      </c>
      <c r="U246" s="1679">
        <v>0</v>
      </c>
      <c r="V246" s="1679">
        <v>0</v>
      </c>
      <c r="W246" s="1679">
        <f t="shared" si="110"/>
        <v>1950000</v>
      </c>
      <c r="X246" s="1751" t="e">
        <f t="shared" si="108"/>
        <v>#REF!</v>
      </c>
      <c r="Y246" s="1540" t="e">
        <f t="shared" si="96"/>
        <v>#REF!</v>
      </c>
    </row>
    <row r="247" spans="1:25">
      <c r="A247" s="1699" t="e">
        <f>IF('Pnj APBDES'!#REF!="","",'Pnj APBDES'!#REF!)</f>
        <v>#REF!</v>
      </c>
      <c r="B247" s="1687" t="e">
        <f>IF('Pnj APBDES'!#REF!="","",'Pnj APBDES'!#REF!)</f>
        <v>#REF!</v>
      </c>
      <c r="C247" s="1687" t="e">
        <f>IF('Pnj APBDES'!#REF!="","",'Pnj APBDES'!#REF!)</f>
        <v>#REF!</v>
      </c>
      <c r="D247" s="1676" t="e">
        <f>IF('Pnj APBDES'!#REF!="","",'Pnj APBDES'!#REF!)</f>
        <v>#REF!</v>
      </c>
      <c r="E247" s="1676" t="e">
        <f>IF('Pnj APBDES'!#REF!="","",'Pnj APBDES'!#REF!)</f>
        <v>#REF!</v>
      </c>
      <c r="F247" s="1676" t="e">
        <f>IF('Pnj APBDES'!#REF!="","",'Pnj APBDES'!#REF!)</f>
        <v>#REF!</v>
      </c>
      <c r="G247" s="1676" t="e">
        <f>IF('Pnj APBDES'!#REF!="","",'Pnj APBDES'!#REF!)</f>
        <v>#REF!</v>
      </c>
      <c r="H247" s="1705" t="e">
        <f>IF('Pnj APBDES'!#REF!="","",'Pnj APBDES'!#REF!)</f>
        <v>#REF!</v>
      </c>
      <c r="I247" s="1679" t="e">
        <f>'Pnj APBDES'!#REF!</f>
        <v>#REF!</v>
      </c>
      <c r="J247" s="1746" t="e">
        <f>IF('Pnj APBDES'!#REF!="","",'Pnj APBDES'!#REF!)</f>
        <v>#REF!</v>
      </c>
      <c r="K247" s="1679">
        <f>SUM(K248:K250)</f>
        <v>0</v>
      </c>
      <c r="L247" s="1679">
        <f t="shared" ref="L247:V247" si="124">SUM(L248:L250)</f>
        <v>0</v>
      </c>
      <c r="M247" s="1679">
        <f t="shared" si="124"/>
        <v>0</v>
      </c>
      <c r="N247" s="1679">
        <f t="shared" si="124"/>
        <v>0</v>
      </c>
      <c r="O247" s="1679">
        <f t="shared" si="124"/>
        <v>0</v>
      </c>
      <c r="P247" s="1679">
        <f t="shared" si="124"/>
        <v>0</v>
      </c>
      <c r="Q247" s="1679">
        <f t="shared" si="124"/>
        <v>0</v>
      </c>
      <c r="R247" s="1679">
        <f t="shared" si="124"/>
        <v>0</v>
      </c>
      <c r="S247" s="1679">
        <f>SUM(S248:S250)</f>
        <v>2760000</v>
      </c>
      <c r="T247" s="1679">
        <f t="shared" si="124"/>
        <v>0</v>
      </c>
      <c r="U247" s="1679">
        <f t="shared" si="124"/>
        <v>0</v>
      </c>
      <c r="V247" s="1679">
        <f t="shared" si="124"/>
        <v>0</v>
      </c>
      <c r="W247" s="1679">
        <f t="shared" si="110"/>
        <v>2760000</v>
      </c>
      <c r="X247" s="1751" t="e">
        <f t="shared" si="108"/>
        <v>#REF!</v>
      </c>
      <c r="Y247" s="1540" t="e">
        <f t="shared" si="96"/>
        <v>#REF!</v>
      </c>
    </row>
    <row r="248" spans="1:25">
      <c r="A248" s="1699" t="e">
        <f>IF('Pnj APBDES'!#REF!="","",'Pnj APBDES'!#REF!)</f>
        <v>#REF!</v>
      </c>
      <c r="B248" s="1687" t="e">
        <f>IF('Pnj APBDES'!#REF!="","",'Pnj APBDES'!#REF!)</f>
        <v>#REF!</v>
      </c>
      <c r="C248" s="1687" t="e">
        <f>IF('Pnj APBDES'!#REF!="","",'Pnj APBDES'!#REF!)</f>
        <v>#REF!</v>
      </c>
      <c r="D248" s="1676" t="e">
        <f>IF('Pnj APBDES'!#REF!="","",'Pnj APBDES'!#REF!)</f>
        <v>#REF!</v>
      </c>
      <c r="E248" s="1676" t="e">
        <f>IF('Pnj APBDES'!#REF!="","",'Pnj APBDES'!#REF!)</f>
        <v>#REF!</v>
      </c>
      <c r="F248" s="1676" t="e">
        <f>IF('Pnj APBDES'!#REF!="","",'Pnj APBDES'!#REF!)</f>
        <v>#REF!</v>
      </c>
      <c r="G248" s="1698" t="e">
        <f>IF('Pnj APBDES'!#REF!="","",'Pnj APBDES'!#REF!)</f>
        <v>#REF!</v>
      </c>
      <c r="H248" s="1705" t="e">
        <f>IF('Pnj APBDES'!#REF!="","",'Pnj APBDES'!#REF!)</f>
        <v>#REF!</v>
      </c>
      <c r="I248" s="1679" t="e">
        <f>'Pnj APBDES'!#REF!</f>
        <v>#REF!</v>
      </c>
      <c r="J248" s="1746" t="e">
        <f>IF('Pnj APBDES'!#REF!="","",'Pnj APBDES'!#REF!)</f>
        <v>#REF!</v>
      </c>
      <c r="K248" s="1679">
        <v>0</v>
      </c>
      <c r="L248" s="1679">
        <v>0</v>
      </c>
      <c r="M248" s="1679">
        <v>0</v>
      </c>
      <c r="N248" s="1679">
        <v>0</v>
      </c>
      <c r="O248" s="1679">
        <v>0</v>
      </c>
      <c r="P248" s="1679">
        <v>0</v>
      </c>
      <c r="Q248" s="1679">
        <v>0</v>
      </c>
      <c r="R248" s="1679">
        <v>0</v>
      </c>
      <c r="S248" s="1679">
        <v>0</v>
      </c>
      <c r="T248" s="1679">
        <v>0</v>
      </c>
      <c r="U248" s="1679">
        <v>0</v>
      </c>
      <c r="V248" s="1679">
        <v>0</v>
      </c>
      <c r="W248" s="1679">
        <f t="shared" si="110"/>
        <v>0</v>
      </c>
      <c r="X248" s="1751" t="e">
        <f t="shared" si="108"/>
        <v>#REF!</v>
      </c>
      <c r="Y248" s="1540" t="e">
        <f t="shared" si="96"/>
        <v>#REF!</v>
      </c>
    </row>
    <row r="249" spans="1:25">
      <c r="A249" s="1715" t="e">
        <f>IF('Pnj APBDES'!#REF!="","",'Pnj APBDES'!#REF!)</f>
        <v>#REF!</v>
      </c>
      <c r="B249" s="1716" t="e">
        <f>IF('Pnj APBDES'!#REF!="","",'Pnj APBDES'!#REF!)</f>
        <v>#REF!</v>
      </c>
      <c r="C249" s="1716" t="e">
        <f>IF('Pnj APBDES'!#REF!="","",'Pnj APBDES'!#REF!)</f>
        <v>#REF!</v>
      </c>
      <c r="D249" s="1698" t="e">
        <f>IF('Pnj APBDES'!#REF!="","",'Pnj APBDES'!#REF!)</f>
        <v>#REF!</v>
      </c>
      <c r="E249" s="1698" t="e">
        <f>IF('Pnj APBDES'!#REF!="","",'Pnj APBDES'!#REF!)</f>
        <v>#REF!</v>
      </c>
      <c r="F249" s="1698" t="e">
        <f>IF('Pnj APBDES'!#REF!="","",'Pnj APBDES'!#REF!)</f>
        <v>#REF!</v>
      </c>
      <c r="G249" s="1698" t="e">
        <f>IF('Pnj APBDES'!#REF!="","",'Pnj APBDES'!#REF!)</f>
        <v>#REF!</v>
      </c>
      <c r="H249" s="1717" t="e">
        <f>IF('Pnj APBDES'!#REF!="","",'Pnj APBDES'!#REF!)</f>
        <v>#REF!</v>
      </c>
      <c r="I249" s="1679" t="e">
        <f>'Pnj APBDES'!#REF!</f>
        <v>#REF!</v>
      </c>
      <c r="J249" s="1746" t="e">
        <f>IF('Pnj APBDES'!#REF!="","",'Pnj APBDES'!#REF!)</f>
        <v>#REF!</v>
      </c>
      <c r="K249" s="1679">
        <v>0</v>
      </c>
      <c r="L249" s="1679">
        <v>0</v>
      </c>
      <c r="M249" s="1679">
        <v>0</v>
      </c>
      <c r="N249" s="1679">
        <v>0</v>
      </c>
      <c r="O249" s="1679">
        <v>0</v>
      </c>
      <c r="P249" s="1679">
        <v>0</v>
      </c>
      <c r="Q249" s="1679">
        <v>0</v>
      </c>
      <c r="R249" s="1679">
        <v>0</v>
      </c>
      <c r="S249" s="1679">
        <v>1260000</v>
      </c>
      <c r="T249" s="1679">
        <v>0</v>
      </c>
      <c r="U249" s="1679">
        <v>0</v>
      </c>
      <c r="V249" s="1679">
        <v>0</v>
      </c>
      <c r="W249" s="1679">
        <f t="shared" si="110"/>
        <v>1260000</v>
      </c>
      <c r="X249" s="1751" t="e">
        <f t="shared" si="108"/>
        <v>#REF!</v>
      </c>
      <c r="Y249" s="1540" t="e">
        <f t="shared" si="96"/>
        <v>#REF!</v>
      </c>
    </row>
    <row r="250" spans="1:25">
      <c r="A250" s="1699" t="e">
        <f>IF('Pnj APBDES'!#REF!="","",'Pnj APBDES'!#REF!)</f>
        <v>#REF!</v>
      </c>
      <c r="B250" s="1687" t="e">
        <f>IF('Pnj APBDES'!#REF!="","",'Pnj APBDES'!#REF!)</f>
        <v>#REF!</v>
      </c>
      <c r="C250" s="1687" t="e">
        <f>IF('Pnj APBDES'!#REF!="","",'Pnj APBDES'!#REF!)</f>
        <v>#REF!</v>
      </c>
      <c r="D250" s="1676" t="e">
        <f>IF('Pnj APBDES'!#REF!="","",'Pnj APBDES'!#REF!)</f>
        <v>#REF!</v>
      </c>
      <c r="E250" s="1676" t="e">
        <f>IF('Pnj APBDES'!#REF!="","",'Pnj APBDES'!#REF!)</f>
        <v>#REF!</v>
      </c>
      <c r="F250" s="1676" t="e">
        <f>IF('Pnj APBDES'!#REF!="","",'Pnj APBDES'!#REF!)</f>
        <v>#REF!</v>
      </c>
      <c r="G250" s="1698" t="e">
        <f>IF('Pnj APBDES'!#REF!="","",'Pnj APBDES'!#REF!)</f>
        <v>#REF!</v>
      </c>
      <c r="H250" s="1705" t="e">
        <f>IF('Pnj APBDES'!#REF!="","",'Pnj APBDES'!#REF!)</f>
        <v>#REF!</v>
      </c>
      <c r="I250" s="1679" t="e">
        <f>'Pnj APBDES'!#REF!</f>
        <v>#REF!</v>
      </c>
      <c r="J250" s="1746" t="e">
        <f>IF('Pnj APBDES'!#REF!="","",'Pnj APBDES'!#REF!)</f>
        <v>#REF!</v>
      </c>
      <c r="K250" s="1679">
        <v>0</v>
      </c>
      <c r="L250" s="1679">
        <v>0</v>
      </c>
      <c r="M250" s="1679">
        <v>0</v>
      </c>
      <c r="N250" s="1679">
        <v>0</v>
      </c>
      <c r="O250" s="1679">
        <v>0</v>
      </c>
      <c r="P250" s="1679">
        <v>0</v>
      </c>
      <c r="Q250" s="1679">
        <v>0</v>
      </c>
      <c r="R250" s="1679">
        <v>0</v>
      </c>
      <c r="S250" s="1679">
        <v>1500000</v>
      </c>
      <c r="T250" s="1679">
        <v>0</v>
      </c>
      <c r="U250" s="1679">
        <v>0</v>
      </c>
      <c r="V250" s="1679">
        <v>0</v>
      </c>
      <c r="W250" s="1679">
        <f t="shared" si="110"/>
        <v>1500000</v>
      </c>
      <c r="X250" s="1751" t="e">
        <f t="shared" si="108"/>
        <v>#REF!</v>
      </c>
      <c r="Y250" s="1540" t="e">
        <f t="shared" si="96"/>
        <v>#REF!</v>
      </c>
    </row>
    <row r="251" spans="1:25" s="1540" customFormat="1">
      <c r="A251" s="1672">
        <f>IF('Pnj APBDES'!A286="","",'Pnj APBDES'!A286)</f>
        <v>4</v>
      </c>
      <c r="B251" s="1673">
        <f>IF('Pnj APBDES'!B286="","",'Pnj APBDES'!B286)</f>
        <v>4</v>
      </c>
      <c r="C251" s="1673" t="str">
        <f>IF('Pnj APBDES'!C286="","",'Pnj APBDES'!C286)</f>
        <v/>
      </c>
      <c r="D251" s="1672" t="str">
        <f>IF('Pnj APBDES'!D286="","",'Pnj APBDES'!D286)</f>
        <v/>
      </c>
      <c r="E251" s="1672" t="str">
        <f>IF('Pnj APBDES'!E286="","",'Pnj APBDES'!E286)</f>
        <v/>
      </c>
      <c r="F251" s="1672" t="str">
        <f>IF('Pnj APBDES'!F286="","",'Pnj APBDES'!F286)</f>
        <v/>
      </c>
      <c r="G251" s="1672" t="str">
        <f>IF('Pnj APBDES'!G286="","",'Pnj APBDES'!G286)</f>
        <v/>
      </c>
      <c r="H251" s="1706" t="str">
        <f>IF('Pnj APBDES'!H286="","",'Pnj APBDES'!H286)</f>
        <v>Kelautan dan perikanan</v>
      </c>
      <c r="I251" s="1675">
        <f>'Pnj APBDES'!K286</f>
        <v>17600000</v>
      </c>
      <c r="J251" s="1745" t="str">
        <f>IF('Pnj APBDES'!N286="","",'Pnj APBDES'!N286)</f>
        <v/>
      </c>
      <c r="K251" s="1675">
        <f>K252</f>
        <v>0</v>
      </c>
      <c r="L251" s="1675">
        <f t="shared" ref="L251:V252" si="125">L252</f>
        <v>0</v>
      </c>
      <c r="M251" s="1675">
        <f t="shared" si="125"/>
        <v>0</v>
      </c>
      <c r="N251" s="1675">
        <f t="shared" si="125"/>
        <v>0</v>
      </c>
      <c r="O251" s="1675">
        <f t="shared" si="125"/>
        <v>0</v>
      </c>
      <c r="P251" s="1675">
        <f t="shared" si="125"/>
        <v>0</v>
      </c>
      <c r="Q251" s="1675">
        <f t="shared" si="125"/>
        <v>0</v>
      </c>
      <c r="R251" s="1675">
        <f t="shared" si="125"/>
        <v>20000000</v>
      </c>
      <c r="S251" s="1675">
        <f t="shared" si="125"/>
        <v>0</v>
      </c>
      <c r="T251" s="1675">
        <f t="shared" si="125"/>
        <v>0</v>
      </c>
      <c r="U251" s="1675">
        <f t="shared" si="125"/>
        <v>0</v>
      </c>
      <c r="V251" s="1675">
        <f t="shared" si="125"/>
        <v>0</v>
      </c>
      <c r="W251" s="1675">
        <f t="shared" si="110"/>
        <v>20000000</v>
      </c>
      <c r="X251" s="1752" t="str">
        <f t="shared" si="108"/>
        <v>Salah</v>
      </c>
      <c r="Y251" s="1540">
        <f t="shared" si="96"/>
        <v>2400000</v>
      </c>
    </row>
    <row r="252" spans="1:25" s="1540" customFormat="1">
      <c r="A252" s="1672">
        <f>IF('Pnj APBDES'!A287="","",'Pnj APBDES'!A287)</f>
        <v>4</v>
      </c>
      <c r="B252" s="1673">
        <f>IF('Pnj APBDES'!B287="","",'Pnj APBDES'!B287)</f>
        <v>4</v>
      </c>
      <c r="C252" s="1673" t="str">
        <f>IF('Pnj APBDES'!C287="","",'Pnj APBDES'!C287)</f>
        <v>01</v>
      </c>
      <c r="D252" s="1672">
        <f>IF('Pnj APBDES'!D287="","",'Pnj APBDES'!D287)</f>
        <v>5</v>
      </c>
      <c r="E252" s="1672" t="str">
        <f>IF('Pnj APBDES'!E287="","",'Pnj APBDES'!E287)</f>
        <v/>
      </c>
      <c r="F252" s="1672" t="str">
        <f>IF('Pnj APBDES'!F287="","",'Pnj APBDES'!F287)</f>
        <v/>
      </c>
      <c r="G252" s="1672" t="str">
        <f>IF('Pnj APBDES'!G287="","",'Pnj APBDES'!G287)</f>
        <v/>
      </c>
      <c r="H252" s="1706" t="str">
        <f>IF('Pnj APBDES'!H287="","",'Pnj APBDES'!H287)</f>
        <v>Bimtek/Pelatihan/Pengenalan TTG Untuk Perikanan Darat/Nelayan</v>
      </c>
      <c r="I252" s="1675">
        <f>'Pnj APBDES'!K287</f>
        <v>17600000</v>
      </c>
      <c r="J252" s="1745" t="str">
        <f>IF('Pnj APBDES'!N287="","",'Pnj APBDES'!N287)</f>
        <v/>
      </c>
      <c r="K252" s="1675">
        <f>K253</f>
        <v>0</v>
      </c>
      <c r="L252" s="1675">
        <f t="shared" si="125"/>
        <v>0</v>
      </c>
      <c r="M252" s="1675">
        <f t="shared" si="125"/>
        <v>0</v>
      </c>
      <c r="N252" s="1675">
        <f t="shared" si="125"/>
        <v>0</v>
      </c>
      <c r="O252" s="1675">
        <f t="shared" si="125"/>
        <v>0</v>
      </c>
      <c r="P252" s="1675">
        <f t="shared" si="125"/>
        <v>0</v>
      </c>
      <c r="Q252" s="1675">
        <f t="shared" si="125"/>
        <v>0</v>
      </c>
      <c r="R252" s="1675">
        <f t="shared" si="125"/>
        <v>20000000</v>
      </c>
      <c r="S252" s="1675">
        <f t="shared" si="125"/>
        <v>0</v>
      </c>
      <c r="T252" s="1675">
        <f t="shared" si="125"/>
        <v>0</v>
      </c>
      <c r="U252" s="1675">
        <f t="shared" si="125"/>
        <v>0</v>
      </c>
      <c r="V252" s="1675">
        <f t="shared" si="125"/>
        <v>0</v>
      </c>
      <c r="W252" s="1675">
        <f t="shared" si="110"/>
        <v>20000000</v>
      </c>
      <c r="X252" s="1752" t="str">
        <f t="shared" si="108"/>
        <v>Salah</v>
      </c>
      <c r="Y252" s="1540">
        <f t="shared" si="96"/>
        <v>2400000</v>
      </c>
    </row>
    <row r="253" spans="1:25">
      <c r="A253" s="1699">
        <f>IF('Pnj APBDES'!A288="","",'Pnj APBDES'!A288)</f>
        <v>4</v>
      </c>
      <c r="B253" s="1677">
        <f>IF('Pnj APBDES'!B288="","",'Pnj APBDES'!B288)</f>
        <v>4</v>
      </c>
      <c r="C253" s="1677" t="str">
        <f>IF('Pnj APBDES'!C288="","",'Pnj APBDES'!C288)</f>
        <v>01</v>
      </c>
      <c r="D253" s="1676">
        <f>IF('Pnj APBDES'!D288="","",'Pnj APBDES'!D288)</f>
        <v>5</v>
      </c>
      <c r="E253" s="1676">
        <f>IF('Pnj APBDES'!E288="","",'Pnj APBDES'!E288)</f>
        <v>2</v>
      </c>
      <c r="F253" s="1676" t="str">
        <f>IF('Pnj APBDES'!F288="","",'Pnj APBDES'!F288)</f>
        <v/>
      </c>
      <c r="G253" s="1676" t="str">
        <f>IF('Pnj APBDES'!G288="","",'Pnj APBDES'!G288)</f>
        <v/>
      </c>
      <c r="H253" s="1678" t="str">
        <f>IF('Pnj APBDES'!H288="","",'Pnj APBDES'!H288)</f>
        <v>Belanja Barang dan Jasa</v>
      </c>
      <c r="I253" s="1679">
        <f>'Pnj APBDES'!K288</f>
        <v>17600000</v>
      </c>
      <c r="J253" s="1746" t="str">
        <f>IF('Pnj APBDES'!N288="","",'Pnj APBDES'!N288)</f>
        <v>BPP</v>
      </c>
      <c r="K253" s="1679">
        <f>K254+K260+K264</f>
        <v>0</v>
      </c>
      <c r="L253" s="1679">
        <f t="shared" ref="L253:V253" si="126">L254+L260+L264</f>
        <v>0</v>
      </c>
      <c r="M253" s="1679">
        <f t="shared" si="126"/>
        <v>0</v>
      </c>
      <c r="N253" s="1679">
        <f t="shared" si="126"/>
        <v>0</v>
      </c>
      <c r="O253" s="1679">
        <f t="shared" si="126"/>
        <v>0</v>
      </c>
      <c r="P253" s="1679">
        <f t="shared" si="126"/>
        <v>0</v>
      </c>
      <c r="Q253" s="1679">
        <f t="shared" si="126"/>
        <v>0</v>
      </c>
      <c r="R253" s="1679">
        <f t="shared" si="126"/>
        <v>20000000</v>
      </c>
      <c r="S253" s="1679">
        <f t="shared" si="126"/>
        <v>0</v>
      </c>
      <c r="T253" s="1679">
        <f t="shared" si="126"/>
        <v>0</v>
      </c>
      <c r="U253" s="1679">
        <f t="shared" si="126"/>
        <v>0</v>
      </c>
      <c r="V253" s="1679">
        <f t="shared" si="126"/>
        <v>0</v>
      </c>
      <c r="W253" s="1679">
        <f t="shared" si="110"/>
        <v>20000000</v>
      </c>
      <c r="X253" s="1751" t="str">
        <f t="shared" si="108"/>
        <v>Salah</v>
      </c>
      <c r="Y253" s="1540">
        <f t="shared" si="96"/>
        <v>2400000</v>
      </c>
    </row>
    <row r="254" spans="1:25">
      <c r="A254" s="1699">
        <f>IF('Pnj APBDES'!A289="","",'Pnj APBDES'!A289)</f>
        <v>4</v>
      </c>
      <c r="B254" s="1677">
        <f>IF('Pnj APBDES'!B289="","",'Pnj APBDES'!B289)</f>
        <v>4</v>
      </c>
      <c r="C254" s="1677" t="str">
        <f>IF('Pnj APBDES'!C289="","",'Pnj APBDES'!C289)</f>
        <v>01</v>
      </c>
      <c r="D254" s="1676">
        <f>IF('Pnj APBDES'!D289="","",'Pnj APBDES'!D289)</f>
        <v>5</v>
      </c>
      <c r="E254" s="1676">
        <f>IF('Pnj APBDES'!E289="","",'Pnj APBDES'!E289)</f>
        <v>2</v>
      </c>
      <c r="F254" s="1676">
        <f>IF('Pnj APBDES'!F289="","",'Pnj APBDES'!F289)</f>
        <v>1</v>
      </c>
      <c r="G254" s="1676" t="str">
        <f>IF('Pnj APBDES'!G289="","",'Pnj APBDES'!G289)</f>
        <v/>
      </c>
      <c r="H254" s="1678" t="str">
        <f>IF('Pnj APBDES'!H289="","",'Pnj APBDES'!H289)</f>
        <v>Belanja Barang Perlengkapan Kantor</v>
      </c>
      <c r="I254" s="1679">
        <f>'Pnj APBDES'!K289</f>
        <v>6820000</v>
      </c>
      <c r="J254" s="1746" t="str">
        <f>IF('Pnj APBDES'!N289="","",'Pnj APBDES'!N289)</f>
        <v/>
      </c>
      <c r="K254" s="1679">
        <f>SUM(K255:K259)</f>
        <v>0</v>
      </c>
      <c r="L254" s="1679">
        <f t="shared" ref="L254:V254" si="127">SUM(L255:L259)</f>
        <v>0</v>
      </c>
      <c r="M254" s="1679">
        <f t="shared" si="127"/>
        <v>0</v>
      </c>
      <c r="N254" s="1679">
        <f t="shared" si="127"/>
        <v>0</v>
      </c>
      <c r="O254" s="1679">
        <f t="shared" si="127"/>
        <v>0</v>
      </c>
      <c r="P254" s="1679">
        <f t="shared" si="127"/>
        <v>0</v>
      </c>
      <c r="Q254" s="1679">
        <f t="shared" si="127"/>
        <v>0</v>
      </c>
      <c r="R254" s="1679">
        <f t="shared" si="127"/>
        <v>11300000</v>
      </c>
      <c r="S254" s="1679">
        <f t="shared" si="127"/>
        <v>0</v>
      </c>
      <c r="T254" s="1679">
        <f t="shared" si="127"/>
        <v>0</v>
      </c>
      <c r="U254" s="1679">
        <f t="shared" si="127"/>
        <v>0</v>
      </c>
      <c r="V254" s="1679">
        <f t="shared" si="127"/>
        <v>0</v>
      </c>
      <c r="W254" s="1679">
        <f t="shared" si="110"/>
        <v>11300000</v>
      </c>
      <c r="X254" s="1751" t="str">
        <f t="shared" si="108"/>
        <v>Salah</v>
      </c>
      <c r="Y254" s="1540">
        <f t="shared" ref="Y254:Y291" si="128">W254-I254</f>
        <v>4480000</v>
      </c>
    </row>
    <row r="255" spans="1:25">
      <c r="A255" s="1699">
        <f>IF('Pnj APBDES'!A290="","",'Pnj APBDES'!A290)</f>
        <v>4</v>
      </c>
      <c r="B255" s="1677">
        <f>IF('Pnj APBDES'!B290="","",'Pnj APBDES'!B290)</f>
        <v>4</v>
      </c>
      <c r="C255" s="1677" t="str">
        <f>IF('Pnj APBDES'!C290="","",'Pnj APBDES'!C290)</f>
        <v>01</v>
      </c>
      <c r="D255" s="1676">
        <f>IF('Pnj APBDES'!D290="","",'Pnj APBDES'!D290)</f>
        <v>5</v>
      </c>
      <c r="E255" s="1676">
        <f>IF('Pnj APBDES'!E290="","",'Pnj APBDES'!E290)</f>
        <v>2</v>
      </c>
      <c r="F255" s="1676">
        <f>IF('Pnj APBDES'!F290="","",'Pnj APBDES'!F290)</f>
        <v>1</v>
      </c>
      <c r="G255" s="1676">
        <f>IF('Pnj APBDES'!G290="","",'Pnj APBDES'!G290)</f>
        <v>1</v>
      </c>
      <c r="H255" s="1718" t="str">
        <f>IF('Pnj APBDES'!H290="","",'Pnj APBDES'!H290)</f>
        <v>Belanja Perlengkapan Alat Tulis Kantor - Belanja Barang Pakai Habis</v>
      </c>
      <c r="I255" s="1679">
        <f>'Pnj APBDES'!K290</f>
        <v>1053000</v>
      </c>
      <c r="J255" s="1746" t="str">
        <f>IF('Pnj APBDES'!N290="","",'Pnj APBDES'!N290)</f>
        <v/>
      </c>
      <c r="K255" s="1679">
        <v>0</v>
      </c>
      <c r="L255" s="1679">
        <v>0</v>
      </c>
      <c r="M255" s="1679">
        <v>0</v>
      </c>
      <c r="N255" s="1679">
        <v>0</v>
      </c>
      <c r="O255" s="1679">
        <v>0</v>
      </c>
      <c r="P255" s="1679">
        <v>0</v>
      </c>
      <c r="Q255" s="1679">
        <v>0</v>
      </c>
      <c r="R255" s="1679">
        <v>2307000</v>
      </c>
      <c r="S255" s="1679">
        <v>0</v>
      </c>
      <c r="T255" s="1679">
        <v>0</v>
      </c>
      <c r="U255" s="1679">
        <v>0</v>
      </c>
      <c r="V255" s="1679">
        <v>0</v>
      </c>
      <c r="W255" s="1679">
        <f t="shared" si="110"/>
        <v>2307000</v>
      </c>
      <c r="X255" s="1751" t="str">
        <f t="shared" si="108"/>
        <v>Salah</v>
      </c>
      <c r="Y255" s="1540">
        <f t="shared" si="128"/>
        <v>1254000</v>
      </c>
    </row>
    <row r="256" spans="1:25" ht="24">
      <c r="A256" s="1699">
        <f>IF('Pnj APBDES'!A291="","",'Pnj APBDES'!A291)</f>
        <v>4</v>
      </c>
      <c r="B256" s="1677">
        <f>IF('Pnj APBDES'!B291="","",'Pnj APBDES'!B291)</f>
        <v>4</v>
      </c>
      <c r="C256" s="1677" t="str">
        <f>IF('Pnj APBDES'!C291="","",'Pnj APBDES'!C291)</f>
        <v>01</v>
      </c>
      <c r="D256" s="1676">
        <f>IF('Pnj APBDES'!D291="","",'Pnj APBDES'!D291)</f>
        <v>5</v>
      </c>
      <c r="E256" s="1676">
        <f>IF('Pnj APBDES'!E291="","",'Pnj APBDES'!E291)</f>
        <v>2</v>
      </c>
      <c r="F256" s="1676">
        <f>IF('Pnj APBDES'!F291="","",'Pnj APBDES'!F291)</f>
        <v>1</v>
      </c>
      <c r="G256" s="1676">
        <f>IF('Pnj APBDES'!G291="","",'Pnj APBDES'!G291)</f>
        <v>3</v>
      </c>
      <c r="H256" s="1678" t="str">
        <f>IF('Pnj APBDES'!H291="","",'Pnj APBDES'!H291)</f>
        <v>Belanja Perlengkapan Cetak/Penggandaan - Belanja Barang Cetak dan Penggandaan</v>
      </c>
      <c r="I256" s="1679">
        <f>'Pnj APBDES'!K291</f>
        <v>683000</v>
      </c>
      <c r="J256" s="1746" t="str">
        <f>IF('Pnj APBDES'!N291="","",'Pnj APBDES'!N291)</f>
        <v/>
      </c>
      <c r="K256" s="1679">
        <v>0</v>
      </c>
      <c r="L256" s="1679">
        <v>0</v>
      </c>
      <c r="M256" s="1679">
        <v>0</v>
      </c>
      <c r="N256" s="1679">
        <v>0</v>
      </c>
      <c r="O256" s="1679">
        <v>0</v>
      </c>
      <c r="P256" s="1679">
        <v>0</v>
      </c>
      <c r="Q256" s="1679">
        <v>0</v>
      </c>
      <c r="R256" s="1679">
        <v>653000</v>
      </c>
      <c r="S256" s="1679">
        <v>0</v>
      </c>
      <c r="T256" s="1679">
        <v>0</v>
      </c>
      <c r="U256" s="1679">
        <v>0</v>
      </c>
      <c r="V256" s="1679">
        <v>0</v>
      </c>
      <c r="W256" s="1679">
        <f t="shared" si="110"/>
        <v>653000</v>
      </c>
      <c r="X256" s="1751" t="str">
        <f t="shared" si="108"/>
        <v>Salah</v>
      </c>
      <c r="Y256" s="1540">
        <f t="shared" si="128"/>
        <v>-30000</v>
      </c>
    </row>
    <row r="257" spans="1:25" ht="24">
      <c r="A257" s="1699">
        <f>IF('Pnj APBDES'!A292="","",'Pnj APBDES'!A292)</f>
        <v>4</v>
      </c>
      <c r="B257" s="1677">
        <f>IF('Pnj APBDES'!B292="","",'Pnj APBDES'!B292)</f>
        <v>4</v>
      </c>
      <c r="C257" s="1677" t="str">
        <f>IF('Pnj APBDES'!C292="","",'Pnj APBDES'!C292)</f>
        <v>01</v>
      </c>
      <c r="D257" s="1676">
        <f>IF('Pnj APBDES'!D292="","",'Pnj APBDES'!D292)</f>
        <v>5</v>
      </c>
      <c r="E257" s="1676">
        <f>IF('Pnj APBDES'!E292="","",'Pnj APBDES'!E292)</f>
        <v>2</v>
      </c>
      <c r="F257" s="1676">
        <f>IF('Pnj APBDES'!F292="","",'Pnj APBDES'!F292)</f>
        <v>1</v>
      </c>
      <c r="G257" s="1676">
        <f>IF('Pnj APBDES'!G292="","",'Pnj APBDES'!G292)</f>
        <v>4</v>
      </c>
      <c r="H257" s="1678" t="str">
        <f>IF('Pnj APBDES'!H292="","",'Pnj APBDES'!H292)</f>
        <v>Belanja Perlengkapan Barang Konsumsi (Makan/minum) - Belanja Barang Konsumsi</v>
      </c>
      <c r="I257" s="1679">
        <f>'Pnj APBDES'!K292</f>
        <v>2604000</v>
      </c>
      <c r="J257" s="1746" t="str">
        <f>IF('Pnj APBDES'!N292="","",'Pnj APBDES'!N292)</f>
        <v/>
      </c>
      <c r="K257" s="1679">
        <v>0</v>
      </c>
      <c r="L257" s="1679">
        <v>0</v>
      </c>
      <c r="M257" s="1679">
        <v>0</v>
      </c>
      <c r="N257" s="1679">
        <v>0</v>
      </c>
      <c r="O257" s="1679">
        <v>0</v>
      </c>
      <c r="P257" s="1679">
        <v>0</v>
      </c>
      <c r="Q257" s="1679">
        <v>0</v>
      </c>
      <c r="R257" s="1679">
        <v>2840000</v>
      </c>
      <c r="S257" s="1679">
        <v>0</v>
      </c>
      <c r="T257" s="1679">
        <v>0</v>
      </c>
      <c r="U257" s="1679">
        <v>0</v>
      </c>
      <c r="V257" s="1679">
        <v>0</v>
      </c>
      <c r="W257" s="1679">
        <f t="shared" si="110"/>
        <v>2840000</v>
      </c>
      <c r="X257" s="1751" t="str">
        <f t="shared" si="108"/>
        <v>Salah</v>
      </c>
      <c r="Y257" s="1540">
        <f t="shared" si="128"/>
        <v>236000</v>
      </c>
    </row>
    <row r="258" spans="1:25">
      <c r="A258" s="1699">
        <f>IF('Pnj APBDES'!A293="","",'Pnj APBDES'!A293)</f>
        <v>4</v>
      </c>
      <c r="B258" s="1677">
        <f>IF('Pnj APBDES'!B293="","",'Pnj APBDES'!B293)</f>
        <v>4</v>
      </c>
      <c r="C258" s="1677" t="str">
        <f>IF('Pnj APBDES'!C293="","",'Pnj APBDES'!C293)</f>
        <v>01</v>
      </c>
      <c r="D258" s="1676">
        <f>IF('Pnj APBDES'!D293="","",'Pnj APBDES'!D293)</f>
        <v>5</v>
      </c>
      <c r="E258" s="1676">
        <f>IF('Pnj APBDES'!E293="","",'Pnj APBDES'!E293)</f>
        <v>2</v>
      </c>
      <c r="F258" s="1676">
        <f>IF('Pnj APBDES'!F293="","",'Pnj APBDES'!F293)</f>
        <v>1</v>
      </c>
      <c r="G258" s="1676">
        <f>IF('Pnj APBDES'!G293="","",'Pnj APBDES'!G293)</f>
        <v>5</v>
      </c>
      <c r="H258" s="1678" t="str">
        <f>IF('Pnj APBDES'!H293="","",'Pnj APBDES'!H293)</f>
        <v>Belanja Pakaian Seragam</v>
      </c>
      <c r="I258" s="1679">
        <f>'Pnj APBDES'!K293</f>
        <v>2480000</v>
      </c>
      <c r="J258" s="1746" t="str">
        <f>IF('Pnj APBDES'!N293="","",'Pnj APBDES'!N293)</f>
        <v/>
      </c>
      <c r="K258" s="1679">
        <v>0</v>
      </c>
      <c r="L258" s="1679">
        <v>0</v>
      </c>
      <c r="M258" s="1679">
        <v>0</v>
      </c>
      <c r="N258" s="1679">
        <v>0</v>
      </c>
      <c r="O258" s="1679">
        <v>0</v>
      </c>
      <c r="P258" s="1679">
        <v>0</v>
      </c>
      <c r="Q258" s="1679">
        <v>0</v>
      </c>
      <c r="R258" s="1679">
        <v>5500000</v>
      </c>
      <c r="S258" s="1679">
        <v>0</v>
      </c>
      <c r="T258" s="1679">
        <v>0</v>
      </c>
      <c r="U258" s="1679">
        <v>0</v>
      </c>
      <c r="V258" s="1679">
        <v>0</v>
      </c>
      <c r="W258" s="1679">
        <f t="shared" si="110"/>
        <v>5500000</v>
      </c>
      <c r="X258" s="1751" t="str">
        <f t="shared" si="108"/>
        <v>Salah</v>
      </c>
      <c r="Y258" s="1540">
        <f t="shared" si="128"/>
        <v>3020000</v>
      </c>
    </row>
    <row r="259" spans="1:25">
      <c r="A259" s="1699">
        <f>IF('Pnj APBDES'!A294="","",'Pnj APBDES'!A294)</f>
        <v>4</v>
      </c>
      <c r="B259" s="1677">
        <f>IF('Pnj APBDES'!B294="","",'Pnj APBDES'!B294)</f>
        <v>4</v>
      </c>
      <c r="C259" s="1677" t="str">
        <f>IF('Pnj APBDES'!C294="","",'Pnj APBDES'!C294)</f>
        <v>01</v>
      </c>
      <c r="D259" s="1676">
        <f>IF('Pnj APBDES'!D294="","",'Pnj APBDES'!D294)</f>
        <v>5</v>
      </c>
      <c r="E259" s="1676">
        <f>IF('Pnj APBDES'!E294="","",'Pnj APBDES'!E294)</f>
        <v>2</v>
      </c>
      <c r="F259" s="1676">
        <f>IF('Pnj APBDES'!F294="","",'Pnj APBDES'!F294)</f>
        <v>1</v>
      </c>
      <c r="G259" s="1676">
        <f>IF('Pnj APBDES'!G294="","",'Pnj APBDES'!G294)</f>
        <v>9</v>
      </c>
      <c r="H259" s="1678" t="str">
        <f>IF('Pnj APBDES'!H294="","",'Pnj APBDES'!H294)</f>
        <v>Belanja Barang Perlengkapan Kantor Lainnya</v>
      </c>
      <c r="I259" s="1679">
        <f>'Pnj APBDES'!K294</f>
        <v>0</v>
      </c>
      <c r="J259" s="1746" t="str">
        <f>IF('Pnj APBDES'!N294="","",'Pnj APBDES'!N294)</f>
        <v/>
      </c>
      <c r="K259" s="1679"/>
      <c r="L259" s="1679"/>
      <c r="M259" s="1679"/>
      <c r="N259" s="1679"/>
      <c r="O259" s="1679"/>
      <c r="P259" s="1679"/>
      <c r="Q259" s="1679"/>
      <c r="R259" s="1679"/>
      <c r="S259" s="1679"/>
      <c r="T259" s="1679"/>
      <c r="U259" s="1679"/>
      <c r="V259" s="1679"/>
      <c r="W259" s="1679">
        <f t="shared" si="110"/>
        <v>0</v>
      </c>
      <c r="X259" s="1751" t="str">
        <f t="shared" si="108"/>
        <v>Sama</v>
      </c>
      <c r="Y259" s="1540">
        <f t="shared" si="128"/>
        <v>0</v>
      </c>
    </row>
    <row r="260" spans="1:25">
      <c r="A260" s="1699">
        <f>IF('Pnj APBDES'!A295="","",'Pnj APBDES'!A295)</f>
        <v>4</v>
      </c>
      <c r="B260" s="1677">
        <f>IF('Pnj APBDES'!B295="","",'Pnj APBDES'!B295)</f>
        <v>4</v>
      </c>
      <c r="C260" s="1677" t="str">
        <f>IF('Pnj APBDES'!C295="","",'Pnj APBDES'!C295)</f>
        <v>01</v>
      </c>
      <c r="D260" s="1676">
        <f>IF('Pnj APBDES'!D295="","",'Pnj APBDES'!D295)</f>
        <v>5</v>
      </c>
      <c r="E260" s="1676">
        <f>IF('Pnj APBDES'!E295="","",'Pnj APBDES'!E295)</f>
        <v>2</v>
      </c>
      <c r="F260" s="1676">
        <f>IF('Pnj APBDES'!F295="","",'Pnj APBDES'!F295)</f>
        <v>2</v>
      </c>
      <c r="G260" s="1676" t="str">
        <f>IF('Pnj APBDES'!G295="","",'Pnj APBDES'!G295)</f>
        <v/>
      </c>
      <c r="H260" s="1678" t="str">
        <f>IF('Pnj APBDES'!H295="","",'Pnj APBDES'!H295)</f>
        <v>Belanja Jasa Honorarium</v>
      </c>
      <c r="I260" s="1679">
        <f>'Pnj APBDES'!K295</f>
        <v>8520000</v>
      </c>
      <c r="J260" s="1746" t="str">
        <f>IF('Pnj APBDES'!N295="","",'Pnj APBDES'!N295)</f>
        <v/>
      </c>
      <c r="K260" s="1679">
        <f>SUM(K261:K263)</f>
        <v>0</v>
      </c>
      <c r="L260" s="1679">
        <f t="shared" ref="L260:V260" si="129">SUM(L261:L263)</f>
        <v>0</v>
      </c>
      <c r="M260" s="1679">
        <f t="shared" si="129"/>
        <v>0</v>
      </c>
      <c r="N260" s="1679">
        <f t="shared" si="129"/>
        <v>0</v>
      </c>
      <c r="O260" s="1679">
        <f t="shared" si="129"/>
        <v>0</v>
      </c>
      <c r="P260" s="1679">
        <f t="shared" si="129"/>
        <v>0</v>
      </c>
      <c r="Q260" s="1679">
        <f t="shared" si="129"/>
        <v>0</v>
      </c>
      <c r="R260" s="1679">
        <f t="shared" si="129"/>
        <v>8300000</v>
      </c>
      <c r="S260" s="1679">
        <f t="shared" si="129"/>
        <v>0</v>
      </c>
      <c r="T260" s="1679">
        <f t="shared" si="129"/>
        <v>0</v>
      </c>
      <c r="U260" s="1679">
        <f t="shared" si="129"/>
        <v>0</v>
      </c>
      <c r="V260" s="1679">
        <f t="shared" si="129"/>
        <v>0</v>
      </c>
      <c r="W260" s="1679">
        <f t="shared" si="110"/>
        <v>8300000</v>
      </c>
      <c r="X260" s="1751" t="str">
        <f t="shared" si="108"/>
        <v>Salah</v>
      </c>
      <c r="Y260" s="1540">
        <f t="shared" si="128"/>
        <v>-220000</v>
      </c>
    </row>
    <row r="261" spans="1:25">
      <c r="A261" s="1699">
        <f>IF('Pnj APBDES'!A296="","",'Pnj APBDES'!A296)</f>
        <v>4</v>
      </c>
      <c r="B261" s="1677">
        <f>IF('Pnj APBDES'!B296="","",'Pnj APBDES'!B296)</f>
        <v>4</v>
      </c>
      <c r="C261" s="1677" t="str">
        <f>IF('Pnj APBDES'!C296="","",'Pnj APBDES'!C296)</f>
        <v>01</v>
      </c>
      <c r="D261" s="1676">
        <f>IF('Pnj APBDES'!D296="","",'Pnj APBDES'!D296)</f>
        <v>5</v>
      </c>
      <c r="E261" s="1676">
        <f>IF('Pnj APBDES'!E296="","",'Pnj APBDES'!E296)</f>
        <v>2</v>
      </c>
      <c r="F261" s="1676">
        <f>IF('Pnj APBDES'!F296="","",'Pnj APBDES'!F296)</f>
        <v>2</v>
      </c>
      <c r="G261" s="1676">
        <f>IF('Pnj APBDES'!G296="","",'Pnj APBDES'!G296)</f>
        <v>1</v>
      </c>
      <c r="H261" s="1678" t="str">
        <f>IF('Pnj APBDES'!H296="","",'Pnj APBDES'!H296)</f>
        <v>Belanja Jasa Honorarium Tim yang Melaksanakan Kegiatan</v>
      </c>
      <c r="I261" s="1679">
        <f>'Pnj APBDES'!K296</f>
        <v>1540000</v>
      </c>
      <c r="J261" s="1746" t="str">
        <f>IF('Pnj APBDES'!N296="","",'Pnj APBDES'!N296)</f>
        <v/>
      </c>
      <c r="K261" s="1679">
        <v>0</v>
      </c>
      <c r="L261" s="1679">
        <v>0</v>
      </c>
      <c r="M261" s="1679">
        <v>0</v>
      </c>
      <c r="N261" s="1679">
        <v>0</v>
      </c>
      <c r="O261" s="1679">
        <v>0</v>
      </c>
      <c r="P261" s="1679">
        <v>0</v>
      </c>
      <c r="Q261" s="1679">
        <v>0</v>
      </c>
      <c r="R261" s="1679">
        <v>700000</v>
      </c>
      <c r="S261" s="1679">
        <v>0</v>
      </c>
      <c r="T261" s="1679">
        <v>0</v>
      </c>
      <c r="U261" s="1679">
        <v>0</v>
      </c>
      <c r="V261" s="1679">
        <v>0</v>
      </c>
      <c r="W261" s="1679">
        <f t="shared" si="110"/>
        <v>700000</v>
      </c>
      <c r="X261" s="1751" t="str">
        <f t="shared" si="108"/>
        <v>Salah</v>
      </c>
      <c r="Y261" s="1540">
        <f t="shared" si="128"/>
        <v>-840000</v>
      </c>
    </row>
    <row r="262" spans="1:25">
      <c r="A262" s="1699">
        <f>IF('Pnj APBDES'!A297="","",'Pnj APBDES'!A297)</f>
        <v>4</v>
      </c>
      <c r="B262" s="1677">
        <f>IF('Pnj APBDES'!B297="","",'Pnj APBDES'!B297)</f>
        <v>4</v>
      </c>
      <c r="C262" s="1677" t="str">
        <f>IF('Pnj APBDES'!C297="","",'Pnj APBDES'!C297)</f>
        <v>01</v>
      </c>
      <c r="D262" s="1676">
        <f>IF('Pnj APBDES'!D297="","",'Pnj APBDES'!D297)</f>
        <v>5</v>
      </c>
      <c r="E262" s="1676">
        <f>IF('Pnj APBDES'!E297="","",'Pnj APBDES'!E297)</f>
        <v>2</v>
      </c>
      <c r="F262" s="1676">
        <f>IF('Pnj APBDES'!F297="","",'Pnj APBDES'!F297)</f>
        <v>2</v>
      </c>
      <c r="G262" s="1676">
        <f>IF('Pnj APBDES'!G297="","",'Pnj APBDES'!G297)</f>
        <v>4</v>
      </c>
      <c r="H262" s="1678" t="str">
        <f>IF('Pnj APBDES'!H297="","",'Pnj APBDES'!H297)</f>
        <v>Belanja Jasa Honorarium Ahli/Profesi/Konsultan</v>
      </c>
      <c r="I262" s="1679">
        <f>'Pnj APBDES'!K297</f>
        <v>4900000</v>
      </c>
      <c r="J262" s="1746" t="str">
        <f>IF('Pnj APBDES'!N297="","",'Pnj APBDES'!N297)</f>
        <v/>
      </c>
      <c r="K262" s="1679">
        <v>0</v>
      </c>
      <c r="L262" s="1679">
        <v>0</v>
      </c>
      <c r="M262" s="1679">
        <v>0</v>
      </c>
      <c r="N262" s="1679">
        <v>0</v>
      </c>
      <c r="O262" s="1679">
        <v>0</v>
      </c>
      <c r="P262" s="1679">
        <v>0</v>
      </c>
      <c r="Q262" s="1679">
        <v>0</v>
      </c>
      <c r="R262" s="1679">
        <v>5200000</v>
      </c>
      <c r="S262" s="1679">
        <v>0</v>
      </c>
      <c r="T262" s="1679">
        <v>0</v>
      </c>
      <c r="U262" s="1679">
        <v>0</v>
      </c>
      <c r="V262" s="1679">
        <v>0</v>
      </c>
      <c r="W262" s="1679">
        <f t="shared" si="110"/>
        <v>5200000</v>
      </c>
      <c r="X262" s="1751" t="str">
        <f t="shared" si="108"/>
        <v>Salah</v>
      </c>
      <c r="Y262" s="1540">
        <f t="shared" si="128"/>
        <v>300000</v>
      </c>
    </row>
    <row r="263" spans="1:25">
      <c r="A263" s="1699">
        <f>IF('Pnj APBDES'!A298="","",'Pnj APBDES'!A298)</f>
        <v>4</v>
      </c>
      <c r="B263" s="1677">
        <f>IF('Pnj APBDES'!B298="","",'Pnj APBDES'!B298)</f>
        <v>4</v>
      </c>
      <c r="C263" s="1677" t="str">
        <f>IF('Pnj APBDES'!C298="","",'Pnj APBDES'!C298)</f>
        <v>01</v>
      </c>
      <c r="D263" s="1676">
        <f>IF('Pnj APBDES'!D298="","",'Pnj APBDES'!D298)</f>
        <v>5</v>
      </c>
      <c r="E263" s="1676">
        <f>IF('Pnj APBDES'!E298="","",'Pnj APBDES'!E298)</f>
        <v>2</v>
      </c>
      <c r="F263" s="1676">
        <f>IF('Pnj APBDES'!F298="","",'Pnj APBDES'!F298)</f>
        <v>2</v>
      </c>
      <c r="G263" s="1676">
        <f>IF('Pnj APBDES'!G298="","",'Pnj APBDES'!G298)</f>
        <v>9</v>
      </c>
      <c r="H263" s="1678" t="str">
        <f>IF('Pnj APBDES'!H298="","",'Pnj APBDES'!H298)</f>
        <v>Belanja Jasa Honorarium Lainnya</v>
      </c>
      <c r="I263" s="1679">
        <f>'Pnj APBDES'!K298</f>
        <v>2080000</v>
      </c>
      <c r="J263" s="1746" t="str">
        <f>IF('Pnj APBDES'!N298="","",'Pnj APBDES'!N298)</f>
        <v/>
      </c>
      <c r="K263" s="1679">
        <v>0</v>
      </c>
      <c r="L263" s="1679">
        <v>0</v>
      </c>
      <c r="M263" s="1679">
        <v>0</v>
      </c>
      <c r="N263" s="1679">
        <v>0</v>
      </c>
      <c r="O263" s="1679">
        <v>0</v>
      </c>
      <c r="P263" s="1679">
        <v>0</v>
      </c>
      <c r="Q263" s="1679">
        <v>0</v>
      </c>
      <c r="R263" s="1679">
        <v>2400000</v>
      </c>
      <c r="S263" s="1679">
        <v>0</v>
      </c>
      <c r="T263" s="1679">
        <v>0</v>
      </c>
      <c r="U263" s="1679">
        <v>0</v>
      </c>
      <c r="V263" s="1679">
        <v>0</v>
      </c>
      <c r="W263" s="1679">
        <f t="shared" si="110"/>
        <v>2400000</v>
      </c>
      <c r="X263" s="1751" t="str">
        <f t="shared" si="108"/>
        <v>Salah</v>
      </c>
      <c r="Y263" s="1540">
        <f t="shared" si="128"/>
        <v>320000</v>
      </c>
    </row>
    <row r="264" spans="1:25">
      <c r="A264" s="1699">
        <f>IF('Pnj APBDES'!A299="","",'Pnj APBDES'!A299)</f>
        <v>4</v>
      </c>
      <c r="B264" s="1687">
        <f>IF('Pnj APBDES'!B299="","",'Pnj APBDES'!B299)</f>
        <v>4</v>
      </c>
      <c r="C264" s="1687" t="str">
        <f>IF('Pnj APBDES'!C299="","",'Pnj APBDES'!C299)</f>
        <v>01</v>
      </c>
      <c r="D264" s="1676">
        <f>IF('Pnj APBDES'!D299="","",'Pnj APBDES'!D299)</f>
        <v>5</v>
      </c>
      <c r="E264" s="1676">
        <f>IF('Pnj APBDES'!E299="","",'Pnj APBDES'!E299)</f>
        <v>2</v>
      </c>
      <c r="F264" s="1676">
        <f>IF('Pnj APBDES'!F299="","",'Pnj APBDES'!F299)</f>
        <v>4</v>
      </c>
      <c r="G264" s="1676" t="str">
        <f>IF('Pnj APBDES'!G299="","",'Pnj APBDES'!G299)</f>
        <v/>
      </c>
      <c r="H264" s="1678" t="str">
        <f>IF('Pnj APBDES'!H299="","",'Pnj APBDES'!H299)</f>
        <v>Belanja jasa dan sewa</v>
      </c>
      <c r="I264" s="1679">
        <f>'Pnj APBDES'!K299</f>
        <v>2260000</v>
      </c>
      <c r="J264" s="1746" t="str">
        <f>IF('Pnj APBDES'!N299="","",'Pnj APBDES'!N299)</f>
        <v/>
      </c>
      <c r="K264" s="1679">
        <f>SUM(K265:K265)</f>
        <v>0</v>
      </c>
      <c r="L264" s="1679">
        <f t="shared" ref="L264:V264" si="130">SUM(L265:L265)</f>
        <v>0</v>
      </c>
      <c r="M264" s="1679">
        <f t="shared" si="130"/>
        <v>0</v>
      </c>
      <c r="N264" s="1679">
        <f t="shared" si="130"/>
        <v>0</v>
      </c>
      <c r="O264" s="1679">
        <f t="shared" si="130"/>
        <v>0</v>
      </c>
      <c r="P264" s="1679">
        <f t="shared" si="130"/>
        <v>0</v>
      </c>
      <c r="Q264" s="1679">
        <f t="shared" si="130"/>
        <v>0</v>
      </c>
      <c r="R264" s="1679">
        <f>SUM(R265:R265)</f>
        <v>400000</v>
      </c>
      <c r="S264" s="1679">
        <f t="shared" si="130"/>
        <v>0</v>
      </c>
      <c r="T264" s="1679">
        <f t="shared" si="130"/>
        <v>0</v>
      </c>
      <c r="U264" s="1679">
        <f t="shared" si="130"/>
        <v>0</v>
      </c>
      <c r="V264" s="1679">
        <f t="shared" si="130"/>
        <v>0</v>
      </c>
      <c r="W264" s="1679">
        <f t="shared" si="110"/>
        <v>400000</v>
      </c>
      <c r="X264" s="1751" t="str">
        <f t="shared" si="108"/>
        <v>Salah</v>
      </c>
      <c r="Y264" s="1540">
        <f t="shared" si="128"/>
        <v>-1860000</v>
      </c>
    </row>
    <row r="265" spans="1:25">
      <c r="A265" s="1699">
        <f>IF('Pnj APBDES'!A300="","",'Pnj APBDES'!A300)</f>
        <v>4</v>
      </c>
      <c r="B265" s="1687">
        <f>IF('Pnj APBDES'!B300="","",'Pnj APBDES'!B300)</f>
        <v>4</v>
      </c>
      <c r="C265" s="1677" t="str">
        <f>IF('Pnj APBDES'!C300="","",'Pnj APBDES'!C300)</f>
        <v>01</v>
      </c>
      <c r="D265" s="1676">
        <f>IF('Pnj APBDES'!D300="","",'Pnj APBDES'!D300)</f>
        <v>5</v>
      </c>
      <c r="E265" s="1676">
        <f>IF('Pnj APBDES'!E300="","",'Pnj APBDES'!E300)</f>
        <v>2</v>
      </c>
      <c r="F265" s="1676">
        <f>IF('Pnj APBDES'!F300="","",'Pnj APBDES'!F300)</f>
        <v>4</v>
      </c>
      <c r="G265" s="1676">
        <f>IF('Pnj APBDES'!G300="","",'Pnj APBDES'!G300)</f>
        <v>2</v>
      </c>
      <c r="H265" s="1678" t="str">
        <f>IF('Pnj APBDES'!H300="","",'Pnj APBDES'!H300)</f>
        <v>Belanja jasa sewa peralatan/perlengkapan</v>
      </c>
      <c r="I265" s="1679">
        <f>'Pnj APBDES'!K300</f>
        <v>2260000</v>
      </c>
      <c r="J265" s="1746" t="str">
        <f>IF('Pnj APBDES'!N300="","",'Pnj APBDES'!N300)</f>
        <v/>
      </c>
      <c r="K265" s="1679">
        <v>0</v>
      </c>
      <c r="L265" s="1679">
        <v>0</v>
      </c>
      <c r="M265" s="1679">
        <v>0</v>
      </c>
      <c r="N265" s="1679">
        <v>0</v>
      </c>
      <c r="O265" s="1679">
        <v>0</v>
      </c>
      <c r="P265" s="1679">
        <v>0</v>
      </c>
      <c r="Q265" s="1679">
        <v>0</v>
      </c>
      <c r="R265" s="1679">
        <v>400000</v>
      </c>
      <c r="S265" s="1679">
        <v>0</v>
      </c>
      <c r="T265" s="1679">
        <v>0</v>
      </c>
      <c r="U265" s="1679">
        <v>0</v>
      </c>
      <c r="V265" s="1679">
        <v>0</v>
      </c>
      <c r="W265" s="1679">
        <f t="shared" si="110"/>
        <v>400000</v>
      </c>
      <c r="X265" s="1751" t="str">
        <f t="shared" si="108"/>
        <v>Salah</v>
      </c>
      <c r="Y265" s="1540">
        <f t="shared" si="128"/>
        <v>-1860000</v>
      </c>
    </row>
    <row r="266" spans="1:25" s="1540" customFormat="1">
      <c r="A266" s="1669">
        <f>IF('Pnj APBDES'!A306="","",'Pnj APBDES'!A306)</f>
        <v>5</v>
      </c>
      <c r="B266" s="1697" t="str">
        <f>IF('Pnj APBDES'!B306="","",'Pnj APBDES'!B306)</f>
        <v/>
      </c>
      <c r="C266" s="1697" t="str">
        <f>IF('Pnj APBDES'!C306="","",'Pnj APBDES'!C306)</f>
        <v/>
      </c>
      <c r="D266" s="1669" t="str">
        <f>IF('Pnj APBDES'!D306="","",'Pnj APBDES'!D306)</f>
        <v/>
      </c>
      <c r="E266" s="1669" t="str">
        <f>IF('Pnj APBDES'!E306="","",'Pnj APBDES'!E306)</f>
        <v/>
      </c>
      <c r="F266" s="1669" t="str">
        <f>IF('Pnj APBDES'!F306="","",'Pnj APBDES'!F306)</f>
        <v/>
      </c>
      <c r="G266" s="1669" t="str">
        <f>IF('Pnj APBDES'!G306="","",'Pnj APBDES'!G306)</f>
        <v/>
      </c>
      <c r="H266" s="1670" t="str">
        <f>IF('Pnj APBDES'!H306="","",'Pnj APBDES'!H306)</f>
        <v>PENANGGULANGAN BENCANA, KEADAAN DARURAT DAN MENDESAK</v>
      </c>
      <c r="I266" s="1671"/>
      <c r="J266" s="1744" t="str">
        <f>IF('Pnj APBDES'!N306="","",'Pnj APBDES'!N306)</f>
        <v/>
      </c>
      <c r="K266" s="1671">
        <f>K267+K268+K269</f>
        <v>0</v>
      </c>
      <c r="L266" s="1671">
        <f t="shared" ref="L266:V266" si="131">L267+L268+L269</f>
        <v>0</v>
      </c>
      <c r="M266" s="1671">
        <f t="shared" si="131"/>
        <v>0</v>
      </c>
      <c r="N266" s="1671">
        <f t="shared" si="131"/>
        <v>0</v>
      </c>
      <c r="O266" s="1671">
        <f t="shared" si="131"/>
        <v>0</v>
      </c>
      <c r="P266" s="1671">
        <f t="shared" si="131"/>
        <v>0</v>
      </c>
      <c r="Q266" s="1671">
        <f t="shared" si="131"/>
        <v>0</v>
      </c>
      <c r="R266" s="1671">
        <f t="shared" si="131"/>
        <v>0</v>
      </c>
      <c r="S266" s="1671">
        <f t="shared" si="131"/>
        <v>0</v>
      </c>
      <c r="T266" s="1671">
        <f t="shared" si="131"/>
        <v>0</v>
      </c>
      <c r="U266" s="1671">
        <f t="shared" si="131"/>
        <v>0</v>
      </c>
      <c r="V266" s="1671">
        <f t="shared" si="131"/>
        <v>0</v>
      </c>
      <c r="W266" s="1671">
        <f t="shared" si="110"/>
        <v>0</v>
      </c>
      <c r="X266" s="1751" t="str">
        <f t="shared" si="108"/>
        <v>Sama</v>
      </c>
      <c r="Y266" s="1540">
        <f t="shared" si="128"/>
        <v>0</v>
      </c>
    </row>
    <row r="267" spans="1:25" s="1540" customFormat="1">
      <c r="A267" s="1672">
        <f>IF('Pnj APBDES'!A307="","",'Pnj APBDES'!A307)</f>
        <v>5</v>
      </c>
      <c r="B267" s="1673">
        <f>IF('Pnj APBDES'!B307="","",'Pnj APBDES'!B307)</f>
        <v>1</v>
      </c>
      <c r="C267" s="1672" t="str">
        <f>IF('Pnj APBDES'!C307="","",'Pnj APBDES'!C307)</f>
        <v/>
      </c>
      <c r="D267" s="1672" t="str">
        <f>IF('Pnj APBDES'!D307="","",'Pnj APBDES'!D307)</f>
        <v/>
      </c>
      <c r="E267" s="1672" t="str">
        <f>IF('Pnj APBDES'!E307="","",'Pnj APBDES'!E307)</f>
        <v/>
      </c>
      <c r="F267" s="1672" t="str">
        <f>IF('Pnj APBDES'!F307="","",'Pnj APBDES'!F307)</f>
        <v/>
      </c>
      <c r="G267" s="1672" t="str">
        <f>IF('Pnj APBDES'!G307="","",'Pnj APBDES'!G307)</f>
        <v/>
      </c>
      <c r="H267" s="1674" t="str">
        <f>IF('Pnj APBDES'!H307="","",'Pnj APBDES'!H307)</f>
        <v>Penanggulangan Bencana</v>
      </c>
      <c r="I267" s="1675"/>
      <c r="J267" s="1745" t="str">
        <f>IF('Pnj APBDES'!N307="","",'Pnj APBDES'!N307)</f>
        <v>BPP</v>
      </c>
      <c r="K267" s="1675">
        <v>0</v>
      </c>
      <c r="L267" s="1675">
        <v>0</v>
      </c>
      <c r="M267" s="1675">
        <v>0</v>
      </c>
      <c r="N267" s="1675">
        <v>0</v>
      </c>
      <c r="O267" s="1675">
        <v>0</v>
      </c>
      <c r="P267" s="1675">
        <v>0</v>
      </c>
      <c r="Q267" s="1675">
        <v>0</v>
      </c>
      <c r="R267" s="1675">
        <v>0</v>
      </c>
      <c r="S267" s="1675">
        <v>0</v>
      </c>
      <c r="T267" s="1675">
        <v>0</v>
      </c>
      <c r="U267" s="1675">
        <v>0</v>
      </c>
      <c r="V267" s="1675">
        <v>0</v>
      </c>
      <c r="W267" s="1675">
        <f t="shared" si="110"/>
        <v>0</v>
      </c>
      <c r="X267" s="1751" t="str">
        <f t="shared" si="108"/>
        <v>Sama</v>
      </c>
      <c r="Y267" s="1540">
        <f t="shared" si="128"/>
        <v>0</v>
      </c>
    </row>
    <row r="268" spans="1:25" s="1540" customFormat="1">
      <c r="A268" s="1672">
        <f>IF('Pnj APBDES'!A309="","",'Pnj APBDES'!A309)</f>
        <v>5</v>
      </c>
      <c r="B268" s="1673">
        <f>IF('Pnj APBDES'!B309="","",'Pnj APBDES'!B309)</f>
        <v>2</v>
      </c>
      <c r="C268" s="1672" t="str">
        <f>IF('Pnj APBDES'!C309="","",'Pnj APBDES'!C309)</f>
        <v/>
      </c>
      <c r="D268" s="1672" t="str">
        <f>IF('Pnj APBDES'!D309="","",'Pnj APBDES'!D309)</f>
        <v/>
      </c>
      <c r="E268" s="1672" t="str">
        <f>IF('Pnj APBDES'!E309="","",'Pnj APBDES'!E309)</f>
        <v/>
      </c>
      <c r="F268" s="1672" t="str">
        <f>IF('Pnj APBDES'!F309="","",'Pnj APBDES'!F309)</f>
        <v/>
      </c>
      <c r="G268" s="1672" t="str">
        <f>IF('Pnj APBDES'!G309="","",'Pnj APBDES'!G309)</f>
        <v/>
      </c>
      <c r="H268" s="1674" t="str">
        <f>IF('Pnj APBDES'!H309="","",'Pnj APBDES'!H309)</f>
        <v>Keadaan Mendesak Desa</v>
      </c>
      <c r="I268" s="1675"/>
      <c r="J268" s="1745" t="str">
        <f>IF('Pnj APBDES'!N309="","",'Pnj APBDES'!N309)</f>
        <v>DD</v>
      </c>
      <c r="K268" s="1675">
        <v>0</v>
      </c>
      <c r="L268" s="1675">
        <v>0</v>
      </c>
      <c r="M268" s="1675">
        <v>0</v>
      </c>
      <c r="N268" s="1675">
        <v>0</v>
      </c>
      <c r="O268" s="1675">
        <v>0</v>
      </c>
      <c r="P268" s="1675">
        <v>0</v>
      </c>
      <c r="Q268" s="1675">
        <v>0</v>
      </c>
      <c r="R268" s="1675">
        <v>0</v>
      </c>
      <c r="S268" s="1675">
        <v>0</v>
      </c>
      <c r="T268" s="1675">
        <v>0</v>
      </c>
      <c r="U268" s="1675">
        <v>0</v>
      </c>
      <c r="V268" s="1675">
        <v>0</v>
      </c>
      <c r="W268" s="1675">
        <f t="shared" si="110"/>
        <v>0</v>
      </c>
      <c r="X268" s="1751" t="str">
        <f t="shared" si="108"/>
        <v>Sama</v>
      </c>
      <c r="Y268" s="1540">
        <f t="shared" si="128"/>
        <v>0</v>
      </c>
    </row>
    <row r="269" spans="1:25" s="1540" customFormat="1">
      <c r="A269" s="1672" t="e">
        <f>IF('Pnj APBDES'!#REF!="","",'Pnj APBDES'!#REF!)</f>
        <v>#REF!</v>
      </c>
      <c r="B269" s="1673" t="e">
        <f>IF('Pnj APBDES'!#REF!="","",'Pnj APBDES'!#REF!)</f>
        <v>#REF!</v>
      </c>
      <c r="C269" s="1672" t="e">
        <f>IF('Pnj APBDES'!#REF!="","",'Pnj APBDES'!#REF!)</f>
        <v>#REF!</v>
      </c>
      <c r="D269" s="1672" t="e">
        <f>IF('Pnj APBDES'!#REF!="","",'Pnj APBDES'!#REF!)</f>
        <v>#REF!</v>
      </c>
      <c r="E269" s="1672" t="e">
        <f>IF('Pnj APBDES'!#REF!="","",'Pnj APBDES'!#REF!)</f>
        <v>#REF!</v>
      </c>
      <c r="F269" s="1672" t="e">
        <f>IF('Pnj APBDES'!#REF!="","",'Pnj APBDES'!#REF!)</f>
        <v>#REF!</v>
      </c>
      <c r="G269" s="1672" t="e">
        <f>IF('Pnj APBDES'!#REF!="","",'Pnj APBDES'!#REF!)</f>
        <v>#REF!</v>
      </c>
      <c r="H269" s="1674" t="e">
        <f>IF('Pnj APBDES'!#REF!="","",'Pnj APBDES'!#REF!)</f>
        <v>#REF!</v>
      </c>
      <c r="I269" s="1675"/>
      <c r="J269" s="1745" t="e">
        <f>IF('Pnj APBDES'!#REF!="","",'Pnj APBDES'!#REF!)</f>
        <v>#REF!</v>
      </c>
      <c r="K269" s="1675">
        <v>0</v>
      </c>
      <c r="L269" s="1675">
        <v>0</v>
      </c>
      <c r="M269" s="1675">
        <v>0</v>
      </c>
      <c r="N269" s="1675">
        <v>0</v>
      </c>
      <c r="O269" s="1675">
        <v>0</v>
      </c>
      <c r="P269" s="1675">
        <v>0</v>
      </c>
      <c r="Q269" s="1675">
        <v>0</v>
      </c>
      <c r="R269" s="1675">
        <v>0</v>
      </c>
      <c r="S269" s="1675">
        <v>0</v>
      </c>
      <c r="T269" s="1675">
        <v>0</v>
      </c>
      <c r="U269" s="1675">
        <v>0</v>
      </c>
      <c r="V269" s="1675">
        <v>0</v>
      </c>
      <c r="W269" s="1675">
        <f t="shared" si="110"/>
        <v>0</v>
      </c>
      <c r="X269" s="1751" t="str">
        <f t="shared" si="108"/>
        <v>Sama</v>
      </c>
      <c r="Y269" s="1540">
        <f t="shared" si="128"/>
        <v>0</v>
      </c>
    </row>
    <row r="270" spans="1:25" s="1540" customFormat="1">
      <c r="A270" s="1529"/>
      <c r="B270" s="1530"/>
      <c r="C270" s="1531"/>
      <c r="D270" s="1529"/>
      <c r="E270" s="1530"/>
      <c r="F270" s="1530"/>
      <c r="G270" s="1532"/>
      <c r="H270" s="1539" t="s">
        <v>10</v>
      </c>
      <c r="I270" s="1675">
        <f>'Pnj APBDES'!K311</f>
        <v>1536094000</v>
      </c>
      <c r="J270" s="1745" t="str">
        <f>IF('Pnj APBDES'!N310="","",'Pnj APBDES'!N310)</f>
        <v/>
      </c>
      <c r="K270" s="1675" t="e">
        <f>K16+K118+K158+K215</f>
        <v>#REF!</v>
      </c>
      <c r="L270" s="1675" t="e">
        <f t="shared" ref="L270:V270" si="132">L16+L118+L158+L215</f>
        <v>#REF!</v>
      </c>
      <c r="M270" s="1675" t="e">
        <f t="shared" si="132"/>
        <v>#REF!</v>
      </c>
      <c r="N270" s="1675" t="e">
        <f t="shared" si="132"/>
        <v>#REF!</v>
      </c>
      <c r="O270" s="1675" t="e">
        <f t="shared" si="132"/>
        <v>#REF!</v>
      </c>
      <c r="P270" s="1675" t="e">
        <f t="shared" si="132"/>
        <v>#REF!</v>
      </c>
      <c r="Q270" s="1675" t="e">
        <f t="shared" si="132"/>
        <v>#REF!</v>
      </c>
      <c r="R270" s="1675" t="e">
        <f t="shared" si="132"/>
        <v>#REF!</v>
      </c>
      <c r="S270" s="1675" t="e">
        <f t="shared" si="132"/>
        <v>#REF!</v>
      </c>
      <c r="T270" s="1675" t="e">
        <f t="shared" si="132"/>
        <v>#REF!</v>
      </c>
      <c r="U270" s="1675" t="e">
        <f t="shared" si="132"/>
        <v>#REF!</v>
      </c>
      <c r="V270" s="1675" t="e">
        <f t="shared" si="132"/>
        <v>#REF!</v>
      </c>
      <c r="W270" s="1740">
        <f>I270</f>
        <v>1536094000</v>
      </c>
      <c r="X270" s="1752" t="str">
        <f t="shared" si="108"/>
        <v>Sama</v>
      </c>
      <c r="Y270" s="1540">
        <f t="shared" si="128"/>
        <v>0</v>
      </c>
    </row>
    <row r="271" spans="1:25" ht="15">
      <c r="A271" s="1534"/>
      <c r="B271" s="1535"/>
      <c r="C271" s="1536"/>
      <c r="D271" s="1534"/>
      <c r="E271" s="1535"/>
      <c r="F271" s="1535"/>
      <c r="G271" s="1537"/>
      <c r="H271" s="1538" t="s">
        <v>698</v>
      </c>
      <c r="I271" s="1679">
        <f>I270-I291</f>
        <v>-149845905.83999991</v>
      </c>
      <c r="J271" s="1749"/>
      <c r="K271" s="1675" t="e">
        <f>K270-K291</f>
        <v>#REF!</v>
      </c>
      <c r="L271" s="1675" t="e">
        <f t="shared" ref="L271:V271" si="133">L270-L291</f>
        <v>#REF!</v>
      </c>
      <c r="M271" s="1675" t="e">
        <f t="shared" si="133"/>
        <v>#REF!</v>
      </c>
      <c r="N271" s="1675" t="e">
        <f t="shared" si="133"/>
        <v>#REF!</v>
      </c>
      <c r="O271" s="1675" t="e">
        <f t="shared" si="133"/>
        <v>#REF!</v>
      </c>
      <c r="P271" s="1675" t="e">
        <f t="shared" si="133"/>
        <v>#REF!</v>
      </c>
      <c r="Q271" s="1675" t="e">
        <f t="shared" si="133"/>
        <v>#REF!</v>
      </c>
      <c r="R271" s="1675" t="e">
        <f t="shared" si="133"/>
        <v>#REF!</v>
      </c>
      <c r="S271" s="1675" t="e">
        <f t="shared" si="133"/>
        <v>#REF!</v>
      </c>
      <c r="T271" s="1675" t="e">
        <f t="shared" si="133"/>
        <v>#REF!</v>
      </c>
      <c r="U271" s="1675" t="e">
        <f t="shared" si="133"/>
        <v>#REF!</v>
      </c>
      <c r="V271" s="1675" t="e">
        <f t="shared" si="133"/>
        <v>#REF!</v>
      </c>
      <c r="W271" s="1541" t="e">
        <f>SUM(K271:V271)</f>
        <v>#REF!</v>
      </c>
      <c r="X271" s="1751" t="e">
        <f t="shared" si="108"/>
        <v>#REF!</v>
      </c>
      <c r="Y271" s="1540" t="e">
        <f t="shared" si="128"/>
        <v>#REF!</v>
      </c>
    </row>
    <row r="272" spans="1:25" ht="15">
      <c r="A272" s="1534"/>
      <c r="B272" s="1535"/>
      <c r="C272" s="1536"/>
      <c r="D272" s="1534"/>
      <c r="E272" s="1535"/>
      <c r="F272" s="1535"/>
      <c r="G272" s="1537"/>
      <c r="H272" s="1538"/>
      <c r="I272" s="1649"/>
      <c r="J272" s="1749"/>
      <c r="K272" s="1679"/>
      <c r="L272" s="1541"/>
      <c r="M272" s="1541"/>
      <c r="N272" s="1541"/>
      <c r="O272" s="1541"/>
      <c r="P272" s="1541"/>
      <c r="Q272" s="1541"/>
      <c r="R272" s="1541"/>
      <c r="S272" s="1541"/>
      <c r="T272" s="1541"/>
      <c r="U272" s="1541"/>
      <c r="V272" s="1541"/>
      <c r="W272" s="1541">
        <f t="shared" si="110"/>
        <v>0</v>
      </c>
      <c r="X272" s="1751" t="str">
        <f t="shared" ref="X272:X289" si="134">IF(W272=I272,"Sama","Salah")</f>
        <v>Sama</v>
      </c>
      <c r="Y272" s="1540">
        <f t="shared" si="128"/>
        <v>0</v>
      </c>
    </row>
    <row r="273" spans="1:25" s="1540" customFormat="1">
      <c r="A273" s="1529"/>
      <c r="B273" s="1530"/>
      <c r="C273" s="1531"/>
      <c r="D273" s="1529">
        <v>6</v>
      </c>
      <c r="E273" s="1530"/>
      <c r="F273" s="1530"/>
      <c r="G273" s="1532"/>
      <c r="H273" s="1539" t="s">
        <v>11</v>
      </c>
      <c r="I273" s="1675">
        <f>'Pnj APBDES'!K314</f>
        <v>149845905.84</v>
      </c>
      <c r="J273" s="1745"/>
      <c r="K273" s="1675">
        <f>K274-K283</f>
        <v>0</v>
      </c>
      <c r="L273" s="1675">
        <f t="shared" ref="L273:V273" si="135">L274-L283</f>
        <v>0</v>
      </c>
      <c r="M273" s="1675">
        <f t="shared" si="135"/>
        <v>0</v>
      </c>
      <c r="N273" s="1675">
        <f t="shared" si="135"/>
        <v>0</v>
      </c>
      <c r="O273" s="1675">
        <f t="shared" si="135"/>
        <v>0</v>
      </c>
      <c r="P273" s="1675">
        <f t="shared" si="135"/>
        <v>0</v>
      </c>
      <c r="Q273" s="1675">
        <f t="shared" si="135"/>
        <v>0</v>
      </c>
      <c r="R273" s="1675">
        <f t="shared" si="135"/>
        <v>0</v>
      </c>
      <c r="S273" s="1675">
        <f t="shared" si="135"/>
        <v>0</v>
      </c>
      <c r="T273" s="1675">
        <f>T274-T283</f>
        <v>20500000</v>
      </c>
      <c r="U273" s="1675">
        <f t="shared" si="135"/>
        <v>0</v>
      </c>
      <c r="V273" s="1675">
        <f t="shared" si="135"/>
        <v>0</v>
      </c>
      <c r="W273" s="1740">
        <f t="shared" ref="W273:W290" si="136">SUM(K273:V273)</f>
        <v>20500000</v>
      </c>
      <c r="X273" s="1751" t="str">
        <f t="shared" si="134"/>
        <v>Salah</v>
      </c>
      <c r="Y273" s="1540">
        <f t="shared" si="128"/>
        <v>-129345905.84</v>
      </c>
    </row>
    <row r="274" spans="1:25" s="1540" customFormat="1">
      <c r="A274" s="1529"/>
      <c r="B274" s="1530"/>
      <c r="C274" s="1531"/>
      <c r="D274" s="1529">
        <v>6</v>
      </c>
      <c r="E274" s="1530">
        <v>1</v>
      </c>
      <c r="F274" s="1530"/>
      <c r="G274" s="1532"/>
      <c r="H274" s="1539" t="s">
        <v>16</v>
      </c>
      <c r="I274" s="1675">
        <f>'Pnj APBDES'!K315</f>
        <v>149845905.84</v>
      </c>
      <c r="J274" s="1745"/>
      <c r="K274" s="1675">
        <f>K275</f>
        <v>0</v>
      </c>
      <c r="L274" s="1675">
        <f t="shared" ref="L274:V275" si="137">L275</f>
        <v>0</v>
      </c>
      <c r="M274" s="1675">
        <f t="shared" si="137"/>
        <v>0</v>
      </c>
      <c r="N274" s="1675">
        <f t="shared" si="137"/>
        <v>0</v>
      </c>
      <c r="O274" s="1675">
        <f t="shared" si="137"/>
        <v>0</v>
      </c>
      <c r="P274" s="1675">
        <f t="shared" si="137"/>
        <v>0</v>
      </c>
      <c r="Q274" s="1675">
        <f t="shared" si="137"/>
        <v>0</v>
      </c>
      <c r="R274" s="1675">
        <f t="shared" si="137"/>
        <v>0</v>
      </c>
      <c r="S274" s="1675">
        <f t="shared" si="137"/>
        <v>0</v>
      </c>
      <c r="T274" s="1675">
        <f t="shared" si="137"/>
        <v>60500000</v>
      </c>
      <c r="U274" s="1675">
        <f t="shared" si="137"/>
        <v>0</v>
      </c>
      <c r="V274" s="1675">
        <f t="shared" si="137"/>
        <v>0</v>
      </c>
      <c r="W274" s="1740">
        <f t="shared" si="136"/>
        <v>60500000</v>
      </c>
      <c r="X274" s="1751" t="str">
        <f t="shared" si="134"/>
        <v>Salah</v>
      </c>
      <c r="Y274" s="1540">
        <f t="shared" si="128"/>
        <v>-89345905.840000004</v>
      </c>
    </row>
    <row r="275" spans="1:25" s="1540" customFormat="1">
      <c r="A275" s="1529"/>
      <c r="B275" s="1530"/>
      <c r="C275" s="1531"/>
      <c r="D275" s="1529">
        <v>6</v>
      </c>
      <c r="E275" s="1530">
        <v>1</v>
      </c>
      <c r="F275" s="1530">
        <v>1</v>
      </c>
      <c r="G275" s="1532"/>
      <c r="H275" s="1539" t="s">
        <v>756</v>
      </c>
      <c r="I275" s="1675">
        <f>'Pnj APBDES'!K316</f>
        <v>149845905.84</v>
      </c>
      <c r="J275" s="1745"/>
      <c r="K275" s="1675">
        <f>K276</f>
        <v>0</v>
      </c>
      <c r="L275" s="1675">
        <f t="shared" si="137"/>
        <v>0</v>
      </c>
      <c r="M275" s="1675">
        <f t="shared" si="137"/>
        <v>0</v>
      </c>
      <c r="N275" s="1675">
        <f t="shared" si="137"/>
        <v>0</v>
      </c>
      <c r="O275" s="1675">
        <f t="shared" si="137"/>
        <v>0</v>
      </c>
      <c r="P275" s="1675">
        <f t="shared" si="137"/>
        <v>0</v>
      </c>
      <c r="Q275" s="1675">
        <f t="shared" si="137"/>
        <v>0</v>
      </c>
      <c r="R275" s="1675">
        <f t="shared" si="137"/>
        <v>0</v>
      </c>
      <c r="S275" s="1675">
        <f t="shared" si="137"/>
        <v>0</v>
      </c>
      <c r="T275" s="1675">
        <f t="shared" si="137"/>
        <v>60500000</v>
      </c>
      <c r="U275" s="1675">
        <f t="shared" si="137"/>
        <v>0</v>
      </c>
      <c r="V275" s="1675">
        <f t="shared" si="137"/>
        <v>0</v>
      </c>
      <c r="W275" s="1740">
        <f t="shared" si="136"/>
        <v>60500000</v>
      </c>
      <c r="X275" s="1751" t="str">
        <f t="shared" si="134"/>
        <v>Salah</v>
      </c>
      <c r="Y275" s="1540">
        <f t="shared" si="128"/>
        <v>-89345905.840000004</v>
      </c>
    </row>
    <row r="276" spans="1:25">
      <c r="A276" s="1534"/>
      <c r="B276" s="1535"/>
      <c r="C276" s="1536"/>
      <c r="D276" s="1534">
        <v>6</v>
      </c>
      <c r="E276" s="1535">
        <v>1</v>
      </c>
      <c r="F276" s="1535">
        <v>1</v>
      </c>
      <c r="G276" s="1537">
        <v>1</v>
      </c>
      <c r="H276" s="1538" t="s">
        <v>756</v>
      </c>
      <c r="I276" s="1679">
        <f>'Pnj APBDES'!K317</f>
        <v>149845905.84</v>
      </c>
      <c r="J276" s="1746"/>
      <c r="K276" s="1679">
        <v>0</v>
      </c>
      <c r="L276" s="1679">
        <v>0</v>
      </c>
      <c r="M276" s="1679">
        <v>0</v>
      </c>
      <c r="N276" s="1679">
        <v>0</v>
      </c>
      <c r="O276" s="1679">
        <v>0</v>
      </c>
      <c r="P276" s="1679">
        <v>0</v>
      </c>
      <c r="Q276" s="1679">
        <v>0</v>
      </c>
      <c r="R276" s="1679">
        <v>0</v>
      </c>
      <c r="S276" s="1679">
        <v>0</v>
      </c>
      <c r="T276" s="1679">
        <v>60500000</v>
      </c>
      <c r="U276" s="1679">
        <v>0</v>
      </c>
      <c r="V276" s="1679">
        <v>0</v>
      </c>
      <c r="W276" s="1541">
        <f t="shared" si="136"/>
        <v>60500000</v>
      </c>
      <c r="X276" s="1751" t="str">
        <f t="shared" si="134"/>
        <v>Salah</v>
      </c>
      <c r="Y276" s="1540">
        <f t="shared" si="128"/>
        <v>-89345905.840000004</v>
      </c>
    </row>
    <row r="277" spans="1:25">
      <c r="A277" s="1534"/>
      <c r="B277" s="1535"/>
      <c r="C277" s="1536"/>
      <c r="D277" s="1534">
        <v>6</v>
      </c>
      <c r="E277" s="1535">
        <v>1</v>
      </c>
      <c r="F277" s="1535">
        <v>2</v>
      </c>
      <c r="G277" s="1537"/>
      <c r="H277" s="1538" t="s">
        <v>17</v>
      </c>
      <c r="I277" s="1679">
        <f>'Pnj APBDES'!K318</f>
        <v>0</v>
      </c>
      <c r="J277" s="1746"/>
      <c r="K277" s="1679">
        <f>K278</f>
        <v>0</v>
      </c>
      <c r="L277" s="1679">
        <f t="shared" ref="L277:V277" si="138">L278</f>
        <v>0</v>
      </c>
      <c r="M277" s="1679">
        <f t="shared" si="138"/>
        <v>0</v>
      </c>
      <c r="N277" s="1679">
        <f t="shared" si="138"/>
        <v>0</v>
      </c>
      <c r="O277" s="1679">
        <f t="shared" si="138"/>
        <v>0</v>
      </c>
      <c r="P277" s="1679">
        <f t="shared" si="138"/>
        <v>0</v>
      </c>
      <c r="Q277" s="1679">
        <f t="shared" si="138"/>
        <v>0</v>
      </c>
      <c r="R277" s="1679">
        <f t="shared" si="138"/>
        <v>0</v>
      </c>
      <c r="S277" s="1679">
        <f t="shared" si="138"/>
        <v>0</v>
      </c>
      <c r="T277" s="1679">
        <f t="shared" si="138"/>
        <v>0</v>
      </c>
      <c r="U277" s="1679">
        <f t="shared" si="138"/>
        <v>0</v>
      </c>
      <c r="V277" s="1679">
        <f t="shared" si="138"/>
        <v>0</v>
      </c>
      <c r="W277" s="1541">
        <f t="shared" si="136"/>
        <v>0</v>
      </c>
      <c r="X277" s="1751" t="str">
        <f t="shared" si="134"/>
        <v>Sama</v>
      </c>
      <c r="Y277" s="1540">
        <f t="shared" si="128"/>
        <v>0</v>
      </c>
    </row>
    <row r="278" spans="1:25">
      <c r="A278" s="1534"/>
      <c r="B278" s="1535"/>
      <c r="C278" s="1536"/>
      <c r="D278" s="1534">
        <v>6</v>
      </c>
      <c r="E278" s="1535">
        <v>1</v>
      </c>
      <c r="F278" s="1535">
        <v>2</v>
      </c>
      <c r="G278" s="1537">
        <v>1</v>
      </c>
      <c r="H278" s="1538" t="s">
        <v>17</v>
      </c>
      <c r="I278" s="1679">
        <f>'Pnj APBDES'!K319</f>
        <v>0</v>
      </c>
      <c r="J278" s="1746"/>
      <c r="K278" s="1679"/>
      <c r="L278" s="1679"/>
      <c r="M278" s="1679"/>
      <c r="N278" s="1679"/>
      <c r="O278" s="1679"/>
      <c r="P278" s="1679"/>
      <c r="Q278" s="1679"/>
      <c r="R278" s="1679"/>
      <c r="S278" s="1679"/>
      <c r="T278" s="1679"/>
      <c r="U278" s="1679"/>
      <c r="V278" s="1679"/>
      <c r="W278" s="1541">
        <f t="shared" si="136"/>
        <v>0</v>
      </c>
      <c r="X278" s="1751" t="str">
        <f t="shared" si="134"/>
        <v>Sama</v>
      </c>
      <c r="Y278" s="1540">
        <f t="shared" si="128"/>
        <v>0</v>
      </c>
    </row>
    <row r="279" spans="1:25">
      <c r="A279" s="1534"/>
      <c r="B279" s="1535"/>
      <c r="C279" s="1536"/>
      <c r="D279" s="1534">
        <v>6</v>
      </c>
      <c r="E279" s="1535">
        <v>1</v>
      </c>
      <c r="F279" s="1535">
        <v>3</v>
      </c>
      <c r="G279" s="1537"/>
      <c r="H279" s="1538" t="s">
        <v>757</v>
      </c>
      <c r="I279" s="1679">
        <f>'Pnj APBDES'!K320</f>
        <v>0</v>
      </c>
      <c r="J279" s="1746"/>
      <c r="K279" s="1679">
        <f>K280</f>
        <v>0</v>
      </c>
      <c r="L279" s="1679">
        <f t="shared" ref="L279:V279" si="139">L280</f>
        <v>0</v>
      </c>
      <c r="M279" s="1679">
        <f t="shared" si="139"/>
        <v>0</v>
      </c>
      <c r="N279" s="1679">
        <f t="shared" si="139"/>
        <v>0</v>
      </c>
      <c r="O279" s="1679">
        <f t="shared" si="139"/>
        <v>0</v>
      </c>
      <c r="P279" s="1679">
        <f t="shared" si="139"/>
        <v>0</v>
      </c>
      <c r="Q279" s="1679">
        <f t="shared" si="139"/>
        <v>0</v>
      </c>
      <c r="R279" s="1679">
        <f t="shared" si="139"/>
        <v>0</v>
      </c>
      <c r="S279" s="1679">
        <f t="shared" si="139"/>
        <v>0</v>
      </c>
      <c r="T279" s="1679">
        <f t="shared" si="139"/>
        <v>0</v>
      </c>
      <c r="U279" s="1679">
        <f t="shared" si="139"/>
        <v>0</v>
      </c>
      <c r="V279" s="1679">
        <f t="shared" si="139"/>
        <v>0</v>
      </c>
      <c r="W279" s="1541">
        <f t="shared" si="136"/>
        <v>0</v>
      </c>
      <c r="X279" s="1751" t="str">
        <f t="shared" si="134"/>
        <v>Sama</v>
      </c>
      <c r="Y279" s="1540">
        <f t="shared" si="128"/>
        <v>0</v>
      </c>
    </row>
    <row r="280" spans="1:25">
      <c r="A280" s="1534"/>
      <c r="B280" s="1535"/>
      <c r="C280" s="1536"/>
      <c r="D280" s="1534">
        <v>6</v>
      </c>
      <c r="E280" s="1535">
        <v>1</v>
      </c>
      <c r="F280" s="1535">
        <v>3</v>
      </c>
      <c r="G280" s="1537">
        <v>1</v>
      </c>
      <c r="H280" s="1538" t="s">
        <v>757</v>
      </c>
      <c r="I280" s="1679">
        <f>'Pnj APBDES'!K321</f>
        <v>0</v>
      </c>
      <c r="J280" s="1746"/>
      <c r="K280" s="1679"/>
      <c r="L280" s="1679"/>
      <c r="M280" s="1679"/>
      <c r="N280" s="1679"/>
      <c r="O280" s="1679"/>
      <c r="P280" s="1679"/>
      <c r="Q280" s="1679"/>
      <c r="R280" s="1679"/>
      <c r="S280" s="1679"/>
      <c r="T280" s="1679"/>
      <c r="U280" s="1679"/>
      <c r="V280" s="1679"/>
      <c r="W280" s="1541">
        <f t="shared" si="136"/>
        <v>0</v>
      </c>
      <c r="X280" s="1751" t="str">
        <f t="shared" si="134"/>
        <v>Sama</v>
      </c>
      <c r="Y280" s="1540">
        <f t="shared" si="128"/>
        <v>0</v>
      </c>
    </row>
    <row r="281" spans="1:25">
      <c r="A281" s="1534"/>
      <c r="B281" s="1535"/>
      <c r="C281" s="1536"/>
      <c r="D281" s="1534">
        <v>6</v>
      </c>
      <c r="E281" s="1535">
        <v>1</v>
      </c>
      <c r="F281" s="1535">
        <v>9</v>
      </c>
      <c r="G281" s="1537"/>
      <c r="H281" s="1538" t="s">
        <v>758</v>
      </c>
      <c r="I281" s="1679">
        <f>'Pnj APBDES'!K322</f>
        <v>0</v>
      </c>
      <c r="J281" s="1746"/>
      <c r="K281" s="1679">
        <f>K282</f>
        <v>0</v>
      </c>
      <c r="L281" s="1679">
        <f t="shared" ref="L281:V281" si="140">L282</f>
        <v>0</v>
      </c>
      <c r="M281" s="1679">
        <f t="shared" si="140"/>
        <v>0</v>
      </c>
      <c r="N281" s="1679">
        <f t="shared" si="140"/>
        <v>0</v>
      </c>
      <c r="O281" s="1679">
        <f t="shared" si="140"/>
        <v>0</v>
      </c>
      <c r="P281" s="1679">
        <f t="shared" si="140"/>
        <v>0</v>
      </c>
      <c r="Q281" s="1679">
        <f t="shared" si="140"/>
        <v>0</v>
      </c>
      <c r="R281" s="1679">
        <f t="shared" si="140"/>
        <v>0</v>
      </c>
      <c r="S281" s="1679">
        <f t="shared" si="140"/>
        <v>0</v>
      </c>
      <c r="T281" s="1679">
        <f t="shared" si="140"/>
        <v>0</v>
      </c>
      <c r="U281" s="1679">
        <f t="shared" si="140"/>
        <v>0</v>
      </c>
      <c r="V281" s="1679">
        <f t="shared" si="140"/>
        <v>0</v>
      </c>
      <c r="W281" s="1541">
        <f t="shared" si="136"/>
        <v>0</v>
      </c>
      <c r="X281" s="1751" t="str">
        <f t="shared" si="134"/>
        <v>Sama</v>
      </c>
      <c r="Y281" s="1540">
        <f t="shared" si="128"/>
        <v>0</v>
      </c>
    </row>
    <row r="282" spans="1:25">
      <c r="A282" s="1534"/>
      <c r="B282" s="1535"/>
      <c r="C282" s="1536"/>
      <c r="D282" s="1534">
        <v>6</v>
      </c>
      <c r="E282" s="1535">
        <v>1</v>
      </c>
      <c r="F282" s="1535">
        <v>9</v>
      </c>
      <c r="G282" s="1537">
        <v>1</v>
      </c>
      <c r="H282" s="1538" t="s">
        <v>758</v>
      </c>
      <c r="I282" s="1679">
        <f>'Pnj APBDES'!K323</f>
        <v>0</v>
      </c>
      <c r="J282" s="1746"/>
      <c r="K282" s="1679"/>
      <c r="L282" s="1679"/>
      <c r="M282" s="1679"/>
      <c r="N282" s="1679"/>
      <c r="O282" s="1679"/>
      <c r="P282" s="1679"/>
      <c r="Q282" s="1679"/>
      <c r="R282" s="1679"/>
      <c r="S282" s="1679"/>
      <c r="T282" s="1679"/>
      <c r="U282" s="1679"/>
      <c r="V282" s="1679"/>
      <c r="W282" s="1541">
        <f t="shared" si="136"/>
        <v>0</v>
      </c>
      <c r="X282" s="1751" t="str">
        <f t="shared" si="134"/>
        <v>Sama</v>
      </c>
      <c r="Y282" s="1540">
        <f t="shared" si="128"/>
        <v>0</v>
      </c>
    </row>
    <row r="283" spans="1:25" s="1540" customFormat="1">
      <c r="A283" s="1529"/>
      <c r="B283" s="1530"/>
      <c r="C283" s="1531"/>
      <c r="D283" s="1529">
        <v>6</v>
      </c>
      <c r="E283" s="1530">
        <v>2</v>
      </c>
      <c r="F283" s="1530"/>
      <c r="G283" s="1532"/>
      <c r="H283" s="1539" t="s">
        <v>18</v>
      </c>
      <c r="I283" s="1675">
        <f>'Pnj APBDES'!K324</f>
        <v>0</v>
      </c>
      <c r="J283" s="1745"/>
      <c r="K283" s="1675">
        <f>K284+K286</f>
        <v>0</v>
      </c>
      <c r="L283" s="1675">
        <f t="shared" ref="L283:V283" si="141">L284+L286</f>
        <v>0</v>
      </c>
      <c r="M283" s="1675">
        <f t="shared" si="141"/>
        <v>0</v>
      </c>
      <c r="N283" s="1675">
        <f t="shared" si="141"/>
        <v>0</v>
      </c>
      <c r="O283" s="1675">
        <f t="shared" si="141"/>
        <v>0</v>
      </c>
      <c r="P283" s="1675">
        <f t="shared" si="141"/>
        <v>0</v>
      </c>
      <c r="Q283" s="1675">
        <f t="shared" si="141"/>
        <v>0</v>
      </c>
      <c r="R283" s="1675">
        <f t="shared" si="141"/>
        <v>0</v>
      </c>
      <c r="S283" s="1675">
        <f t="shared" si="141"/>
        <v>0</v>
      </c>
      <c r="T283" s="1675">
        <f t="shared" si="141"/>
        <v>40000000</v>
      </c>
      <c r="U283" s="1675">
        <f t="shared" si="141"/>
        <v>0</v>
      </c>
      <c r="V283" s="1675">
        <f t="shared" si="141"/>
        <v>0</v>
      </c>
      <c r="W283" s="1740">
        <f t="shared" si="136"/>
        <v>40000000</v>
      </c>
      <c r="X283" s="1751" t="str">
        <f t="shared" si="134"/>
        <v>Salah</v>
      </c>
      <c r="Y283" s="1540">
        <f t="shared" si="128"/>
        <v>40000000</v>
      </c>
    </row>
    <row r="284" spans="1:25" s="1540" customFormat="1">
      <c r="A284" s="1529"/>
      <c r="B284" s="1530"/>
      <c r="C284" s="1531"/>
      <c r="D284" s="1529">
        <v>6</v>
      </c>
      <c r="E284" s="1530">
        <v>2</v>
      </c>
      <c r="F284" s="1530">
        <v>1</v>
      </c>
      <c r="G284" s="1532"/>
      <c r="H284" s="1539" t="s">
        <v>19</v>
      </c>
      <c r="I284" s="1675">
        <f>'Pnj APBDES'!K325</f>
        <v>0</v>
      </c>
      <c r="J284" s="1745"/>
      <c r="K284" s="1675">
        <f>K285</f>
        <v>0</v>
      </c>
      <c r="L284" s="1675">
        <f t="shared" ref="L284:V284" si="142">L285</f>
        <v>0</v>
      </c>
      <c r="M284" s="1675">
        <f t="shared" si="142"/>
        <v>0</v>
      </c>
      <c r="N284" s="1675">
        <f t="shared" si="142"/>
        <v>0</v>
      </c>
      <c r="O284" s="1675">
        <f t="shared" si="142"/>
        <v>0</v>
      </c>
      <c r="P284" s="1675">
        <f t="shared" si="142"/>
        <v>0</v>
      </c>
      <c r="Q284" s="1675">
        <f t="shared" si="142"/>
        <v>0</v>
      </c>
      <c r="R284" s="1675">
        <f t="shared" si="142"/>
        <v>0</v>
      </c>
      <c r="S284" s="1675">
        <f t="shared" si="142"/>
        <v>0</v>
      </c>
      <c r="T284" s="1675">
        <f t="shared" si="142"/>
        <v>0</v>
      </c>
      <c r="U284" s="1675">
        <f t="shared" si="142"/>
        <v>0</v>
      </c>
      <c r="V284" s="1675">
        <f t="shared" si="142"/>
        <v>0</v>
      </c>
      <c r="W284" s="1740">
        <f t="shared" si="136"/>
        <v>0</v>
      </c>
      <c r="X284" s="1751" t="str">
        <f t="shared" si="134"/>
        <v>Sama</v>
      </c>
      <c r="Y284" s="1540">
        <f t="shared" si="128"/>
        <v>0</v>
      </c>
    </row>
    <row r="285" spans="1:25">
      <c r="A285" s="1534"/>
      <c r="B285" s="1535"/>
      <c r="C285" s="1536"/>
      <c r="D285" s="1534">
        <v>6</v>
      </c>
      <c r="E285" s="1535">
        <v>2</v>
      </c>
      <c r="F285" s="1535">
        <v>1</v>
      </c>
      <c r="G285" s="1537">
        <v>1</v>
      </c>
      <c r="H285" s="1538" t="s">
        <v>19</v>
      </c>
      <c r="I285" s="1679">
        <f>'Pnj APBDES'!K326</f>
        <v>0</v>
      </c>
      <c r="J285" s="1746"/>
      <c r="K285" s="1679"/>
      <c r="L285" s="1679"/>
      <c r="M285" s="1679"/>
      <c r="N285" s="1679"/>
      <c r="O285" s="1679"/>
      <c r="P285" s="1679"/>
      <c r="Q285" s="1679"/>
      <c r="R285" s="1679"/>
      <c r="S285" s="1679"/>
      <c r="T285" s="1679"/>
      <c r="U285" s="1679"/>
      <c r="V285" s="1679"/>
      <c r="W285" s="1541">
        <f t="shared" si="136"/>
        <v>0</v>
      </c>
      <c r="X285" s="1751" t="str">
        <f t="shared" si="134"/>
        <v>Sama</v>
      </c>
      <c r="Y285" s="1540">
        <f t="shared" si="128"/>
        <v>0</v>
      </c>
    </row>
    <row r="286" spans="1:25" s="1540" customFormat="1">
      <c r="A286" s="1529"/>
      <c r="B286" s="1530"/>
      <c r="C286" s="1531"/>
      <c r="D286" s="1529">
        <v>6</v>
      </c>
      <c r="E286" s="1530">
        <v>2</v>
      </c>
      <c r="F286" s="1530">
        <v>2</v>
      </c>
      <c r="G286" s="1532"/>
      <c r="H286" s="1539" t="s">
        <v>20</v>
      </c>
      <c r="I286" s="1675">
        <f>'Pnj APBDES'!K327</f>
        <v>0</v>
      </c>
      <c r="J286" s="1745"/>
      <c r="K286" s="1675">
        <f>K287</f>
        <v>0</v>
      </c>
      <c r="L286" s="1675">
        <f t="shared" ref="L286:V286" si="143">L287</f>
        <v>0</v>
      </c>
      <c r="M286" s="1675">
        <f t="shared" si="143"/>
        <v>0</v>
      </c>
      <c r="N286" s="1675">
        <f t="shared" si="143"/>
        <v>0</v>
      </c>
      <c r="O286" s="1675">
        <f t="shared" si="143"/>
        <v>0</v>
      </c>
      <c r="P286" s="1675">
        <f t="shared" si="143"/>
        <v>0</v>
      </c>
      <c r="Q286" s="1675">
        <f t="shared" si="143"/>
        <v>0</v>
      </c>
      <c r="R286" s="1675">
        <f t="shared" si="143"/>
        <v>0</v>
      </c>
      <c r="S286" s="1675">
        <f t="shared" si="143"/>
        <v>0</v>
      </c>
      <c r="T286" s="1675">
        <f t="shared" si="143"/>
        <v>40000000</v>
      </c>
      <c r="U286" s="1675">
        <f t="shared" si="143"/>
        <v>0</v>
      </c>
      <c r="V286" s="1675">
        <f t="shared" si="143"/>
        <v>0</v>
      </c>
      <c r="W286" s="1740">
        <f t="shared" si="136"/>
        <v>40000000</v>
      </c>
      <c r="X286" s="1751" t="str">
        <f t="shared" si="134"/>
        <v>Salah</v>
      </c>
      <c r="Y286" s="1540">
        <f t="shared" si="128"/>
        <v>40000000</v>
      </c>
    </row>
    <row r="287" spans="1:25">
      <c r="A287" s="1534"/>
      <c r="B287" s="1535"/>
      <c r="C287" s="1536"/>
      <c r="D287" s="1534">
        <v>6</v>
      </c>
      <c r="E287" s="1535">
        <v>2</v>
      </c>
      <c r="F287" s="1535">
        <v>2</v>
      </c>
      <c r="G287" s="1537">
        <v>1</v>
      </c>
      <c r="H287" s="1538" t="s">
        <v>20</v>
      </c>
      <c r="I287" s="1679">
        <f>'Pnj APBDES'!K328</f>
        <v>0</v>
      </c>
      <c r="J287" s="1746"/>
      <c r="K287" s="1679"/>
      <c r="L287" s="1679"/>
      <c r="M287" s="1679"/>
      <c r="N287" s="1679"/>
      <c r="O287" s="1679"/>
      <c r="P287" s="1679"/>
      <c r="Q287" s="1679"/>
      <c r="R287" s="1679"/>
      <c r="S287" s="1679"/>
      <c r="T287" s="1679">
        <v>40000000</v>
      </c>
      <c r="U287" s="1679"/>
      <c r="V287" s="1679"/>
      <c r="W287" s="1541">
        <f t="shared" si="136"/>
        <v>40000000</v>
      </c>
      <c r="X287" s="1751" t="str">
        <f t="shared" si="134"/>
        <v>Salah</v>
      </c>
      <c r="Y287" s="1540">
        <f t="shared" si="128"/>
        <v>40000000</v>
      </c>
    </row>
    <row r="288" spans="1:25" s="1540" customFormat="1" ht="15.75">
      <c r="A288" s="1529"/>
      <c r="B288" s="1530"/>
      <c r="C288" s="1531"/>
      <c r="D288" s="1529">
        <v>6</v>
      </c>
      <c r="E288" s="1530">
        <v>2</v>
      </c>
      <c r="F288" s="1530">
        <v>3</v>
      </c>
      <c r="G288" s="1532"/>
      <c r="H288" s="1539" t="s">
        <v>759</v>
      </c>
      <c r="I288" s="1648">
        <f>'Pnj APBDES'!K329</f>
        <v>0</v>
      </c>
      <c r="J288" s="1750"/>
      <c r="K288" s="1648">
        <f>K289</f>
        <v>0</v>
      </c>
      <c r="L288" s="1648">
        <f t="shared" ref="L288:V288" si="144">L289</f>
        <v>0</v>
      </c>
      <c r="M288" s="1648">
        <f t="shared" si="144"/>
        <v>0</v>
      </c>
      <c r="N288" s="1648">
        <f t="shared" si="144"/>
        <v>0</v>
      </c>
      <c r="O288" s="1648">
        <f t="shared" si="144"/>
        <v>0</v>
      </c>
      <c r="P288" s="1648">
        <f t="shared" si="144"/>
        <v>0</v>
      </c>
      <c r="Q288" s="1648">
        <f t="shared" si="144"/>
        <v>0</v>
      </c>
      <c r="R288" s="1648">
        <f t="shared" si="144"/>
        <v>0</v>
      </c>
      <c r="S288" s="1648">
        <f t="shared" si="144"/>
        <v>0</v>
      </c>
      <c r="T288" s="1648">
        <f t="shared" si="144"/>
        <v>0</v>
      </c>
      <c r="U288" s="1648">
        <f t="shared" si="144"/>
        <v>0</v>
      </c>
      <c r="V288" s="1648">
        <f t="shared" si="144"/>
        <v>0</v>
      </c>
      <c r="W288" s="1740">
        <f t="shared" si="136"/>
        <v>0</v>
      </c>
      <c r="X288" s="1751" t="str">
        <f t="shared" si="134"/>
        <v>Sama</v>
      </c>
      <c r="Y288" s="1540">
        <f t="shared" si="128"/>
        <v>0</v>
      </c>
    </row>
    <row r="289" spans="1:25" ht="15">
      <c r="A289" s="1534"/>
      <c r="B289" s="1535"/>
      <c r="C289" s="1536"/>
      <c r="D289" s="1534">
        <v>6</v>
      </c>
      <c r="E289" s="1535">
        <v>2</v>
      </c>
      <c r="F289" s="1535">
        <v>3</v>
      </c>
      <c r="G289" s="1537">
        <v>1</v>
      </c>
      <c r="H289" s="1538" t="s">
        <v>759</v>
      </c>
      <c r="I289" s="1649">
        <f>'Pnj APBDES'!K330</f>
        <v>0</v>
      </c>
      <c r="J289" s="1749"/>
      <c r="K289" s="1649"/>
      <c r="L289" s="1649"/>
      <c r="M289" s="1649"/>
      <c r="N289" s="1649"/>
      <c r="O289" s="1649"/>
      <c r="P289" s="1649"/>
      <c r="Q289" s="1649"/>
      <c r="R289" s="1649"/>
      <c r="S289" s="1649"/>
      <c r="T289" s="1649"/>
      <c r="U289" s="1649"/>
      <c r="V289" s="1649"/>
      <c r="W289" s="1541">
        <f t="shared" si="136"/>
        <v>0</v>
      </c>
      <c r="X289" s="1751" t="str">
        <f t="shared" si="134"/>
        <v>Sama</v>
      </c>
      <c r="Y289" s="1540">
        <f t="shared" si="128"/>
        <v>0</v>
      </c>
    </row>
    <row r="290" spans="1:25" ht="15">
      <c r="A290" s="1542"/>
      <c r="B290" s="1543"/>
      <c r="C290" s="1544"/>
      <c r="D290" s="1542"/>
      <c r="E290" s="1543"/>
      <c r="F290" s="1543"/>
      <c r="G290" s="1545"/>
      <c r="H290" s="1546"/>
      <c r="I290" s="1761"/>
      <c r="J290" s="1762"/>
      <c r="K290" s="1761"/>
      <c r="L290" s="1761"/>
      <c r="M290" s="1761"/>
      <c r="N290" s="1761"/>
      <c r="O290" s="1761"/>
      <c r="P290" s="1761"/>
      <c r="Q290" s="1761"/>
      <c r="R290" s="1761"/>
      <c r="S290" s="1761"/>
      <c r="T290" s="1761"/>
      <c r="U290" s="1761"/>
      <c r="V290" s="1761"/>
      <c r="W290" s="1547">
        <f t="shared" si="136"/>
        <v>0</v>
      </c>
      <c r="X290" s="1751"/>
      <c r="Y290" s="1540">
        <f t="shared" si="128"/>
        <v>0</v>
      </c>
    </row>
    <row r="291" spans="1:25">
      <c r="A291" s="3010"/>
      <c r="B291" s="3011"/>
      <c r="C291" s="3011"/>
      <c r="D291" s="3011"/>
      <c r="E291" s="3011"/>
      <c r="F291" s="3011"/>
      <c r="G291" s="3011"/>
      <c r="H291" s="3012"/>
      <c r="I291" s="1763">
        <f>I16+I118+I158+I215+I273</f>
        <v>1685939905.8399999</v>
      </c>
      <c r="J291" s="1763"/>
      <c r="K291" s="1763" t="e">
        <f>K270+K273</f>
        <v>#REF!</v>
      </c>
      <c r="L291" s="1763" t="e">
        <f t="shared" ref="L291:V291" si="145">L270+L273</f>
        <v>#REF!</v>
      </c>
      <c r="M291" s="1763" t="e">
        <f t="shared" si="145"/>
        <v>#REF!</v>
      </c>
      <c r="N291" s="1763" t="e">
        <f t="shared" si="145"/>
        <v>#REF!</v>
      </c>
      <c r="O291" s="1763" t="e">
        <f t="shared" si="145"/>
        <v>#REF!</v>
      </c>
      <c r="P291" s="1763" t="e">
        <f t="shared" si="145"/>
        <v>#REF!</v>
      </c>
      <c r="Q291" s="1763" t="e">
        <f t="shared" si="145"/>
        <v>#REF!</v>
      </c>
      <c r="R291" s="1763" t="e">
        <f t="shared" si="145"/>
        <v>#REF!</v>
      </c>
      <c r="S291" s="1763" t="e">
        <f t="shared" si="145"/>
        <v>#REF!</v>
      </c>
      <c r="T291" s="1763" t="e">
        <f t="shared" si="145"/>
        <v>#REF!</v>
      </c>
      <c r="U291" s="1763" t="e">
        <f t="shared" si="145"/>
        <v>#REF!</v>
      </c>
      <c r="V291" s="1763" t="e">
        <f t="shared" si="145"/>
        <v>#REF!</v>
      </c>
      <c r="W291" s="1764" t="e">
        <f>SUM(K291:V291)</f>
        <v>#REF!</v>
      </c>
      <c r="X291" s="1751"/>
      <c r="Y291" s="1540" t="e">
        <f t="shared" si="128"/>
        <v>#REF!</v>
      </c>
    </row>
    <row r="292" spans="1:25" ht="15">
      <c r="A292" s="1548"/>
      <c r="B292" s="1549"/>
      <c r="C292" s="1549"/>
      <c r="D292" s="1549"/>
      <c r="E292" s="1549"/>
      <c r="F292" s="1549"/>
      <c r="G292" s="1550"/>
      <c r="H292" s="1549"/>
      <c r="I292" s="1555"/>
      <c r="J292" s="1760"/>
      <c r="K292" s="1551"/>
      <c r="L292" s="1551"/>
      <c r="M292" s="1551"/>
      <c r="N292" s="1551"/>
      <c r="O292" s="1551"/>
      <c r="P292" s="1551"/>
      <c r="Q292" s="1551"/>
      <c r="R292" s="1551"/>
      <c r="S292" s="1551"/>
      <c r="T292" s="1551"/>
      <c r="U292" s="1551"/>
      <c r="V292" s="1551"/>
      <c r="W292" s="1552"/>
      <c r="X292" s="1553"/>
    </row>
    <row r="293" spans="1:25" s="1558" customFormat="1" ht="15">
      <c r="A293" s="1554"/>
      <c r="B293" s="1555"/>
      <c r="C293" s="1555"/>
      <c r="D293" s="1555"/>
      <c r="E293" s="1555"/>
      <c r="F293" s="1555"/>
      <c r="G293" s="1556"/>
      <c r="H293" s="1555"/>
      <c r="I293" s="1555"/>
      <c r="J293" s="1758"/>
      <c r="K293" s="1555"/>
      <c r="L293" s="1555"/>
      <c r="M293" s="1555"/>
      <c r="N293" s="3013" t="s">
        <v>1361</v>
      </c>
      <c r="O293" s="3013"/>
      <c r="P293" s="3013"/>
      <c r="Q293" s="1555"/>
      <c r="R293" s="1555"/>
      <c r="S293" s="3013" t="s">
        <v>1365</v>
      </c>
      <c r="T293" s="3013"/>
      <c r="U293" s="3013"/>
      <c r="V293" s="3013"/>
      <c r="W293" s="1557"/>
    </row>
    <row r="294" spans="1:25" s="1558" customFormat="1" ht="15">
      <c r="A294" s="3014" t="s">
        <v>1359</v>
      </c>
      <c r="B294" s="3013"/>
      <c r="C294" s="3013"/>
      <c r="D294" s="3013"/>
      <c r="E294" s="3013"/>
      <c r="F294" s="3013"/>
      <c r="G294" s="3013"/>
      <c r="H294" s="3013"/>
      <c r="I294" s="1555"/>
      <c r="J294" s="1758"/>
      <c r="K294" s="1555"/>
      <c r="L294" s="1555"/>
      <c r="M294" s="1555"/>
      <c r="N294" s="3013" t="s">
        <v>584</v>
      </c>
      <c r="O294" s="3013"/>
      <c r="P294" s="3013"/>
      <c r="Q294" s="1555"/>
      <c r="R294" s="1555"/>
      <c r="S294" s="3013" t="s">
        <v>1022</v>
      </c>
      <c r="T294" s="3013"/>
      <c r="U294" s="3013"/>
      <c r="V294" s="3013"/>
      <c r="W294" s="1557"/>
    </row>
    <row r="295" spans="1:25" s="1558" customFormat="1" ht="15">
      <c r="A295" s="3014" t="s">
        <v>1360</v>
      </c>
      <c r="B295" s="3013"/>
      <c r="C295" s="3013"/>
      <c r="D295" s="3013"/>
      <c r="E295" s="3013"/>
      <c r="F295" s="3013"/>
      <c r="G295" s="3013"/>
      <c r="H295" s="3013"/>
      <c r="I295" s="1555"/>
      <c r="J295" s="1758"/>
      <c r="K295" s="1559"/>
      <c r="L295" s="1559"/>
      <c r="M295" s="1559"/>
      <c r="N295" s="1559" t="s">
        <v>21</v>
      </c>
      <c r="O295" s="1559"/>
      <c r="P295" s="1559"/>
      <c r="Q295" s="1559"/>
      <c r="R295" s="1559"/>
      <c r="S295" s="1559"/>
      <c r="T295" s="1559"/>
      <c r="U295" s="1559"/>
      <c r="V295" s="1559"/>
      <c r="W295" s="1560"/>
    </row>
    <row r="296" spans="1:25" s="1558" customFormat="1" ht="15" customHeight="1">
      <c r="A296" s="1561"/>
      <c r="B296" s="1559"/>
      <c r="C296" s="1559"/>
      <c r="D296" s="1559"/>
      <c r="E296" s="1559"/>
      <c r="F296" s="1559"/>
      <c r="G296" s="1562"/>
      <c r="H296" s="1559"/>
      <c r="I296" s="1555"/>
      <c r="J296" s="1758"/>
      <c r="M296" s="1559"/>
      <c r="Q296" s="1559"/>
      <c r="S296" s="1559"/>
      <c r="T296" s="1559"/>
      <c r="U296" s="1559"/>
      <c r="V296" s="1559"/>
      <c r="W296" s="1560"/>
    </row>
    <row r="297" spans="1:25" s="1558" customFormat="1" ht="15" customHeight="1">
      <c r="A297" s="1561"/>
      <c r="B297" s="1559"/>
      <c r="C297" s="1559"/>
      <c r="D297" s="1559"/>
      <c r="E297" s="1559"/>
      <c r="F297" s="1559"/>
      <c r="G297" s="1562"/>
      <c r="H297" s="1559"/>
      <c r="I297" s="1555"/>
      <c r="J297" s="1758"/>
      <c r="M297" s="1559"/>
      <c r="Q297" s="1559"/>
      <c r="S297" s="1559"/>
      <c r="T297" s="1559"/>
      <c r="U297" s="1559"/>
      <c r="V297" s="1559"/>
      <c r="W297" s="1560"/>
    </row>
    <row r="298" spans="1:25" s="1558" customFormat="1" ht="15">
      <c r="A298" s="1561"/>
      <c r="B298" s="1559"/>
      <c r="C298" s="1559"/>
      <c r="D298" s="1559"/>
      <c r="E298" s="1559"/>
      <c r="F298" s="1559"/>
      <c r="G298" s="1562"/>
      <c r="H298" s="1559"/>
      <c r="I298" s="1555"/>
      <c r="J298" s="1758"/>
      <c r="M298" s="1559"/>
      <c r="N298" s="1559"/>
      <c r="O298" s="1559"/>
      <c r="P298" s="1559"/>
      <c r="Q298" s="1559"/>
      <c r="W298" s="1560"/>
    </row>
    <row r="299" spans="1:25" s="1558" customFormat="1" ht="15">
      <c r="A299" s="1561"/>
      <c r="B299" s="1559"/>
      <c r="C299" s="1559"/>
      <c r="D299" s="1559"/>
      <c r="E299" s="1559"/>
      <c r="F299" s="1559"/>
      <c r="G299" s="1562"/>
      <c r="H299" s="1559"/>
      <c r="I299" s="1555"/>
      <c r="J299" s="1758"/>
      <c r="M299" s="1559"/>
      <c r="N299" s="1559"/>
      <c r="O299" s="1559"/>
      <c r="P299" s="1559"/>
      <c r="Q299" s="1559"/>
      <c r="W299" s="1560"/>
    </row>
    <row r="300" spans="1:25" s="1558" customFormat="1" ht="15">
      <c r="A300" s="1561"/>
      <c r="B300" s="1559"/>
      <c r="C300" s="1559"/>
      <c r="D300" s="1559"/>
      <c r="E300" s="1559"/>
      <c r="F300" s="1559"/>
      <c r="G300" s="1562"/>
      <c r="H300" s="1758"/>
      <c r="I300" s="1555"/>
      <c r="J300" s="1758"/>
      <c r="M300" s="1559"/>
      <c r="Q300" s="1559"/>
      <c r="W300" s="1560"/>
    </row>
    <row r="301" spans="1:25" s="1558" customFormat="1" ht="20.25">
      <c r="B301" s="1765"/>
      <c r="C301" s="1765"/>
      <c r="D301" s="1765"/>
      <c r="E301" s="1765"/>
      <c r="F301" s="1765"/>
      <c r="G301" s="1765"/>
      <c r="H301" s="1766"/>
      <c r="I301" s="1555"/>
      <c r="J301" s="1758"/>
      <c r="M301" s="1555"/>
      <c r="N301" s="3006"/>
      <c r="O301" s="3006"/>
      <c r="P301" s="3006"/>
      <c r="Q301" s="1559"/>
      <c r="S301" s="3015"/>
      <c r="T301" s="3015"/>
      <c r="U301" s="3015"/>
      <c r="V301" s="3015"/>
      <c r="W301" s="1557"/>
    </row>
    <row r="302" spans="1:25" s="1558" customFormat="1" ht="15">
      <c r="H302" s="1742"/>
      <c r="I302" s="1555"/>
      <c r="J302" s="1758"/>
      <c r="M302" s="1559"/>
      <c r="N302" s="1559"/>
      <c r="O302" s="1559"/>
      <c r="P302" s="1559"/>
      <c r="Q302" s="1559"/>
      <c r="S302" s="1559"/>
      <c r="T302" s="1559"/>
      <c r="U302" s="1559"/>
      <c r="V302" s="1559"/>
      <c r="W302" s="1560"/>
    </row>
    <row r="303" spans="1:25" s="1558" customFormat="1" ht="15">
      <c r="A303" s="1563"/>
      <c r="B303" s="1564"/>
      <c r="C303" s="1564"/>
      <c r="D303" s="1564"/>
      <c r="E303" s="1564"/>
      <c r="F303" s="1564"/>
      <c r="G303" s="1556"/>
      <c r="H303" s="1564"/>
      <c r="I303" s="1555"/>
      <c r="J303" s="1758"/>
      <c r="M303" s="1555"/>
      <c r="N303" s="1555"/>
      <c r="O303" s="1555"/>
      <c r="P303" s="1555"/>
      <c r="Q303" s="1555"/>
      <c r="S303" s="1555"/>
      <c r="T303" s="1555"/>
      <c r="U303" s="1555"/>
      <c r="V303" s="1555"/>
      <c r="W303" s="1557"/>
    </row>
    <row r="304" spans="1:25" s="1558" customFormat="1" ht="15">
      <c r="A304" s="1563"/>
      <c r="B304" s="1564"/>
      <c r="C304" s="1564"/>
      <c r="D304" s="1564"/>
      <c r="E304" s="1564"/>
      <c r="F304" s="1564"/>
      <c r="G304" s="1556"/>
      <c r="H304" s="1564"/>
      <c r="I304" s="1555"/>
      <c r="J304" s="1758"/>
      <c r="M304" s="1555"/>
      <c r="N304" s="1555"/>
      <c r="O304" s="1555"/>
      <c r="P304" s="1555"/>
      <c r="Q304" s="1555"/>
      <c r="S304" s="1555"/>
      <c r="T304" s="1555"/>
      <c r="U304" s="1555"/>
      <c r="V304" s="1555"/>
      <c r="W304" s="1557"/>
    </row>
    <row r="305" spans="1:24" ht="15" customHeight="1">
      <c r="A305" s="1565"/>
      <c r="B305" s="1566"/>
      <c r="C305" s="1566"/>
      <c r="D305" s="1566"/>
      <c r="E305" s="1566"/>
      <c r="F305" s="1566"/>
      <c r="G305" s="1567"/>
      <c r="H305" s="1566"/>
      <c r="I305" s="1555"/>
      <c r="J305" s="1568"/>
      <c r="M305" s="1566"/>
      <c r="Q305" s="1568"/>
      <c r="S305" s="1569"/>
      <c r="T305" s="1569"/>
      <c r="U305" s="1569"/>
      <c r="V305" s="1569"/>
      <c r="W305" s="1570"/>
      <c r="X305" s="1553"/>
    </row>
    <row r="306" spans="1:24">
      <c r="A306" s="1571"/>
      <c r="B306" s="1572"/>
      <c r="C306" s="1572"/>
      <c r="D306" s="1572"/>
      <c r="E306" s="1572"/>
      <c r="F306" s="1572"/>
      <c r="G306" s="1573"/>
      <c r="H306" s="1572"/>
      <c r="I306" s="1572"/>
      <c r="J306" s="1572"/>
      <c r="K306" s="1519"/>
      <c r="L306" s="1519"/>
      <c r="M306" s="1519"/>
      <c r="N306" s="1519"/>
      <c r="O306" s="1519"/>
      <c r="P306" s="1519"/>
      <c r="Q306" s="1519"/>
      <c r="R306" s="1519"/>
      <c r="S306" s="1519"/>
      <c r="T306" s="1519"/>
      <c r="U306" s="1519"/>
      <c r="V306" s="1519"/>
      <c r="W306" s="1520"/>
    </row>
    <row r="307" spans="1:24" ht="15">
      <c r="I307" s="1555"/>
    </row>
    <row r="308" spans="1:24" ht="15">
      <c r="I308" s="1555"/>
    </row>
    <row r="309" spans="1:24" ht="15">
      <c r="I309" s="1555"/>
    </row>
    <row r="310" spans="1:24" ht="15">
      <c r="I310" s="1555"/>
    </row>
    <row r="311" spans="1:24" ht="15">
      <c r="I311" s="1555"/>
    </row>
    <row r="312" spans="1:24" ht="15">
      <c r="I312" s="1555"/>
    </row>
    <row r="313" spans="1:24" ht="15">
      <c r="I313" s="1555"/>
    </row>
    <row r="314" spans="1:24" ht="15">
      <c r="I314" s="1555"/>
    </row>
    <row r="315" spans="1:24" ht="15">
      <c r="I315" s="1555"/>
    </row>
    <row r="316" spans="1:24" ht="15">
      <c r="I316" s="1555"/>
    </row>
    <row r="317" spans="1:24" ht="15">
      <c r="I317" s="1555"/>
    </row>
    <row r="318" spans="1:24" ht="15">
      <c r="I318" s="1555"/>
    </row>
    <row r="319" spans="1:24" ht="15">
      <c r="I319" s="1555"/>
    </row>
    <row r="320" spans="1:24" ht="15">
      <c r="I320" s="1555"/>
    </row>
    <row r="321" spans="1:25" ht="15">
      <c r="I321" s="1555"/>
    </row>
    <row r="322" spans="1:25" ht="15">
      <c r="I322" s="1555"/>
    </row>
    <row r="323" spans="1:25" ht="15">
      <c r="I323" s="1555"/>
    </row>
    <row r="324" spans="1:25" s="1501" customFormat="1" ht="15.75" thickBot="1">
      <c r="G324" s="1502"/>
      <c r="I324" s="1555"/>
      <c r="J324" s="1741"/>
      <c r="K324" s="1504"/>
      <c r="L324" s="1504"/>
      <c r="M324" s="1504"/>
      <c r="N324" s="1504"/>
      <c r="O324" s="1504"/>
      <c r="P324" s="1504"/>
      <c r="Q324" s="1504"/>
      <c r="R324" s="1504"/>
      <c r="S324" s="1504"/>
      <c r="T324" s="1504"/>
      <c r="U324" s="1504"/>
      <c r="V324" s="1504"/>
      <c r="W324" s="1504"/>
      <c r="X324" s="1504"/>
      <c r="Y324" s="1504"/>
    </row>
    <row r="325" spans="1:25" s="1501" customFormat="1" ht="15">
      <c r="A325" s="1574"/>
      <c r="G325" s="1502"/>
      <c r="I325" s="1555"/>
      <c r="J325" s="1741"/>
      <c r="K325" s="1504"/>
      <c r="L325" s="1504"/>
      <c r="M325" s="1504"/>
      <c r="N325" s="1504"/>
      <c r="O325" s="1504"/>
      <c r="P325" s="1504"/>
      <c r="Q325" s="1504"/>
      <c r="R325" s="1504"/>
      <c r="S325" s="1504"/>
      <c r="T325" s="1504"/>
      <c r="U325" s="1504"/>
      <c r="V325" s="1504"/>
      <c r="W325" s="1504"/>
      <c r="X325" s="1504"/>
      <c r="Y325" s="1504"/>
    </row>
    <row r="326" spans="1:25" s="1501" customFormat="1" ht="15">
      <c r="A326" s="1512"/>
      <c r="G326" s="1502"/>
      <c r="I326" s="1555"/>
      <c r="J326" s="1741"/>
      <c r="K326" s="1504"/>
      <c r="L326" s="1504"/>
      <c r="M326" s="1504"/>
      <c r="N326" s="1504"/>
      <c r="O326" s="1504"/>
      <c r="P326" s="1504"/>
      <c r="Q326" s="1504"/>
      <c r="R326" s="1504"/>
      <c r="S326" s="1504"/>
      <c r="T326" s="1504"/>
      <c r="U326" s="1504"/>
      <c r="V326" s="1504"/>
      <c r="W326" s="1504"/>
      <c r="X326" s="1504"/>
      <c r="Y326" s="1504"/>
    </row>
    <row r="327" spans="1:25" s="1501" customFormat="1" ht="15">
      <c r="A327" s="1512"/>
      <c r="G327" s="1502"/>
      <c r="I327" s="1555"/>
      <c r="J327" s="1741"/>
      <c r="K327" s="1504"/>
      <c r="L327" s="1504"/>
      <c r="M327" s="1504"/>
      <c r="N327" s="1504"/>
      <c r="O327" s="1504"/>
      <c r="P327" s="1504"/>
      <c r="Q327" s="1504"/>
      <c r="R327" s="1504"/>
      <c r="S327" s="1504"/>
      <c r="T327" s="1504"/>
      <c r="U327" s="1504"/>
      <c r="V327" s="1504"/>
      <c r="W327" s="1504"/>
      <c r="X327" s="1504"/>
      <c r="Y327" s="1504"/>
    </row>
    <row r="328" spans="1:25" s="1501" customFormat="1" ht="15">
      <c r="A328" s="1512"/>
      <c r="G328" s="1502"/>
      <c r="I328" s="1555"/>
      <c r="J328" s="1741"/>
      <c r="K328" s="1504"/>
      <c r="L328" s="1504"/>
      <c r="M328" s="1504"/>
      <c r="N328" s="1504"/>
      <c r="O328" s="1504"/>
      <c r="P328" s="1504"/>
      <c r="Q328" s="1504"/>
      <c r="R328" s="1504"/>
      <c r="S328" s="1504"/>
      <c r="T328" s="1504"/>
      <c r="U328" s="1504"/>
      <c r="V328" s="1504"/>
      <c r="W328" s="1504"/>
      <c r="X328" s="1504"/>
      <c r="Y328" s="1504"/>
    </row>
    <row r="329" spans="1:25" s="1501" customFormat="1" ht="15">
      <c r="A329" s="1512"/>
      <c r="G329" s="1502"/>
      <c r="I329" s="1555"/>
      <c r="J329" s="1741"/>
      <c r="K329" s="1504"/>
      <c r="L329" s="1504"/>
      <c r="M329" s="1504"/>
      <c r="N329" s="1504"/>
      <c r="O329" s="1504"/>
      <c r="P329" s="1504"/>
      <c r="Q329" s="1504"/>
      <c r="R329" s="1504"/>
      <c r="S329" s="1504"/>
      <c r="T329" s="1504"/>
      <c r="U329" s="1504"/>
      <c r="V329" s="1504"/>
      <c r="W329" s="1504"/>
      <c r="X329" s="1504"/>
      <c r="Y329" s="1504"/>
    </row>
    <row r="330" spans="1:25" s="1501" customFormat="1" ht="15">
      <c r="A330" s="1575"/>
      <c r="G330" s="1502"/>
      <c r="I330" s="1555"/>
      <c r="J330" s="1741"/>
      <c r="K330" s="1504"/>
      <c r="L330" s="1504"/>
      <c r="M330" s="1504"/>
      <c r="N330" s="1504"/>
      <c r="O330" s="1504"/>
      <c r="P330" s="1504"/>
      <c r="Q330" s="1504"/>
      <c r="R330" s="1504"/>
      <c r="S330" s="1504"/>
      <c r="T330" s="1504"/>
      <c r="U330" s="1504"/>
      <c r="V330" s="1504"/>
      <c r="W330" s="1504"/>
      <c r="X330" s="1504"/>
      <c r="Y330" s="1504"/>
    </row>
    <row r="331" spans="1:25" ht="15">
      <c r="I331" s="1555"/>
    </row>
    <row r="332" spans="1:25" ht="15">
      <c r="I332" s="1555"/>
    </row>
    <row r="333" spans="1:25" ht="15">
      <c r="I333" s="1555"/>
    </row>
    <row r="334" spans="1:25" ht="15">
      <c r="I334" s="1555"/>
    </row>
    <row r="335" spans="1:25" ht="15">
      <c r="I335" s="1555"/>
    </row>
    <row r="336" spans="1:25" ht="15">
      <c r="I336" s="1555"/>
    </row>
    <row r="337" spans="9:9" ht="15">
      <c r="I337" s="1555"/>
    </row>
    <row r="338" spans="9:9" ht="15">
      <c r="I338" s="1555"/>
    </row>
    <row r="339" spans="9:9" ht="15">
      <c r="I339" s="1555"/>
    </row>
    <row r="340" spans="9:9" ht="15">
      <c r="I340" s="1555"/>
    </row>
    <row r="341" spans="9:9" ht="15">
      <c r="I341" s="1555"/>
    </row>
    <row r="342" spans="9:9" ht="15">
      <c r="I342" s="1555"/>
    </row>
    <row r="343" spans="9:9" ht="15">
      <c r="I343" s="1555"/>
    </row>
    <row r="344" spans="9:9" ht="15">
      <c r="I344" s="1555"/>
    </row>
    <row r="345" spans="9:9" ht="15">
      <c r="I345" s="1555"/>
    </row>
    <row r="346" spans="9:9" ht="15">
      <c r="I346" s="1555"/>
    </row>
    <row r="347" spans="9:9" ht="15">
      <c r="I347" s="1555"/>
    </row>
    <row r="348" spans="9:9" ht="15">
      <c r="I348" s="1555"/>
    </row>
    <row r="349" spans="9:9" ht="15">
      <c r="I349" s="1555"/>
    </row>
    <row r="350" spans="9:9" ht="15">
      <c r="I350" s="1555"/>
    </row>
    <row r="351" spans="9:9" ht="15">
      <c r="I351" s="1555"/>
    </row>
    <row r="352" spans="9:9" ht="15">
      <c r="I352" s="1555"/>
    </row>
    <row r="353" spans="9:9" ht="15">
      <c r="I353" s="1555"/>
    </row>
    <row r="354" spans="9:9" ht="15">
      <c r="I354" s="1555"/>
    </row>
    <row r="355" spans="9:9" ht="15">
      <c r="I355" s="1555"/>
    </row>
    <row r="356" spans="9:9" ht="15">
      <c r="I356" s="1555"/>
    </row>
    <row r="357" spans="9:9" ht="15">
      <c r="I357" s="1555"/>
    </row>
    <row r="358" spans="9:9" ht="15">
      <c r="I358" s="1555"/>
    </row>
    <row r="359" spans="9:9" ht="15">
      <c r="I359" s="1555"/>
    </row>
    <row r="360" spans="9:9" ht="15">
      <c r="I360" s="1555"/>
    </row>
    <row r="361" spans="9:9" ht="15">
      <c r="I361" s="1555"/>
    </row>
    <row r="362" spans="9:9" ht="15">
      <c r="I362" s="1555"/>
    </row>
    <row r="363" spans="9:9" ht="15">
      <c r="I363" s="1555"/>
    </row>
    <row r="364" spans="9:9" ht="15">
      <c r="I364" s="1555"/>
    </row>
    <row r="365" spans="9:9" ht="15">
      <c r="I365" s="1555"/>
    </row>
    <row r="366" spans="9:9" ht="15">
      <c r="I366" s="1555"/>
    </row>
    <row r="367" spans="9:9" ht="15">
      <c r="I367" s="1555"/>
    </row>
    <row r="368" spans="9:9" ht="15">
      <c r="I368" s="1649"/>
    </row>
    <row r="369" spans="9:9" ht="15">
      <c r="I369" s="1649"/>
    </row>
    <row r="370" spans="9:9" ht="15">
      <c r="I370" s="1649"/>
    </row>
    <row r="371" spans="9:9" ht="15">
      <c r="I371" s="1649"/>
    </row>
    <row r="372" spans="9:9" ht="15">
      <c r="I372" s="1649"/>
    </row>
    <row r="373" spans="9:9" ht="15">
      <c r="I373" s="1649"/>
    </row>
    <row r="374" spans="9:9" ht="15">
      <c r="I374" s="1649"/>
    </row>
    <row r="375" spans="9:9" ht="15">
      <c r="I375" s="1649"/>
    </row>
    <row r="376" spans="9:9" ht="15">
      <c r="I376" s="1649"/>
    </row>
    <row r="377" spans="9:9" ht="15">
      <c r="I377" s="1649"/>
    </row>
    <row r="378" spans="9:9" ht="15.75">
      <c r="I378" s="1648"/>
    </row>
    <row r="379" spans="9:9" ht="15.75">
      <c r="I379" s="1648"/>
    </row>
    <row r="380" spans="9:9" ht="15">
      <c r="I380" s="1649"/>
    </row>
    <row r="381" spans="9:9" ht="15">
      <c r="I381" s="1649"/>
    </row>
    <row r="382" spans="9:9" ht="15">
      <c r="I382" s="1649"/>
    </row>
    <row r="383" spans="9:9" ht="15">
      <c r="I383" s="1649"/>
    </row>
    <row r="384" spans="9:9" ht="15">
      <c r="I384" s="1649"/>
    </row>
    <row r="385" spans="9:25" ht="15">
      <c r="I385" s="1649"/>
    </row>
    <row r="386" spans="9:25" ht="15">
      <c r="I386" s="1649"/>
    </row>
    <row r="387" spans="9:25" ht="15">
      <c r="I387" s="1649"/>
    </row>
    <row r="388" spans="9:25" ht="15">
      <c r="I388" s="1649"/>
    </row>
    <row r="389" spans="9:25" ht="15">
      <c r="I389" s="1649"/>
    </row>
    <row r="390" spans="9:25" ht="15">
      <c r="I390" s="1649"/>
    </row>
    <row r="391" spans="9:25" ht="15">
      <c r="I391" s="1649"/>
    </row>
    <row r="392" spans="9:25" ht="15">
      <c r="I392" s="1649"/>
    </row>
    <row r="393" spans="9:25" ht="15.75">
      <c r="I393" s="1647"/>
    </row>
    <row r="394" spans="9:25" ht="15.75">
      <c r="I394" s="1648"/>
    </row>
    <row r="395" spans="9:25" ht="15.75">
      <c r="I395" s="1648"/>
    </row>
    <row r="396" spans="9:25" ht="15.75">
      <c r="I396" s="1648"/>
      <c r="Y396" s="1759"/>
    </row>
  </sheetData>
  <customSheetViews>
    <customSheetView guid="{0F09EDAE-127A-4543-88A5-04139BD32AD8}" showPageBreaks="1" printArea="1" hiddenRows="1">
      <selection activeCell="H17" sqref="H17"/>
      <pageMargins left="0.47" right="0.48" top="0.47" bottom="0.27559055118110237" header="0.31496062992125984" footer="0.31496062992125984"/>
      <pageSetup paperSize="5" scale="55" orientation="landscape" horizontalDpi="4294967293" r:id="rId1"/>
    </customSheetView>
    <customSheetView guid="{C05430D3-5A25-4A4C-823C-7D6EA772E5F0}" showPageBreaks="1" printArea="1" hiddenRows="1">
      <selection activeCell="H17" sqref="H17"/>
      <pageMargins left="0.47" right="0.48" top="0.47" bottom="0.27559055118110237" header="0.31496062992125984" footer="0.31496062992125984"/>
      <pageSetup paperSize="5" scale="55" orientation="landscape" horizontalDpi="4294967293" r:id="rId2"/>
    </customSheetView>
  </customSheetViews>
  <mergeCells count="22">
    <mergeCell ref="A12:G14"/>
    <mergeCell ref="H12:H14"/>
    <mergeCell ref="I12:J13"/>
    <mergeCell ref="K12:V12"/>
    <mergeCell ref="W12:W14"/>
    <mergeCell ref="A2:W2"/>
    <mergeCell ref="A3:W3"/>
    <mergeCell ref="A4:W4"/>
    <mergeCell ref="A10:W10"/>
    <mergeCell ref="A11:W11"/>
    <mergeCell ref="N301:P301"/>
    <mergeCell ref="A15:C15"/>
    <mergeCell ref="D15:G15"/>
    <mergeCell ref="K15:V15"/>
    <mergeCell ref="A291:H291"/>
    <mergeCell ref="S293:V293"/>
    <mergeCell ref="A294:H294"/>
    <mergeCell ref="S294:V294"/>
    <mergeCell ref="A295:H295"/>
    <mergeCell ref="N293:P293"/>
    <mergeCell ref="N294:P294"/>
    <mergeCell ref="S301:V301"/>
  </mergeCells>
  <conditionalFormatting sqref="X1:X1048576">
    <cfRule type="containsText" dxfId="0" priority="2" operator="containsText" text="Salah">
      <formula>NOT(ISERROR(SEARCH("Salah",X1)))</formula>
    </cfRule>
  </conditionalFormatting>
  <pageMargins left="0.47" right="0.48" top="0.47" bottom="0.27559055118110237" header="0.31496062992125984" footer="0.31496062992125984"/>
  <pageSetup paperSize="5" scale="55" orientation="landscape" horizontalDpi="4294967293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376"/>
  <sheetViews>
    <sheetView workbookViewId="0"/>
  </sheetViews>
  <sheetFormatPr defaultColWidth="7.85546875" defaultRowHeight="12.75"/>
  <cols>
    <col min="1" max="2" width="2.7109375" style="1651" customWidth="1"/>
    <col min="3" max="3" width="3.85546875" style="1651" customWidth="1"/>
    <col min="4" max="6" width="2.7109375" style="1651" customWidth="1"/>
    <col min="7" max="7" width="2.7109375" style="1652" customWidth="1"/>
    <col min="8" max="8" width="60.42578125" style="1653" customWidth="1"/>
    <col min="9" max="9" width="15.28515625" style="1654" bestFit="1" customWidth="1"/>
    <col min="10" max="10" width="8.42578125" style="1577" bestFit="1" customWidth="1"/>
    <col min="11" max="22" width="11.7109375" style="1577" customWidth="1"/>
    <col min="23" max="23" width="13.140625" style="1577" customWidth="1"/>
    <col min="24" max="24" width="3.85546875" style="1577" customWidth="1"/>
    <col min="25" max="25" width="15.5703125" style="1578" customWidth="1"/>
    <col min="26" max="16384" width="7.85546875" style="1577"/>
  </cols>
  <sheetData>
    <row r="1" spans="1:25" ht="7.5" customHeight="1"/>
    <row r="2" spans="1:25" ht="18" customHeight="1">
      <c r="A2" s="3055"/>
      <c r="B2" s="3056"/>
      <c r="C2" s="3056"/>
      <c r="D2" s="3056"/>
      <c r="E2" s="3056"/>
      <c r="F2" s="3056"/>
      <c r="G2" s="3056"/>
      <c r="H2" s="3056"/>
      <c r="I2" s="3056"/>
      <c r="J2" s="3056"/>
      <c r="K2" s="3056"/>
      <c r="L2" s="3056"/>
      <c r="M2" s="3056"/>
      <c r="N2" s="3056"/>
      <c r="O2" s="3056"/>
      <c r="P2" s="3056"/>
      <c r="Q2" s="3056"/>
      <c r="R2" s="3056"/>
      <c r="S2" s="3056"/>
      <c r="T2" s="3056"/>
      <c r="U2" s="3056"/>
      <c r="V2" s="3056"/>
      <c r="W2" s="3057"/>
    </row>
    <row r="3" spans="1:25" ht="19.5" customHeight="1">
      <c r="A3" s="3058" t="s">
        <v>1096</v>
      </c>
      <c r="B3" s="3059"/>
      <c r="C3" s="3059"/>
      <c r="D3" s="3059"/>
      <c r="E3" s="3059"/>
      <c r="F3" s="3059"/>
      <c r="G3" s="3059"/>
      <c r="H3" s="3059"/>
      <c r="I3" s="3059"/>
      <c r="J3" s="3059"/>
      <c r="K3" s="3059"/>
      <c r="L3" s="3059"/>
      <c r="M3" s="3059"/>
      <c r="N3" s="3059"/>
      <c r="O3" s="3059"/>
      <c r="P3" s="3059"/>
      <c r="Q3" s="3059"/>
      <c r="R3" s="3059"/>
      <c r="S3" s="3059"/>
      <c r="T3" s="3059"/>
      <c r="U3" s="3059"/>
      <c r="V3" s="3059"/>
      <c r="W3" s="3060"/>
    </row>
    <row r="4" spans="1:25" ht="16.5" customHeight="1">
      <c r="A4" s="3058" t="s">
        <v>1336</v>
      </c>
      <c r="B4" s="3059"/>
      <c r="C4" s="3059"/>
      <c r="D4" s="3059"/>
      <c r="E4" s="3059"/>
      <c r="F4" s="3059"/>
      <c r="G4" s="3059"/>
      <c r="H4" s="3059"/>
      <c r="I4" s="3059"/>
      <c r="J4" s="3059"/>
      <c r="K4" s="3059"/>
      <c r="L4" s="3059"/>
      <c r="M4" s="3059"/>
      <c r="N4" s="3059"/>
      <c r="O4" s="3059"/>
      <c r="P4" s="3059"/>
      <c r="Q4" s="3059"/>
      <c r="R4" s="3059"/>
      <c r="S4" s="3059"/>
      <c r="T4" s="3059"/>
      <c r="U4" s="3059"/>
      <c r="V4" s="3059"/>
      <c r="W4" s="3060"/>
    </row>
    <row r="5" spans="1:25">
      <c r="A5" s="1655" t="s">
        <v>1092</v>
      </c>
      <c r="B5" s="1656"/>
      <c r="C5" s="1656"/>
      <c r="D5" s="1656"/>
      <c r="E5" s="1656"/>
      <c r="F5" s="1656"/>
      <c r="G5" s="1657" t="s">
        <v>46</v>
      </c>
      <c r="H5" s="1658" t="s">
        <v>1348</v>
      </c>
      <c r="I5" s="1659"/>
      <c r="J5" s="1580"/>
      <c r="K5" s="1580"/>
      <c r="L5" s="1580"/>
      <c r="M5" s="1580"/>
      <c r="N5" s="1580"/>
      <c r="O5" s="1580"/>
      <c r="P5" s="1580"/>
      <c r="Q5" s="1580"/>
      <c r="R5" s="1580"/>
      <c r="S5" s="1580"/>
      <c r="T5" s="1580"/>
      <c r="U5" s="1580"/>
      <c r="V5" s="1580"/>
      <c r="W5" s="1581"/>
    </row>
    <row r="6" spans="1:25">
      <c r="A6" s="1660" t="s">
        <v>1093</v>
      </c>
      <c r="B6" s="1654"/>
      <c r="C6" s="1654"/>
      <c r="D6" s="1654"/>
      <c r="E6" s="1654"/>
      <c r="F6" s="1654"/>
      <c r="G6" s="1657" t="s">
        <v>46</v>
      </c>
      <c r="H6" s="1661" t="s">
        <v>203</v>
      </c>
      <c r="I6" s="1656"/>
      <c r="J6" s="1579"/>
      <c r="K6" s="1582"/>
      <c r="L6" s="1582"/>
      <c r="M6" s="1582"/>
      <c r="N6" s="1582"/>
      <c r="O6" s="1582"/>
      <c r="P6" s="1582"/>
      <c r="Q6" s="1582"/>
      <c r="R6" s="1582"/>
      <c r="S6" s="1582"/>
      <c r="T6" s="1582"/>
      <c r="U6" s="1582"/>
      <c r="V6" s="1582"/>
      <c r="W6" s="1583"/>
    </row>
    <row r="7" spans="1:25">
      <c r="A7" s="1655" t="s">
        <v>1094</v>
      </c>
      <c r="B7" s="1656"/>
      <c r="C7" s="1656"/>
      <c r="D7" s="1656"/>
      <c r="E7" s="1656"/>
      <c r="F7" s="1656"/>
      <c r="G7" s="1657" t="s">
        <v>46</v>
      </c>
      <c r="H7" s="1661" t="s">
        <v>54</v>
      </c>
      <c r="I7" s="1656"/>
      <c r="J7" s="1579"/>
      <c r="K7" s="1582"/>
      <c r="L7" s="1582"/>
      <c r="M7" s="1582"/>
      <c r="N7" s="1582"/>
      <c r="O7" s="1582"/>
      <c r="P7" s="1582"/>
      <c r="Q7" s="1582"/>
      <c r="R7" s="1582"/>
      <c r="S7" s="1582"/>
      <c r="T7" s="1582"/>
      <c r="U7" s="1582"/>
      <c r="V7" s="1582"/>
      <c r="W7" s="1583"/>
    </row>
    <row r="8" spans="1:25">
      <c r="A8" s="1655" t="s">
        <v>373</v>
      </c>
      <c r="B8" s="1656"/>
      <c r="C8" s="1656"/>
      <c r="D8" s="1656"/>
      <c r="E8" s="1656"/>
      <c r="F8" s="1656"/>
      <c r="G8" s="1657" t="s">
        <v>46</v>
      </c>
      <c r="H8" s="1661" t="s">
        <v>56</v>
      </c>
      <c r="I8" s="1656" t="s">
        <v>21</v>
      </c>
      <c r="J8" s="1579"/>
      <c r="K8" s="1582"/>
      <c r="L8" s="1582"/>
      <c r="M8" s="1582"/>
      <c r="N8" s="1582"/>
      <c r="O8" s="1582"/>
      <c r="P8" s="1582"/>
      <c r="Q8" s="1582"/>
      <c r="R8" s="1582"/>
      <c r="S8" s="1582"/>
      <c r="T8" s="1582"/>
      <c r="U8" s="1582"/>
      <c r="V8" s="1582"/>
      <c r="W8" s="1583"/>
    </row>
    <row r="9" spans="1:25">
      <c r="A9" s="1662"/>
      <c r="B9" s="1663"/>
      <c r="C9" s="1663"/>
      <c r="D9" s="1663"/>
      <c r="E9" s="1663"/>
      <c r="F9" s="1663"/>
      <c r="G9" s="1664"/>
      <c r="H9" s="1665"/>
      <c r="I9" s="1666"/>
      <c r="J9" s="1584"/>
      <c r="K9" s="1585"/>
      <c r="L9" s="1585"/>
      <c r="M9" s="1585"/>
      <c r="N9" s="1585"/>
      <c r="O9" s="1585"/>
      <c r="P9" s="1585"/>
      <c r="Q9" s="1585"/>
      <c r="R9" s="1585"/>
      <c r="S9" s="1585"/>
      <c r="T9" s="1585"/>
      <c r="U9" s="1585"/>
      <c r="V9" s="1585"/>
      <c r="W9" s="1586"/>
    </row>
    <row r="10" spans="1:25">
      <c r="A10" s="3061"/>
      <c r="B10" s="3062"/>
      <c r="C10" s="3062"/>
      <c r="D10" s="3062"/>
      <c r="E10" s="3062"/>
      <c r="F10" s="3062"/>
      <c r="G10" s="3062"/>
      <c r="H10" s="3062"/>
      <c r="I10" s="3062"/>
      <c r="J10" s="3062"/>
      <c r="K10" s="3062"/>
      <c r="L10" s="3062"/>
      <c r="M10" s="3062"/>
      <c r="N10" s="3062"/>
      <c r="O10" s="3062"/>
      <c r="P10" s="3062"/>
      <c r="Q10" s="3062"/>
      <c r="R10" s="3062"/>
      <c r="S10" s="3062"/>
      <c r="T10" s="3062"/>
      <c r="U10" s="3062"/>
      <c r="V10" s="3062"/>
      <c r="W10" s="3063"/>
    </row>
    <row r="11" spans="1:25" ht="13.5" thickBot="1">
      <c r="A11" s="3064"/>
      <c r="B11" s="3065"/>
      <c r="C11" s="3065"/>
      <c r="D11" s="3065"/>
      <c r="E11" s="3065"/>
      <c r="F11" s="3065"/>
      <c r="G11" s="3065"/>
      <c r="H11" s="3065"/>
      <c r="I11" s="3065"/>
      <c r="J11" s="3065"/>
      <c r="K11" s="3065"/>
      <c r="L11" s="3065"/>
      <c r="M11" s="3065"/>
      <c r="N11" s="3065"/>
      <c r="O11" s="3065"/>
      <c r="P11" s="3065"/>
      <c r="Q11" s="3065"/>
      <c r="R11" s="3065"/>
      <c r="S11" s="3065"/>
      <c r="T11" s="3065"/>
      <c r="U11" s="3065"/>
      <c r="V11" s="3065"/>
      <c r="W11" s="3066"/>
    </row>
    <row r="12" spans="1:25" ht="25.5" customHeight="1">
      <c r="A12" s="3067" t="s">
        <v>1349</v>
      </c>
      <c r="B12" s="3068"/>
      <c r="C12" s="3068"/>
      <c r="D12" s="3068"/>
      <c r="E12" s="3068"/>
      <c r="F12" s="3068"/>
      <c r="G12" s="3068"/>
      <c r="H12" s="3067" t="s">
        <v>1</v>
      </c>
      <c r="I12" s="3073" t="s">
        <v>2</v>
      </c>
      <c r="J12" s="3074"/>
      <c r="K12" s="3077" t="s">
        <v>1362</v>
      </c>
      <c r="L12" s="3078"/>
      <c r="M12" s="3078"/>
      <c r="N12" s="3078"/>
      <c r="O12" s="3078"/>
      <c r="P12" s="3078"/>
      <c r="Q12" s="3078"/>
      <c r="R12" s="3078"/>
      <c r="S12" s="3078"/>
      <c r="T12" s="3078"/>
      <c r="U12" s="3078"/>
      <c r="V12" s="3079"/>
      <c r="W12" s="3080" t="s">
        <v>1363</v>
      </c>
    </row>
    <row r="13" spans="1:25" ht="13.5" customHeight="1">
      <c r="A13" s="3069"/>
      <c r="B13" s="3070"/>
      <c r="C13" s="3070"/>
      <c r="D13" s="3070"/>
      <c r="E13" s="3070"/>
      <c r="F13" s="3070"/>
      <c r="G13" s="3070"/>
      <c r="H13" s="3069"/>
      <c r="I13" s="3075"/>
      <c r="J13" s="3076"/>
      <c r="K13" s="1587" t="s">
        <v>870</v>
      </c>
      <c r="L13" s="1587" t="s">
        <v>1353</v>
      </c>
      <c r="M13" s="1587" t="s">
        <v>874</v>
      </c>
      <c r="N13" s="1587" t="s">
        <v>1354</v>
      </c>
      <c r="O13" s="1587" t="s">
        <v>1355</v>
      </c>
      <c r="P13" s="1587" t="s">
        <v>1047</v>
      </c>
      <c r="Q13" s="1587" t="s">
        <v>960</v>
      </c>
      <c r="R13" s="1587" t="s">
        <v>1048</v>
      </c>
      <c r="S13" s="1587" t="s">
        <v>873</v>
      </c>
      <c r="T13" s="1587" t="s">
        <v>1356</v>
      </c>
      <c r="U13" s="1587" t="s">
        <v>872</v>
      </c>
      <c r="V13" s="1587" t="s">
        <v>871</v>
      </c>
      <c r="W13" s="3081"/>
    </row>
    <row r="14" spans="1:25" ht="24">
      <c r="A14" s="3071"/>
      <c r="B14" s="3072"/>
      <c r="C14" s="3072"/>
      <c r="D14" s="3072"/>
      <c r="E14" s="3072"/>
      <c r="F14" s="3072"/>
      <c r="G14" s="3072"/>
      <c r="H14" s="3071"/>
      <c r="I14" s="1588" t="s">
        <v>376</v>
      </c>
      <c r="J14" s="1589" t="s">
        <v>47</v>
      </c>
      <c r="K14" s="1590" t="s">
        <v>1357</v>
      </c>
      <c r="L14" s="1590" t="s">
        <v>1357</v>
      </c>
      <c r="M14" s="1590" t="s">
        <v>1357</v>
      </c>
      <c r="N14" s="1590" t="s">
        <v>1357</v>
      </c>
      <c r="O14" s="1590" t="s">
        <v>1357</v>
      </c>
      <c r="P14" s="1590" t="s">
        <v>1357</v>
      </c>
      <c r="Q14" s="1590" t="s">
        <v>1357</v>
      </c>
      <c r="R14" s="1590" t="s">
        <v>1357</v>
      </c>
      <c r="S14" s="1590" t="s">
        <v>1357</v>
      </c>
      <c r="T14" s="1590" t="s">
        <v>1357</v>
      </c>
      <c r="U14" s="1590" t="s">
        <v>1357</v>
      </c>
      <c r="V14" s="1590" t="s">
        <v>1357</v>
      </c>
      <c r="W14" s="3082"/>
    </row>
    <row r="15" spans="1:25">
      <c r="A15" s="3047">
        <v>1</v>
      </c>
      <c r="B15" s="3048"/>
      <c r="C15" s="3049"/>
      <c r="D15" s="3050">
        <v>2</v>
      </c>
      <c r="E15" s="3051"/>
      <c r="F15" s="3051"/>
      <c r="G15" s="3051"/>
      <c r="H15" s="1591">
        <v>3</v>
      </c>
      <c r="I15" s="1591">
        <v>4</v>
      </c>
      <c r="J15" s="1591">
        <v>5</v>
      </c>
      <c r="K15" s="3047">
        <v>6</v>
      </c>
      <c r="L15" s="3048"/>
      <c r="M15" s="3048"/>
      <c r="N15" s="3048"/>
      <c r="O15" s="3048"/>
      <c r="P15" s="3048"/>
      <c r="Q15" s="3048"/>
      <c r="R15" s="3048"/>
      <c r="S15" s="3048"/>
      <c r="T15" s="3048"/>
      <c r="U15" s="3048"/>
      <c r="V15" s="3049"/>
      <c r="W15" s="1592">
        <v>7</v>
      </c>
    </row>
    <row r="16" spans="1:25" s="1598" customFormat="1" ht="23.25" customHeight="1">
      <c r="A16" s="1593"/>
      <c r="B16" s="1594"/>
      <c r="C16" s="1594"/>
      <c r="D16" s="1593">
        <f>IF('Pnj APBDES'!D18="","",'Pnj APBDES'!D18)</f>
        <v>4</v>
      </c>
      <c r="E16" s="1593" t="str">
        <f>IF('Pnj APBDES'!E18="","",'Pnj APBDES'!E18)</f>
        <v/>
      </c>
      <c r="F16" s="1642" t="str">
        <f>IF('Pnj APBDES'!F18="","",'Pnj APBDES'!F18)</f>
        <v/>
      </c>
      <c r="G16" s="1642" t="str">
        <f>IF('Pnj APBDES'!G18="","",'Pnj APBDES'!G18)</f>
        <v/>
      </c>
      <c r="H16" s="1618" t="str">
        <f>'Pnj APBDES'!H18</f>
        <v>PENDAPATAN</v>
      </c>
      <c r="I16" s="1595">
        <f>'Pnj APBDES'!K18</f>
        <v>1536094000</v>
      </c>
      <c r="J16" s="1596" t="str">
        <f>IF('Pnj APBDES'!N18="","",'Pnj APBDES'!N18)</f>
        <v/>
      </c>
      <c r="K16" s="1595">
        <f>'Pnj APBDES'!O18</f>
        <v>0</v>
      </c>
      <c r="L16" s="1595">
        <f>L17+L34+L47</f>
        <v>401994600</v>
      </c>
      <c r="M16" s="1595">
        <f t="shared" ref="M16:V16" si="0">M17+M34+M47</f>
        <v>0</v>
      </c>
      <c r="N16" s="1595">
        <f t="shared" si="0"/>
        <v>0</v>
      </c>
      <c r="O16" s="1595">
        <f t="shared" si="0"/>
        <v>0</v>
      </c>
      <c r="P16" s="1595">
        <f t="shared" si="0"/>
        <v>564792000</v>
      </c>
      <c r="Q16" s="1595">
        <f t="shared" si="0"/>
        <v>0</v>
      </c>
      <c r="R16" s="1595">
        <f t="shared" si="0"/>
        <v>5000000</v>
      </c>
      <c r="S16" s="1595">
        <f t="shared" si="0"/>
        <v>0</v>
      </c>
      <c r="T16" s="1595">
        <f t="shared" si="0"/>
        <v>445193400</v>
      </c>
      <c r="U16" s="1595">
        <f t="shared" si="0"/>
        <v>44114000</v>
      </c>
      <c r="V16" s="1595">
        <f t="shared" si="0"/>
        <v>60000000</v>
      </c>
      <c r="W16" s="1597">
        <f>SUM(K16:V16)</f>
        <v>1521094000</v>
      </c>
      <c r="Y16" s="1578">
        <f t="shared" ref="Y16:Y71" si="1">I16-W16</f>
        <v>15000000</v>
      </c>
    </row>
    <row r="17" spans="1:25" s="1598" customFormat="1">
      <c r="A17" s="1599"/>
      <c r="B17" s="1600"/>
      <c r="C17" s="1600"/>
      <c r="D17" s="1593">
        <f>IF('Pnj APBDES'!D19="","",'Pnj APBDES'!D19)</f>
        <v>4</v>
      </c>
      <c r="E17" s="1593">
        <f>IF('Pnj APBDES'!E19="","",'Pnj APBDES'!E19)</f>
        <v>1</v>
      </c>
      <c r="F17" s="1642" t="str">
        <f>IF('Pnj APBDES'!F19="","",'Pnj APBDES'!F19)</f>
        <v/>
      </c>
      <c r="G17" s="1642" t="str">
        <f>IF('Pnj APBDES'!G19="","",'Pnj APBDES'!G19)</f>
        <v/>
      </c>
      <c r="H17" s="1618" t="str">
        <f>'Pnj APBDES'!H19</f>
        <v>Pendapatan Asli Desa</v>
      </c>
      <c r="I17" s="1601">
        <f>'Pnj APBDES'!K19</f>
        <v>20000000</v>
      </c>
      <c r="J17" s="1596" t="str">
        <f>IF('Pnj APBDES'!N19="","",'Pnj APBDES'!N19)</f>
        <v/>
      </c>
      <c r="K17" s="1601">
        <f>'Pnj APBDES'!O19</f>
        <v>0</v>
      </c>
      <c r="L17" s="1603">
        <f t="shared" ref="L17:V17" si="2">L18+L21+L28+L31</f>
        <v>0</v>
      </c>
      <c r="M17" s="1603">
        <f t="shared" si="2"/>
        <v>0</v>
      </c>
      <c r="N17" s="1603">
        <f t="shared" si="2"/>
        <v>0</v>
      </c>
      <c r="O17" s="1603">
        <f t="shared" si="2"/>
        <v>0</v>
      </c>
      <c r="P17" s="1603">
        <f t="shared" si="2"/>
        <v>0</v>
      </c>
      <c r="Q17" s="1603">
        <f t="shared" si="2"/>
        <v>0</v>
      </c>
      <c r="R17" s="1603">
        <f t="shared" si="2"/>
        <v>0</v>
      </c>
      <c r="S17" s="1603">
        <f t="shared" si="2"/>
        <v>0</v>
      </c>
      <c r="T17" s="1603">
        <f t="shared" si="2"/>
        <v>0</v>
      </c>
      <c r="U17" s="1603">
        <f t="shared" si="2"/>
        <v>0</v>
      </c>
      <c r="V17" s="1603">
        <f t="shared" si="2"/>
        <v>0</v>
      </c>
      <c r="W17" s="1604">
        <f>SUM(K17:V17)</f>
        <v>0</v>
      </c>
      <c r="Y17" s="1578">
        <f t="shared" si="1"/>
        <v>20000000</v>
      </c>
    </row>
    <row r="18" spans="1:25">
      <c r="A18" s="1605"/>
      <c r="B18" s="1606"/>
      <c r="C18" s="1606"/>
      <c r="D18" s="1642">
        <f>IF('Pnj APBDES'!D20="","",'Pnj APBDES'!D20)</f>
        <v>4</v>
      </c>
      <c r="E18" s="1642">
        <f>IF('Pnj APBDES'!E20="","",'Pnj APBDES'!E20)</f>
        <v>1</v>
      </c>
      <c r="F18" s="1642">
        <f>IF('Pnj APBDES'!F20="","",'Pnj APBDES'!F20)</f>
        <v>1</v>
      </c>
      <c r="G18" s="1642" t="str">
        <f>IF('Pnj APBDES'!G20="","",'Pnj APBDES'!G20)</f>
        <v/>
      </c>
      <c r="H18" s="1646" t="str">
        <f>'Pnj APBDES'!H20</f>
        <v>Hasil Usaha</v>
      </c>
      <c r="I18" s="1604">
        <f>'Pnj APBDES'!K20</f>
        <v>0</v>
      </c>
      <c r="J18" s="1596" t="str">
        <f>IF('Pnj APBDES'!N20="","",'Pnj APBDES'!N20)</f>
        <v/>
      </c>
      <c r="K18" s="1604">
        <f>'Pnj APBDES'!O20</f>
        <v>0</v>
      </c>
      <c r="L18" s="1604">
        <f t="shared" ref="L18:V18" si="3">SUM(L19:L21)</f>
        <v>0</v>
      </c>
      <c r="M18" s="1604">
        <f t="shared" si="3"/>
        <v>0</v>
      </c>
      <c r="N18" s="1604">
        <f t="shared" si="3"/>
        <v>0</v>
      </c>
      <c r="O18" s="1604">
        <f t="shared" si="3"/>
        <v>0</v>
      </c>
      <c r="P18" s="1604">
        <f t="shared" si="3"/>
        <v>0</v>
      </c>
      <c r="Q18" s="1604">
        <f t="shared" si="3"/>
        <v>0</v>
      </c>
      <c r="R18" s="1604">
        <f t="shared" si="3"/>
        <v>0</v>
      </c>
      <c r="S18" s="1604">
        <f t="shared" si="3"/>
        <v>0</v>
      </c>
      <c r="T18" s="1604">
        <f t="shared" si="3"/>
        <v>0</v>
      </c>
      <c r="U18" s="1604">
        <f t="shared" si="3"/>
        <v>0</v>
      </c>
      <c r="V18" s="1604">
        <f t="shared" si="3"/>
        <v>0</v>
      </c>
      <c r="W18" s="1608">
        <f>SUM(K18:V18)</f>
        <v>0</v>
      </c>
      <c r="Y18" s="1578">
        <f t="shared" si="1"/>
        <v>0</v>
      </c>
    </row>
    <row r="19" spans="1:25">
      <c r="A19" s="1605"/>
      <c r="B19" s="1606"/>
      <c r="C19" s="1606"/>
      <c r="D19" s="1642">
        <f>IF('Pnj APBDES'!D21="","",'Pnj APBDES'!D21)</f>
        <v>4</v>
      </c>
      <c r="E19" s="1642">
        <f>IF('Pnj APBDES'!E21="","",'Pnj APBDES'!E21)</f>
        <v>1</v>
      </c>
      <c r="F19" s="1642">
        <f>IF('Pnj APBDES'!F21="","",'Pnj APBDES'!F21)</f>
        <v>1</v>
      </c>
      <c r="G19" s="1642">
        <f>IF('Pnj APBDES'!G21="","",'Pnj APBDES'!G21)</f>
        <v>1</v>
      </c>
      <c r="H19" s="1646" t="str">
        <f>'Pnj APBDES'!H21</f>
        <v>Bagi Hasil BUMDes</v>
      </c>
      <c r="I19" s="1604">
        <f>'Pnj APBDES'!K21</f>
        <v>0</v>
      </c>
      <c r="J19" s="1596" t="str">
        <f>IF('Pnj APBDES'!N21="","",'Pnj APBDES'!N21)</f>
        <v/>
      </c>
      <c r="K19" s="1604">
        <f>'Pnj APBDES'!O21</f>
        <v>0</v>
      </c>
      <c r="L19" s="1604">
        <v>0</v>
      </c>
      <c r="M19" s="1604">
        <v>0</v>
      </c>
      <c r="N19" s="1604">
        <v>0</v>
      </c>
      <c r="O19" s="1604">
        <v>0</v>
      </c>
      <c r="P19" s="1604">
        <v>0</v>
      </c>
      <c r="Q19" s="1604">
        <v>0</v>
      </c>
      <c r="R19" s="1604">
        <v>0</v>
      </c>
      <c r="S19" s="1604">
        <v>0</v>
      </c>
      <c r="T19" s="1604">
        <v>0</v>
      </c>
      <c r="U19" s="1604">
        <v>0</v>
      </c>
      <c r="V19" s="1604">
        <v>0</v>
      </c>
      <c r="W19" s="1608">
        <f t="shared" ref="W19:W62" si="4">SUM(K19:V19)</f>
        <v>0</v>
      </c>
      <c r="Y19" s="1578">
        <f t="shared" si="1"/>
        <v>0</v>
      </c>
    </row>
    <row r="20" spans="1:25">
      <c r="A20" s="1605"/>
      <c r="B20" s="1606"/>
      <c r="C20" s="1606"/>
      <c r="D20" s="1642">
        <f>IF('Pnj APBDES'!D22="","",'Pnj APBDES'!D22)</f>
        <v>4</v>
      </c>
      <c r="E20" s="1642">
        <f>IF('Pnj APBDES'!E22="","",'Pnj APBDES'!E22)</f>
        <v>1</v>
      </c>
      <c r="F20" s="1642">
        <f>IF('Pnj APBDES'!F22="","",'Pnj APBDES'!F22)</f>
        <v>1</v>
      </c>
      <c r="G20" s="1642">
        <f>IF('Pnj APBDES'!G22="","",'Pnj APBDES'!G22)</f>
        <v>9</v>
      </c>
      <c r="H20" s="1646" t="str">
        <f>'Pnj APBDES'!H22</f>
        <v>Lain-lain</v>
      </c>
      <c r="I20" s="1604">
        <f>'Pnj APBDES'!K22</f>
        <v>0</v>
      </c>
      <c r="J20" s="1596" t="str">
        <f>IF('Pnj APBDES'!N22="","",'Pnj APBDES'!N22)</f>
        <v/>
      </c>
      <c r="K20" s="1604">
        <f>'Pnj APBDES'!O22</f>
        <v>0</v>
      </c>
      <c r="L20" s="1604"/>
      <c r="M20" s="1604"/>
      <c r="N20" s="1604"/>
      <c r="O20" s="1604"/>
      <c r="P20" s="1604"/>
      <c r="Q20" s="1604"/>
      <c r="R20" s="1604"/>
      <c r="S20" s="1604"/>
      <c r="T20" s="1604"/>
      <c r="U20" s="1604"/>
      <c r="V20" s="1604"/>
      <c r="W20" s="1608">
        <f t="shared" si="4"/>
        <v>0</v>
      </c>
      <c r="Y20" s="1578">
        <f t="shared" si="1"/>
        <v>0</v>
      </c>
    </row>
    <row r="21" spans="1:25">
      <c r="A21" s="1605"/>
      <c r="B21" s="1606"/>
      <c r="C21" s="1606"/>
      <c r="D21" s="1642">
        <f>IF('Pnj APBDES'!D23="","",'Pnj APBDES'!D23)</f>
        <v>4</v>
      </c>
      <c r="E21" s="1642">
        <f>IF('Pnj APBDES'!E23="","",'Pnj APBDES'!E23)</f>
        <v>1</v>
      </c>
      <c r="F21" s="1642">
        <f>IF('Pnj APBDES'!F23="","",'Pnj APBDES'!F23)</f>
        <v>2</v>
      </c>
      <c r="G21" s="1642" t="str">
        <f>IF('Pnj APBDES'!G23="","",'Pnj APBDES'!G23)</f>
        <v/>
      </c>
      <c r="H21" s="1646" t="str">
        <f>'Pnj APBDES'!H23</f>
        <v>Hasil Aset</v>
      </c>
      <c r="I21" s="1604">
        <f>'Pnj APBDES'!K23</f>
        <v>20000000</v>
      </c>
      <c r="J21" s="1596" t="str">
        <f>IF('Pnj APBDES'!N23="","",'Pnj APBDES'!N23)</f>
        <v/>
      </c>
      <c r="K21" s="1604">
        <f>'Pnj APBDES'!O23</f>
        <v>0</v>
      </c>
      <c r="L21" s="1604">
        <f t="shared" ref="L21:V21" si="5">SUM(L22:L27)</f>
        <v>0</v>
      </c>
      <c r="M21" s="1604">
        <f t="shared" si="5"/>
        <v>0</v>
      </c>
      <c r="N21" s="1604">
        <f t="shared" si="5"/>
        <v>0</v>
      </c>
      <c r="O21" s="1604">
        <f t="shared" si="5"/>
        <v>0</v>
      </c>
      <c r="P21" s="1604">
        <f t="shared" si="5"/>
        <v>0</v>
      </c>
      <c r="Q21" s="1604">
        <f t="shared" si="5"/>
        <v>0</v>
      </c>
      <c r="R21" s="1604">
        <f t="shared" si="5"/>
        <v>0</v>
      </c>
      <c r="S21" s="1604">
        <f t="shared" si="5"/>
        <v>0</v>
      </c>
      <c r="T21" s="1604">
        <f t="shared" si="5"/>
        <v>0</v>
      </c>
      <c r="U21" s="1604">
        <f t="shared" si="5"/>
        <v>0</v>
      </c>
      <c r="V21" s="1604">
        <f t="shared" si="5"/>
        <v>0</v>
      </c>
      <c r="W21" s="1608">
        <f t="shared" si="4"/>
        <v>0</v>
      </c>
      <c r="Y21" s="1578">
        <f t="shared" si="1"/>
        <v>20000000</v>
      </c>
    </row>
    <row r="22" spans="1:25">
      <c r="A22" s="1605"/>
      <c r="B22" s="1606"/>
      <c r="C22" s="1606"/>
      <c r="D22" s="1642">
        <f>IF('Pnj APBDES'!D24="","",'Pnj APBDES'!D24)</f>
        <v>4</v>
      </c>
      <c r="E22" s="1642">
        <f>IF('Pnj APBDES'!E24="","",'Pnj APBDES'!E24)</f>
        <v>1</v>
      </c>
      <c r="F22" s="1642">
        <f>IF('Pnj APBDES'!F24="","",'Pnj APBDES'!F24)</f>
        <v>2</v>
      </c>
      <c r="G22" s="1642">
        <f>IF('Pnj APBDES'!G24="","",'Pnj APBDES'!G24)</f>
        <v>1</v>
      </c>
      <c r="H22" s="1646" t="str">
        <f>'Pnj APBDES'!H24</f>
        <v>Pengelolaan Tanah Kas Desa</v>
      </c>
      <c r="I22" s="1604">
        <f>'Pnj APBDES'!K24</f>
        <v>20000000</v>
      </c>
      <c r="J22" s="1596" t="str">
        <f>IF('Pnj APBDES'!N24="","",'Pnj APBDES'!N24)</f>
        <v>PADES</v>
      </c>
      <c r="K22" s="1604">
        <f>'Pnj APBDES'!O24</f>
        <v>0</v>
      </c>
      <c r="L22" s="1604"/>
      <c r="M22" s="1604"/>
      <c r="N22" s="1604"/>
      <c r="O22" s="1604"/>
      <c r="P22" s="1604"/>
      <c r="Q22" s="1604"/>
      <c r="R22" s="1604"/>
      <c r="S22" s="1604"/>
      <c r="T22" s="1604"/>
      <c r="U22" s="1604"/>
      <c r="V22" s="1604"/>
      <c r="W22" s="1608">
        <f t="shared" si="4"/>
        <v>0</v>
      </c>
      <c r="Y22" s="1578">
        <f t="shared" si="1"/>
        <v>20000000</v>
      </c>
    </row>
    <row r="23" spans="1:25">
      <c r="A23" s="1605"/>
      <c r="B23" s="1606"/>
      <c r="C23" s="1606"/>
      <c r="D23" s="1642">
        <f>IF('Pnj APBDES'!D25="","",'Pnj APBDES'!D25)</f>
        <v>4</v>
      </c>
      <c r="E23" s="1642">
        <f>IF('Pnj APBDES'!E25="","",'Pnj APBDES'!E25)</f>
        <v>1</v>
      </c>
      <c r="F23" s="1642">
        <f>IF('Pnj APBDES'!F25="","",'Pnj APBDES'!F25)</f>
        <v>2</v>
      </c>
      <c r="G23" s="1642">
        <f>IF('Pnj APBDES'!G25="","",'Pnj APBDES'!G25)</f>
        <v>2</v>
      </c>
      <c r="H23" s="1646" t="str">
        <f>'Pnj APBDES'!H25</f>
        <v>Tambatan Perahu</v>
      </c>
      <c r="I23" s="1604">
        <f>'Pnj APBDES'!K25</f>
        <v>0</v>
      </c>
      <c r="J23" s="1596" t="str">
        <f>IF('Pnj APBDES'!N25="","",'Pnj APBDES'!N25)</f>
        <v/>
      </c>
      <c r="K23" s="1604">
        <f>'Pnj APBDES'!O25</f>
        <v>0</v>
      </c>
      <c r="L23" s="1604"/>
      <c r="M23" s="1604"/>
      <c r="N23" s="1604"/>
      <c r="O23" s="1604"/>
      <c r="P23" s="1604"/>
      <c r="Q23" s="1604"/>
      <c r="R23" s="1604"/>
      <c r="S23" s="1604"/>
      <c r="T23" s="1604"/>
      <c r="U23" s="1604"/>
      <c r="V23" s="1604"/>
      <c r="W23" s="1608">
        <f t="shared" si="4"/>
        <v>0</v>
      </c>
      <c r="Y23" s="1578">
        <f t="shared" si="1"/>
        <v>0</v>
      </c>
    </row>
    <row r="24" spans="1:25">
      <c r="A24" s="1605"/>
      <c r="B24" s="1606"/>
      <c r="C24" s="1606"/>
      <c r="D24" s="1642">
        <f>IF('Pnj APBDES'!D26="","",'Pnj APBDES'!D26)</f>
        <v>4</v>
      </c>
      <c r="E24" s="1642">
        <f>IF('Pnj APBDES'!E26="","",'Pnj APBDES'!E26)</f>
        <v>1</v>
      </c>
      <c r="F24" s="1642">
        <f>IF('Pnj APBDES'!F26="","",'Pnj APBDES'!F26)</f>
        <v>2</v>
      </c>
      <c r="G24" s="1642">
        <f>IF('Pnj APBDES'!G26="","",'Pnj APBDES'!G26)</f>
        <v>3</v>
      </c>
      <c r="H24" s="1646" t="str">
        <f>'Pnj APBDES'!H26</f>
        <v>Pasar Desa</v>
      </c>
      <c r="I24" s="1604">
        <f>'Pnj APBDES'!K26</f>
        <v>0</v>
      </c>
      <c r="J24" s="1596" t="str">
        <f>IF('Pnj APBDES'!N26="","",'Pnj APBDES'!N26)</f>
        <v/>
      </c>
      <c r="K24" s="1604">
        <f>'Pnj APBDES'!O26</f>
        <v>0</v>
      </c>
      <c r="L24" s="1604"/>
      <c r="M24" s="1604"/>
      <c r="N24" s="1604"/>
      <c r="O24" s="1604"/>
      <c r="P24" s="1604"/>
      <c r="Q24" s="1604"/>
      <c r="R24" s="1604"/>
      <c r="S24" s="1604"/>
      <c r="T24" s="1604"/>
      <c r="U24" s="1604"/>
      <c r="V24" s="1604"/>
      <c r="W24" s="1608">
        <f t="shared" si="4"/>
        <v>0</v>
      </c>
      <c r="Y24" s="1578">
        <f t="shared" si="1"/>
        <v>0</v>
      </c>
    </row>
    <row r="25" spans="1:25">
      <c r="A25" s="1605"/>
      <c r="B25" s="1606"/>
      <c r="C25" s="1606"/>
      <c r="D25" s="1642">
        <f>IF('Pnj APBDES'!D27="","",'Pnj APBDES'!D27)</f>
        <v>4</v>
      </c>
      <c r="E25" s="1642">
        <f>IF('Pnj APBDES'!E27="","",'Pnj APBDES'!E27)</f>
        <v>1</v>
      </c>
      <c r="F25" s="1642">
        <f>IF('Pnj APBDES'!F27="","",'Pnj APBDES'!F27)</f>
        <v>2</v>
      </c>
      <c r="G25" s="1642">
        <f>IF('Pnj APBDES'!G27="","",'Pnj APBDES'!G27)</f>
        <v>4</v>
      </c>
      <c r="H25" s="1646" t="str">
        <f>'Pnj APBDES'!H27</f>
        <v>Tempat Pemandian Umum</v>
      </c>
      <c r="I25" s="1604">
        <f>'Pnj APBDES'!K27</f>
        <v>0</v>
      </c>
      <c r="J25" s="1596" t="str">
        <f>IF('Pnj APBDES'!N27="","",'Pnj APBDES'!N27)</f>
        <v/>
      </c>
      <c r="K25" s="1604">
        <f>'Pnj APBDES'!O27</f>
        <v>0</v>
      </c>
      <c r="L25" s="1604"/>
      <c r="M25" s="1604"/>
      <c r="N25" s="1604"/>
      <c r="O25" s="1604"/>
      <c r="P25" s="1604"/>
      <c r="Q25" s="1604"/>
      <c r="R25" s="1604"/>
      <c r="S25" s="1604"/>
      <c r="T25" s="1604"/>
      <c r="U25" s="1604"/>
      <c r="V25" s="1604"/>
      <c r="W25" s="1608">
        <f t="shared" si="4"/>
        <v>0</v>
      </c>
      <c r="Y25" s="1578">
        <f t="shared" si="1"/>
        <v>0</v>
      </c>
    </row>
    <row r="26" spans="1:25">
      <c r="A26" s="1605"/>
      <c r="B26" s="1606"/>
      <c r="C26" s="1606"/>
      <c r="D26" s="1642">
        <f>IF('Pnj APBDES'!D28="","",'Pnj APBDES'!D28)</f>
        <v>4</v>
      </c>
      <c r="E26" s="1642">
        <f>IF('Pnj APBDES'!E28="","",'Pnj APBDES'!E28)</f>
        <v>1</v>
      </c>
      <c r="F26" s="1642">
        <f>IF('Pnj APBDES'!F28="","",'Pnj APBDES'!F28)</f>
        <v>2</v>
      </c>
      <c r="G26" s="1642">
        <f>IF('Pnj APBDES'!G28="","",'Pnj APBDES'!G28)</f>
        <v>5</v>
      </c>
      <c r="H26" s="1646" t="str">
        <f>'Pnj APBDES'!H28</f>
        <v>Jaringan Irigasi Desa</v>
      </c>
      <c r="I26" s="1604">
        <f>'Pnj APBDES'!K28</f>
        <v>0</v>
      </c>
      <c r="J26" s="1596" t="str">
        <f>IF('Pnj APBDES'!N28="","",'Pnj APBDES'!N28)</f>
        <v/>
      </c>
      <c r="K26" s="1604">
        <f>'Pnj APBDES'!O28</f>
        <v>0</v>
      </c>
      <c r="L26" s="1604"/>
      <c r="M26" s="1604"/>
      <c r="N26" s="1604"/>
      <c r="O26" s="1604"/>
      <c r="P26" s="1604"/>
      <c r="Q26" s="1604"/>
      <c r="R26" s="1604"/>
      <c r="S26" s="1604"/>
      <c r="T26" s="1604"/>
      <c r="U26" s="1604"/>
      <c r="V26" s="1604"/>
      <c r="W26" s="1608">
        <f t="shared" si="4"/>
        <v>0</v>
      </c>
      <c r="Y26" s="1578">
        <f t="shared" si="1"/>
        <v>0</v>
      </c>
    </row>
    <row r="27" spans="1:25">
      <c r="A27" s="1605"/>
      <c r="B27" s="1606"/>
      <c r="C27" s="1606"/>
      <c r="D27" s="1642">
        <f>IF('Pnj APBDES'!D29="","",'Pnj APBDES'!D29)</f>
        <v>4</v>
      </c>
      <c r="E27" s="1642">
        <f>IF('Pnj APBDES'!E29="","",'Pnj APBDES'!E29)</f>
        <v>1</v>
      </c>
      <c r="F27" s="1642">
        <f>IF('Pnj APBDES'!F29="","",'Pnj APBDES'!F29)</f>
        <v>2</v>
      </c>
      <c r="G27" s="1642">
        <f>IF('Pnj APBDES'!G29="","",'Pnj APBDES'!G29)</f>
        <v>9</v>
      </c>
      <c r="H27" s="1646" t="str">
        <f>'Pnj APBDES'!H29</f>
        <v>Lain-lain</v>
      </c>
      <c r="I27" s="1604">
        <f>'Pnj APBDES'!K29</f>
        <v>0</v>
      </c>
      <c r="J27" s="1596" t="str">
        <f>IF('Pnj APBDES'!N29="","",'Pnj APBDES'!N29)</f>
        <v/>
      </c>
      <c r="K27" s="1604">
        <f>'Pnj APBDES'!O29</f>
        <v>0</v>
      </c>
      <c r="L27" s="1604"/>
      <c r="M27" s="1604"/>
      <c r="N27" s="1604"/>
      <c r="O27" s="1604"/>
      <c r="P27" s="1604"/>
      <c r="Q27" s="1604"/>
      <c r="R27" s="1604"/>
      <c r="S27" s="1604"/>
      <c r="T27" s="1604"/>
      <c r="U27" s="1604"/>
      <c r="V27" s="1604"/>
      <c r="W27" s="1608">
        <f t="shared" si="4"/>
        <v>0</v>
      </c>
      <c r="Y27" s="1578">
        <f t="shared" si="1"/>
        <v>0</v>
      </c>
    </row>
    <row r="28" spans="1:25">
      <c r="A28" s="1605"/>
      <c r="B28" s="1606"/>
      <c r="C28" s="1606"/>
      <c r="D28" s="1642">
        <f>IF('Pnj APBDES'!D30="","",'Pnj APBDES'!D30)</f>
        <v>4</v>
      </c>
      <c r="E28" s="1642">
        <f>IF('Pnj APBDES'!E30="","",'Pnj APBDES'!E30)</f>
        <v>1</v>
      </c>
      <c r="F28" s="1642">
        <f>IF('Pnj APBDES'!F30="","",'Pnj APBDES'!F30)</f>
        <v>3</v>
      </c>
      <c r="G28" s="1642" t="str">
        <f>IF('Pnj APBDES'!G30="","",'Pnj APBDES'!G30)</f>
        <v/>
      </c>
      <c r="H28" s="1646" t="str">
        <f>'Pnj APBDES'!H30</f>
        <v>Swadaya, Partisipasi dan Gotong Royong</v>
      </c>
      <c r="I28" s="1604">
        <f>'Pnj APBDES'!K30</f>
        <v>0</v>
      </c>
      <c r="J28" s="1596" t="str">
        <f>IF('Pnj APBDES'!N30="","",'Pnj APBDES'!N30)</f>
        <v/>
      </c>
      <c r="K28" s="1604">
        <f>'Pnj APBDES'!O30</f>
        <v>0</v>
      </c>
      <c r="L28" s="1604">
        <f t="shared" ref="L28:V28" si="6">SUM(L29:L30)</f>
        <v>0</v>
      </c>
      <c r="M28" s="1604">
        <f t="shared" si="6"/>
        <v>0</v>
      </c>
      <c r="N28" s="1604">
        <f t="shared" si="6"/>
        <v>0</v>
      </c>
      <c r="O28" s="1604">
        <f t="shared" si="6"/>
        <v>0</v>
      </c>
      <c r="P28" s="1604">
        <f t="shared" si="6"/>
        <v>0</v>
      </c>
      <c r="Q28" s="1604">
        <f t="shared" si="6"/>
        <v>0</v>
      </c>
      <c r="R28" s="1604">
        <f t="shared" si="6"/>
        <v>0</v>
      </c>
      <c r="S28" s="1604">
        <f t="shared" si="6"/>
        <v>0</v>
      </c>
      <c r="T28" s="1604">
        <f t="shared" si="6"/>
        <v>0</v>
      </c>
      <c r="U28" s="1604">
        <f t="shared" si="6"/>
        <v>0</v>
      </c>
      <c r="V28" s="1604">
        <f t="shared" si="6"/>
        <v>0</v>
      </c>
      <c r="W28" s="1608">
        <f t="shared" si="4"/>
        <v>0</v>
      </c>
      <c r="Y28" s="1578">
        <f t="shared" si="1"/>
        <v>0</v>
      </c>
    </row>
    <row r="29" spans="1:25">
      <c r="A29" s="1605"/>
      <c r="B29" s="1606"/>
      <c r="C29" s="1606"/>
      <c r="D29" s="1642">
        <f>IF('Pnj APBDES'!D31="","",'Pnj APBDES'!D31)</f>
        <v>4</v>
      </c>
      <c r="E29" s="1642">
        <f>IF('Pnj APBDES'!E31="","",'Pnj APBDES'!E31)</f>
        <v>1</v>
      </c>
      <c r="F29" s="1642">
        <f>IF('Pnj APBDES'!F31="","",'Pnj APBDES'!F31)</f>
        <v>3</v>
      </c>
      <c r="G29" s="1642">
        <f>IF('Pnj APBDES'!G31="","",'Pnj APBDES'!G31)</f>
        <v>1</v>
      </c>
      <c r="H29" s="1646" t="str">
        <f>'Pnj APBDES'!H31</f>
        <v>Swadaya, partisipasi dan gotong royong</v>
      </c>
      <c r="I29" s="1604">
        <f>'Pnj APBDES'!K31</f>
        <v>0</v>
      </c>
      <c r="J29" s="1596" t="str">
        <f>IF('Pnj APBDES'!N31="","",'Pnj APBDES'!N31)</f>
        <v/>
      </c>
      <c r="K29" s="1604">
        <f>'Pnj APBDES'!O31</f>
        <v>0</v>
      </c>
      <c r="L29" s="1604"/>
      <c r="M29" s="1604"/>
      <c r="N29" s="1604"/>
      <c r="O29" s="1604"/>
      <c r="P29" s="1604"/>
      <c r="Q29" s="1604"/>
      <c r="R29" s="1604"/>
      <c r="S29" s="1604"/>
      <c r="T29" s="1604"/>
      <c r="U29" s="1604"/>
      <c r="V29" s="1604"/>
      <c r="W29" s="1608">
        <f t="shared" si="4"/>
        <v>0</v>
      </c>
      <c r="Y29" s="1578">
        <f t="shared" si="1"/>
        <v>0</v>
      </c>
    </row>
    <row r="30" spans="1:25">
      <c r="A30" s="1605"/>
      <c r="B30" s="1606"/>
      <c r="C30" s="1606"/>
      <c r="D30" s="1642">
        <f>IF('Pnj APBDES'!D32="","",'Pnj APBDES'!D32)</f>
        <v>4</v>
      </c>
      <c r="E30" s="1642">
        <f>IF('Pnj APBDES'!E32="","",'Pnj APBDES'!E32)</f>
        <v>1</v>
      </c>
      <c r="F30" s="1642">
        <f>IF('Pnj APBDES'!F32="","",'Pnj APBDES'!F32)</f>
        <v>3</v>
      </c>
      <c r="G30" s="1642">
        <f>IF('Pnj APBDES'!G32="","",'Pnj APBDES'!G32)</f>
        <v>9</v>
      </c>
      <c r="H30" s="1646" t="str">
        <f>'Pnj APBDES'!H32</f>
        <v>Lain-lain Swadaya, Partisipasi dan Gotong Royong</v>
      </c>
      <c r="I30" s="1604">
        <f>'Pnj APBDES'!K32</f>
        <v>0</v>
      </c>
      <c r="J30" s="1596" t="str">
        <f>IF('Pnj APBDES'!N32="","",'Pnj APBDES'!N32)</f>
        <v/>
      </c>
      <c r="K30" s="1604">
        <f>'Pnj APBDES'!O32</f>
        <v>0</v>
      </c>
      <c r="L30" s="1604"/>
      <c r="M30" s="1604"/>
      <c r="N30" s="1604"/>
      <c r="O30" s="1604"/>
      <c r="P30" s="1604"/>
      <c r="Q30" s="1604"/>
      <c r="R30" s="1604"/>
      <c r="S30" s="1604"/>
      <c r="T30" s="1604"/>
      <c r="U30" s="1604"/>
      <c r="V30" s="1604"/>
      <c r="W30" s="1608">
        <f t="shared" si="4"/>
        <v>0</v>
      </c>
      <c r="Y30" s="1578">
        <f t="shared" si="1"/>
        <v>0</v>
      </c>
    </row>
    <row r="31" spans="1:25">
      <c r="A31" s="1605"/>
      <c r="B31" s="1606"/>
      <c r="C31" s="1606"/>
      <c r="D31" s="1642">
        <f>IF('Pnj APBDES'!D33="","",'Pnj APBDES'!D33)</f>
        <v>4</v>
      </c>
      <c r="E31" s="1642">
        <f>IF('Pnj APBDES'!E33="","",'Pnj APBDES'!E33)</f>
        <v>1</v>
      </c>
      <c r="F31" s="1642">
        <f>IF('Pnj APBDES'!F33="","",'Pnj APBDES'!F33)</f>
        <v>4</v>
      </c>
      <c r="G31" s="1642" t="str">
        <f>IF('Pnj APBDES'!G33="","",'Pnj APBDES'!G33)</f>
        <v/>
      </c>
      <c r="H31" s="1646" t="str">
        <f>'Pnj APBDES'!H33</f>
        <v>Lain-lain Pendapatan Asli Desa</v>
      </c>
      <c r="I31" s="1604">
        <f>'Pnj APBDES'!K33</f>
        <v>0</v>
      </c>
      <c r="J31" s="1596" t="str">
        <f>IF('Pnj APBDES'!N33="","",'Pnj APBDES'!N33)</f>
        <v/>
      </c>
      <c r="K31" s="1604">
        <f>'Pnj APBDES'!O33</f>
        <v>0</v>
      </c>
      <c r="L31" s="1604">
        <f t="shared" ref="L31:V31" si="7">SUM(L32:L33)</f>
        <v>0</v>
      </c>
      <c r="M31" s="1604">
        <f t="shared" si="7"/>
        <v>0</v>
      </c>
      <c r="N31" s="1604">
        <f t="shared" si="7"/>
        <v>0</v>
      </c>
      <c r="O31" s="1604">
        <f t="shared" si="7"/>
        <v>0</v>
      </c>
      <c r="P31" s="1604">
        <f t="shared" si="7"/>
        <v>0</v>
      </c>
      <c r="Q31" s="1604">
        <f t="shared" si="7"/>
        <v>0</v>
      </c>
      <c r="R31" s="1604">
        <f t="shared" si="7"/>
        <v>0</v>
      </c>
      <c r="S31" s="1604">
        <f t="shared" si="7"/>
        <v>0</v>
      </c>
      <c r="T31" s="1604">
        <f t="shared" si="7"/>
        <v>0</v>
      </c>
      <c r="U31" s="1604">
        <f t="shared" si="7"/>
        <v>0</v>
      </c>
      <c r="V31" s="1604">
        <f t="shared" si="7"/>
        <v>0</v>
      </c>
      <c r="W31" s="1608">
        <f t="shared" si="4"/>
        <v>0</v>
      </c>
      <c r="Y31" s="1578">
        <f t="shared" si="1"/>
        <v>0</v>
      </c>
    </row>
    <row r="32" spans="1:25">
      <c r="A32" s="1605"/>
      <c r="B32" s="1606"/>
      <c r="C32" s="1606"/>
      <c r="D32" s="1642">
        <f>IF('Pnj APBDES'!D34="","",'Pnj APBDES'!D34)</f>
        <v>4</v>
      </c>
      <c r="E32" s="1642">
        <f>IF('Pnj APBDES'!E34="","",'Pnj APBDES'!E34)</f>
        <v>1</v>
      </c>
      <c r="F32" s="1642">
        <f>IF('Pnj APBDES'!F34="","",'Pnj APBDES'!F34)</f>
        <v>4</v>
      </c>
      <c r="G32" s="1642">
        <f>IF('Pnj APBDES'!G34="","",'Pnj APBDES'!G34)</f>
        <v>1</v>
      </c>
      <c r="H32" s="1646" t="str">
        <f>'Pnj APBDES'!H34</f>
        <v>Hasil Pungutan Desa</v>
      </c>
      <c r="I32" s="1604">
        <f>'Pnj APBDES'!K34</f>
        <v>0</v>
      </c>
      <c r="J32" s="1596" t="str">
        <f>IF('Pnj APBDES'!N34="","",'Pnj APBDES'!N34)</f>
        <v/>
      </c>
      <c r="K32" s="1604">
        <f>'Pnj APBDES'!O34</f>
        <v>0</v>
      </c>
      <c r="L32" s="1604"/>
      <c r="M32" s="1604"/>
      <c r="N32" s="1604"/>
      <c r="O32" s="1604"/>
      <c r="P32" s="1604"/>
      <c r="Q32" s="1604"/>
      <c r="R32" s="1604"/>
      <c r="S32" s="1604"/>
      <c r="T32" s="1604"/>
      <c r="U32" s="1604"/>
      <c r="V32" s="1604"/>
      <c r="W32" s="1608">
        <f t="shared" si="4"/>
        <v>0</v>
      </c>
      <c r="Y32" s="1578">
        <f t="shared" si="1"/>
        <v>0</v>
      </c>
    </row>
    <row r="33" spans="1:25">
      <c r="A33" s="1605"/>
      <c r="B33" s="1606"/>
      <c r="C33" s="1606"/>
      <c r="D33" s="1642">
        <f>IF('Pnj APBDES'!D35="","",'Pnj APBDES'!D35)</f>
        <v>4</v>
      </c>
      <c r="E33" s="1642">
        <f>IF('Pnj APBDES'!E35="","",'Pnj APBDES'!E35)</f>
        <v>1</v>
      </c>
      <c r="F33" s="1642">
        <f>IF('Pnj APBDES'!F35="","",'Pnj APBDES'!F35)</f>
        <v>4</v>
      </c>
      <c r="G33" s="1642">
        <f>IF('Pnj APBDES'!G35="","",'Pnj APBDES'!G35)</f>
        <v>9</v>
      </c>
      <c r="H33" s="1646" t="str">
        <f>'Pnj APBDES'!H35</f>
        <v>Lain-lain</v>
      </c>
      <c r="I33" s="1604">
        <f>'Pnj APBDES'!K35</f>
        <v>0</v>
      </c>
      <c r="J33" s="1596" t="str">
        <f>IF('Pnj APBDES'!N35="","",'Pnj APBDES'!N35)</f>
        <v/>
      </c>
      <c r="K33" s="1604">
        <f>'Pnj APBDES'!O35</f>
        <v>0</v>
      </c>
      <c r="L33" s="1604"/>
      <c r="M33" s="1604"/>
      <c r="N33" s="1604"/>
      <c r="O33" s="1604"/>
      <c r="P33" s="1604"/>
      <c r="Q33" s="1604"/>
      <c r="R33" s="1604"/>
      <c r="S33" s="1604"/>
      <c r="T33" s="1604"/>
      <c r="U33" s="1604"/>
      <c r="V33" s="1604"/>
      <c r="W33" s="1608">
        <f t="shared" si="4"/>
        <v>0</v>
      </c>
      <c r="Y33" s="1578">
        <f t="shared" si="1"/>
        <v>0</v>
      </c>
    </row>
    <row r="34" spans="1:25" s="1598" customFormat="1">
      <c r="A34" s="1599"/>
      <c r="B34" s="1600"/>
      <c r="C34" s="1600"/>
      <c r="D34" s="1593">
        <f>IF('Pnj APBDES'!D36="","",'Pnj APBDES'!D36)</f>
        <v>4</v>
      </c>
      <c r="E34" s="1593">
        <f>IF('Pnj APBDES'!E36="","",'Pnj APBDES'!E36)</f>
        <v>2</v>
      </c>
      <c r="F34" s="1642" t="str">
        <f>IF('Pnj APBDES'!F36="","",'Pnj APBDES'!F36)</f>
        <v/>
      </c>
      <c r="G34" s="1642" t="str">
        <f>IF('Pnj APBDES'!G36="","",'Pnj APBDES'!G36)</f>
        <v/>
      </c>
      <c r="H34" s="1618" t="str">
        <f>'Pnj APBDES'!H36</f>
        <v>Transfer</v>
      </c>
      <c r="I34" s="1601">
        <f>'Pnj APBDES'!K36</f>
        <v>1516094000</v>
      </c>
      <c r="J34" s="1596" t="str">
        <f>IF('Pnj APBDES'!N36="","",'Pnj APBDES'!N36)</f>
        <v/>
      </c>
      <c r="K34" s="1601">
        <f>'Pnj APBDES'!O36</f>
        <v>0</v>
      </c>
      <c r="L34" s="1601">
        <f>L35+L37+L39+L41+L44</f>
        <v>401994600</v>
      </c>
      <c r="M34" s="1601">
        <f t="shared" ref="M34:U34" si="8">M35+M37+M39+M41+M44</f>
        <v>0</v>
      </c>
      <c r="N34" s="1601">
        <f t="shared" si="8"/>
        <v>0</v>
      </c>
      <c r="O34" s="1601">
        <f t="shared" si="8"/>
        <v>0</v>
      </c>
      <c r="P34" s="1601">
        <f t="shared" si="8"/>
        <v>564792000</v>
      </c>
      <c r="Q34" s="1601">
        <f t="shared" si="8"/>
        <v>0</v>
      </c>
      <c r="R34" s="1601">
        <f t="shared" si="8"/>
        <v>0</v>
      </c>
      <c r="S34" s="1601">
        <f t="shared" si="8"/>
        <v>0</v>
      </c>
      <c r="T34" s="1601">
        <f t="shared" si="8"/>
        <v>445193400</v>
      </c>
      <c r="U34" s="1601">
        <f t="shared" si="8"/>
        <v>44114000</v>
      </c>
      <c r="V34" s="1601">
        <f>V35+V37+V39+V41+V44</f>
        <v>60000000</v>
      </c>
      <c r="W34" s="1609">
        <f>SUM(K34:V34)</f>
        <v>1516094000</v>
      </c>
      <c r="Y34" s="1610">
        <f t="shared" si="1"/>
        <v>0</v>
      </c>
    </row>
    <row r="35" spans="1:25">
      <c r="A35" s="1605"/>
      <c r="B35" s="1606"/>
      <c r="C35" s="1606"/>
      <c r="D35" s="1642">
        <f>IF('Pnj APBDES'!D37="","",'Pnj APBDES'!D37)</f>
        <v>4</v>
      </c>
      <c r="E35" s="1642">
        <f>IF('Pnj APBDES'!E37="","",'Pnj APBDES'!E37)</f>
        <v>2</v>
      </c>
      <c r="F35" s="1642">
        <f>IF('Pnj APBDES'!F37="","",'Pnj APBDES'!F37)</f>
        <v>1</v>
      </c>
      <c r="G35" s="1642" t="str">
        <f>IF('Pnj APBDES'!G37="","",'Pnj APBDES'!G37)</f>
        <v/>
      </c>
      <c r="H35" s="1646" t="str">
        <f>'Pnj APBDES'!H37</f>
        <v>Dana Desa</v>
      </c>
      <c r="I35" s="1604">
        <f>'Pnj APBDES'!K37</f>
        <v>813987000</v>
      </c>
      <c r="J35" s="1596" t="str">
        <f>IF('Pnj APBDES'!N37="","",'Pnj APBDES'!N37)</f>
        <v/>
      </c>
      <c r="K35" s="1604">
        <f>'Pnj APBDES'!O37</f>
        <v>0</v>
      </c>
      <c r="L35" s="1604">
        <f t="shared" ref="L35:V35" si="9">L36</f>
        <v>162797400</v>
      </c>
      <c r="M35" s="1604">
        <f t="shared" si="9"/>
        <v>0</v>
      </c>
      <c r="N35" s="1604">
        <f t="shared" si="9"/>
        <v>0</v>
      </c>
      <c r="O35" s="1604">
        <f t="shared" si="9"/>
        <v>0</v>
      </c>
      <c r="P35" s="1604">
        <f t="shared" si="9"/>
        <v>325594800</v>
      </c>
      <c r="Q35" s="1604">
        <f t="shared" si="9"/>
        <v>0</v>
      </c>
      <c r="R35" s="1604">
        <f t="shared" si="9"/>
        <v>0</v>
      </c>
      <c r="S35" s="1604">
        <f t="shared" si="9"/>
        <v>0</v>
      </c>
      <c r="T35" s="1604">
        <f t="shared" si="9"/>
        <v>325594800</v>
      </c>
      <c r="U35" s="1604">
        <f t="shared" si="9"/>
        <v>0</v>
      </c>
      <c r="V35" s="1604">
        <f t="shared" si="9"/>
        <v>0</v>
      </c>
      <c r="W35" s="1608">
        <f t="shared" si="4"/>
        <v>813987000</v>
      </c>
      <c r="Y35" s="1578">
        <f t="shared" si="1"/>
        <v>0</v>
      </c>
    </row>
    <row r="36" spans="1:25">
      <c r="A36" s="1605"/>
      <c r="B36" s="1606"/>
      <c r="C36" s="1606"/>
      <c r="D36" s="1642">
        <f>IF('Pnj APBDES'!D38="","",'Pnj APBDES'!D38)</f>
        <v>4</v>
      </c>
      <c r="E36" s="1642">
        <f>IF('Pnj APBDES'!E38="","",'Pnj APBDES'!E38)</f>
        <v>2</v>
      </c>
      <c r="F36" s="1642">
        <f>IF('Pnj APBDES'!F38="","",'Pnj APBDES'!F38)</f>
        <v>1</v>
      </c>
      <c r="G36" s="1642">
        <f>IF('Pnj APBDES'!G38="","",'Pnj APBDES'!G38)</f>
        <v>1</v>
      </c>
      <c r="H36" s="1646" t="str">
        <f>'Pnj APBDES'!H38</f>
        <v>Dana Desa</v>
      </c>
      <c r="I36" s="1604">
        <f>'Pnj APBDES'!K38</f>
        <v>813987000</v>
      </c>
      <c r="J36" s="1596" t="str">
        <f>IF('Pnj APBDES'!N38="","",'Pnj APBDES'!N38)</f>
        <v>DD</v>
      </c>
      <c r="K36" s="1604">
        <f>'Pnj APBDES'!O38</f>
        <v>0</v>
      </c>
      <c r="L36" s="1604">
        <f>I36*20%</f>
        <v>162797400</v>
      </c>
      <c r="M36" s="1604"/>
      <c r="N36" s="1604"/>
      <c r="O36" s="1604"/>
      <c r="P36" s="1611">
        <f>I36*40%</f>
        <v>325594800</v>
      </c>
      <c r="Q36" s="1604"/>
      <c r="R36" s="1604"/>
      <c r="S36" s="1604"/>
      <c r="T36" s="1611">
        <f>I36*40%</f>
        <v>325594800</v>
      </c>
      <c r="U36" s="1604"/>
      <c r="V36" s="1604"/>
      <c r="W36" s="1608">
        <f t="shared" si="4"/>
        <v>813987000</v>
      </c>
      <c r="Y36" s="1578">
        <f t="shared" si="1"/>
        <v>0</v>
      </c>
    </row>
    <row r="37" spans="1:25">
      <c r="A37" s="1605"/>
      <c r="B37" s="1606"/>
      <c r="C37" s="1606"/>
      <c r="D37" s="1642">
        <f>IF('Pnj APBDES'!D39="","",'Pnj APBDES'!D39)</f>
        <v>4</v>
      </c>
      <c r="E37" s="1642">
        <f>IF('Pnj APBDES'!E39="","",'Pnj APBDES'!E39)</f>
        <v>2</v>
      </c>
      <c r="F37" s="1642">
        <f>IF('Pnj APBDES'!F39="","",'Pnj APBDES'!F39)</f>
        <v>2</v>
      </c>
      <c r="G37" s="1642" t="str">
        <f>IF('Pnj APBDES'!G39="","",'Pnj APBDES'!G39)</f>
        <v/>
      </c>
      <c r="H37" s="1646" t="str">
        <f>'Pnj APBDES'!H39</f>
        <v>Bagian dari Hasil Pajak dan Retribusi Daerah Kabupaten/kota</v>
      </c>
      <c r="I37" s="1604">
        <f>'Pnj APBDES'!K39</f>
        <v>44114000</v>
      </c>
      <c r="J37" s="1596" t="str">
        <f>IF('Pnj APBDES'!N39="","",'Pnj APBDES'!N39)</f>
        <v/>
      </c>
      <c r="K37" s="1604">
        <f>'Pnj APBDES'!O39</f>
        <v>0</v>
      </c>
      <c r="L37" s="1604">
        <f t="shared" ref="L37:V37" si="10">L38</f>
        <v>0</v>
      </c>
      <c r="M37" s="1604">
        <f t="shared" si="10"/>
        <v>0</v>
      </c>
      <c r="N37" s="1604">
        <f t="shared" si="10"/>
        <v>0</v>
      </c>
      <c r="O37" s="1604">
        <f t="shared" si="10"/>
        <v>0</v>
      </c>
      <c r="P37" s="1604">
        <f t="shared" si="10"/>
        <v>0</v>
      </c>
      <c r="Q37" s="1604">
        <f t="shared" si="10"/>
        <v>0</v>
      </c>
      <c r="R37" s="1604">
        <f t="shared" si="10"/>
        <v>0</v>
      </c>
      <c r="S37" s="1604">
        <f t="shared" si="10"/>
        <v>0</v>
      </c>
      <c r="T37" s="1604">
        <f t="shared" si="10"/>
        <v>0</v>
      </c>
      <c r="U37" s="1604">
        <f t="shared" si="10"/>
        <v>44114000</v>
      </c>
      <c r="V37" s="1604">
        <f t="shared" si="10"/>
        <v>0</v>
      </c>
      <c r="W37" s="1608">
        <f t="shared" si="4"/>
        <v>44114000</v>
      </c>
      <c r="Y37" s="1578">
        <f t="shared" si="1"/>
        <v>0</v>
      </c>
    </row>
    <row r="38" spans="1:25">
      <c r="A38" s="1605"/>
      <c r="B38" s="1606"/>
      <c r="C38" s="1606"/>
      <c r="D38" s="1642">
        <f>IF('Pnj APBDES'!D40="","",'Pnj APBDES'!D40)</f>
        <v>4</v>
      </c>
      <c r="E38" s="1642">
        <f>IF('Pnj APBDES'!E40="","",'Pnj APBDES'!E40)</f>
        <v>2</v>
      </c>
      <c r="F38" s="1642">
        <f>IF('Pnj APBDES'!F40="","",'Pnj APBDES'!F40)</f>
        <v>2</v>
      </c>
      <c r="G38" s="1642">
        <f>IF('Pnj APBDES'!G40="","",'Pnj APBDES'!G40)</f>
        <v>1</v>
      </c>
      <c r="H38" s="1646" t="str">
        <f>'Pnj APBDES'!H40</f>
        <v>Bagian dari Hasil Pajak dan Retribusi Daerah Kabupaten/kota</v>
      </c>
      <c r="I38" s="1604">
        <f>'Pnj APBDES'!K40</f>
        <v>44114000</v>
      </c>
      <c r="J38" s="1596" t="str">
        <f>IF('Pnj APBDES'!N40="","",'Pnj APBDES'!N40)</f>
        <v>PBH</v>
      </c>
      <c r="K38" s="1604">
        <f>'Pnj APBDES'!O40</f>
        <v>0</v>
      </c>
      <c r="L38" s="1604"/>
      <c r="M38" s="1604"/>
      <c r="N38" s="1604"/>
      <c r="O38" s="1604"/>
      <c r="P38" s="1604"/>
      <c r="Q38" s="1604"/>
      <c r="R38" s="1604"/>
      <c r="S38" s="1604"/>
      <c r="T38" s="1604"/>
      <c r="U38" s="1604">
        <f>I38</f>
        <v>44114000</v>
      </c>
      <c r="V38" s="1604"/>
      <c r="W38" s="1608">
        <f t="shared" si="4"/>
        <v>44114000</v>
      </c>
      <c r="Y38" s="1578">
        <f t="shared" si="1"/>
        <v>0</v>
      </c>
    </row>
    <row r="39" spans="1:25">
      <c r="A39" s="1605"/>
      <c r="B39" s="1606"/>
      <c r="C39" s="1606"/>
      <c r="D39" s="1642">
        <f>IF('Pnj APBDES'!D41="","",'Pnj APBDES'!D41)</f>
        <v>4</v>
      </c>
      <c r="E39" s="1642">
        <f>IF('Pnj APBDES'!E41="","",'Pnj APBDES'!E41)</f>
        <v>2</v>
      </c>
      <c r="F39" s="1642">
        <f>IF('Pnj APBDES'!F41="","",'Pnj APBDES'!F41)</f>
        <v>3</v>
      </c>
      <c r="G39" s="1642" t="str">
        <f>IF('Pnj APBDES'!G41="","",'Pnj APBDES'!G41)</f>
        <v/>
      </c>
      <c r="H39" s="1646" t="str">
        <f>'Pnj APBDES'!H41</f>
        <v>Alokasi Dana Desa</v>
      </c>
      <c r="I39" s="1604">
        <f>'Pnj APBDES'!K41</f>
        <v>597993000</v>
      </c>
      <c r="J39" s="1596" t="str">
        <f>IF('Pnj APBDES'!N41="","",'Pnj APBDES'!N41)</f>
        <v/>
      </c>
      <c r="K39" s="1604">
        <f>'Pnj APBDES'!O41</f>
        <v>0</v>
      </c>
      <c r="L39" s="1604">
        <f t="shared" ref="L39:V39" si="11">L40</f>
        <v>239197200</v>
      </c>
      <c r="M39" s="1604">
        <f t="shared" si="11"/>
        <v>0</v>
      </c>
      <c r="N39" s="1604">
        <f t="shared" si="11"/>
        <v>0</v>
      </c>
      <c r="O39" s="1604">
        <f t="shared" si="11"/>
        <v>0</v>
      </c>
      <c r="P39" s="1604">
        <f t="shared" si="11"/>
        <v>239197200</v>
      </c>
      <c r="Q39" s="1604">
        <f t="shared" si="11"/>
        <v>0</v>
      </c>
      <c r="R39" s="1604">
        <f t="shared" si="11"/>
        <v>0</v>
      </c>
      <c r="S39" s="1604">
        <f t="shared" si="11"/>
        <v>0</v>
      </c>
      <c r="T39" s="1604">
        <f t="shared" si="11"/>
        <v>119598600</v>
      </c>
      <c r="U39" s="1604">
        <f t="shared" si="11"/>
        <v>0</v>
      </c>
      <c r="V39" s="1604">
        <f t="shared" si="11"/>
        <v>0</v>
      </c>
      <c r="W39" s="1608">
        <f t="shared" si="4"/>
        <v>597993000</v>
      </c>
      <c r="Y39" s="1578">
        <f t="shared" si="1"/>
        <v>0</v>
      </c>
    </row>
    <row r="40" spans="1:25">
      <c r="A40" s="1605"/>
      <c r="B40" s="1606"/>
      <c r="C40" s="1606"/>
      <c r="D40" s="1642">
        <f>IF('Pnj APBDES'!D42="","",'Pnj APBDES'!D42)</f>
        <v>4</v>
      </c>
      <c r="E40" s="1642">
        <f>IF('Pnj APBDES'!E42="","",'Pnj APBDES'!E42)</f>
        <v>2</v>
      </c>
      <c r="F40" s="1642">
        <f>IF('Pnj APBDES'!F42="","",'Pnj APBDES'!F42)</f>
        <v>3</v>
      </c>
      <c r="G40" s="1642">
        <f>IF('Pnj APBDES'!G42="","",'Pnj APBDES'!G42)</f>
        <v>1</v>
      </c>
      <c r="H40" s="1646" t="str">
        <f>'Pnj APBDES'!H42</f>
        <v>Alokasi Dana Desa</v>
      </c>
      <c r="I40" s="1604">
        <f>'Pnj APBDES'!K42</f>
        <v>597993000</v>
      </c>
      <c r="J40" s="1596" t="str">
        <f>IF('Pnj APBDES'!N42="","",'Pnj APBDES'!N42)</f>
        <v>ADD</v>
      </c>
      <c r="K40" s="1604">
        <f>'Pnj APBDES'!O42</f>
        <v>0</v>
      </c>
      <c r="L40" s="1611">
        <f>I40*40%</f>
        <v>239197200</v>
      </c>
      <c r="M40" s="1604"/>
      <c r="N40" s="1604"/>
      <c r="O40" s="1604"/>
      <c r="P40" s="1611">
        <f>I40*40%</f>
        <v>239197200</v>
      </c>
      <c r="Q40" s="1604"/>
      <c r="R40" s="1604"/>
      <c r="S40" s="1604"/>
      <c r="T40" s="1611">
        <f>I40*20%</f>
        <v>119598600</v>
      </c>
      <c r="U40" s="1604"/>
      <c r="V40" s="1604"/>
      <c r="W40" s="1608">
        <f t="shared" si="4"/>
        <v>597993000</v>
      </c>
      <c r="Y40" s="1578">
        <f t="shared" si="1"/>
        <v>0</v>
      </c>
    </row>
    <row r="41" spans="1:25">
      <c r="A41" s="1605"/>
      <c r="B41" s="1606"/>
      <c r="C41" s="1606"/>
      <c r="D41" s="1642">
        <f>IF('Pnj APBDES'!D43="","",'Pnj APBDES'!D43)</f>
        <v>4</v>
      </c>
      <c r="E41" s="1642">
        <f>IF('Pnj APBDES'!E43="","",'Pnj APBDES'!E43)</f>
        <v>2</v>
      </c>
      <c r="F41" s="1642">
        <f>IF('Pnj APBDES'!F43="","",'Pnj APBDES'!F43)</f>
        <v>4</v>
      </c>
      <c r="G41" s="1642" t="str">
        <f>IF('Pnj APBDES'!G43="","",'Pnj APBDES'!G43)</f>
        <v/>
      </c>
      <c r="H41" s="1646" t="str">
        <f>'Pnj APBDES'!H43</f>
        <v>Bantuan Keuangan Provinsi</v>
      </c>
      <c r="I41" s="1604">
        <f>'Pnj APBDES'!K43</f>
        <v>60000000</v>
      </c>
      <c r="J41" s="1596" t="str">
        <f>IF('Pnj APBDES'!N43="","",'Pnj APBDES'!N43)</f>
        <v/>
      </c>
      <c r="K41" s="1604">
        <f>'Pnj APBDES'!O43</f>
        <v>0</v>
      </c>
      <c r="L41" s="1604">
        <f t="shared" ref="L41:U41" si="12">L42+L43</f>
        <v>0</v>
      </c>
      <c r="M41" s="1604">
        <f t="shared" si="12"/>
        <v>0</v>
      </c>
      <c r="N41" s="1604">
        <f t="shared" si="12"/>
        <v>0</v>
      </c>
      <c r="O41" s="1604">
        <f t="shared" si="12"/>
        <v>0</v>
      </c>
      <c r="P41" s="1604">
        <f t="shared" si="12"/>
        <v>0</v>
      </c>
      <c r="Q41" s="1604">
        <f t="shared" si="12"/>
        <v>0</v>
      </c>
      <c r="R41" s="1604">
        <f t="shared" si="12"/>
        <v>0</v>
      </c>
      <c r="S41" s="1604">
        <f t="shared" si="12"/>
        <v>0</v>
      </c>
      <c r="T41" s="1604">
        <f t="shared" si="12"/>
        <v>0</v>
      </c>
      <c r="U41" s="1604">
        <f t="shared" si="12"/>
        <v>0</v>
      </c>
      <c r="V41" s="1604">
        <f>V42+V43</f>
        <v>60000000</v>
      </c>
      <c r="W41" s="1608">
        <f t="shared" si="4"/>
        <v>60000000</v>
      </c>
      <c r="Y41" s="1578">
        <f t="shared" si="1"/>
        <v>0</v>
      </c>
    </row>
    <row r="42" spans="1:25">
      <c r="A42" s="1605"/>
      <c r="B42" s="1606"/>
      <c r="C42" s="1606"/>
      <c r="D42" s="1642">
        <f>IF('Pnj APBDES'!D44="","",'Pnj APBDES'!D44)</f>
        <v>4</v>
      </c>
      <c r="E42" s="1642">
        <f>IF('Pnj APBDES'!E44="","",'Pnj APBDES'!E44)</f>
        <v>2</v>
      </c>
      <c r="F42" s="1642">
        <f>IF('Pnj APBDES'!F44="","",'Pnj APBDES'!F44)</f>
        <v>4</v>
      </c>
      <c r="G42" s="1642">
        <f>IF('Pnj APBDES'!G44="","",'Pnj APBDES'!G44)</f>
        <v>1</v>
      </c>
      <c r="H42" s="1646" t="str">
        <f>'Pnj APBDES'!H44</f>
        <v>Bantuan Keuangan dari APBD Provinsi</v>
      </c>
      <c r="I42" s="1604">
        <f>'Pnj APBDES'!K44</f>
        <v>60000000</v>
      </c>
      <c r="J42" s="1596" t="str">
        <f>IF('Pnj APBDES'!N44="","",'Pnj APBDES'!N44)</f>
        <v>PBP</v>
      </c>
      <c r="K42" s="1604">
        <f>'Pnj APBDES'!O44</f>
        <v>0</v>
      </c>
      <c r="L42" s="1604"/>
      <c r="M42" s="1604"/>
      <c r="N42" s="1604"/>
      <c r="O42" s="1604"/>
      <c r="P42" s="1604"/>
      <c r="Q42" s="1604"/>
      <c r="R42" s="1604"/>
      <c r="S42" s="1604"/>
      <c r="T42" s="1604"/>
      <c r="U42" s="1604"/>
      <c r="V42" s="1604">
        <f>I42</f>
        <v>60000000</v>
      </c>
      <c r="W42" s="1608">
        <f t="shared" si="4"/>
        <v>60000000</v>
      </c>
      <c r="Y42" s="1578">
        <f t="shared" si="1"/>
        <v>0</v>
      </c>
    </row>
    <row r="43" spans="1:25">
      <c r="A43" s="1605"/>
      <c r="B43" s="1606"/>
      <c r="C43" s="1606"/>
      <c r="D43" s="1642">
        <f>IF('Pnj APBDES'!D45="","",'Pnj APBDES'!D45)</f>
        <v>4</v>
      </c>
      <c r="E43" s="1642">
        <f>IF('Pnj APBDES'!E45="","",'Pnj APBDES'!E45)</f>
        <v>2</v>
      </c>
      <c r="F43" s="1642">
        <f>IF('Pnj APBDES'!F45="","",'Pnj APBDES'!F45)</f>
        <v>4</v>
      </c>
      <c r="G43" s="1642">
        <f>IF('Pnj APBDES'!G45="","",'Pnj APBDES'!G45)</f>
        <v>9</v>
      </c>
      <c r="H43" s="1646" t="str">
        <f>'Pnj APBDES'!H45</f>
        <v>Lain-lain Bantuan Keuangan dari APBD Provinsi</v>
      </c>
      <c r="I43" s="1604">
        <f>'Pnj APBDES'!K45</f>
        <v>0</v>
      </c>
      <c r="J43" s="1596" t="str">
        <f>IF('Pnj APBDES'!N45="","",'Pnj APBDES'!N45)</f>
        <v/>
      </c>
      <c r="K43" s="1604">
        <f>'Pnj APBDES'!O45</f>
        <v>0</v>
      </c>
      <c r="L43" s="1604"/>
      <c r="M43" s="1604"/>
      <c r="N43" s="1604"/>
      <c r="O43" s="1604"/>
      <c r="P43" s="1604"/>
      <c r="Q43" s="1604"/>
      <c r="R43" s="1604"/>
      <c r="S43" s="1604"/>
      <c r="T43" s="1604"/>
      <c r="U43" s="1604"/>
      <c r="V43" s="1604"/>
      <c r="W43" s="1608">
        <f t="shared" si="4"/>
        <v>0</v>
      </c>
      <c r="Y43" s="1578">
        <f t="shared" si="1"/>
        <v>0</v>
      </c>
    </row>
    <row r="44" spans="1:25">
      <c r="A44" s="1605"/>
      <c r="B44" s="1606"/>
      <c r="C44" s="1606"/>
      <c r="D44" s="1642">
        <f>IF('Pnj APBDES'!D46="","",'Pnj APBDES'!D46)</f>
        <v>4</v>
      </c>
      <c r="E44" s="1642">
        <f>IF('Pnj APBDES'!E46="","",'Pnj APBDES'!E46)</f>
        <v>2</v>
      </c>
      <c r="F44" s="1642">
        <f>IF('Pnj APBDES'!F46="","",'Pnj APBDES'!F46)</f>
        <v>5</v>
      </c>
      <c r="G44" s="1642" t="str">
        <f>IF('Pnj APBDES'!G46="","",'Pnj APBDES'!G46)</f>
        <v/>
      </c>
      <c r="H44" s="1646" t="str">
        <f>'Pnj APBDES'!H46</f>
        <v>Bantuan Keuangan APBD Kabupaten/Kota</v>
      </c>
      <c r="I44" s="1604">
        <f>'Pnj APBDES'!K46</f>
        <v>0</v>
      </c>
      <c r="J44" s="1596" t="str">
        <f>IF('Pnj APBDES'!N46="","",'Pnj APBDES'!N46)</f>
        <v/>
      </c>
      <c r="K44" s="1604">
        <f>'Pnj APBDES'!O46</f>
        <v>0</v>
      </c>
      <c r="L44" s="1604">
        <f t="shared" ref="L44:V44" si="13">L45+L46</f>
        <v>0</v>
      </c>
      <c r="M44" s="1604">
        <f t="shared" si="13"/>
        <v>0</v>
      </c>
      <c r="N44" s="1604">
        <f t="shared" si="13"/>
        <v>0</v>
      </c>
      <c r="O44" s="1604">
        <f t="shared" si="13"/>
        <v>0</v>
      </c>
      <c r="P44" s="1604">
        <f t="shared" si="13"/>
        <v>0</v>
      </c>
      <c r="Q44" s="1604">
        <f t="shared" si="13"/>
        <v>0</v>
      </c>
      <c r="R44" s="1604">
        <f t="shared" si="13"/>
        <v>0</v>
      </c>
      <c r="S44" s="1604">
        <f t="shared" si="13"/>
        <v>0</v>
      </c>
      <c r="T44" s="1604">
        <f t="shared" si="13"/>
        <v>0</v>
      </c>
      <c r="U44" s="1604">
        <f t="shared" si="13"/>
        <v>0</v>
      </c>
      <c r="V44" s="1604">
        <f t="shared" si="13"/>
        <v>0</v>
      </c>
      <c r="W44" s="1608">
        <f t="shared" si="4"/>
        <v>0</v>
      </c>
      <c r="Y44" s="1578">
        <f t="shared" si="1"/>
        <v>0</v>
      </c>
    </row>
    <row r="45" spans="1:25">
      <c r="A45" s="1605"/>
      <c r="B45" s="1606"/>
      <c r="C45" s="1606"/>
      <c r="D45" s="1642">
        <f>IF('Pnj APBDES'!D47="","",'Pnj APBDES'!D47)</f>
        <v>4</v>
      </c>
      <c r="E45" s="1642">
        <f>IF('Pnj APBDES'!E47="","",'Pnj APBDES'!E47)</f>
        <v>2</v>
      </c>
      <c r="F45" s="1642">
        <f>IF('Pnj APBDES'!F47="","",'Pnj APBDES'!F47)</f>
        <v>5</v>
      </c>
      <c r="G45" s="1642">
        <f>IF('Pnj APBDES'!G47="","",'Pnj APBDES'!G47)</f>
        <v>1</v>
      </c>
      <c r="H45" s="1646" t="str">
        <f>'Pnj APBDES'!H47</f>
        <v>Bantuan Keuangan APBD Kabupaten/Kota</v>
      </c>
      <c r="I45" s="1604">
        <f>'Pnj APBDES'!K47</f>
        <v>0</v>
      </c>
      <c r="J45" s="1596" t="str">
        <f>IF('Pnj APBDES'!N47="","",'Pnj APBDES'!N47)</f>
        <v/>
      </c>
      <c r="K45" s="1604">
        <f>'Pnj APBDES'!O47</f>
        <v>0</v>
      </c>
      <c r="L45" s="1604"/>
      <c r="M45" s="1604"/>
      <c r="N45" s="1604"/>
      <c r="O45" s="1604"/>
      <c r="P45" s="1604"/>
      <c r="Q45" s="1604"/>
      <c r="R45" s="1604"/>
      <c r="S45" s="1604"/>
      <c r="T45" s="1604"/>
      <c r="U45" s="1604"/>
      <c r="V45" s="1604"/>
      <c r="W45" s="1608">
        <f t="shared" si="4"/>
        <v>0</v>
      </c>
      <c r="Y45" s="1578">
        <f t="shared" si="1"/>
        <v>0</v>
      </c>
    </row>
    <row r="46" spans="1:25">
      <c r="A46" s="1605"/>
      <c r="B46" s="1606"/>
      <c r="C46" s="1606"/>
      <c r="D46" s="1642">
        <f>IF('Pnj APBDES'!D48="","",'Pnj APBDES'!D48)</f>
        <v>4</v>
      </c>
      <c r="E46" s="1642">
        <f>IF('Pnj APBDES'!E48="","",'Pnj APBDES'!E48)</f>
        <v>2</v>
      </c>
      <c r="F46" s="1642">
        <f>IF('Pnj APBDES'!F48="","",'Pnj APBDES'!F48)</f>
        <v>5</v>
      </c>
      <c r="G46" s="1642">
        <f>IF('Pnj APBDES'!G48="","",'Pnj APBDES'!G48)</f>
        <v>9</v>
      </c>
      <c r="H46" s="1646" t="str">
        <f>'Pnj APBDES'!H48</f>
        <v>Lain-lain Bantuan Keuangan dari APBD Kabupaten/Kota</v>
      </c>
      <c r="I46" s="1604">
        <f>'Pnj APBDES'!K48</f>
        <v>0</v>
      </c>
      <c r="J46" s="1596" t="str">
        <f>IF('Pnj APBDES'!N48="","",'Pnj APBDES'!N48)</f>
        <v/>
      </c>
      <c r="K46" s="1604">
        <f>'Pnj APBDES'!O48</f>
        <v>0</v>
      </c>
      <c r="L46" s="1604"/>
      <c r="M46" s="1604"/>
      <c r="N46" s="1604"/>
      <c r="O46" s="1604"/>
      <c r="P46" s="1604"/>
      <c r="Q46" s="1604"/>
      <c r="R46" s="1604"/>
      <c r="S46" s="1604"/>
      <c r="T46" s="1604"/>
      <c r="U46" s="1604"/>
      <c r="V46" s="1604"/>
      <c r="W46" s="1608">
        <f t="shared" si="4"/>
        <v>0</v>
      </c>
      <c r="Y46" s="1578">
        <f t="shared" si="1"/>
        <v>0</v>
      </c>
    </row>
    <row r="47" spans="1:25" s="1598" customFormat="1">
      <c r="A47" s="1599"/>
      <c r="B47" s="1600"/>
      <c r="C47" s="1600"/>
      <c r="D47" s="1593">
        <f>IF('Pnj APBDES'!D49="","",'Pnj APBDES'!D49)</f>
        <v>4</v>
      </c>
      <c r="E47" s="1593">
        <f>IF('Pnj APBDES'!E49="","",'Pnj APBDES'!E49)</f>
        <v>3</v>
      </c>
      <c r="F47" s="1642" t="str">
        <f>IF('Pnj APBDES'!F49="","",'Pnj APBDES'!F49)</f>
        <v/>
      </c>
      <c r="G47" s="1642" t="str">
        <f>IF('Pnj APBDES'!G49="","",'Pnj APBDES'!G49)</f>
        <v/>
      </c>
      <c r="H47" s="1618" t="str">
        <f>'Pnj APBDES'!H49</f>
        <v>Pendapatan Lain-lain</v>
      </c>
      <c r="I47" s="1604">
        <f>'Pnj APBDES'!K49</f>
        <v>0</v>
      </c>
      <c r="J47" s="1596" t="str">
        <f>IF('Pnj APBDES'!N49="","",'Pnj APBDES'!N49)</f>
        <v/>
      </c>
      <c r="K47" s="1604">
        <f>'Pnj APBDES'!O49</f>
        <v>0</v>
      </c>
      <c r="L47" s="1601">
        <f t="shared" ref="L47:V47" si="14">L48+L50+L52+L54+L56+L58+L60</f>
        <v>0</v>
      </c>
      <c r="M47" s="1601">
        <f t="shared" si="14"/>
        <v>0</v>
      </c>
      <c r="N47" s="1601">
        <f t="shared" si="14"/>
        <v>0</v>
      </c>
      <c r="O47" s="1601">
        <f t="shared" si="14"/>
        <v>0</v>
      </c>
      <c r="P47" s="1601">
        <f t="shared" si="14"/>
        <v>0</v>
      </c>
      <c r="Q47" s="1601">
        <f t="shared" si="14"/>
        <v>0</v>
      </c>
      <c r="R47" s="1601">
        <f t="shared" si="14"/>
        <v>5000000</v>
      </c>
      <c r="S47" s="1601">
        <f t="shared" si="14"/>
        <v>0</v>
      </c>
      <c r="T47" s="1601">
        <f t="shared" si="14"/>
        <v>0</v>
      </c>
      <c r="U47" s="1601">
        <f t="shared" si="14"/>
        <v>0</v>
      </c>
      <c r="V47" s="1601">
        <f t="shared" si="14"/>
        <v>0</v>
      </c>
      <c r="W47" s="1609">
        <f t="shared" si="4"/>
        <v>5000000</v>
      </c>
      <c r="Y47" s="1610">
        <f t="shared" si="1"/>
        <v>-5000000</v>
      </c>
    </row>
    <row r="48" spans="1:25">
      <c r="A48" s="1605"/>
      <c r="B48" s="1606"/>
      <c r="C48" s="1606"/>
      <c r="D48" s="1642">
        <f>IF('Pnj APBDES'!D50="","",'Pnj APBDES'!D50)</f>
        <v>4</v>
      </c>
      <c r="E48" s="1642">
        <f>IF('Pnj APBDES'!E50="","",'Pnj APBDES'!E50)</f>
        <v>3</v>
      </c>
      <c r="F48" s="1642">
        <f>IF('Pnj APBDES'!F50="","",'Pnj APBDES'!F50)</f>
        <v>1</v>
      </c>
      <c r="G48" s="1642" t="str">
        <f>IF('Pnj APBDES'!G50="","",'Pnj APBDES'!G50)</f>
        <v/>
      </c>
      <c r="H48" s="1646" t="str">
        <f>'Pnj APBDES'!H50</f>
        <v xml:space="preserve">Penerimaan dari Hasil Kerjasama antar Desa </v>
      </c>
      <c r="I48" s="1604">
        <f>'Pnj APBDES'!K50</f>
        <v>0</v>
      </c>
      <c r="J48" s="1596" t="str">
        <f>IF('Pnj APBDES'!N50="","",'Pnj APBDES'!N50)</f>
        <v/>
      </c>
      <c r="K48" s="1604">
        <f>'Pnj APBDES'!O50</f>
        <v>0</v>
      </c>
      <c r="L48" s="1604">
        <f t="shared" ref="L48:V48" si="15">L49</f>
        <v>0</v>
      </c>
      <c r="M48" s="1604">
        <f t="shared" si="15"/>
        <v>0</v>
      </c>
      <c r="N48" s="1604">
        <f t="shared" si="15"/>
        <v>0</v>
      </c>
      <c r="O48" s="1604">
        <f t="shared" si="15"/>
        <v>0</v>
      </c>
      <c r="P48" s="1604">
        <f t="shared" si="15"/>
        <v>0</v>
      </c>
      <c r="Q48" s="1604">
        <f t="shared" si="15"/>
        <v>0</v>
      </c>
      <c r="R48" s="1604">
        <f t="shared" si="15"/>
        <v>0</v>
      </c>
      <c r="S48" s="1604">
        <f t="shared" si="15"/>
        <v>0</v>
      </c>
      <c r="T48" s="1604">
        <f t="shared" si="15"/>
        <v>0</v>
      </c>
      <c r="U48" s="1604">
        <f t="shared" si="15"/>
        <v>0</v>
      </c>
      <c r="V48" s="1604">
        <f t="shared" si="15"/>
        <v>0</v>
      </c>
      <c r="W48" s="1608">
        <f t="shared" si="4"/>
        <v>0</v>
      </c>
      <c r="Y48" s="1578">
        <f t="shared" si="1"/>
        <v>0</v>
      </c>
    </row>
    <row r="49" spans="1:25">
      <c r="A49" s="1605"/>
      <c r="B49" s="1606"/>
      <c r="C49" s="1606"/>
      <c r="D49" s="1642">
        <f>IF('Pnj APBDES'!D51="","",'Pnj APBDES'!D51)</f>
        <v>4</v>
      </c>
      <c r="E49" s="1642">
        <f>IF('Pnj APBDES'!E51="","",'Pnj APBDES'!E51)</f>
        <v>3</v>
      </c>
      <c r="F49" s="1642">
        <f>IF('Pnj APBDES'!F51="","",'Pnj APBDES'!F51)</f>
        <v>1</v>
      </c>
      <c r="G49" s="1642">
        <f>IF('Pnj APBDES'!G51="","",'Pnj APBDES'!G51)</f>
        <v>1</v>
      </c>
      <c r="H49" s="1646" t="str">
        <f>'Pnj APBDES'!H51</f>
        <v xml:space="preserve">Penerimaan dari Hasil Kerjasama antar Desa </v>
      </c>
      <c r="I49" s="1604">
        <f>'Pnj APBDES'!K51</f>
        <v>0</v>
      </c>
      <c r="J49" s="1596" t="str">
        <f>IF('Pnj APBDES'!N51="","",'Pnj APBDES'!N51)</f>
        <v/>
      </c>
      <c r="K49" s="1604">
        <f>'Pnj APBDES'!O51</f>
        <v>0</v>
      </c>
      <c r="L49" s="1604"/>
      <c r="M49" s="1604"/>
      <c r="N49" s="1604"/>
      <c r="O49" s="1604"/>
      <c r="P49" s="1604"/>
      <c r="Q49" s="1604"/>
      <c r="R49" s="1604"/>
      <c r="S49" s="1604"/>
      <c r="T49" s="1604"/>
      <c r="U49" s="1604"/>
      <c r="V49" s="1604"/>
      <c r="W49" s="1608">
        <f t="shared" si="4"/>
        <v>0</v>
      </c>
      <c r="Y49" s="1578">
        <f t="shared" si="1"/>
        <v>0</v>
      </c>
    </row>
    <row r="50" spans="1:25">
      <c r="A50" s="1605"/>
      <c r="B50" s="1606"/>
      <c r="C50" s="1606"/>
      <c r="D50" s="1642">
        <f>IF('Pnj APBDES'!D52="","",'Pnj APBDES'!D52)</f>
        <v>4</v>
      </c>
      <c r="E50" s="1642">
        <f>IF('Pnj APBDES'!E52="","",'Pnj APBDES'!E52)</f>
        <v>3</v>
      </c>
      <c r="F50" s="1642">
        <f>IF('Pnj APBDES'!F52="","",'Pnj APBDES'!F52)</f>
        <v>2</v>
      </c>
      <c r="G50" s="1642" t="str">
        <f>IF('Pnj APBDES'!G52="","",'Pnj APBDES'!G52)</f>
        <v/>
      </c>
      <c r="H50" s="1646" t="str">
        <f>'Pnj APBDES'!H52</f>
        <v>Penerimaan dari Hasil Kerjasama Desa dengan Pihak Ketiga</v>
      </c>
      <c r="I50" s="1604">
        <f>'Pnj APBDES'!K52</f>
        <v>0</v>
      </c>
      <c r="J50" s="1596" t="str">
        <f>IF('Pnj APBDES'!N52="","",'Pnj APBDES'!N52)</f>
        <v/>
      </c>
      <c r="K50" s="1604">
        <f>'Pnj APBDES'!O52</f>
        <v>0</v>
      </c>
      <c r="L50" s="1604">
        <f t="shared" ref="L50:V50" si="16">L51</f>
        <v>0</v>
      </c>
      <c r="M50" s="1604">
        <f t="shared" si="16"/>
        <v>0</v>
      </c>
      <c r="N50" s="1604">
        <f t="shared" si="16"/>
        <v>0</v>
      </c>
      <c r="O50" s="1604">
        <f t="shared" si="16"/>
        <v>0</v>
      </c>
      <c r="P50" s="1604">
        <f t="shared" si="16"/>
        <v>0</v>
      </c>
      <c r="Q50" s="1604">
        <f t="shared" si="16"/>
        <v>0</v>
      </c>
      <c r="R50" s="1604">
        <f t="shared" si="16"/>
        <v>0</v>
      </c>
      <c r="S50" s="1604">
        <f t="shared" si="16"/>
        <v>0</v>
      </c>
      <c r="T50" s="1604">
        <f t="shared" si="16"/>
        <v>0</v>
      </c>
      <c r="U50" s="1604">
        <f t="shared" si="16"/>
        <v>0</v>
      </c>
      <c r="V50" s="1604">
        <f t="shared" si="16"/>
        <v>0</v>
      </c>
      <c r="W50" s="1608">
        <f t="shared" si="4"/>
        <v>0</v>
      </c>
      <c r="Y50" s="1578">
        <f t="shared" si="1"/>
        <v>0</v>
      </c>
    </row>
    <row r="51" spans="1:25">
      <c r="A51" s="1605"/>
      <c r="B51" s="1606"/>
      <c r="C51" s="1606"/>
      <c r="D51" s="1642">
        <f>IF('Pnj APBDES'!D53="","",'Pnj APBDES'!D53)</f>
        <v>4</v>
      </c>
      <c r="E51" s="1642">
        <f>IF('Pnj APBDES'!E53="","",'Pnj APBDES'!E53)</f>
        <v>3</v>
      </c>
      <c r="F51" s="1642">
        <f>IF('Pnj APBDES'!F53="","",'Pnj APBDES'!F53)</f>
        <v>2</v>
      </c>
      <c r="G51" s="1642">
        <f>IF('Pnj APBDES'!G53="","",'Pnj APBDES'!G53)</f>
        <v>1</v>
      </c>
      <c r="H51" s="1646" t="str">
        <f>'Pnj APBDES'!H53</f>
        <v>Penerimaan dari Hasil Kerjasama Desa dengan Pihak Ketiga</v>
      </c>
      <c r="I51" s="1604">
        <f>'Pnj APBDES'!K53</f>
        <v>0</v>
      </c>
      <c r="J51" s="1596" t="str">
        <f>IF('Pnj APBDES'!N53="","",'Pnj APBDES'!N53)</f>
        <v/>
      </c>
      <c r="K51" s="1604">
        <f>'Pnj APBDES'!O53</f>
        <v>0</v>
      </c>
      <c r="L51" s="1604"/>
      <c r="M51" s="1604"/>
      <c r="N51" s="1604"/>
      <c r="O51" s="1604"/>
      <c r="P51" s="1604"/>
      <c r="Q51" s="1604"/>
      <c r="R51" s="1604"/>
      <c r="S51" s="1604"/>
      <c r="T51" s="1604"/>
      <c r="U51" s="1604"/>
      <c r="V51" s="1604"/>
      <c r="W51" s="1608">
        <f t="shared" si="4"/>
        <v>0</v>
      </c>
      <c r="Y51" s="1578">
        <f t="shared" si="1"/>
        <v>0</v>
      </c>
    </row>
    <row r="52" spans="1:25">
      <c r="A52" s="1605"/>
      <c r="B52" s="1606"/>
      <c r="C52" s="1606"/>
      <c r="D52" s="1642">
        <f>IF('Pnj APBDES'!D54="","",'Pnj APBDES'!D54)</f>
        <v>4</v>
      </c>
      <c r="E52" s="1642">
        <f>IF('Pnj APBDES'!E54="","",'Pnj APBDES'!E54)</f>
        <v>3</v>
      </c>
      <c r="F52" s="1642">
        <f>IF('Pnj APBDES'!F54="","",'Pnj APBDES'!F54)</f>
        <v>3</v>
      </c>
      <c r="G52" s="1642" t="str">
        <f>IF('Pnj APBDES'!G54="","",'Pnj APBDES'!G54)</f>
        <v/>
      </c>
      <c r="H52" s="1646" t="str">
        <f>'Pnj APBDES'!H54</f>
        <v>Penerimaan dari Bantuan Perusahaan yang berlokasi di Desa</v>
      </c>
      <c r="I52" s="1604">
        <f>'Pnj APBDES'!K54</f>
        <v>0</v>
      </c>
      <c r="J52" s="1596" t="str">
        <f>IF('Pnj APBDES'!N54="","",'Pnj APBDES'!N54)</f>
        <v/>
      </c>
      <c r="K52" s="1604">
        <f>'Pnj APBDES'!O54</f>
        <v>0</v>
      </c>
      <c r="L52" s="1604">
        <f t="shared" ref="L52:V52" si="17">L53</f>
        <v>0</v>
      </c>
      <c r="M52" s="1604">
        <f t="shared" si="17"/>
        <v>0</v>
      </c>
      <c r="N52" s="1604">
        <f t="shared" si="17"/>
        <v>0</v>
      </c>
      <c r="O52" s="1604">
        <f t="shared" si="17"/>
        <v>0</v>
      </c>
      <c r="P52" s="1604">
        <f t="shared" si="17"/>
        <v>0</v>
      </c>
      <c r="Q52" s="1604">
        <f t="shared" si="17"/>
        <v>0</v>
      </c>
      <c r="R52" s="1604">
        <f t="shared" si="17"/>
        <v>0</v>
      </c>
      <c r="S52" s="1604">
        <f t="shared" si="17"/>
        <v>0</v>
      </c>
      <c r="T52" s="1604">
        <f t="shared" si="17"/>
        <v>0</v>
      </c>
      <c r="U52" s="1604">
        <f t="shared" si="17"/>
        <v>0</v>
      </c>
      <c r="V52" s="1604">
        <f t="shared" si="17"/>
        <v>0</v>
      </c>
      <c r="W52" s="1608">
        <f t="shared" si="4"/>
        <v>0</v>
      </c>
      <c r="Y52" s="1578">
        <f t="shared" si="1"/>
        <v>0</v>
      </c>
    </row>
    <row r="53" spans="1:25">
      <c r="A53" s="1605"/>
      <c r="B53" s="1606"/>
      <c r="C53" s="1606"/>
      <c r="D53" s="1642">
        <f>IF('Pnj APBDES'!D55="","",'Pnj APBDES'!D55)</f>
        <v>4</v>
      </c>
      <c r="E53" s="1642">
        <f>IF('Pnj APBDES'!E55="","",'Pnj APBDES'!E55)</f>
        <v>3</v>
      </c>
      <c r="F53" s="1642">
        <f>IF('Pnj APBDES'!F55="","",'Pnj APBDES'!F55)</f>
        <v>3</v>
      </c>
      <c r="G53" s="1642">
        <f>IF('Pnj APBDES'!G55="","",'Pnj APBDES'!G55)</f>
        <v>1</v>
      </c>
      <c r="H53" s="1646" t="str">
        <f>'Pnj APBDES'!H55</f>
        <v>Penerimaan dari Bantuan Perusahaan yang berlokasi di Desa</v>
      </c>
      <c r="I53" s="1604">
        <f>'Pnj APBDES'!K55</f>
        <v>0</v>
      </c>
      <c r="J53" s="1596" t="str">
        <f>IF('Pnj APBDES'!N55="","",'Pnj APBDES'!N55)</f>
        <v/>
      </c>
      <c r="K53" s="1604">
        <f>'Pnj APBDES'!O55</f>
        <v>0</v>
      </c>
      <c r="L53" s="1604"/>
      <c r="M53" s="1604"/>
      <c r="N53" s="1604"/>
      <c r="O53" s="1604"/>
      <c r="P53" s="1604"/>
      <c r="Q53" s="1604"/>
      <c r="R53" s="1604"/>
      <c r="S53" s="1604"/>
      <c r="T53" s="1604"/>
      <c r="U53" s="1604"/>
      <c r="V53" s="1604"/>
      <c r="W53" s="1608">
        <f t="shared" si="4"/>
        <v>0</v>
      </c>
      <c r="Y53" s="1578">
        <f t="shared" si="1"/>
        <v>0</v>
      </c>
    </row>
    <row r="54" spans="1:25">
      <c r="A54" s="1605"/>
      <c r="B54" s="1606"/>
      <c r="C54" s="1606"/>
      <c r="D54" s="1642">
        <f>IF('Pnj APBDES'!D56="","",'Pnj APBDES'!D56)</f>
        <v>4</v>
      </c>
      <c r="E54" s="1642">
        <f>IF('Pnj APBDES'!E56="","",'Pnj APBDES'!E56)</f>
        <v>3</v>
      </c>
      <c r="F54" s="1642">
        <f>IF('Pnj APBDES'!F56="","",'Pnj APBDES'!F56)</f>
        <v>4</v>
      </c>
      <c r="G54" s="1642" t="str">
        <f>IF('Pnj APBDES'!G56="","",'Pnj APBDES'!G56)</f>
        <v/>
      </c>
      <c r="H54" s="1646" t="str">
        <f>'Pnj APBDES'!H56</f>
        <v>Hibah dan sumbangan dari Pihak Ketiga</v>
      </c>
      <c r="I54" s="1604">
        <f>'Pnj APBDES'!K56</f>
        <v>0</v>
      </c>
      <c r="J54" s="1596" t="str">
        <f>IF('Pnj APBDES'!N56="","",'Pnj APBDES'!N56)</f>
        <v/>
      </c>
      <c r="K54" s="1604">
        <f>'Pnj APBDES'!O56</f>
        <v>0</v>
      </c>
      <c r="L54" s="1604">
        <f t="shared" ref="L54:V54" si="18">L55</f>
        <v>0</v>
      </c>
      <c r="M54" s="1604">
        <f t="shared" si="18"/>
        <v>0</v>
      </c>
      <c r="N54" s="1604">
        <f t="shared" si="18"/>
        <v>0</v>
      </c>
      <c r="O54" s="1604">
        <f t="shared" si="18"/>
        <v>0</v>
      </c>
      <c r="P54" s="1604">
        <f t="shared" si="18"/>
        <v>0</v>
      </c>
      <c r="Q54" s="1604">
        <f t="shared" si="18"/>
        <v>0</v>
      </c>
      <c r="R54" s="1604">
        <f t="shared" si="18"/>
        <v>5000000</v>
      </c>
      <c r="S54" s="1604">
        <f t="shared" si="18"/>
        <v>0</v>
      </c>
      <c r="T54" s="1604">
        <f t="shared" si="18"/>
        <v>0</v>
      </c>
      <c r="U54" s="1604">
        <f t="shared" si="18"/>
        <v>0</v>
      </c>
      <c r="V54" s="1604">
        <f t="shared" si="18"/>
        <v>0</v>
      </c>
      <c r="W54" s="1608">
        <f t="shared" si="4"/>
        <v>5000000</v>
      </c>
      <c r="Y54" s="1578">
        <f t="shared" si="1"/>
        <v>-5000000</v>
      </c>
    </row>
    <row r="55" spans="1:25">
      <c r="A55" s="1605"/>
      <c r="B55" s="1606"/>
      <c r="C55" s="1606"/>
      <c r="D55" s="1642">
        <f>IF('Pnj APBDES'!D57="","",'Pnj APBDES'!D57)</f>
        <v>4</v>
      </c>
      <c r="E55" s="1642">
        <f>IF('Pnj APBDES'!E57="","",'Pnj APBDES'!E57)</f>
        <v>3</v>
      </c>
      <c r="F55" s="1642">
        <f>IF('Pnj APBDES'!F57="","",'Pnj APBDES'!F57)</f>
        <v>4</v>
      </c>
      <c r="G55" s="1642">
        <f>IF('Pnj APBDES'!G57="","",'Pnj APBDES'!G57)</f>
        <v>1</v>
      </c>
      <c r="H55" s="1646" t="str">
        <f>'Pnj APBDES'!H57</f>
        <v>Hibah dan sumbangan dari Pihak Ketiga</v>
      </c>
      <c r="I55" s="1604">
        <f>'Pnj APBDES'!K57</f>
        <v>0</v>
      </c>
      <c r="J55" s="1596" t="str">
        <f>IF('Pnj APBDES'!N57="","",'Pnj APBDES'!N57)</f>
        <v/>
      </c>
      <c r="K55" s="1604">
        <f>'Pnj APBDES'!O57</f>
        <v>0</v>
      </c>
      <c r="L55" s="1604"/>
      <c r="M55" s="1604"/>
      <c r="N55" s="1604"/>
      <c r="O55" s="1604"/>
      <c r="P55" s="1604"/>
      <c r="Q55" s="1604"/>
      <c r="R55" s="1604">
        <v>5000000</v>
      </c>
      <c r="S55" s="1604"/>
      <c r="T55" s="1604"/>
      <c r="U55" s="1604"/>
      <c r="V55" s="1604"/>
      <c r="W55" s="1608">
        <f t="shared" si="4"/>
        <v>5000000</v>
      </c>
      <c r="Y55" s="1578">
        <f t="shared" si="1"/>
        <v>-5000000</v>
      </c>
    </row>
    <row r="56" spans="1:25" ht="24">
      <c r="A56" s="1605"/>
      <c r="B56" s="1606"/>
      <c r="C56" s="1606"/>
      <c r="D56" s="1642">
        <f>IF('Pnj APBDES'!D58="","",'Pnj APBDES'!D58)</f>
        <v>4</v>
      </c>
      <c r="E56" s="1642">
        <f>IF('Pnj APBDES'!E58="","",'Pnj APBDES'!E58)</f>
        <v>3</v>
      </c>
      <c r="F56" s="1642">
        <f>IF('Pnj APBDES'!F58="","",'Pnj APBDES'!F58)</f>
        <v>5</v>
      </c>
      <c r="G56" s="1642" t="str">
        <f>IF('Pnj APBDES'!G58="","",'Pnj APBDES'!G58)</f>
        <v/>
      </c>
      <c r="H56" s="1667" t="str">
        <f>'Pnj APBDES'!H58</f>
        <v>Koreksi kesalahan belanja tahun-tahun anggaran sebelumnya yang mengakibatkan penerimaan di kas Desa pada tahun anggaran berjalan</v>
      </c>
      <c r="I56" s="1604">
        <f>'Pnj APBDES'!K58</f>
        <v>0</v>
      </c>
      <c r="J56" s="1596" t="str">
        <f>IF('Pnj APBDES'!N58="","",'Pnj APBDES'!N58)</f>
        <v/>
      </c>
      <c r="K56" s="1604">
        <f>'Pnj APBDES'!O58</f>
        <v>0</v>
      </c>
      <c r="L56" s="1604">
        <f t="shared" ref="L56:V56" si="19">L57</f>
        <v>0</v>
      </c>
      <c r="M56" s="1604">
        <f t="shared" si="19"/>
        <v>0</v>
      </c>
      <c r="N56" s="1604">
        <f t="shared" si="19"/>
        <v>0</v>
      </c>
      <c r="O56" s="1604">
        <f t="shared" si="19"/>
        <v>0</v>
      </c>
      <c r="P56" s="1604">
        <f t="shared" si="19"/>
        <v>0</v>
      </c>
      <c r="Q56" s="1604">
        <f t="shared" si="19"/>
        <v>0</v>
      </c>
      <c r="R56" s="1604">
        <f t="shared" si="19"/>
        <v>0</v>
      </c>
      <c r="S56" s="1604">
        <f t="shared" si="19"/>
        <v>0</v>
      </c>
      <c r="T56" s="1604">
        <f t="shared" si="19"/>
        <v>0</v>
      </c>
      <c r="U56" s="1604">
        <f t="shared" si="19"/>
        <v>0</v>
      </c>
      <c r="V56" s="1604">
        <f t="shared" si="19"/>
        <v>0</v>
      </c>
      <c r="W56" s="1608">
        <f t="shared" si="4"/>
        <v>0</v>
      </c>
      <c r="Y56" s="1578">
        <f t="shared" si="1"/>
        <v>0</v>
      </c>
    </row>
    <row r="57" spans="1:25" ht="24">
      <c r="A57" s="1605"/>
      <c r="B57" s="1606"/>
      <c r="C57" s="1606"/>
      <c r="D57" s="1642">
        <f>IF('Pnj APBDES'!D59="","",'Pnj APBDES'!D59)</f>
        <v>4</v>
      </c>
      <c r="E57" s="1642">
        <f>IF('Pnj APBDES'!E59="","",'Pnj APBDES'!E59)</f>
        <v>3</v>
      </c>
      <c r="F57" s="1642">
        <f>IF('Pnj APBDES'!F59="","",'Pnj APBDES'!F59)</f>
        <v>5</v>
      </c>
      <c r="G57" s="1642">
        <f>IF('Pnj APBDES'!G59="","",'Pnj APBDES'!G59)</f>
        <v>1</v>
      </c>
      <c r="H57" s="1667" t="str">
        <f>'Pnj APBDES'!H59</f>
        <v>Koreksi kesalahan belanja tahun-tahun anggaran sebelumnya yang mengakibatkan penerimaan di kas Desa pada tahun anggaran berjalan</v>
      </c>
      <c r="I57" s="1604">
        <f>'Pnj APBDES'!K59</f>
        <v>0</v>
      </c>
      <c r="J57" s="1596" t="str">
        <f>IF('Pnj APBDES'!N59="","",'Pnj APBDES'!N59)</f>
        <v/>
      </c>
      <c r="K57" s="1604">
        <f>'Pnj APBDES'!O59</f>
        <v>0</v>
      </c>
      <c r="L57" s="1604"/>
      <c r="M57" s="1604"/>
      <c r="N57" s="1604"/>
      <c r="O57" s="1604"/>
      <c r="P57" s="1604"/>
      <c r="Q57" s="1604"/>
      <c r="R57" s="1604"/>
      <c r="S57" s="1604"/>
      <c r="T57" s="1604"/>
      <c r="U57" s="1604"/>
      <c r="V57" s="1604"/>
      <c r="W57" s="1608">
        <f t="shared" si="4"/>
        <v>0</v>
      </c>
      <c r="Y57" s="1578">
        <f t="shared" si="1"/>
        <v>0</v>
      </c>
    </row>
    <row r="58" spans="1:25">
      <c r="A58" s="1605"/>
      <c r="B58" s="1606"/>
      <c r="C58" s="1606"/>
      <c r="D58" s="1642">
        <f>IF('Pnj APBDES'!D60="","",'Pnj APBDES'!D60)</f>
        <v>4</v>
      </c>
      <c r="E58" s="1642">
        <f>IF('Pnj APBDES'!E60="","",'Pnj APBDES'!E60)</f>
        <v>3</v>
      </c>
      <c r="F58" s="1642">
        <f>IF('Pnj APBDES'!F60="","",'Pnj APBDES'!F60)</f>
        <v>6</v>
      </c>
      <c r="G58" s="1642" t="str">
        <f>IF('Pnj APBDES'!G60="","",'Pnj APBDES'!G60)</f>
        <v/>
      </c>
      <c r="H58" s="1646" t="str">
        <f>'Pnj APBDES'!H60</f>
        <v>Bunga Bank</v>
      </c>
      <c r="I58" s="1604">
        <f>'Pnj APBDES'!K60</f>
        <v>0</v>
      </c>
      <c r="J58" s="1596" t="str">
        <f>IF('Pnj APBDES'!N60="","",'Pnj APBDES'!N60)</f>
        <v/>
      </c>
      <c r="K58" s="1604">
        <f>'Pnj APBDES'!O60</f>
        <v>0</v>
      </c>
      <c r="L58" s="1604">
        <f t="shared" ref="L58:V58" si="20">L59</f>
        <v>0</v>
      </c>
      <c r="M58" s="1604">
        <f t="shared" si="20"/>
        <v>0</v>
      </c>
      <c r="N58" s="1604">
        <f t="shared" si="20"/>
        <v>0</v>
      </c>
      <c r="O58" s="1604">
        <f t="shared" si="20"/>
        <v>0</v>
      </c>
      <c r="P58" s="1604">
        <f t="shared" si="20"/>
        <v>0</v>
      </c>
      <c r="Q58" s="1604">
        <f t="shared" si="20"/>
        <v>0</v>
      </c>
      <c r="R58" s="1604">
        <f t="shared" si="20"/>
        <v>0</v>
      </c>
      <c r="S58" s="1604">
        <f t="shared" si="20"/>
        <v>0</v>
      </c>
      <c r="T58" s="1604">
        <f t="shared" si="20"/>
        <v>0</v>
      </c>
      <c r="U58" s="1604">
        <f t="shared" si="20"/>
        <v>0</v>
      </c>
      <c r="V58" s="1604">
        <f t="shared" si="20"/>
        <v>0</v>
      </c>
      <c r="W58" s="1608">
        <f t="shared" si="4"/>
        <v>0</v>
      </c>
      <c r="Y58" s="1578">
        <f t="shared" si="1"/>
        <v>0</v>
      </c>
    </row>
    <row r="59" spans="1:25">
      <c r="A59" s="1605"/>
      <c r="B59" s="1606"/>
      <c r="C59" s="1606"/>
      <c r="D59" s="1642">
        <f>IF('Pnj APBDES'!D61="","",'Pnj APBDES'!D61)</f>
        <v>4</v>
      </c>
      <c r="E59" s="1642">
        <f>IF('Pnj APBDES'!E61="","",'Pnj APBDES'!E61)</f>
        <v>3</v>
      </c>
      <c r="F59" s="1642">
        <f>IF('Pnj APBDES'!F61="","",'Pnj APBDES'!F61)</f>
        <v>6</v>
      </c>
      <c r="G59" s="1642">
        <f>IF('Pnj APBDES'!G61="","",'Pnj APBDES'!G61)</f>
        <v>1</v>
      </c>
      <c r="H59" s="1646" t="str">
        <f>'Pnj APBDES'!H61</f>
        <v>Bunga Bank</v>
      </c>
      <c r="I59" s="1604">
        <f>'Pnj APBDES'!K61</f>
        <v>0</v>
      </c>
      <c r="J59" s="1596" t="str">
        <f>IF('Pnj APBDES'!N61="","",'Pnj APBDES'!N61)</f>
        <v>DLL</v>
      </c>
      <c r="K59" s="1604">
        <f>'Pnj APBDES'!O61</f>
        <v>0</v>
      </c>
      <c r="L59" s="1604">
        <f>K59</f>
        <v>0</v>
      </c>
      <c r="M59" s="1604">
        <f t="shared" ref="M59:V59" si="21">L59</f>
        <v>0</v>
      </c>
      <c r="N59" s="1604">
        <f t="shared" si="21"/>
        <v>0</v>
      </c>
      <c r="O59" s="1604">
        <f t="shared" si="21"/>
        <v>0</v>
      </c>
      <c r="P59" s="1604">
        <f t="shared" si="21"/>
        <v>0</v>
      </c>
      <c r="Q59" s="1604">
        <f t="shared" si="21"/>
        <v>0</v>
      </c>
      <c r="R59" s="1604">
        <f t="shared" si="21"/>
        <v>0</v>
      </c>
      <c r="S59" s="1604">
        <f t="shared" si="21"/>
        <v>0</v>
      </c>
      <c r="T59" s="1604">
        <f t="shared" si="21"/>
        <v>0</v>
      </c>
      <c r="U59" s="1604">
        <f t="shared" si="21"/>
        <v>0</v>
      </c>
      <c r="V59" s="1604">
        <f t="shared" si="21"/>
        <v>0</v>
      </c>
      <c r="W59" s="1608">
        <f t="shared" si="4"/>
        <v>0</v>
      </c>
      <c r="Y59" s="1578">
        <f t="shared" si="1"/>
        <v>0</v>
      </c>
    </row>
    <row r="60" spans="1:25">
      <c r="A60" s="1605"/>
      <c r="B60" s="1606"/>
      <c r="C60" s="1606"/>
      <c r="D60" s="1642">
        <f>IF('Pnj APBDES'!D62="","",'Pnj APBDES'!D62)</f>
        <v>4</v>
      </c>
      <c r="E60" s="1642">
        <f>IF('Pnj APBDES'!E62="","",'Pnj APBDES'!E62)</f>
        <v>3</v>
      </c>
      <c r="F60" s="1642">
        <f>IF('Pnj APBDES'!F62="","",'Pnj APBDES'!F62)</f>
        <v>9</v>
      </c>
      <c r="G60" s="1642" t="str">
        <f>IF('Pnj APBDES'!G62="","",'Pnj APBDES'!G62)</f>
        <v/>
      </c>
      <c r="H60" s="1646" t="str">
        <f>'Pnj APBDES'!H62</f>
        <v>Lain-lain pendapatan Desa yang sah</v>
      </c>
      <c r="I60" s="1604">
        <f>'Pnj APBDES'!K62</f>
        <v>0</v>
      </c>
      <c r="J60" s="1596" t="str">
        <f>IF('Pnj APBDES'!N62="","",'Pnj APBDES'!N62)</f>
        <v/>
      </c>
      <c r="K60" s="1604">
        <f>'Pnj APBDES'!O62</f>
        <v>0</v>
      </c>
      <c r="L60" s="1604">
        <f t="shared" ref="L60:V60" si="22">L61</f>
        <v>0</v>
      </c>
      <c r="M60" s="1604">
        <f t="shared" si="22"/>
        <v>0</v>
      </c>
      <c r="N60" s="1604">
        <f t="shared" si="22"/>
        <v>0</v>
      </c>
      <c r="O60" s="1604">
        <f t="shared" si="22"/>
        <v>0</v>
      </c>
      <c r="P60" s="1604">
        <f t="shared" si="22"/>
        <v>0</v>
      </c>
      <c r="Q60" s="1604">
        <f t="shared" si="22"/>
        <v>0</v>
      </c>
      <c r="R60" s="1604">
        <f t="shared" si="22"/>
        <v>0</v>
      </c>
      <c r="S60" s="1604">
        <f t="shared" si="22"/>
        <v>0</v>
      </c>
      <c r="T60" s="1604">
        <f t="shared" si="22"/>
        <v>0</v>
      </c>
      <c r="U60" s="1604">
        <f t="shared" si="22"/>
        <v>0</v>
      </c>
      <c r="V60" s="1604">
        <f t="shared" si="22"/>
        <v>0</v>
      </c>
      <c r="W60" s="1608">
        <f t="shared" si="4"/>
        <v>0</v>
      </c>
      <c r="Y60" s="1578">
        <f t="shared" si="1"/>
        <v>0</v>
      </c>
    </row>
    <row r="61" spans="1:25">
      <c r="A61" s="1605"/>
      <c r="B61" s="1606"/>
      <c r="C61" s="1606"/>
      <c r="D61" s="1642">
        <f>IF('Pnj APBDES'!D63="","",'Pnj APBDES'!D63)</f>
        <v>4</v>
      </c>
      <c r="E61" s="1642">
        <f>IF('Pnj APBDES'!E63="","",'Pnj APBDES'!E63)</f>
        <v>3</v>
      </c>
      <c r="F61" s="1642">
        <f>IF('Pnj APBDES'!F63="","",'Pnj APBDES'!F63)</f>
        <v>9</v>
      </c>
      <c r="G61" s="1642">
        <f>IF('Pnj APBDES'!G63="","",'Pnj APBDES'!G63)</f>
        <v>9</v>
      </c>
      <c r="H61" s="1646" t="str">
        <f>'Pnj APBDES'!H63</f>
        <v>Lain-lain pendapatan Desa yang sah</v>
      </c>
      <c r="I61" s="1604">
        <f>'Pnj APBDES'!K63</f>
        <v>0</v>
      </c>
      <c r="J61" s="1596" t="str">
        <f>IF('Pnj APBDES'!N63="","",'Pnj APBDES'!N63)</f>
        <v/>
      </c>
      <c r="K61" s="1604">
        <f>'Pnj APBDES'!O63</f>
        <v>0</v>
      </c>
      <c r="L61" s="1604"/>
      <c r="M61" s="1604"/>
      <c r="N61" s="1604"/>
      <c r="O61" s="1604"/>
      <c r="P61" s="1604"/>
      <c r="Q61" s="1604"/>
      <c r="R61" s="1604"/>
      <c r="S61" s="1604"/>
      <c r="T61" s="1604"/>
      <c r="U61" s="1604"/>
      <c r="V61" s="1604"/>
      <c r="W61" s="1608">
        <f t="shared" si="4"/>
        <v>0</v>
      </c>
      <c r="Y61" s="1578">
        <f t="shared" si="1"/>
        <v>0</v>
      </c>
    </row>
    <row r="62" spans="1:25" s="1598" customFormat="1" ht="24.75" customHeight="1">
      <c r="A62" s="1599"/>
      <c r="B62" s="1600"/>
      <c r="C62" s="1600"/>
      <c r="D62" s="1642" t="str">
        <f>IF('Pnj APBDES'!D64="","",'Pnj APBDES'!D64)</f>
        <v/>
      </c>
      <c r="E62" s="1642" t="str">
        <f>IF('Pnj APBDES'!E64="","",'Pnj APBDES'!E64)</f>
        <v/>
      </c>
      <c r="F62" s="1642" t="str">
        <f>IF('Pnj APBDES'!F64="","",'Pnj APBDES'!F64)</f>
        <v/>
      </c>
      <c r="G62" s="1642" t="str">
        <f>IF('Pnj APBDES'!G64="","",'Pnj APBDES'!G64)</f>
        <v/>
      </c>
      <c r="H62" s="1668" t="str">
        <f>'Pnj APBDES'!H64</f>
        <v>JUMLAH PENDAPATAN</v>
      </c>
      <c r="I62" s="1601">
        <f>'Pnj APBDES'!K64</f>
        <v>1536094000</v>
      </c>
      <c r="J62" s="1602"/>
      <c r="K62" s="1601">
        <f>'Pnj APBDES'!O64</f>
        <v>0</v>
      </c>
      <c r="L62" s="1601">
        <f t="shared" ref="L62:V62" si="23">L16</f>
        <v>401994600</v>
      </c>
      <c r="M62" s="1601">
        <f t="shared" si="23"/>
        <v>0</v>
      </c>
      <c r="N62" s="1601">
        <f t="shared" si="23"/>
        <v>0</v>
      </c>
      <c r="O62" s="1601">
        <f t="shared" si="23"/>
        <v>0</v>
      </c>
      <c r="P62" s="1601">
        <f t="shared" si="23"/>
        <v>564792000</v>
      </c>
      <c r="Q62" s="1601">
        <f t="shared" si="23"/>
        <v>0</v>
      </c>
      <c r="R62" s="1601">
        <f t="shared" si="23"/>
        <v>5000000</v>
      </c>
      <c r="S62" s="1601">
        <f t="shared" si="23"/>
        <v>0</v>
      </c>
      <c r="T62" s="1601">
        <f t="shared" si="23"/>
        <v>445193400</v>
      </c>
      <c r="U62" s="1601">
        <f t="shared" si="23"/>
        <v>44114000</v>
      </c>
      <c r="V62" s="1601">
        <f t="shared" si="23"/>
        <v>60000000</v>
      </c>
      <c r="W62" s="1609">
        <f t="shared" si="4"/>
        <v>1521094000</v>
      </c>
      <c r="Y62" s="1610">
        <f t="shared" si="1"/>
        <v>15000000</v>
      </c>
    </row>
    <row r="63" spans="1:25">
      <c r="A63" s="1612"/>
      <c r="B63" s="1613"/>
      <c r="C63" s="1613"/>
      <c r="D63" s="1643"/>
      <c r="E63" s="1644"/>
      <c r="F63" s="1644"/>
      <c r="G63" s="1645"/>
      <c r="H63" s="1614"/>
      <c r="I63" s="1615"/>
      <c r="J63" s="1616"/>
      <c r="K63" s="1615"/>
      <c r="L63" s="1615"/>
      <c r="M63" s="1615"/>
      <c r="N63" s="1615"/>
      <c r="O63" s="1615"/>
      <c r="P63" s="1615"/>
      <c r="Q63" s="1615"/>
      <c r="R63" s="1615"/>
      <c r="S63" s="1615"/>
      <c r="T63" s="1615"/>
      <c r="U63" s="1615"/>
      <c r="V63" s="1615"/>
      <c r="W63" s="1617"/>
      <c r="Y63" s="1578">
        <f t="shared" si="1"/>
        <v>0</v>
      </c>
    </row>
    <row r="64" spans="1:25" ht="22.5" customHeight="1">
      <c r="A64" s="1669">
        <f>IF('Pnj APBDES'!A67="","",'Pnj APBDES'!A67)</f>
        <v>1</v>
      </c>
      <c r="B64" s="1669" t="str">
        <f>IF('Pnj APBDES'!B67="","",'Pnj APBDES'!B67)</f>
        <v/>
      </c>
      <c r="C64" s="1669" t="str">
        <f>IF('Pnj APBDES'!C67="","",'Pnj APBDES'!C67)</f>
        <v/>
      </c>
      <c r="D64" s="1669" t="str">
        <f>IF('Pnj APBDES'!D67="","",'Pnj APBDES'!D67)</f>
        <v/>
      </c>
      <c r="E64" s="1669" t="str">
        <f>IF('Pnj APBDES'!E67="","",'Pnj APBDES'!E67)</f>
        <v/>
      </c>
      <c r="F64" s="1669" t="str">
        <f>IF('Pnj APBDES'!F67="","",'Pnj APBDES'!F67)</f>
        <v/>
      </c>
      <c r="G64" s="1669" t="str">
        <f>IF('Pnj APBDES'!G67="","",'Pnj APBDES'!G67)</f>
        <v/>
      </c>
      <c r="H64" s="1670" t="str">
        <f>RKA!H16</f>
        <v>PENYELENGGARAAN PEMERINTAHAN DESA</v>
      </c>
      <c r="I64" s="1671">
        <f>'Pnj APBDES'!K67</f>
        <v>597552000</v>
      </c>
      <c r="J64" s="1650" t="str">
        <f>IF('Pnj APBDES'!N67="","",'Pnj APBDES'!N67)</f>
        <v/>
      </c>
      <c r="K64" s="1619">
        <f>RKA!K16</f>
        <v>42906000</v>
      </c>
      <c r="L64" s="1619">
        <f>RKA!L16</f>
        <v>42906000</v>
      </c>
      <c r="M64" s="1619">
        <f>RKA!M16</f>
        <v>51289000</v>
      </c>
      <c r="N64" s="1619" t="e">
        <f>RKA!N16</f>
        <v>#REF!</v>
      </c>
      <c r="O64" s="1619">
        <f>RKA!O16</f>
        <v>46006000</v>
      </c>
      <c r="P64" s="1619">
        <f>RKA!P16</f>
        <v>66226000</v>
      </c>
      <c r="Q64" s="1619">
        <f>RKA!Q16</f>
        <v>48256000</v>
      </c>
      <c r="R64" s="1619">
        <f>RKA!R16</f>
        <v>45655000</v>
      </c>
      <c r="S64" s="1619">
        <f>RKA!S16</f>
        <v>49885500</v>
      </c>
      <c r="T64" s="1619">
        <f>RKA!T16</f>
        <v>60041000</v>
      </c>
      <c r="U64" s="1619">
        <f>RKA!U16</f>
        <v>46116000</v>
      </c>
      <c r="V64" s="1619">
        <f>RKA!V16</f>
        <v>44831000</v>
      </c>
      <c r="W64" s="1619" t="e">
        <f>SUM(K64:V64)</f>
        <v>#REF!</v>
      </c>
      <c r="Y64" s="1578" t="e">
        <f t="shared" si="1"/>
        <v>#REF!</v>
      </c>
    </row>
    <row r="65" spans="1:25" ht="24" customHeight="1">
      <c r="A65" s="1672">
        <f>IF('Pnj APBDES'!A68="","",'Pnj APBDES'!A68)</f>
        <v>1</v>
      </c>
      <c r="B65" s="1673">
        <f>IF('Pnj APBDES'!B68="","",'Pnj APBDES'!B68)</f>
        <v>1</v>
      </c>
      <c r="C65" s="1672" t="str">
        <f>IF('Pnj APBDES'!C68="","",'Pnj APBDES'!C68)</f>
        <v/>
      </c>
      <c r="D65" s="1672" t="str">
        <f>IF('Pnj APBDES'!D68="","",'Pnj APBDES'!D68)</f>
        <v/>
      </c>
      <c r="E65" s="1672" t="str">
        <f>IF('Pnj APBDES'!E68="","",'Pnj APBDES'!E68)</f>
        <v/>
      </c>
      <c r="F65" s="1672" t="str">
        <f>IF('Pnj APBDES'!F68="","",'Pnj APBDES'!F68)</f>
        <v/>
      </c>
      <c r="G65" s="1672" t="str">
        <f>IF('Pnj APBDES'!G68="","",'Pnj APBDES'!G68)</f>
        <v/>
      </c>
      <c r="H65" s="1674" t="str">
        <f>IF('Pnj APBDES'!H68="","",'Pnj APBDES'!H68)</f>
        <v>Penyelenggaraan Belanja Penghasilan Tetap, Tunjangan dan Operasional Pemerintahan Desa</v>
      </c>
      <c r="I65" s="1675">
        <f>'Pnj APBDES'!K68</f>
        <v>422969500</v>
      </c>
      <c r="J65" s="1650" t="str">
        <f>IF('Pnj APBDES'!N68="","",'Pnj APBDES'!N68)</f>
        <v/>
      </c>
      <c r="K65" s="1619">
        <f>RKA!K17</f>
        <v>42906000</v>
      </c>
      <c r="L65" s="1619">
        <f>RKA!L17</f>
        <v>42906000</v>
      </c>
      <c r="M65" s="1619">
        <f>RKA!M17</f>
        <v>51289000</v>
      </c>
      <c r="N65" s="1619">
        <f>RKA!N17</f>
        <v>44386000</v>
      </c>
      <c r="O65" s="1619">
        <f>RKA!O17</f>
        <v>46006000</v>
      </c>
      <c r="P65" s="1619">
        <f>RKA!P17</f>
        <v>45056000</v>
      </c>
      <c r="Q65" s="1619">
        <f>RKA!Q17</f>
        <v>48256000</v>
      </c>
      <c r="R65" s="1619">
        <f>RKA!R17</f>
        <v>44446000</v>
      </c>
      <c r="S65" s="1619">
        <f>RKA!S17</f>
        <v>47385500</v>
      </c>
      <c r="T65" s="1619">
        <f>RKA!T17</f>
        <v>46386000</v>
      </c>
      <c r="U65" s="1619">
        <f>RKA!U17</f>
        <v>46116000</v>
      </c>
      <c r="V65" s="1619">
        <f>RKA!V17</f>
        <v>44831000</v>
      </c>
      <c r="W65" s="1619">
        <f t="shared" ref="W65:W128" si="24">SUM(K65:V65)</f>
        <v>549969500</v>
      </c>
      <c r="Y65" s="1578">
        <f t="shared" si="1"/>
        <v>-127000000</v>
      </c>
    </row>
    <row r="66" spans="1:25">
      <c r="A66" s="1672">
        <f>IF('Pnj APBDES'!A69="","",'Pnj APBDES'!A69)</f>
        <v>1</v>
      </c>
      <c r="B66" s="1673">
        <f>IF('Pnj APBDES'!B69="","",'Pnj APBDES'!B69)</f>
        <v>1</v>
      </c>
      <c r="C66" s="1673" t="str">
        <f>IF('Pnj APBDES'!C69="","",'Pnj APBDES'!C69)</f>
        <v>01</v>
      </c>
      <c r="D66" s="1672">
        <f>IF('Pnj APBDES'!D69="","",'Pnj APBDES'!D69)</f>
        <v>5</v>
      </c>
      <c r="E66" s="1672" t="str">
        <f>IF('Pnj APBDES'!E69="","",'Pnj APBDES'!E69)</f>
        <v/>
      </c>
      <c r="F66" s="1672" t="str">
        <f>IF('Pnj APBDES'!F69="","",'Pnj APBDES'!F69)</f>
        <v/>
      </c>
      <c r="G66" s="1672" t="str">
        <f>IF('Pnj APBDES'!G69="","",'Pnj APBDES'!G69)</f>
        <v/>
      </c>
      <c r="H66" s="1674" t="str">
        <f>IF('Pnj APBDES'!H69="","",'Pnj APBDES'!H69)</f>
        <v>Penyediaan Penghasilan Tetap dan Tunjangan Kepala Desa</v>
      </c>
      <c r="I66" s="1675">
        <f>'Pnj APBDES'!K69</f>
        <v>43250000</v>
      </c>
      <c r="J66" s="1650" t="str">
        <f>IF('Pnj APBDES'!N69="","",'Pnj APBDES'!N69)</f>
        <v/>
      </c>
      <c r="K66" s="1619">
        <f>RKA!K18</f>
        <v>3500000</v>
      </c>
      <c r="L66" s="1619">
        <f>RKA!L18</f>
        <v>3500000</v>
      </c>
      <c r="M66" s="1619">
        <f>RKA!M18</f>
        <v>3500000</v>
      </c>
      <c r="N66" s="1619">
        <f>RKA!N18</f>
        <v>3500000</v>
      </c>
      <c r="O66" s="1619">
        <f>RKA!O18</f>
        <v>3500000</v>
      </c>
      <c r="P66" s="1619">
        <f>RKA!P18</f>
        <v>3500000</v>
      </c>
      <c r="Q66" s="1619">
        <f>RKA!Q18</f>
        <v>3500000</v>
      </c>
      <c r="R66" s="1619">
        <f>RKA!R18</f>
        <v>3500000</v>
      </c>
      <c r="S66" s="1619">
        <f>RKA!S18</f>
        <v>3500000</v>
      </c>
      <c r="T66" s="1619">
        <f>RKA!T18</f>
        <v>3500000</v>
      </c>
      <c r="U66" s="1619">
        <f>RKA!U18</f>
        <v>3500000</v>
      </c>
      <c r="V66" s="1619">
        <f>RKA!V18</f>
        <v>3500000</v>
      </c>
      <c r="W66" s="1619">
        <f t="shared" si="24"/>
        <v>42000000</v>
      </c>
      <c r="Y66" s="1578">
        <f t="shared" si="1"/>
        <v>1250000</v>
      </c>
    </row>
    <row r="67" spans="1:25">
      <c r="A67" s="1676">
        <f>IF('Pnj APBDES'!A70="","",'Pnj APBDES'!A70)</f>
        <v>1</v>
      </c>
      <c r="B67" s="1677">
        <f>IF('Pnj APBDES'!B70="","",'Pnj APBDES'!B70)</f>
        <v>1</v>
      </c>
      <c r="C67" s="1677" t="str">
        <f>IF('Pnj APBDES'!C70="","",'Pnj APBDES'!C70)</f>
        <v>01</v>
      </c>
      <c r="D67" s="1676">
        <f>IF('Pnj APBDES'!D70="","",'Pnj APBDES'!D70)</f>
        <v>5</v>
      </c>
      <c r="E67" s="1676">
        <f>IF('Pnj APBDES'!E70="","",'Pnj APBDES'!E70)</f>
        <v>1</v>
      </c>
      <c r="F67" s="1676" t="str">
        <f>IF('Pnj APBDES'!F70="","",'Pnj APBDES'!F70)</f>
        <v/>
      </c>
      <c r="G67" s="1676" t="str">
        <f>IF('Pnj APBDES'!G70="","",'Pnj APBDES'!G70)</f>
        <v/>
      </c>
      <c r="H67" s="1678" t="str">
        <f>IF('Pnj APBDES'!H70="","",'Pnj APBDES'!H70)</f>
        <v>Belanja Pegawai</v>
      </c>
      <c r="I67" s="1679">
        <f>'Pnj APBDES'!K70</f>
        <v>43250000</v>
      </c>
      <c r="J67" s="1650" t="str">
        <f>IF('Pnj APBDES'!N70="","",'Pnj APBDES'!N70)</f>
        <v/>
      </c>
      <c r="K67" s="1619">
        <f>RKA!K19</f>
        <v>3500000</v>
      </c>
      <c r="L67" s="1619">
        <f>RKA!L19</f>
        <v>3500000</v>
      </c>
      <c r="M67" s="1619">
        <f>RKA!M19</f>
        <v>3500000</v>
      </c>
      <c r="N67" s="1619">
        <f>RKA!N19</f>
        <v>3500000</v>
      </c>
      <c r="O67" s="1619">
        <f>RKA!O19</f>
        <v>3500000</v>
      </c>
      <c r="P67" s="1619">
        <f>RKA!P19</f>
        <v>3500000</v>
      </c>
      <c r="Q67" s="1619">
        <f>RKA!Q19</f>
        <v>3500000</v>
      </c>
      <c r="R67" s="1619">
        <f>RKA!R19</f>
        <v>3500000</v>
      </c>
      <c r="S67" s="1619">
        <f>RKA!S19</f>
        <v>3500000</v>
      </c>
      <c r="T67" s="1619">
        <f>RKA!T19</f>
        <v>3500000</v>
      </c>
      <c r="U67" s="1619">
        <f>RKA!U19</f>
        <v>3500000</v>
      </c>
      <c r="V67" s="1619">
        <f>RKA!V19</f>
        <v>3500000</v>
      </c>
      <c r="W67" s="1619">
        <f t="shared" si="24"/>
        <v>42000000</v>
      </c>
      <c r="Y67" s="1578">
        <f t="shared" si="1"/>
        <v>1250000</v>
      </c>
    </row>
    <row r="68" spans="1:25">
      <c r="A68" s="1676">
        <f>IF('Pnj APBDES'!A71="","",'Pnj APBDES'!A71)</f>
        <v>1</v>
      </c>
      <c r="B68" s="1677">
        <f>IF('Pnj APBDES'!B71="","",'Pnj APBDES'!B71)</f>
        <v>1</v>
      </c>
      <c r="C68" s="1677" t="str">
        <f>IF('Pnj APBDES'!C71="","",'Pnj APBDES'!C71)</f>
        <v>01</v>
      </c>
      <c r="D68" s="1676">
        <f>IF('Pnj APBDES'!D71="","",'Pnj APBDES'!D71)</f>
        <v>5</v>
      </c>
      <c r="E68" s="1676">
        <f>IF('Pnj APBDES'!E71="","",'Pnj APBDES'!E71)</f>
        <v>1</v>
      </c>
      <c r="F68" s="1677">
        <f>IF('Pnj APBDES'!F71="","",'Pnj APBDES'!F71)</f>
        <v>1</v>
      </c>
      <c r="G68" s="1677" t="str">
        <f>IF('Pnj APBDES'!G71="","",'Pnj APBDES'!G71)</f>
        <v/>
      </c>
      <c r="H68" s="1678" t="str">
        <f>IF('Pnj APBDES'!H71="","",'Pnj APBDES'!H71)</f>
        <v>Penghasilan Tetap &amp; Tunjangan Kepala Desa</v>
      </c>
      <c r="I68" s="1679">
        <f>'Pnj APBDES'!K71</f>
        <v>43250000</v>
      </c>
      <c r="J68" s="1650" t="str">
        <f>IF('Pnj APBDES'!N71="","",'Pnj APBDES'!N71)</f>
        <v/>
      </c>
      <c r="K68" s="1619">
        <f>RKA!K20</f>
        <v>3500000</v>
      </c>
      <c r="L68" s="1619">
        <f>RKA!L20</f>
        <v>3500000</v>
      </c>
      <c r="M68" s="1619">
        <f>RKA!M20</f>
        <v>3500000</v>
      </c>
      <c r="N68" s="1619">
        <f>RKA!N20</f>
        <v>3500000</v>
      </c>
      <c r="O68" s="1619">
        <f>RKA!O20</f>
        <v>3500000</v>
      </c>
      <c r="P68" s="1619">
        <f>RKA!P20</f>
        <v>3500000</v>
      </c>
      <c r="Q68" s="1619">
        <f>RKA!Q20</f>
        <v>3500000</v>
      </c>
      <c r="R68" s="1619">
        <f>RKA!R20</f>
        <v>3500000</v>
      </c>
      <c r="S68" s="1619">
        <f>RKA!S20</f>
        <v>3500000</v>
      </c>
      <c r="T68" s="1619">
        <f>RKA!T20</f>
        <v>3500000</v>
      </c>
      <c r="U68" s="1619">
        <f>RKA!U20</f>
        <v>3500000</v>
      </c>
      <c r="V68" s="1619">
        <f>RKA!V20</f>
        <v>3500000</v>
      </c>
      <c r="W68" s="1619">
        <f t="shared" si="24"/>
        <v>42000000</v>
      </c>
      <c r="Y68" s="1578">
        <f t="shared" si="1"/>
        <v>1250000</v>
      </c>
    </row>
    <row r="69" spans="1:25" ht="12" customHeight="1">
      <c r="A69" s="1676">
        <f>IF('Pnj APBDES'!A72="","",'Pnj APBDES'!A72)</f>
        <v>1</v>
      </c>
      <c r="B69" s="1677">
        <f>IF('Pnj APBDES'!B72="","",'Pnj APBDES'!B72)</f>
        <v>1</v>
      </c>
      <c r="C69" s="1677" t="str">
        <f>IF('Pnj APBDES'!C72="","",'Pnj APBDES'!C72)</f>
        <v>01</v>
      </c>
      <c r="D69" s="1676">
        <f>IF('Pnj APBDES'!D72="","",'Pnj APBDES'!D72)</f>
        <v>5</v>
      </c>
      <c r="E69" s="1676">
        <f>IF('Pnj APBDES'!E72="","",'Pnj APBDES'!E72)</f>
        <v>1</v>
      </c>
      <c r="F69" s="1677">
        <f>IF('Pnj APBDES'!F72="","",'Pnj APBDES'!F72)</f>
        <v>1</v>
      </c>
      <c r="G69" s="1677">
        <f>IF('Pnj APBDES'!G72="","",'Pnj APBDES'!G72)</f>
        <v>1</v>
      </c>
      <c r="H69" s="1678" t="str">
        <f>IF('Pnj APBDES'!H72="","",'Pnj APBDES'!H72)</f>
        <v>Penghasilan Tetap Kepala Desa</v>
      </c>
      <c r="I69" s="1679">
        <f>'Pnj APBDES'!K72</f>
        <v>30000000</v>
      </c>
      <c r="J69" s="1650" t="str">
        <f>IF('Pnj APBDES'!N72="","",'Pnj APBDES'!N72)</f>
        <v>ADD</v>
      </c>
      <c r="K69" s="1619">
        <f>RKA!K21</f>
        <v>2500000</v>
      </c>
      <c r="L69" s="1619">
        <f>RKA!L21</f>
        <v>2500000</v>
      </c>
      <c r="M69" s="1619">
        <f>RKA!M21</f>
        <v>2500000</v>
      </c>
      <c r="N69" s="1619">
        <f>RKA!N21</f>
        <v>2500000</v>
      </c>
      <c r="O69" s="1619">
        <f>RKA!O21</f>
        <v>2500000</v>
      </c>
      <c r="P69" s="1619">
        <f>RKA!P21</f>
        <v>2500000</v>
      </c>
      <c r="Q69" s="1619">
        <f>RKA!Q21</f>
        <v>2500000</v>
      </c>
      <c r="R69" s="1619">
        <f>RKA!R21</f>
        <v>2500000</v>
      </c>
      <c r="S69" s="1619">
        <f>RKA!S21</f>
        <v>2500000</v>
      </c>
      <c r="T69" s="1619">
        <f>RKA!T21</f>
        <v>2500000</v>
      </c>
      <c r="U69" s="1619">
        <f>RKA!U21</f>
        <v>2500000</v>
      </c>
      <c r="V69" s="1619">
        <f>RKA!V21</f>
        <v>2500000</v>
      </c>
      <c r="W69" s="1619">
        <f t="shared" si="24"/>
        <v>30000000</v>
      </c>
      <c r="Y69" s="1578">
        <f t="shared" si="1"/>
        <v>0</v>
      </c>
    </row>
    <row r="70" spans="1:25">
      <c r="A70" s="1676">
        <f>IF('Pnj APBDES'!A73="","",'Pnj APBDES'!A73)</f>
        <v>1</v>
      </c>
      <c r="B70" s="1677">
        <f>IF('Pnj APBDES'!B73="","",'Pnj APBDES'!B73)</f>
        <v>1</v>
      </c>
      <c r="C70" s="1677" t="str">
        <f>IF('Pnj APBDES'!C73="","",'Pnj APBDES'!C73)</f>
        <v>01</v>
      </c>
      <c r="D70" s="1676">
        <f>IF('Pnj APBDES'!D73="","",'Pnj APBDES'!D73)</f>
        <v>5</v>
      </c>
      <c r="E70" s="1676">
        <f>IF('Pnj APBDES'!E73="","",'Pnj APBDES'!E73)</f>
        <v>1</v>
      </c>
      <c r="F70" s="1677">
        <f>IF('Pnj APBDES'!F73="","",'Pnj APBDES'!F73)</f>
        <v>1</v>
      </c>
      <c r="G70" s="1677">
        <f>IF('Pnj APBDES'!G73="","",'Pnj APBDES'!G73)</f>
        <v>2</v>
      </c>
      <c r="H70" s="1678" t="str">
        <f>IF('Pnj APBDES'!H73="","",'Pnj APBDES'!H73)</f>
        <v>Tunjangan Kepala Desa</v>
      </c>
      <c r="I70" s="1679">
        <f>'Pnj APBDES'!K73</f>
        <v>12000000</v>
      </c>
      <c r="J70" s="1650" t="str">
        <f>IF('Pnj APBDES'!N73="","",'Pnj APBDES'!N73)</f>
        <v>ADD</v>
      </c>
      <c r="K70" s="1619">
        <f>RKA!K22</f>
        <v>1000000</v>
      </c>
      <c r="L70" s="1619">
        <f>RKA!L22</f>
        <v>1000000</v>
      </c>
      <c r="M70" s="1619">
        <f>RKA!M22</f>
        <v>1000000</v>
      </c>
      <c r="N70" s="1619">
        <f>RKA!N22</f>
        <v>1000000</v>
      </c>
      <c r="O70" s="1619">
        <f>RKA!O22</f>
        <v>1000000</v>
      </c>
      <c r="P70" s="1619">
        <f>RKA!P22</f>
        <v>1000000</v>
      </c>
      <c r="Q70" s="1619">
        <f>RKA!Q22</f>
        <v>1000000</v>
      </c>
      <c r="R70" s="1619">
        <f>RKA!R22</f>
        <v>1000000</v>
      </c>
      <c r="S70" s="1619">
        <f>RKA!S22</f>
        <v>1000000</v>
      </c>
      <c r="T70" s="1619">
        <f>RKA!T22</f>
        <v>1000000</v>
      </c>
      <c r="U70" s="1619">
        <f>RKA!U22</f>
        <v>1000000</v>
      </c>
      <c r="V70" s="1619">
        <f>RKA!V22</f>
        <v>1000000</v>
      </c>
      <c r="W70" s="1619">
        <f t="shared" si="24"/>
        <v>12000000</v>
      </c>
      <c r="Y70" s="1578">
        <f t="shared" si="1"/>
        <v>0</v>
      </c>
    </row>
    <row r="71" spans="1:25" s="1598" customFormat="1">
      <c r="A71" s="1672">
        <f>IF('Pnj APBDES'!A75="","",'Pnj APBDES'!A75)</f>
        <v>1</v>
      </c>
      <c r="B71" s="1673">
        <f>IF('Pnj APBDES'!B75="","",'Pnj APBDES'!B75)</f>
        <v>1</v>
      </c>
      <c r="C71" s="1673" t="str">
        <f>IF('Pnj APBDES'!C75="","",'Pnj APBDES'!C75)</f>
        <v>02</v>
      </c>
      <c r="D71" s="1672">
        <f>IF('Pnj APBDES'!D75="","",'Pnj APBDES'!D75)</f>
        <v>5</v>
      </c>
      <c r="E71" s="1672" t="str">
        <f>IF('Pnj APBDES'!E75="","",'Pnj APBDES'!E75)</f>
        <v/>
      </c>
      <c r="F71" s="1672" t="str">
        <f>IF('Pnj APBDES'!F75="","",'Pnj APBDES'!F75)</f>
        <v/>
      </c>
      <c r="G71" s="1672" t="str">
        <f>IF('Pnj APBDES'!G75="","",'Pnj APBDES'!G75)</f>
        <v/>
      </c>
      <c r="H71" s="1674" t="str">
        <f>IF('Pnj APBDES'!H75="","",'Pnj APBDES'!H75)</f>
        <v>Penyediaan Penghasilan Tetap dan Tunjangan Perangkat Desa</v>
      </c>
      <c r="I71" s="1675">
        <f>'Pnj APBDES'!K75</f>
        <v>280110000</v>
      </c>
      <c r="J71" s="1650" t="str">
        <f>IF('Pnj APBDES'!N75="","",'Pnj APBDES'!N75)</f>
        <v/>
      </c>
      <c r="K71" s="1619">
        <f>RKA!K23</f>
        <v>22480000</v>
      </c>
      <c r="L71" s="1619">
        <f>RKA!L23</f>
        <v>22480000</v>
      </c>
      <c r="M71" s="1619">
        <f>RKA!M23</f>
        <v>22480000</v>
      </c>
      <c r="N71" s="1619">
        <f>RKA!N23</f>
        <v>22480000</v>
      </c>
      <c r="O71" s="1619">
        <f>RKA!O23</f>
        <v>22480000</v>
      </c>
      <c r="P71" s="1619">
        <f>RKA!P23</f>
        <v>22480000</v>
      </c>
      <c r="Q71" s="1619">
        <f>RKA!Q23</f>
        <v>22480000</v>
      </c>
      <c r="R71" s="1619">
        <f>RKA!R23</f>
        <v>22480000</v>
      </c>
      <c r="S71" s="1619">
        <f>RKA!S23</f>
        <v>22480000</v>
      </c>
      <c r="T71" s="1619">
        <f>RKA!T23</f>
        <v>22480000</v>
      </c>
      <c r="U71" s="1619">
        <f>RKA!U23</f>
        <v>22480000</v>
      </c>
      <c r="V71" s="1619">
        <f>RKA!V23</f>
        <v>22480000</v>
      </c>
      <c r="W71" s="1619">
        <f t="shared" si="24"/>
        <v>269760000</v>
      </c>
      <c r="Y71" s="1578">
        <f t="shared" si="1"/>
        <v>10350000</v>
      </c>
    </row>
    <row r="72" spans="1:25">
      <c r="A72" s="1676">
        <f>IF('Pnj APBDES'!A76="","",'Pnj APBDES'!A76)</f>
        <v>1</v>
      </c>
      <c r="B72" s="1677">
        <f>IF('Pnj APBDES'!B76="","",'Pnj APBDES'!B76)</f>
        <v>1</v>
      </c>
      <c r="C72" s="1677" t="str">
        <f>IF('Pnj APBDES'!C76="","",'Pnj APBDES'!C76)</f>
        <v>02</v>
      </c>
      <c r="D72" s="1676">
        <f>IF('Pnj APBDES'!D76="","",'Pnj APBDES'!D76)</f>
        <v>5</v>
      </c>
      <c r="E72" s="1676">
        <f>IF('Pnj APBDES'!E76="","",'Pnj APBDES'!E76)</f>
        <v>1</v>
      </c>
      <c r="F72" s="1676" t="str">
        <f>IF('Pnj APBDES'!F76="","",'Pnj APBDES'!F76)</f>
        <v/>
      </c>
      <c r="G72" s="1676" t="str">
        <f>IF('Pnj APBDES'!G76="","",'Pnj APBDES'!G76)</f>
        <v/>
      </c>
      <c r="H72" s="1678" t="str">
        <f>IF('Pnj APBDES'!H76="","",'Pnj APBDES'!H76)</f>
        <v>Belanja Pegawai</v>
      </c>
      <c r="I72" s="1679">
        <f>'Pnj APBDES'!K76</f>
        <v>280110000</v>
      </c>
      <c r="J72" s="1650" t="str">
        <f>IF('Pnj APBDES'!N76="","",'Pnj APBDES'!N76)</f>
        <v/>
      </c>
      <c r="K72" s="1619">
        <f>RKA!K24</f>
        <v>22480000</v>
      </c>
      <c r="L72" s="1619">
        <f>RKA!L24</f>
        <v>22480000</v>
      </c>
      <c r="M72" s="1619">
        <f>RKA!M24</f>
        <v>22480000</v>
      </c>
      <c r="N72" s="1619">
        <f>RKA!N24</f>
        <v>22480000</v>
      </c>
      <c r="O72" s="1619">
        <f>RKA!O24</f>
        <v>22480000</v>
      </c>
      <c r="P72" s="1619">
        <f>RKA!P24</f>
        <v>22480000</v>
      </c>
      <c r="Q72" s="1619">
        <f>RKA!Q24</f>
        <v>22480000</v>
      </c>
      <c r="R72" s="1619">
        <f>RKA!R24</f>
        <v>22480000</v>
      </c>
      <c r="S72" s="1619">
        <f>RKA!S24</f>
        <v>22480000</v>
      </c>
      <c r="T72" s="1619">
        <f>RKA!T24</f>
        <v>22480000</v>
      </c>
      <c r="U72" s="1619">
        <f>RKA!U24</f>
        <v>22480000</v>
      </c>
      <c r="V72" s="1619">
        <f>RKA!V24</f>
        <v>22480000</v>
      </c>
      <c r="W72" s="1619">
        <f t="shared" si="24"/>
        <v>269760000</v>
      </c>
      <c r="Y72" s="1578">
        <f>I72-W72</f>
        <v>10350000</v>
      </c>
    </row>
    <row r="73" spans="1:25">
      <c r="A73" s="1676">
        <f>IF('Pnj APBDES'!A77="","",'Pnj APBDES'!A77)</f>
        <v>1</v>
      </c>
      <c r="B73" s="1677">
        <f>IF('Pnj APBDES'!B77="","",'Pnj APBDES'!B77)</f>
        <v>1</v>
      </c>
      <c r="C73" s="1677" t="str">
        <f>IF('Pnj APBDES'!C77="","",'Pnj APBDES'!C77)</f>
        <v>02</v>
      </c>
      <c r="D73" s="1676">
        <f>IF('Pnj APBDES'!D77="","",'Pnj APBDES'!D77)</f>
        <v>5</v>
      </c>
      <c r="E73" s="1676">
        <f>IF('Pnj APBDES'!E77="","",'Pnj APBDES'!E77)</f>
        <v>1</v>
      </c>
      <c r="F73" s="1677">
        <f>IF('Pnj APBDES'!F77="","",'Pnj APBDES'!F77)</f>
        <v>2</v>
      </c>
      <c r="G73" s="1677" t="str">
        <f>IF('Pnj APBDES'!G77="","",'Pnj APBDES'!G77)</f>
        <v/>
      </c>
      <c r="H73" s="1678" t="str">
        <f>IF('Pnj APBDES'!H77="","",'Pnj APBDES'!H77)</f>
        <v>Penghasilan Tetap &amp; Tunjangan Perangkat Desa</v>
      </c>
      <c r="I73" s="1679">
        <f>'Pnj APBDES'!K77</f>
        <v>280110000</v>
      </c>
      <c r="J73" s="1650" t="str">
        <f>IF('Pnj APBDES'!N77="","",'Pnj APBDES'!N77)</f>
        <v/>
      </c>
      <c r="K73" s="1619">
        <f>RKA!K25</f>
        <v>22480000</v>
      </c>
      <c r="L73" s="1619">
        <f>RKA!L25</f>
        <v>22480000</v>
      </c>
      <c r="M73" s="1619">
        <f>RKA!M25</f>
        <v>22480000</v>
      </c>
      <c r="N73" s="1619">
        <f>RKA!N25</f>
        <v>22480000</v>
      </c>
      <c r="O73" s="1619">
        <f>RKA!O25</f>
        <v>22480000</v>
      </c>
      <c r="P73" s="1619">
        <f>RKA!P25</f>
        <v>22480000</v>
      </c>
      <c r="Q73" s="1619">
        <f>RKA!Q25</f>
        <v>22480000</v>
      </c>
      <c r="R73" s="1619">
        <f>RKA!R25</f>
        <v>22480000</v>
      </c>
      <c r="S73" s="1619">
        <f>RKA!S25</f>
        <v>22480000</v>
      </c>
      <c r="T73" s="1619">
        <f>RKA!T25</f>
        <v>22480000</v>
      </c>
      <c r="U73" s="1619">
        <f>RKA!U25</f>
        <v>22480000</v>
      </c>
      <c r="V73" s="1619">
        <f>RKA!V25</f>
        <v>22480000</v>
      </c>
      <c r="W73" s="1619">
        <f t="shared" si="24"/>
        <v>269760000</v>
      </c>
      <c r="Y73" s="1578">
        <f t="shared" ref="Y73:Y135" si="25">I73-W73</f>
        <v>10350000</v>
      </c>
    </row>
    <row r="74" spans="1:25">
      <c r="A74" s="1676">
        <f>IF('Pnj APBDES'!A78="","",'Pnj APBDES'!A78)</f>
        <v>1</v>
      </c>
      <c r="B74" s="1677">
        <f>IF('Pnj APBDES'!B78="","",'Pnj APBDES'!B78)</f>
        <v>1</v>
      </c>
      <c r="C74" s="1677" t="str">
        <f>IF('Pnj APBDES'!C78="","",'Pnj APBDES'!C78)</f>
        <v>02</v>
      </c>
      <c r="D74" s="1676">
        <f>IF('Pnj APBDES'!D78="","",'Pnj APBDES'!D78)</f>
        <v>5</v>
      </c>
      <c r="E74" s="1676">
        <f>IF('Pnj APBDES'!E78="","",'Pnj APBDES'!E78)</f>
        <v>1</v>
      </c>
      <c r="F74" s="1677">
        <f>IF('Pnj APBDES'!F78="","",'Pnj APBDES'!F78)</f>
        <v>2</v>
      </c>
      <c r="G74" s="1677">
        <f>IF('Pnj APBDES'!G78="","",'Pnj APBDES'!G78)</f>
        <v>1</v>
      </c>
      <c r="H74" s="1678" t="str">
        <f>IF('Pnj APBDES'!H78="","",'Pnj APBDES'!H78)</f>
        <v>Penghasilan Tetap Perangkat Desa</v>
      </c>
      <c r="I74" s="1679">
        <f>'Pnj APBDES'!K78</f>
        <v>248400000</v>
      </c>
      <c r="J74" s="1650" t="str">
        <f>IF('Pnj APBDES'!N78="","",'Pnj APBDES'!N78)</f>
        <v>ADD</v>
      </c>
      <c r="K74" s="1619">
        <f>RKA!K26</f>
        <v>20700000</v>
      </c>
      <c r="L74" s="1619">
        <f>RKA!L26</f>
        <v>20700000</v>
      </c>
      <c r="M74" s="1619">
        <f>RKA!M26</f>
        <v>20700000</v>
      </c>
      <c r="N74" s="1619">
        <f>RKA!N26</f>
        <v>20700000</v>
      </c>
      <c r="O74" s="1619">
        <f>RKA!O26</f>
        <v>20700000</v>
      </c>
      <c r="P74" s="1619">
        <f>RKA!P26</f>
        <v>20700000</v>
      </c>
      <c r="Q74" s="1619">
        <f>RKA!Q26</f>
        <v>20700000</v>
      </c>
      <c r="R74" s="1619">
        <f>RKA!R26</f>
        <v>20700000</v>
      </c>
      <c r="S74" s="1619">
        <f>RKA!S26</f>
        <v>20700000</v>
      </c>
      <c r="T74" s="1619">
        <f>RKA!T26</f>
        <v>20700000</v>
      </c>
      <c r="U74" s="1619">
        <f>RKA!U26</f>
        <v>20700000</v>
      </c>
      <c r="V74" s="1619">
        <f>RKA!V26</f>
        <v>20700000</v>
      </c>
      <c r="W74" s="1619">
        <f t="shared" si="24"/>
        <v>248400000</v>
      </c>
      <c r="Y74" s="1578">
        <f t="shared" si="25"/>
        <v>0</v>
      </c>
    </row>
    <row r="75" spans="1:25">
      <c r="A75" s="1676">
        <f>IF('Pnj APBDES'!A79="","",'Pnj APBDES'!A79)</f>
        <v>1</v>
      </c>
      <c r="B75" s="1677">
        <f>IF('Pnj APBDES'!B79="","",'Pnj APBDES'!B79)</f>
        <v>1</v>
      </c>
      <c r="C75" s="1677" t="str">
        <f>IF('Pnj APBDES'!C79="","",'Pnj APBDES'!C79)</f>
        <v>02</v>
      </c>
      <c r="D75" s="1676">
        <f>IF('Pnj APBDES'!D79="","",'Pnj APBDES'!D79)</f>
        <v>5</v>
      </c>
      <c r="E75" s="1676">
        <f>IF('Pnj APBDES'!E79="","",'Pnj APBDES'!E79)</f>
        <v>1</v>
      </c>
      <c r="F75" s="1677">
        <f>IF('Pnj APBDES'!F79="","",'Pnj APBDES'!F79)</f>
        <v>2</v>
      </c>
      <c r="G75" s="1677">
        <f>IF('Pnj APBDES'!G79="","",'Pnj APBDES'!G79)</f>
        <v>2</v>
      </c>
      <c r="H75" s="1678" t="str">
        <f>IF('Pnj APBDES'!H79="","",'Pnj APBDES'!H79)</f>
        <v>Tunjangan Perangkat Desa</v>
      </c>
      <c r="I75" s="1679">
        <f>'Pnj APBDES'!K79</f>
        <v>21360000</v>
      </c>
      <c r="J75" s="1650" t="str">
        <f>IF('Pnj APBDES'!N79="","",'Pnj APBDES'!N79)</f>
        <v>ADD</v>
      </c>
      <c r="K75" s="1619">
        <f>RKA!K27</f>
        <v>1780000</v>
      </c>
      <c r="L75" s="1619">
        <f>RKA!L27</f>
        <v>1780000</v>
      </c>
      <c r="M75" s="1619">
        <f>RKA!M27</f>
        <v>1780000</v>
      </c>
      <c r="N75" s="1619">
        <f>RKA!N27</f>
        <v>1780000</v>
      </c>
      <c r="O75" s="1619">
        <f>RKA!O27</f>
        <v>1780000</v>
      </c>
      <c r="P75" s="1619">
        <f>RKA!P27</f>
        <v>1780000</v>
      </c>
      <c r="Q75" s="1619">
        <f>RKA!Q27</f>
        <v>1780000</v>
      </c>
      <c r="R75" s="1619">
        <f>RKA!R27</f>
        <v>1780000</v>
      </c>
      <c r="S75" s="1619">
        <f>RKA!S27</f>
        <v>1780000</v>
      </c>
      <c r="T75" s="1619">
        <f>RKA!T27</f>
        <v>1780000</v>
      </c>
      <c r="U75" s="1619">
        <f>RKA!U27</f>
        <v>1780000</v>
      </c>
      <c r="V75" s="1619">
        <f>RKA!V27</f>
        <v>1780000</v>
      </c>
      <c r="W75" s="1619">
        <f t="shared" si="24"/>
        <v>21360000</v>
      </c>
      <c r="Y75" s="1578">
        <f t="shared" si="25"/>
        <v>0</v>
      </c>
    </row>
    <row r="76" spans="1:25">
      <c r="A76" s="1672">
        <f>IF('Pnj APBDES'!A81="","",'Pnj APBDES'!A81)</f>
        <v>1</v>
      </c>
      <c r="B76" s="1673">
        <f>IF('Pnj APBDES'!B81="","",'Pnj APBDES'!B81)</f>
        <v>1</v>
      </c>
      <c r="C76" s="1673" t="str">
        <f>IF('Pnj APBDES'!C81="","",'Pnj APBDES'!C81)</f>
        <v>03</v>
      </c>
      <c r="D76" s="1672">
        <f>IF('Pnj APBDES'!D81="","",'Pnj APBDES'!D81)</f>
        <v>5</v>
      </c>
      <c r="E76" s="1672" t="str">
        <f>IF('Pnj APBDES'!E81="","",'Pnj APBDES'!E81)</f>
        <v/>
      </c>
      <c r="F76" s="1672" t="str">
        <f>IF('Pnj APBDES'!F81="","",'Pnj APBDES'!F81)</f>
        <v/>
      </c>
      <c r="G76" s="1672" t="str">
        <f>IF('Pnj APBDES'!G81="","",'Pnj APBDES'!G81)</f>
        <v/>
      </c>
      <c r="H76" s="1674" t="str">
        <f>IF('Pnj APBDES'!H81="","",'Pnj APBDES'!H81)</f>
        <v>Penyediaan Jaminan Sosial bagi Kepala Desa dan Perangkat Desa</v>
      </c>
      <c r="I76" s="1675">
        <f>'Pnj APBDES'!K81</f>
        <v>29676000</v>
      </c>
      <c r="J76" s="1650" t="str">
        <f>IF('Pnj APBDES'!N81="","",'Pnj APBDES'!N81)</f>
        <v/>
      </c>
      <c r="K76" s="1619">
        <f>RKA!K28</f>
        <v>2251000</v>
      </c>
      <c r="L76" s="1619">
        <f>RKA!L28</f>
        <v>2251000</v>
      </c>
      <c r="M76" s="1619">
        <f>RKA!M28</f>
        <v>2251000</v>
      </c>
      <c r="N76" s="1619">
        <f>RKA!N28</f>
        <v>2251000</v>
      </c>
      <c r="O76" s="1619">
        <f>RKA!O28</f>
        <v>2251000</v>
      </c>
      <c r="P76" s="1619">
        <f>RKA!P28</f>
        <v>2251000</v>
      </c>
      <c r="Q76" s="1619">
        <f>RKA!Q28</f>
        <v>2251000</v>
      </c>
      <c r="R76" s="1619">
        <f>RKA!R28</f>
        <v>2251000</v>
      </c>
      <c r="S76" s="1619">
        <f>RKA!S28</f>
        <v>2251000</v>
      </c>
      <c r="T76" s="1619">
        <f>RKA!T28</f>
        <v>2251000</v>
      </c>
      <c r="U76" s="1619">
        <f>RKA!U28</f>
        <v>2251000</v>
      </c>
      <c r="V76" s="1619">
        <f>RKA!V28</f>
        <v>2251000</v>
      </c>
      <c r="W76" s="1619">
        <f t="shared" si="24"/>
        <v>27012000</v>
      </c>
      <c r="Y76" s="1578">
        <f t="shared" si="25"/>
        <v>2664000</v>
      </c>
    </row>
    <row r="77" spans="1:25">
      <c r="A77" s="1676">
        <f>IF('Pnj APBDES'!A82="","",'Pnj APBDES'!A82)</f>
        <v>1</v>
      </c>
      <c r="B77" s="1677">
        <f>IF('Pnj APBDES'!B82="","",'Pnj APBDES'!B82)</f>
        <v>1</v>
      </c>
      <c r="C77" s="1677" t="str">
        <f>IF('Pnj APBDES'!C82="","",'Pnj APBDES'!C82)</f>
        <v>03</v>
      </c>
      <c r="D77" s="1676">
        <f>IF('Pnj APBDES'!D82="","",'Pnj APBDES'!D82)</f>
        <v>5</v>
      </c>
      <c r="E77" s="1676">
        <f>IF('Pnj APBDES'!E82="","",'Pnj APBDES'!E82)</f>
        <v>1</v>
      </c>
      <c r="F77" s="1676" t="str">
        <f>IF('Pnj APBDES'!F82="","",'Pnj APBDES'!F82)</f>
        <v/>
      </c>
      <c r="G77" s="1676" t="str">
        <f>IF('Pnj APBDES'!G82="","",'Pnj APBDES'!G82)</f>
        <v/>
      </c>
      <c r="H77" s="1678" t="str">
        <f>IF('Pnj APBDES'!H82="","",'Pnj APBDES'!H82)</f>
        <v>Belanja Pegawai</v>
      </c>
      <c r="I77" s="1679">
        <f>'Pnj APBDES'!K82</f>
        <v>29676000</v>
      </c>
      <c r="J77" s="1650" t="str">
        <f>IF('Pnj APBDES'!N82="","",'Pnj APBDES'!N82)</f>
        <v/>
      </c>
      <c r="K77" s="1619">
        <f>RKA!K29</f>
        <v>2251000</v>
      </c>
      <c r="L77" s="1619">
        <f>RKA!L29</f>
        <v>2251000</v>
      </c>
      <c r="M77" s="1619">
        <f>RKA!M29</f>
        <v>2251000</v>
      </c>
      <c r="N77" s="1619">
        <f>RKA!N29</f>
        <v>2251000</v>
      </c>
      <c r="O77" s="1619">
        <f>RKA!O29</f>
        <v>2251000</v>
      </c>
      <c r="P77" s="1619">
        <f>RKA!P29</f>
        <v>2251000</v>
      </c>
      <c r="Q77" s="1619">
        <f>RKA!Q29</f>
        <v>2251000</v>
      </c>
      <c r="R77" s="1619">
        <f>RKA!R29</f>
        <v>2251000</v>
      </c>
      <c r="S77" s="1619">
        <f>RKA!S29</f>
        <v>2251000</v>
      </c>
      <c r="T77" s="1619">
        <f>RKA!T29</f>
        <v>2251000</v>
      </c>
      <c r="U77" s="1619">
        <f>RKA!U29</f>
        <v>2251000</v>
      </c>
      <c r="V77" s="1619">
        <f>RKA!V29</f>
        <v>2251000</v>
      </c>
      <c r="W77" s="1619">
        <f t="shared" si="24"/>
        <v>27012000</v>
      </c>
      <c r="Y77" s="1578">
        <f t="shared" si="25"/>
        <v>2664000</v>
      </c>
    </row>
    <row r="78" spans="1:25">
      <c r="A78" s="1676">
        <f>IF('Pnj APBDES'!A83="","",'Pnj APBDES'!A83)</f>
        <v>1</v>
      </c>
      <c r="B78" s="1677">
        <f>IF('Pnj APBDES'!B83="","",'Pnj APBDES'!B83)</f>
        <v>1</v>
      </c>
      <c r="C78" s="1677" t="str">
        <f>IF('Pnj APBDES'!C83="","",'Pnj APBDES'!C83)</f>
        <v>03</v>
      </c>
      <c r="D78" s="1676">
        <f>IF('Pnj APBDES'!D83="","",'Pnj APBDES'!D83)</f>
        <v>5</v>
      </c>
      <c r="E78" s="1676">
        <f>IF('Pnj APBDES'!E83="","",'Pnj APBDES'!E83)</f>
        <v>1</v>
      </c>
      <c r="F78" s="1677">
        <f>IF('Pnj APBDES'!F83="","",'Pnj APBDES'!F83)</f>
        <v>3</v>
      </c>
      <c r="G78" s="1677" t="str">
        <f>IF('Pnj APBDES'!G83="","",'Pnj APBDES'!G83)</f>
        <v/>
      </c>
      <c r="H78" s="1678" t="str">
        <f>IF('Pnj APBDES'!H83="","",'Pnj APBDES'!H83)</f>
        <v>Jaminan Sosial Kepala Desa dan Perangkat Desa</v>
      </c>
      <c r="I78" s="1679">
        <f>'Pnj APBDES'!K83</f>
        <v>29676000</v>
      </c>
      <c r="J78" s="1650" t="str">
        <f>IF('Pnj APBDES'!N83="","",'Pnj APBDES'!N83)</f>
        <v/>
      </c>
      <c r="K78" s="1619">
        <f>RKA!K30</f>
        <v>2251000</v>
      </c>
      <c r="L78" s="1619">
        <f>RKA!L30</f>
        <v>2251000</v>
      </c>
      <c r="M78" s="1619">
        <f>RKA!M30</f>
        <v>2251000</v>
      </c>
      <c r="N78" s="1619">
        <f>RKA!N30</f>
        <v>2251000</v>
      </c>
      <c r="O78" s="1619">
        <f>RKA!O30</f>
        <v>2251000</v>
      </c>
      <c r="P78" s="1619">
        <f>RKA!P30</f>
        <v>2251000</v>
      </c>
      <c r="Q78" s="1619">
        <f>RKA!Q30</f>
        <v>2251000</v>
      </c>
      <c r="R78" s="1619">
        <f>RKA!R30</f>
        <v>2251000</v>
      </c>
      <c r="S78" s="1619">
        <f>RKA!S30</f>
        <v>2251000</v>
      </c>
      <c r="T78" s="1619">
        <f>RKA!T30</f>
        <v>2251000</v>
      </c>
      <c r="U78" s="1619">
        <f>RKA!U30</f>
        <v>2251000</v>
      </c>
      <c r="V78" s="1619">
        <f>RKA!V30</f>
        <v>2251000</v>
      </c>
      <c r="W78" s="1619">
        <f t="shared" si="24"/>
        <v>27012000</v>
      </c>
      <c r="Y78" s="1578">
        <f t="shared" si="25"/>
        <v>2664000</v>
      </c>
    </row>
    <row r="79" spans="1:25">
      <c r="A79" s="1676">
        <f>IF('Pnj APBDES'!A84="","",'Pnj APBDES'!A84)</f>
        <v>1</v>
      </c>
      <c r="B79" s="1677">
        <f>IF('Pnj APBDES'!B84="","",'Pnj APBDES'!B84)</f>
        <v>1</v>
      </c>
      <c r="C79" s="1677" t="str">
        <f>IF('Pnj APBDES'!C84="","",'Pnj APBDES'!C84)</f>
        <v>03</v>
      </c>
      <c r="D79" s="1676">
        <f>IF('Pnj APBDES'!D84="","",'Pnj APBDES'!D84)</f>
        <v>5</v>
      </c>
      <c r="E79" s="1676">
        <f>IF('Pnj APBDES'!E84="","",'Pnj APBDES'!E84)</f>
        <v>1</v>
      </c>
      <c r="F79" s="1677">
        <f>IF('Pnj APBDES'!F84="","",'Pnj APBDES'!F84)</f>
        <v>3</v>
      </c>
      <c r="G79" s="1677">
        <f>IF('Pnj APBDES'!G84="","",'Pnj APBDES'!G84)</f>
        <v>1</v>
      </c>
      <c r="H79" s="1678" t="str">
        <f>IF('Pnj APBDES'!H84="","",'Pnj APBDES'!H84)</f>
        <v>Jaminan Kesehatan Kepala Desa</v>
      </c>
      <c r="I79" s="1679">
        <f>'Pnj APBDES'!K84</f>
        <v>1680000</v>
      </c>
      <c r="J79" s="1650" t="str">
        <f>IF('Pnj APBDES'!N84="","",'Pnj APBDES'!N84)</f>
        <v>ADD</v>
      </c>
      <c r="K79" s="1619">
        <f>RKA!K31</f>
        <v>140000</v>
      </c>
      <c r="L79" s="1619">
        <f>RKA!L31</f>
        <v>140000</v>
      </c>
      <c r="M79" s="1619">
        <f>RKA!M31</f>
        <v>140000</v>
      </c>
      <c r="N79" s="1619">
        <f>RKA!N31</f>
        <v>140000</v>
      </c>
      <c r="O79" s="1619">
        <f>RKA!O31</f>
        <v>140000</v>
      </c>
      <c r="P79" s="1619">
        <f>RKA!P31</f>
        <v>140000</v>
      </c>
      <c r="Q79" s="1619">
        <f>RKA!Q31</f>
        <v>140000</v>
      </c>
      <c r="R79" s="1619">
        <f>RKA!R31</f>
        <v>140000</v>
      </c>
      <c r="S79" s="1619">
        <f>RKA!S31</f>
        <v>140000</v>
      </c>
      <c r="T79" s="1619">
        <f>RKA!T31</f>
        <v>140000</v>
      </c>
      <c r="U79" s="1619">
        <f>RKA!U31</f>
        <v>140000</v>
      </c>
      <c r="V79" s="1619">
        <f>RKA!V31</f>
        <v>140000</v>
      </c>
      <c r="W79" s="1619">
        <f t="shared" si="24"/>
        <v>1680000</v>
      </c>
      <c r="Y79" s="1578">
        <f t="shared" si="25"/>
        <v>0</v>
      </c>
    </row>
    <row r="80" spans="1:25">
      <c r="A80" s="1676">
        <f>IF('Pnj APBDES'!A86="","",'Pnj APBDES'!A86)</f>
        <v>1</v>
      </c>
      <c r="B80" s="1677">
        <f>IF('Pnj APBDES'!B86="","",'Pnj APBDES'!B86)</f>
        <v>1</v>
      </c>
      <c r="C80" s="1677" t="str">
        <f>IF('Pnj APBDES'!C86="","",'Pnj APBDES'!C86)</f>
        <v>03</v>
      </c>
      <c r="D80" s="1676">
        <f>IF('Pnj APBDES'!D86="","",'Pnj APBDES'!D86)</f>
        <v>5</v>
      </c>
      <c r="E80" s="1676">
        <f>IF('Pnj APBDES'!E86="","",'Pnj APBDES'!E86)</f>
        <v>1</v>
      </c>
      <c r="F80" s="1677">
        <f>IF('Pnj APBDES'!F86="","",'Pnj APBDES'!F86)</f>
        <v>3</v>
      </c>
      <c r="G80" s="1677">
        <f>IF('Pnj APBDES'!G86="","",'Pnj APBDES'!G86)</f>
        <v>3</v>
      </c>
      <c r="H80" s="1678" t="str">
        <f>IF('Pnj APBDES'!H86="","",'Pnj APBDES'!H86)</f>
        <v>Jaminan Kesehatan Perangkat Desa</v>
      </c>
      <c r="I80" s="1679">
        <f>'Pnj APBDES'!K86</f>
        <v>11448000</v>
      </c>
      <c r="J80" s="1650" t="str">
        <f>IF('Pnj APBDES'!N86="","",'Pnj APBDES'!N86)</f>
        <v>ADD</v>
      </c>
      <c r="K80" s="1619">
        <f>RKA!K32</f>
        <v>954000</v>
      </c>
      <c r="L80" s="1619">
        <f>RKA!L32</f>
        <v>954000</v>
      </c>
      <c r="M80" s="1619">
        <f>RKA!M32</f>
        <v>954000</v>
      </c>
      <c r="N80" s="1619">
        <f>RKA!N32</f>
        <v>954000</v>
      </c>
      <c r="O80" s="1619">
        <f>RKA!O32</f>
        <v>954000</v>
      </c>
      <c r="P80" s="1619">
        <f>RKA!P32</f>
        <v>954000</v>
      </c>
      <c r="Q80" s="1619">
        <f>RKA!Q32</f>
        <v>954000</v>
      </c>
      <c r="R80" s="1619">
        <f>RKA!R32</f>
        <v>954000</v>
      </c>
      <c r="S80" s="1619">
        <f>RKA!S32</f>
        <v>954000</v>
      </c>
      <c r="T80" s="1619">
        <f>RKA!T32</f>
        <v>954000</v>
      </c>
      <c r="U80" s="1619">
        <f>RKA!U32</f>
        <v>954000</v>
      </c>
      <c r="V80" s="1619">
        <f>RKA!V32</f>
        <v>954000</v>
      </c>
      <c r="W80" s="1619">
        <f t="shared" si="24"/>
        <v>11448000</v>
      </c>
      <c r="Y80" s="1578">
        <f t="shared" si="25"/>
        <v>0</v>
      </c>
    </row>
    <row r="81" spans="1:25">
      <c r="A81" s="1676">
        <f>IF('Pnj APBDES'!A87="","",'Pnj APBDES'!A87)</f>
        <v>1</v>
      </c>
      <c r="B81" s="1677">
        <f>IF('Pnj APBDES'!B87="","",'Pnj APBDES'!B87)</f>
        <v>1</v>
      </c>
      <c r="C81" s="1677" t="str">
        <f>IF('Pnj APBDES'!C87="","",'Pnj APBDES'!C87)</f>
        <v>03</v>
      </c>
      <c r="D81" s="1676">
        <f>IF('Pnj APBDES'!D87="","",'Pnj APBDES'!D87)</f>
        <v>5</v>
      </c>
      <c r="E81" s="1676">
        <f>IF('Pnj APBDES'!E87="","",'Pnj APBDES'!E87)</f>
        <v>1</v>
      </c>
      <c r="F81" s="1677">
        <f>IF('Pnj APBDES'!F87="","",'Pnj APBDES'!F87)</f>
        <v>3</v>
      </c>
      <c r="G81" s="1677">
        <f>IF('Pnj APBDES'!G87="","",'Pnj APBDES'!G87)</f>
        <v>4</v>
      </c>
      <c r="H81" s="1678" t="str">
        <f>IF('Pnj APBDES'!H87="","",'Pnj APBDES'!H87)</f>
        <v>Jaminan Ketenagakerjaan Kepala Desa</v>
      </c>
      <c r="I81" s="1679">
        <f>'Pnj APBDES'!K87</f>
        <v>1788000</v>
      </c>
      <c r="J81" s="1650" t="str">
        <f>IF('Pnj APBDES'!N87="","",'Pnj APBDES'!N87)</f>
        <v>ADD</v>
      </c>
      <c r="K81" s="1619">
        <f>RKA!K33</f>
        <v>149000</v>
      </c>
      <c r="L81" s="1619">
        <f>RKA!L33</f>
        <v>149000</v>
      </c>
      <c r="M81" s="1619">
        <f>RKA!M33</f>
        <v>149000</v>
      </c>
      <c r="N81" s="1619">
        <f>RKA!N33</f>
        <v>149000</v>
      </c>
      <c r="O81" s="1619">
        <f>RKA!O33</f>
        <v>149000</v>
      </c>
      <c r="P81" s="1619">
        <f>RKA!P33</f>
        <v>149000</v>
      </c>
      <c r="Q81" s="1619">
        <f>RKA!Q33</f>
        <v>149000</v>
      </c>
      <c r="R81" s="1619">
        <f>RKA!R33</f>
        <v>149000</v>
      </c>
      <c r="S81" s="1619">
        <f>RKA!S33</f>
        <v>149000</v>
      </c>
      <c r="T81" s="1619">
        <f>RKA!T33</f>
        <v>149000</v>
      </c>
      <c r="U81" s="1619">
        <f>RKA!U33</f>
        <v>149000</v>
      </c>
      <c r="V81" s="1619">
        <f>RKA!V33</f>
        <v>149000</v>
      </c>
      <c r="W81" s="1619">
        <f t="shared" si="24"/>
        <v>1788000</v>
      </c>
      <c r="Y81" s="1578">
        <f t="shared" si="25"/>
        <v>0</v>
      </c>
    </row>
    <row r="82" spans="1:25">
      <c r="A82" s="1676">
        <f>IF('Pnj APBDES'!A89="","",'Pnj APBDES'!A89)</f>
        <v>1</v>
      </c>
      <c r="B82" s="1677">
        <f>IF('Pnj APBDES'!B89="","",'Pnj APBDES'!B89)</f>
        <v>1</v>
      </c>
      <c r="C82" s="1677" t="str">
        <f>IF('Pnj APBDES'!C89="","",'Pnj APBDES'!C89)</f>
        <v>03</v>
      </c>
      <c r="D82" s="1676">
        <f>IF('Pnj APBDES'!D89="","",'Pnj APBDES'!D89)</f>
        <v>5</v>
      </c>
      <c r="E82" s="1676">
        <f>IF('Pnj APBDES'!E89="","",'Pnj APBDES'!E89)</f>
        <v>1</v>
      </c>
      <c r="F82" s="1677">
        <f>IF('Pnj APBDES'!F89="","",'Pnj APBDES'!F89)</f>
        <v>3</v>
      </c>
      <c r="G82" s="1677">
        <f>IF('Pnj APBDES'!G89="","",'Pnj APBDES'!G89)</f>
        <v>6</v>
      </c>
      <c r="H82" s="1678" t="str">
        <f>IF('Pnj APBDES'!H89="","",'Pnj APBDES'!H89)</f>
        <v>Jaminan Ketenagakerjaan Perangkat Desa</v>
      </c>
      <c r="I82" s="1679">
        <f>'Pnj APBDES'!K89</f>
        <v>12096000</v>
      </c>
      <c r="J82" s="1650" t="str">
        <f>IF('Pnj APBDES'!N89="","",'Pnj APBDES'!N89)</f>
        <v>ADD</v>
      </c>
      <c r="K82" s="1619">
        <f>RKA!K34</f>
        <v>1008000</v>
      </c>
      <c r="L82" s="1619">
        <f>RKA!L34</f>
        <v>1008000</v>
      </c>
      <c r="M82" s="1619">
        <f>RKA!M34</f>
        <v>1008000</v>
      </c>
      <c r="N82" s="1619">
        <f>RKA!N34</f>
        <v>1008000</v>
      </c>
      <c r="O82" s="1619">
        <f>RKA!O34</f>
        <v>1008000</v>
      </c>
      <c r="P82" s="1619">
        <f>RKA!P34</f>
        <v>1008000</v>
      </c>
      <c r="Q82" s="1619">
        <f>RKA!Q34</f>
        <v>1008000</v>
      </c>
      <c r="R82" s="1619">
        <f>RKA!R34</f>
        <v>1008000</v>
      </c>
      <c r="S82" s="1619">
        <f>RKA!S34</f>
        <v>1008000</v>
      </c>
      <c r="T82" s="1619">
        <f>RKA!T34</f>
        <v>1008000</v>
      </c>
      <c r="U82" s="1619">
        <f>RKA!U34</f>
        <v>1008000</v>
      </c>
      <c r="V82" s="1619">
        <f>RKA!V34</f>
        <v>1008000</v>
      </c>
      <c r="W82" s="1619">
        <f t="shared" si="24"/>
        <v>12096000</v>
      </c>
      <c r="Y82" s="1578">
        <f t="shared" si="25"/>
        <v>0</v>
      </c>
    </row>
    <row r="83" spans="1:25">
      <c r="A83" s="1672">
        <f>IF('Pnj APBDES'!A90="","",'Pnj APBDES'!A90)</f>
        <v>1</v>
      </c>
      <c r="B83" s="1673">
        <f>IF('Pnj APBDES'!B90="","",'Pnj APBDES'!B90)</f>
        <v>1</v>
      </c>
      <c r="C83" s="1673" t="str">
        <f>IF('Pnj APBDES'!C90="","",'Pnj APBDES'!C90)</f>
        <v>04</v>
      </c>
      <c r="D83" s="1672">
        <f>IF('Pnj APBDES'!D90="","",'Pnj APBDES'!D90)</f>
        <v>5</v>
      </c>
      <c r="E83" s="1672" t="str">
        <f>IF('Pnj APBDES'!E90="","",'Pnj APBDES'!E90)</f>
        <v/>
      </c>
      <c r="F83" s="1672" t="str">
        <f>IF('Pnj APBDES'!F90="","",'Pnj APBDES'!F90)</f>
        <v/>
      </c>
      <c r="G83" s="1672" t="str">
        <f>IF('Pnj APBDES'!G90="","",'Pnj APBDES'!G90)</f>
        <v/>
      </c>
      <c r="H83" s="1674" t="str">
        <f>IF('Pnj APBDES'!H90="","",'Pnj APBDES'!H90)</f>
        <v xml:space="preserve">Penyediaan Operasional Pemerintah Desa </v>
      </c>
      <c r="I83" s="1675">
        <f>'Pnj APBDES'!K90</f>
        <v>69933500</v>
      </c>
      <c r="J83" s="1650" t="str">
        <f>IF('Pnj APBDES'!N90="","",'Pnj APBDES'!N90)</f>
        <v/>
      </c>
      <c r="K83" s="1619">
        <f>RKA!K35</f>
        <v>3375000</v>
      </c>
      <c r="L83" s="1619">
        <f>RKA!L35</f>
        <v>3375000</v>
      </c>
      <c r="M83" s="1619">
        <f>RKA!M35</f>
        <v>10618000</v>
      </c>
      <c r="N83" s="1619">
        <f>RKA!N35</f>
        <v>4675000</v>
      </c>
      <c r="O83" s="1619">
        <f>RKA!O35</f>
        <v>6475000</v>
      </c>
      <c r="P83" s="1619">
        <f>RKA!P35</f>
        <v>5075000</v>
      </c>
      <c r="Q83" s="1619">
        <f>RKA!Q35</f>
        <v>8275000</v>
      </c>
      <c r="R83" s="1619">
        <f>RKA!R35</f>
        <v>4915000</v>
      </c>
      <c r="S83" s="1619">
        <f>RKA!S35</f>
        <v>6875000</v>
      </c>
      <c r="T83" s="1619">
        <f>RKA!T35</f>
        <v>6375000</v>
      </c>
      <c r="U83" s="1619">
        <f>RKA!U35</f>
        <v>6475000</v>
      </c>
      <c r="V83" s="1619">
        <f>RKA!V35</f>
        <v>5300000</v>
      </c>
      <c r="W83" s="1619">
        <f t="shared" si="24"/>
        <v>71808000</v>
      </c>
      <c r="Y83" s="1578">
        <f t="shared" si="25"/>
        <v>-1874500</v>
      </c>
    </row>
    <row r="84" spans="1:25">
      <c r="A84" s="1676">
        <f>IF('Pnj APBDES'!A91="","",'Pnj APBDES'!A91)</f>
        <v>1</v>
      </c>
      <c r="B84" s="1677">
        <f>IF('Pnj APBDES'!B91="","",'Pnj APBDES'!B91)</f>
        <v>1</v>
      </c>
      <c r="C84" s="1677" t="str">
        <f>IF('Pnj APBDES'!C91="","",'Pnj APBDES'!C91)</f>
        <v>04</v>
      </c>
      <c r="D84" s="1676">
        <f>IF('Pnj APBDES'!D91="","",'Pnj APBDES'!D91)</f>
        <v>5</v>
      </c>
      <c r="E84" s="1676">
        <f>IF('Pnj APBDES'!E91="","",'Pnj APBDES'!E91)</f>
        <v>2</v>
      </c>
      <c r="F84" s="1676" t="str">
        <f>IF('Pnj APBDES'!F91="","",'Pnj APBDES'!F91)</f>
        <v/>
      </c>
      <c r="G84" s="1676" t="str">
        <f>IF('Pnj APBDES'!G91="","",'Pnj APBDES'!G91)</f>
        <v/>
      </c>
      <c r="H84" s="1678" t="str">
        <f>IF('Pnj APBDES'!H91="","",'Pnj APBDES'!H91)</f>
        <v>Belanja Barang dan Jasa</v>
      </c>
      <c r="I84" s="1679">
        <f>'Pnj APBDES'!K91</f>
        <v>69933500</v>
      </c>
      <c r="J84" s="1650" t="str">
        <f>IF('Pnj APBDES'!N91="","",'Pnj APBDES'!N91)</f>
        <v/>
      </c>
      <c r="K84" s="1619">
        <f>RKA!K36</f>
        <v>3375000</v>
      </c>
      <c r="L84" s="1619">
        <f>RKA!L36</f>
        <v>3375000</v>
      </c>
      <c r="M84" s="1619">
        <f>RKA!M36</f>
        <v>10618000</v>
      </c>
      <c r="N84" s="1619">
        <f>RKA!N36</f>
        <v>4675000</v>
      </c>
      <c r="O84" s="1619">
        <f>RKA!O36</f>
        <v>6475000</v>
      </c>
      <c r="P84" s="1619">
        <f>RKA!P36</f>
        <v>5075000</v>
      </c>
      <c r="Q84" s="1619">
        <f>RKA!Q36</f>
        <v>8275000</v>
      </c>
      <c r="R84" s="1619">
        <f>RKA!R36</f>
        <v>4915000</v>
      </c>
      <c r="S84" s="1619">
        <f>RKA!S36</f>
        <v>6875000</v>
      </c>
      <c r="T84" s="1619">
        <f>RKA!T36</f>
        <v>6375000</v>
      </c>
      <c r="U84" s="1619">
        <f>RKA!U36</f>
        <v>6475000</v>
      </c>
      <c r="V84" s="1619">
        <f>RKA!V36</f>
        <v>5300000</v>
      </c>
      <c r="W84" s="1619">
        <f t="shared" si="24"/>
        <v>71808000</v>
      </c>
      <c r="Y84" s="1578">
        <f t="shared" si="25"/>
        <v>-1874500</v>
      </c>
    </row>
    <row r="85" spans="1:25">
      <c r="A85" s="1676">
        <f>IF('Pnj APBDES'!A92="","",'Pnj APBDES'!A92)</f>
        <v>1</v>
      </c>
      <c r="B85" s="1677">
        <f>IF('Pnj APBDES'!B92="","",'Pnj APBDES'!B92)</f>
        <v>1</v>
      </c>
      <c r="C85" s="1677" t="str">
        <f>IF('Pnj APBDES'!C92="","",'Pnj APBDES'!C92)</f>
        <v>04</v>
      </c>
      <c r="D85" s="1676">
        <f>IF('Pnj APBDES'!D92="","",'Pnj APBDES'!D92)</f>
        <v>5</v>
      </c>
      <c r="E85" s="1676">
        <f>IF('Pnj APBDES'!E92="","",'Pnj APBDES'!E92)</f>
        <v>2</v>
      </c>
      <c r="F85" s="1677">
        <f>IF('Pnj APBDES'!F92="","",'Pnj APBDES'!F92)</f>
        <v>1</v>
      </c>
      <c r="G85" s="1677" t="str">
        <f>IF('Pnj APBDES'!G92="","",'Pnj APBDES'!G92)</f>
        <v/>
      </c>
      <c r="H85" s="1678" t="str">
        <f>IF('Pnj APBDES'!H92="","",'Pnj APBDES'!H92)</f>
        <v>Belanja Barang Perlengkapan Kantor</v>
      </c>
      <c r="I85" s="1679">
        <f>'Pnj APBDES'!K92</f>
        <v>16457500</v>
      </c>
      <c r="J85" s="1650" t="str">
        <f>IF('Pnj APBDES'!N92="","",'Pnj APBDES'!N92)</f>
        <v/>
      </c>
      <c r="K85" s="1619">
        <f>RKA!K37</f>
        <v>0</v>
      </c>
      <c r="L85" s="1619">
        <f>RKA!L37</f>
        <v>0</v>
      </c>
      <c r="M85" s="1619">
        <f>RKA!M37</f>
        <v>5267000</v>
      </c>
      <c r="N85" s="1619">
        <f>RKA!N37</f>
        <v>0</v>
      </c>
      <c r="O85" s="1619">
        <f>RKA!O37</f>
        <v>1800000</v>
      </c>
      <c r="P85" s="1619">
        <f>RKA!P37</f>
        <v>0</v>
      </c>
      <c r="Q85" s="1619">
        <f>RKA!Q37</f>
        <v>3600000</v>
      </c>
      <c r="R85" s="1619">
        <f>RKA!R37</f>
        <v>240000</v>
      </c>
      <c r="S85" s="1619">
        <f>RKA!S37</f>
        <v>1800000</v>
      </c>
      <c r="T85" s="1619">
        <f>RKA!T37</f>
        <v>1700000</v>
      </c>
      <c r="U85" s="1619">
        <f>RKA!U37</f>
        <v>1800000</v>
      </c>
      <c r="V85" s="1619">
        <f>RKA!V37</f>
        <v>225000</v>
      </c>
      <c r="W85" s="1619">
        <f t="shared" si="24"/>
        <v>16432000</v>
      </c>
      <c r="Y85" s="1578">
        <f t="shared" si="25"/>
        <v>25500</v>
      </c>
    </row>
    <row r="86" spans="1:25">
      <c r="A86" s="1676">
        <f>IF('Pnj APBDES'!A93="","",'Pnj APBDES'!A93)</f>
        <v>1</v>
      </c>
      <c r="B86" s="1677">
        <f>IF('Pnj APBDES'!B93="","",'Pnj APBDES'!B93)</f>
        <v>1</v>
      </c>
      <c r="C86" s="1677" t="str">
        <f>IF('Pnj APBDES'!C93="","",'Pnj APBDES'!C93)</f>
        <v>04</v>
      </c>
      <c r="D86" s="1676">
        <f>IF('Pnj APBDES'!D93="","",'Pnj APBDES'!D93)</f>
        <v>5</v>
      </c>
      <c r="E86" s="1676">
        <f>IF('Pnj APBDES'!E93="","",'Pnj APBDES'!E93)</f>
        <v>2</v>
      </c>
      <c r="F86" s="1677">
        <f>IF('Pnj APBDES'!F93="","",'Pnj APBDES'!F93)</f>
        <v>1</v>
      </c>
      <c r="G86" s="1677">
        <f>IF('Pnj APBDES'!G93="","",'Pnj APBDES'!G93)</f>
        <v>1</v>
      </c>
      <c r="H86" s="1678" t="str">
        <f>IF('Pnj APBDES'!H93="","",'Pnj APBDES'!H93)</f>
        <v>Belanja Perlengkapan Alat Tulis Kantor dan Benda Pos</v>
      </c>
      <c r="I86" s="1679">
        <f>'Pnj APBDES'!K93</f>
        <v>9077500</v>
      </c>
      <c r="J86" s="1650" t="str">
        <f>IF('Pnj APBDES'!N93="","",'Pnj APBDES'!N93)</f>
        <v>ADD</v>
      </c>
      <c r="K86" s="1619">
        <f>RKA!K38</f>
        <v>0</v>
      </c>
      <c r="L86" s="1619">
        <f>RKA!L38</f>
        <v>0</v>
      </c>
      <c r="M86" s="1619">
        <f>RKA!M38</f>
        <v>2817000</v>
      </c>
      <c r="N86" s="1619">
        <f>RKA!N38</f>
        <v>0</v>
      </c>
      <c r="O86" s="1619">
        <f>RKA!O38</f>
        <v>1500000</v>
      </c>
      <c r="P86" s="1619">
        <f>RKA!P38</f>
        <v>0</v>
      </c>
      <c r="Q86" s="1619">
        <f>RKA!Q38</f>
        <v>1500000</v>
      </c>
      <c r="R86" s="1619">
        <f>RKA!R38</f>
        <v>0</v>
      </c>
      <c r="S86" s="1619">
        <f>RKA!S38</f>
        <v>1500000</v>
      </c>
      <c r="T86" s="1619">
        <f>RKA!T38</f>
        <v>0</v>
      </c>
      <c r="U86" s="1619">
        <f>RKA!U38</f>
        <v>1500000</v>
      </c>
      <c r="V86" s="1619">
        <f>RKA!V38</f>
        <v>0</v>
      </c>
      <c r="W86" s="1619">
        <f t="shared" si="24"/>
        <v>8817000</v>
      </c>
      <c r="Y86" s="1578">
        <f t="shared" si="25"/>
        <v>260500</v>
      </c>
    </row>
    <row r="87" spans="1:25">
      <c r="A87" s="1676">
        <f>IF('Pnj APBDES'!A94="","",'Pnj APBDES'!A94)</f>
        <v>1</v>
      </c>
      <c r="B87" s="1677">
        <f>IF('Pnj APBDES'!B94="","",'Pnj APBDES'!B94)</f>
        <v>1</v>
      </c>
      <c r="C87" s="1677" t="str">
        <f>IF('Pnj APBDES'!C94="","",'Pnj APBDES'!C94)</f>
        <v>04</v>
      </c>
      <c r="D87" s="1676">
        <f>IF('Pnj APBDES'!D94="","",'Pnj APBDES'!D94)</f>
        <v>5</v>
      </c>
      <c r="E87" s="1676">
        <f>IF('Pnj APBDES'!E94="","",'Pnj APBDES'!E94)</f>
        <v>2</v>
      </c>
      <c r="F87" s="1677">
        <f>IF('Pnj APBDES'!F94="","",'Pnj APBDES'!F94)</f>
        <v>1</v>
      </c>
      <c r="G87" s="1677">
        <f>IF('Pnj APBDES'!G94="","",'Pnj APBDES'!G94)</f>
        <v>2</v>
      </c>
      <c r="H87" s="1678" t="str">
        <f>IF('Pnj APBDES'!H94="","",'Pnj APBDES'!H94)</f>
        <v>Belanja Perlengkapan Alat -Alat Listrik</v>
      </c>
      <c r="I87" s="1679">
        <f>'Pnj APBDES'!K94</f>
        <v>240000</v>
      </c>
      <c r="J87" s="1650" t="str">
        <f>IF('Pnj APBDES'!N94="","",'Pnj APBDES'!N94)</f>
        <v>ADD</v>
      </c>
      <c r="K87" s="1619">
        <f>RKA!K39</f>
        <v>0</v>
      </c>
      <c r="L87" s="1619">
        <f>RKA!L39</f>
        <v>0</v>
      </c>
      <c r="M87" s="1619">
        <f>RKA!M39</f>
        <v>0</v>
      </c>
      <c r="N87" s="1619">
        <f>RKA!N39</f>
        <v>0</v>
      </c>
      <c r="O87" s="1619">
        <f>RKA!O39</f>
        <v>0</v>
      </c>
      <c r="P87" s="1619">
        <f>RKA!P39</f>
        <v>0</v>
      </c>
      <c r="Q87" s="1619">
        <f>RKA!Q39</f>
        <v>0</v>
      </c>
      <c r="R87" s="1619">
        <f>RKA!R39</f>
        <v>240000</v>
      </c>
      <c r="S87" s="1619">
        <f>RKA!S39</f>
        <v>0</v>
      </c>
      <c r="T87" s="1619">
        <f>RKA!T39</f>
        <v>0</v>
      </c>
      <c r="U87" s="1619">
        <f>RKA!U39</f>
        <v>0</v>
      </c>
      <c r="V87" s="1619">
        <f>RKA!V39</f>
        <v>0</v>
      </c>
      <c r="W87" s="1619">
        <f t="shared" si="24"/>
        <v>240000</v>
      </c>
      <c r="Y87" s="1578">
        <f t="shared" si="25"/>
        <v>0</v>
      </c>
    </row>
    <row r="88" spans="1:25">
      <c r="A88" s="1676">
        <f>IF('Pnj APBDES'!A95="","",'Pnj APBDES'!A95)</f>
        <v>1</v>
      </c>
      <c r="B88" s="1677">
        <f>IF('Pnj APBDES'!B95="","",'Pnj APBDES'!B95)</f>
        <v>1</v>
      </c>
      <c r="C88" s="1677" t="str">
        <f>IF('Pnj APBDES'!C95="","",'Pnj APBDES'!C95)</f>
        <v>04</v>
      </c>
      <c r="D88" s="1676">
        <f>IF('Pnj APBDES'!D95="","",'Pnj APBDES'!D95)</f>
        <v>5</v>
      </c>
      <c r="E88" s="1676">
        <f>IF('Pnj APBDES'!E95="","",'Pnj APBDES'!E95)</f>
        <v>2</v>
      </c>
      <c r="F88" s="1677">
        <f>IF('Pnj APBDES'!F95="","",'Pnj APBDES'!F95)</f>
        <v>1</v>
      </c>
      <c r="G88" s="1677">
        <f>IF('Pnj APBDES'!G95="","",'Pnj APBDES'!G95)</f>
        <v>3</v>
      </c>
      <c r="H88" s="1678" t="str">
        <f>IF('Pnj APBDES'!H95="","",'Pnj APBDES'!H95)</f>
        <v>Belanja Perlengkapan Alat -Alat  rumah tangga /peralatan kebersihan</v>
      </c>
      <c r="I88" s="1679">
        <f>'Pnj APBDES'!K95</f>
        <v>350000</v>
      </c>
      <c r="J88" s="1650" t="str">
        <f>IF('Pnj APBDES'!N95="","",'Pnj APBDES'!N95)</f>
        <v>ADD</v>
      </c>
      <c r="K88" s="1619">
        <f>RKA!K40</f>
        <v>0</v>
      </c>
      <c r="L88" s="1619">
        <f>RKA!L40</f>
        <v>0</v>
      </c>
      <c r="M88" s="1619">
        <f>RKA!M40</f>
        <v>350000</v>
      </c>
      <c r="N88" s="1619">
        <f>RKA!N40</f>
        <v>0</v>
      </c>
      <c r="O88" s="1619">
        <f>RKA!O40</f>
        <v>0</v>
      </c>
      <c r="P88" s="1619">
        <f>RKA!P40</f>
        <v>0</v>
      </c>
      <c r="Q88" s="1619">
        <f>RKA!Q40</f>
        <v>0</v>
      </c>
      <c r="R88" s="1619">
        <f>RKA!R40</f>
        <v>0</v>
      </c>
      <c r="S88" s="1619">
        <f>RKA!S40</f>
        <v>0</v>
      </c>
      <c r="T88" s="1619">
        <f>RKA!T40</f>
        <v>0</v>
      </c>
      <c r="U88" s="1619">
        <f>RKA!U40</f>
        <v>0</v>
      </c>
      <c r="V88" s="1619">
        <f>RKA!V40</f>
        <v>0</v>
      </c>
      <c r="W88" s="1619">
        <f t="shared" si="24"/>
        <v>350000</v>
      </c>
      <c r="Y88" s="1578">
        <f t="shared" si="25"/>
        <v>0</v>
      </c>
    </row>
    <row r="89" spans="1:25">
      <c r="A89" s="1676">
        <f>IF('Pnj APBDES'!A96="","",'Pnj APBDES'!A96)</f>
        <v>1</v>
      </c>
      <c r="B89" s="1677">
        <f>IF('Pnj APBDES'!B96="","",'Pnj APBDES'!B96)</f>
        <v>1</v>
      </c>
      <c r="C89" s="1677" t="str">
        <f>IF('Pnj APBDES'!C96="","",'Pnj APBDES'!C96)</f>
        <v>04</v>
      </c>
      <c r="D89" s="1676">
        <f>IF('Pnj APBDES'!D96="","",'Pnj APBDES'!D96)</f>
        <v>5</v>
      </c>
      <c r="E89" s="1676">
        <f>IF('Pnj APBDES'!E96="","",'Pnj APBDES'!E96)</f>
        <v>2</v>
      </c>
      <c r="F89" s="1677">
        <f>IF('Pnj APBDES'!F96="","",'Pnj APBDES'!F96)</f>
        <v>1</v>
      </c>
      <c r="G89" s="1677">
        <f>IF('Pnj APBDES'!G96="","",'Pnj APBDES'!G96)</f>
        <v>4</v>
      </c>
      <c r="H89" s="1678" t="str">
        <f>IF('Pnj APBDES'!H96="","",'Pnj APBDES'!H96)</f>
        <v>Belanja bahan bakar Minyak /gas /isi ulang tabung pemadam kebakaran</v>
      </c>
      <c r="I89" s="1679">
        <f>'Pnj APBDES'!K96</f>
        <v>500000</v>
      </c>
      <c r="J89" s="1650" t="str">
        <f>IF('Pnj APBDES'!N96="","",'Pnj APBDES'!N96)</f>
        <v>ADD</v>
      </c>
      <c r="K89" s="1619">
        <f>RKA!K41</f>
        <v>0</v>
      </c>
      <c r="L89" s="1619">
        <f>RKA!L41</f>
        <v>0</v>
      </c>
      <c r="M89" s="1619">
        <f>RKA!M41</f>
        <v>200000</v>
      </c>
      <c r="N89" s="1619">
        <f>RKA!N41</f>
        <v>0</v>
      </c>
      <c r="O89" s="1619">
        <f>RKA!O41</f>
        <v>0</v>
      </c>
      <c r="P89" s="1619">
        <f>RKA!P41</f>
        <v>0</v>
      </c>
      <c r="Q89" s="1619">
        <f>RKA!Q41</f>
        <v>200000</v>
      </c>
      <c r="R89" s="1619">
        <f>RKA!R41</f>
        <v>0</v>
      </c>
      <c r="S89" s="1619">
        <f>RKA!S41</f>
        <v>0</v>
      </c>
      <c r="T89" s="1619">
        <f>RKA!T41</f>
        <v>100000</v>
      </c>
      <c r="U89" s="1619">
        <f>RKA!U41</f>
        <v>0</v>
      </c>
      <c r="V89" s="1619">
        <f>RKA!V41</f>
        <v>0</v>
      </c>
      <c r="W89" s="1619">
        <f t="shared" si="24"/>
        <v>500000</v>
      </c>
      <c r="Y89" s="1578">
        <f t="shared" si="25"/>
        <v>0</v>
      </c>
    </row>
    <row r="90" spans="1:25" ht="24">
      <c r="A90" s="1676">
        <f>IF('Pnj APBDES'!A97="","",'Pnj APBDES'!A97)</f>
        <v>1</v>
      </c>
      <c r="B90" s="1677">
        <f>IF('Pnj APBDES'!B97="","",'Pnj APBDES'!B97)</f>
        <v>1</v>
      </c>
      <c r="C90" s="1677" t="str">
        <f>IF('Pnj APBDES'!C97="","",'Pnj APBDES'!C97)</f>
        <v>04</v>
      </c>
      <c r="D90" s="1676">
        <f>IF('Pnj APBDES'!D97="","",'Pnj APBDES'!D97)</f>
        <v>5</v>
      </c>
      <c r="E90" s="1676">
        <f>IF('Pnj APBDES'!E97="","",'Pnj APBDES'!E97)</f>
        <v>2</v>
      </c>
      <c r="F90" s="1677">
        <f>IF('Pnj APBDES'!F97="","",'Pnj APBDES'!F97)</f>
        <v>1</v>
      </c>
      <c r="G90" s="1677">
        <f>IF('Pnj APBDES'!G97="","",'Pnj APBDES'!G97)</f>
        <v>5</v>
      </c>
      <c r="H90" s="1678" t="str">
        <f>IF('Pnj APBDES'!H97="","",'Pnj APBDES'!H97)</f>
        <v>Belanja Perlengkapan Cetak/Penggandaan - Belanja Barang Cetak dan Penggandaan</v>
      </c>
      <c r="I90" s="1679">
        <f>'Pnj APBDES'!K97</f>
        <v>4800000</v>
      </c>
      <c r="J90" s="1650" t="str">
        <f>IF('Pnj APBDES'!N97="","",'Pnj APBDES'!N97)</f>
        <v>ADD</v>
      </c>
      <c r="K90" s="1619">
        <f>RKA!K42</f>
        <v>0</v>
      </c>
      <c r="L90" s="1619">
        <f>RKA!L42</f>
        <v>0</v>
      </c>
      <c r="M90" s="1619">
        <f>RKA!M42</f>
        <v>1600000</v>
      </c>
      <c r="N90" s="1619">
        <f>RKA!N42</f>
        <v>0</v>
      </c>
      <c r="O90" s="1619">
        <f>RKA!O42</f>
        <v>0</v>
      </c>
      <c r="P90" s="1619">
        <f>RKA!P42</f>
        <v>0</v>
      </c>
      <c r="Q90" s="1619">
        <f>RKA!Q42</f>
        <v>1600000</v>
      </c>
      <c r="R90" s="1619">
        <f>RKA!R42</f>
        <v>0</v>
      </c>
      <c r="S90" s="1619">
        <f>RKA!S42</f>
        <v>0</v>
      </c>
      <c r="T90" s="1619">
        <f>RKA!T42</f>
        <v>1600000</v>
      </c>
      <c r="U90" s="1619">
        <f>RKA!U42</f>
        <v>0</v>
      </c>
      <c r="V90" s="1619">
        <f>RKA!V42</f>
        <v>0</v>
      </c>
      <c r="W90" s="1619">
        <f t="shared" si="24"/>
        <v>4800000</v>
      </c>
      <c r="Y90" s="1578">
        <f t="shared" si="25"/>
        <v>0</v>
      </c>
    </row>
    <row r="91" spans="1:25" ht="24">
      <c r="A91" s="1676">
        <f>IF('Pnj APBDES'!A98="","",'Pnj APBDES'!A98)</f>
        <v>1</v>
      </c>
      <c r="B91" s="1677">
        <f>IF('Pnj APBDES'!B98="","",'Pnj APBDES'!B98)</f>
        <v>1</v>
      </c>
      <c r="C91" s="1677" t="str">
        <f>IF('Pnj APBDES'!C98="","",'Pnj APBDES'!C98)</f>
        <v>04</v>
      </c>
      <c r="D91" s="1676">
        <f>IF('Pnj APBDES'!D98="","",'Pnj APBDES'!D98)</f>
        <v>5</v>
      </c>
      <c r="E91" s="1676">
        <f>IF('Pnj APBDES'!E98="","",'Pnj APBDES'!E98)</f>
        <v>2</v>
      </c>
      <c r="F91" s="1677">
        <f>IF('Pnj APBDES'!F98="","",'Pnj APBDES'!F98)</f>
        <v>1</v>
      </c>
      <c r="G91" s="1677">
        <f>IF('Pnj APBDES'!G98="","",'Pnj APBDES'!G98)</f>
        <v>6</v>
      </c>
      <c r="H91" s="1678" t="str">
        <f>IF('Pnj APBDES'!H98="","",'Pnj APBDES'!H98)</f>
        <v>Belanja Perlengkapan Barang Konsumsi (Makan/minum) - Belanja Barang Konsumsi</v>
      </c>
      <c r="I91" s="1679">
        <f>'Pnj APBDES'!K98</f>
        <v>1490000</v>
      </c>
      <c r="J91" s="1650" t="str">
        <f>IF('Pnj APBDES'!N98="","",'Pnj APBDES'!N98)</f>
        <v>ADD</v>
      </c>
      <c r="K91" s="1619">
        <f>RKA!K43</f>
        <v>0</v>
      </c>
      <c r="L91" s="1619">
        <f>RKA!L43</f>
        <v>0</v>
      </c>
      <c r="M91" s="1619">
        <f>RKA!M43</f>
        <v>300000</v>
      </c>
      <c r="N91" s="1619">
        <f>RKA!N43</f>
        <v>0</v>
      </c>
      <c r="O91" s="1619">
        <f>RKA!O43</f>
        <v>300000</v>
      </c>
      <c r="P91" s="1619">
        <f>RKA!P43</f>
        <v>0</v>
      </c>
      <c r="Q91" s="1619">
        <f>RKA!Q43</f>
        <v>300000</v>
      </c>
      <c r="R91" s="1619">
        <f>RKA!R43</f>
        <v>0</v>
      </c>
      <c r="S91" s="1619">
        <f>RKA!S43</f>
        <v>300000</v>
      </c>
      <c r="T91" s="1619">
        <f>RKA!T43</f>
        <v>0</v>
      </c>
      <c r="U91" s="1619">
        <f>RKA!U43</f>
        <v>300000</v>
      </c>
      <c r="V91" s="1619">
        <f>RKA!V43</f>
        <v>225000</v>
      </c>
      <c r="W91" s="1619">
        <f t="shared" si="24"/>
        <v>1725000</v>
      </c>
      <c r="Y91" s="1578">
        <f t="shared" si="25"/>
        <v>-235000</v>
      </c>
    </row>
    <row r="92" spans="1:25">
      <c r="A92" s="1676">
        <f>IF('Pnj APBDES'!A99="","",'Pnj APBDES'!A99)</f>
        <v>1</v>
      </c>
      <c r="B92" s="1677">
        <f>IF('Pnj APBDES'!B99="","",'Pnj APBDES'!B99)</f>
        <v>1</v>
      </c>
      <c r="C92" s="1677" t="str">
        <f>IF('Pnj APBDES'!C99="","",'Pnj APBDES'!C99)</f>
        <v>04</v>
      </c>
      <c r="D92" s="1676">
        <f>IF('Pnj APBDES'!D99="","",'Pnj APBDES'!D99)</f>
        <v>5</v>
      </c>
      <c r="E92" s="1676">
        <f>IF('Pnj APBDES'!E99="","",'Pnj APBDES'!E99)</f>
        <v>2</v>
      </c>
      <c r="F92" s="1677">
        <f>IF('Pnj APBDES'!F99="","",'Pnj APBDES'!F99)</f>
        <v>1</v>
      </c>
      <c r="G92" s="1677">
        <f>IF('Pnj APBDES'!G99="","",'Pnj APBDES'!G99)</f>
        <v>9</v>
      </c>
      <c r="H92" s="1678" t="str">
        <f>IF('Pnj APBDES'!H99="","",'Pnj APBDES'!H99)</f>
        <v>Belanja pakaian dinas/seragam/atribut</v>
      </c>
      <c r="I92" s="1679">
        <f>'Pnj APBDES'!K99</f>
        <v>0</v>
      </c>
      <c r="J92" s="1650" t="str">
        <f>IF('Pnj APBDES'!N99="","",'Pnj APBDES'!N99)</f>
        <v/>
      </c>
      <c r="K92" s="1619">
        <f>RKA!K44</f>
        <v>0</v>
      </c>
      <c r="L92" s="1619">
        <f>RKA!L44</f>
        <v>0</v>
      </c>
      <c r="M92" s="1619">
        <f>RKA!M44</f>
        <v>0</v>
      </c>
      <c r="N92" s="1619">
        <f>RKA!N44</f>
        <v>0</v>
      </c>
      <c r="O92" s="1619">
        <f>RKA!O44</f>
        <v>0</v>
      </c>
      <c r="P92" s="1619">
        <f>RKA!P44</f>
        <v>0</v>
      </c>
      <c r="Q92" s="1619">
        <f>RKA!Q44</f>
        <v>0</v>
      </c>
      <c r="R92" s="1619">
        <f>RKA!R44</f>
        <v>0</v>
      </c>
      <c r="S92" s="1619">
        <f>RKA!S44</f>
        <v>0</v>
      </c>
      <c r="T92" s="1619">
        <f>RKA!T44</f>
        <v>0</v>
      </c>
      <c r="U92" s="1619">
        <f>RKA!U44</f>
        <v>0</v>
      </c>
      <c r="V92" s="1619">
        <f>RKA!V44</f>
        <v>0</v>
      </c>
      <c r="W92" s="1619">
        <f t="shared" si="24"/>
        <v>0</v>
      </c>
      <c r="Y92" s="1578">
        <f t="shared" si="25"/>
        <v>0</v>
      </c>
    </row>
    <row r="93" spans="1:25">
      <c r="A93" s="1676" t="str">
        <f>IF('Pnj APBDES'!A100="","",'Pnj APBDES'!A100)</f>
        <v/>
      </c>
      <c r="B93" s="1677">
        <f>IF('Pnj APBDES'!B100="","",'Pnj APBDES'!B100)</f>
        <v>1</v>
      </c>
      <c r="C93" s="1677" t="str">
        <f>IF('Pnj APBDES'!C100="","",'Pnj APBDES'!C100)</f>
        <v>04</v>
      </c>
      <c r="D93" s="1676">
        <f>IF('Pnj APBDES'!D100="","",'Pnj APBDES'!D100)</f>
        <v>5</v>
      </c>
      <c r="E93" s="1676">
        <f>IF('Pnj APBDES'!E100="","",'Pnj APBDES'!E100)</f>
        <v>2</v>
      </c>
      <c r="F93" s="1677">
        <f>IF('Pnj APBDES'!F100="","",'Pnj APBDES'!F100)</f>
        <v>2</v>
      </c>
      <c r="G93" s="1677" t="str">
        <f>IF('Pnj APBDES'!G100="","",'Pnj APBDES'!G100)</f>
        <v/>
      </c>
      <c r="H93" s="1678" t="str">
        <f>IF('Pnj APBDES'!H100="","",'Pnj APBDES'!H100)</f>
        <v>Belanja jasa honorarium</v>
      </c>
      <c r="I93" s="1679">
        <f>'Pnj APBDES'!K100</f>
        <v>39600000</v>
      </c>
      <c r="J93" s="1650" t="str">
        <f>IF('Pnj APBDES'!N100="","",'Pnj APBDES'!N100)</f>
        <v/>
      </c>
      <c r="K93" s="1619">
        <f>RKA!K45</f>
        <v>3300000</v>
      </c>
      <c r="L93" s="1619">
        <f>RKA!L45</f>
        <v>3300000</v>
      </c>
      <c r="M93" s="1619">
        <f>RKA!M45</f>
        <v>3300000</v>
      </c>
      <c r="N93" s="1619">
        <f>RKA!N45</f>
        <v>3300000</v>
      </c>
      <c r="O93" s="1619">
        <f>RKA!O45</f>
        <v>3300000</v>
      </c>
      <c r="P93" s="1619">
        <f>RKA!P45</f>
        <v>3300000</v>
      </c>
      <c r="Q93" s="1619">
        <f>RKA!Q45</f>
        <v>3300000</v>
      </c>
      <c r="R93" s="1619">
        <f>RKA!R45</f>
        <v>3300000</v>
      </c>
      <c r="S93" s="1619">
        <f>RKA!S45</f>
        <v>3300000</v>
      </c>
      <c r="T93" s="1619">
        <f>RKA!T45</f>
        <v>3300000</v>
      </c>
      <c r="U93" s="1619">
        <f>RKA!U45</f>
        <v>3300000</v>
      </c>
      <c r="V93" s="1619">
        <f>RKA!V45</f>
        <v>3300000</v>
      </c>
      <c r="W93" s="1619">
        <f t="shared" si="24"/>
        <v>39600000</v>
      </c>
      <c r="Y93" s="1578">
        <f t="shared" si="25"/>
        <v>0</v>
      </c>
    </row>
    <row r="94" spans="1:25">
      <c r="A94" s="1676" t="str">
        <f>IF('Pnj APBDES'!A101="","",'Pnj APBDES'!A101)</f>
        <v/>
      </c>
      <c r="B94" s="1677">
        <f>IF('Pnj APBDES'!B101="","",'Pnj APBDES'!B101)</f>
        <v>1</v>
      </c>
      <c r="C94" s="1677" t="str">
        <f>IF('Pnj APBDES'!C101="","",'Pnj APBDES'!C101)</f>
        <v>04</v>
      </c>
      <c r="D94" s="1676">
        <f>IF('Pnj APBDES'!D101="","",'Pnj APBDES'!D101)</f>
        <v>5</v>
      </c>
      <c r="E94" s="1676">
        <f>IF('Pnj APBDES'!E101="","",'Pnj APBDES'!E101)</f>
        <v>2</v>
      </c>
      <c r="F94" s="1677">
        <f>IF('Pnj APBDES'!F101="","",'Pnj APBDES'!F101)</f>
        <v>2</v>
      </c>
      <c r="G94" s="1677">
        <f>IF('Pnj APBDES'!G101="","",'Pnj APBDES'!G101)</f>
        <v>1</v>
      </c>
      <c r="H94" s="1678" t="str">
        <f>IF('Pnj APBDES'!H101="","",'Pnj APBDES'!H101)</f>
        <v>Balanja jasa honorarium tim yang melaksanakan kegiatan</v>
      </c>
      <c r="I94" s="1679">
        <f>'Pnj APBDES'!K101</f>
        <v>33600000</v>
      </c>
      <c r="J94" s="1650" t="str">
        <f>IF('Pnj APBDES'!N101="","",'Pnj APBDES'!N101)</f>
        <v>ADD</v>
      </c>
      <c r="K94" s="1619">
        <f>RKA!K46</f>
        <v>2800000</v>
      </c>
      <c r="L94" s="1619">
        <f>RKA!L46</f>
        <v>2800000</v>
      </c>
      <c r="M94" s="1619">
        <f>RKA!M46</f>
        <v>2800000</v>
      </c>
      <c r="N94" s="1619">
        <f>RKA!N46</f>
        <v>2800000</v>
      </c>
      <c r="O94" s="1619">
        <f>RKA!O46</f>
        <v>2800000</v>
      </c>
      <c r="P94" s="1619">
        <f>RKA!P46</f>
        <v>2800000</v>
      </c>
      <c r="Q94" s="1619">
        <f>RKA!Q46</f>
        <v>2800000</v>
      </c>
      <c r="R94" s="1619">
        <f>RKA!R46</f>
        <v>2800000</v>
      </c>
      <c r="S94" s="1619">
        <f>RKA!S46</f>
        <v>2800000</v>
      </c>
      <c r="T94" s="1619">
        <f>RKA!T46</f>
        <v>2800000</v>
      </c>
      <c r="U94" s="1619">
        <f>RKA!U46</f>
        <v>2800000</v>
      </c>
      <c r="V94" s="1619">
        <f>RKA!V46</f>
        <v>2800000</v>
      </c>
      <c r="W94" s="1619">
        <f t="shared" si="24"/>
        <v>33600000</v>
      </c>
      <c r="Y94" s="1578">
        <f t="shared" si="25"/>
        <v>0</v>
      </c>
    </row>
    <row r="95" spans="1:25">
      <c r="A95" s="1676" t="str">
        <f>IF('Pnj APBDES'!A102="","",'Pnj APBDES'!A102)</f>
        <v/>
      </c>
      <c r="B95" s="1677">
        <f>IF('Pnj APBDES'!B102="","",'Pnj APBDES'!B102)</f>
        <v>1</v>
      </c>
      <c r="C95" s="1677" t="str">
        <f>IF('Pnj APBDES'!C102="","",'Pnj APBDES'!C102)</f>
        <v>04</v>
      </c>
      <c r="D95" s="1676">
        <f>IF('Pnj APBDES'!D102="","",'Pnj APBDES'!D102)</f>
        <v>5</v>
      </c>
      <c r="E95" s="1676">
        <f>IF('Pnj APBDES'!E102="","",'Pnj APBDES'!E102)</f>
        <v>2</v>
      </c>
      <c r="F95" s="1677">
        <f>IF('Pnj APBDES'!F102="","",'Pnj APBDES'!F102)</f>
        <v>2</v>
      </c>
      <c r="G95" s="1677">
        <f>IF('Pnj APBDES'!G102="","",'Pnj APBDES'!G102)</f>
        <v>3</v>
      </c>
      <c r="H95" s="1678" t="str">
        <f>IF('Pnj APBDES'!H102="","",'Pnj APBDES'!H102)</f>
        <v>Balanja jasa honorarium /Insentif Pelayanan Desa</v>
      </c>
      <c r="I95" s="1679">
        <f>'Pnj APBDES'!K102</f>
        <v>6000000</v>
      </c>
      <c r="J95" s="1650" t="str">
        <f>IF('Pnj APBDES'!N102="","",'Pnj APBDES'!N102)</f>
        <v>ADD</v>
      </c>
      <c r="K95" s="1619">
        <f>RKA!K47</f>
        <v>500000</v>
      </c>
      <c r="L95" s="1619">
        <f>RKA!L47</f>
        <v>500000</v>
      </c>
      <c r="M95" s="1619">
        <f>RKA!M47</f>
        <v>500000</v>
      </c>
      <c r="N95" s="1619">
        <f>RKA!N47</f>
        <v>500000</v>
      </c>
      <c r="O95" s="1619">
        <f>RKA!O47</f>
        <v>500000</v>
      </c>
      <c r="P95" s="1619">
        <f>RKA!P47</f>
        <v>500000</v>
      </c>
      <c r="Q95" s="1619">
        <f>RKA!Q47</f>
        <v>500000</v>
      </c>
      <c r="R95" s="1619">
        <f>RKA!R47</f>
        <v>500000</v>
      </c>
      <c r="S95" s="1619">
        <f>RKA!S47</f>
        <v>500000</v>
      </c>
      <c r="T95" s="1619">
        <f>RKA!T47</f>
        <v>500000</v>
      </c>
      <c r="U95" s="1619">
        <f>RKA!U47</f>
        <v>500000</v>
      </c>
      <c r="V95" s="1619">
        <f>RKA!V47</f>
        <v>500000</v>
      </c>
      <c r="W95" s="1619">
        <f t="shared" si="24"/>
        <v>6000000</v>
      </c>
      <c r="Y95" s="1578">
        <f t="shared" si="25"/>
        <v>0</v>
      </c>
    </row>
    <row r="96" spans="1:25">
      <c r="A96" s="1676">
        <f>IF('Pnj APBDES'!A103="","",'Pnj APBDES'!A103)</f>
        <v>1</v>
      </c>
      <c r="B96" s="1677">
        <f>IF('Pnj APBDES'!B103="","",'Pnj APBDES'!B103)</f>
        <v>1</v>
      </c>
      <c r="C96" s="1677" t="str">
        <f>IF('Pnj APBDES'!C103="","",'Pnj APBDES'!C103)</f>
        <v>04</v>
      </c>
      <c r="D96" s="1676">
        <f>IF('Pnj APBDES'!D103="","",'Pnj APBDES'!D103)</f>
        <v>5</v>
      </c>
      <c r="E96" s="1676">
        <f>IF('Pnj APBDES'!E103="","",'Pnj APBDES'!E103)</f>
        <v>2</v>
      </c>
      <c r="F96" s="1677">
        <f>IF('Pnj APBDES'!F103="","",'Pnj APBDES'!F103)</f>
        <v>3</v>
      </c>
      <c r="G96" s="1677" t="str">
        <f>IF('Pnj APBDES'!G103="","",'Pnj APBDES'!G103)</f>
        <v/>
      </c>
      <c r="H96" s="1678" t="str">
        <f>IF('Pnj APBDES'!H103="","",'Pnj APBDES'!H103)</f>
        <v>Belanja Perjalanan Dinas</v>
      </c>
      <c r="I96" s="1679">
        <f>'Pnj APBDES'!K103</f>
        <v>6200000</v>
      </c>
      <c r="J96" s="1650" t="str">
        <f>IF('Pnj APBDES'!N103="","",'Pnj APBDES'!N103)</f>
        <v/>
      </c>
      <c r="K96" s="1619">
        <f>RKA!K48</f>
        <v>0</v>
      </c>
      <c r="L96" s="1619">
        <f>RKA!L48</f>
        <v>0</v>
      </c>
      <c r="M96" s="1619">
        <f>RKA!M48</f>
        <v>1300000</v>
      </c>
      <c r="N96" s="1619">
        <f>RKA!N48</f>
        <v>1300000</v>
      </c>
      <c r="O96" s="1619">
        <f>RKA!O48</f>
        <v>1300000</v>
      </c>
      <c r="P96" s="1619">
        <f>RKA!P48</f>
        <v>1300000</v>
      </c>
      <c r="Q96" s="1619">
        <f>RKA!Q48</f>
        <v>1300000</v>
      </c>
      <c r="R96" s="1619">
        <f>RKA!R48</f>
        <v>1300000</v>
      </c>
      <c r="S96" s="1619">
        <f>RKA!S48</f>
        <v>1300000</v>
      </c>
      <c r="T96" s="1619">
        <f>RKA!T48</f>
        <v>1300000</v>
      </c>
      <c r="U96" s="1619">
        <f>RKA!U48</f>
        <v>1300000</v>
      </c>
      <c r="V96" s="1619">
        <f>RKA!V48</f>
        <v>1300000</v>
      </c>
      <c r="W96" s="1619">
        <f t="shared" si="24"/>
        <v>13000000</v>
      </c>
      <c r="Y96" s="1578">
        <f t="shared" si="25"/>
        <v>-6800000</v>
      </c>
    </row>
    <row r="97" spans="1:25">
      <c r="A97" s="1676">
        <f>IF('Pnj APBDES'!A104="","",'Pnj APBDES'!A104)</f>
        <v>1</v>
      </c>
      <c r="B97" s="1677">
        <f>IF('Pnj APBDES'!B104="","",'Pnj APBDES'!B104)</f>
        <v>1</v>
      </c>
      <c r="C97" s="1677" t="str">
        <f>IF('Pnj APBDES'!C104="","",'Pnj APBDES'!C104)</f>
        <v>04</v>
      </c>
      <c r="D97" s="1676">
        <f>IF('Pnj APBDES'!D104="","",'Pnj APBDES'!D104)</f>
        <v>5</v>
      </c>
      <c r="E97" s="1676">
        <f>IF('Pnj APBDES'!E104="","",'Pnj APBDES'!E104)</f>
        <v>2</v>
      </c>
      <c r="F97" s="1677">
        <f>IF('Pnj APBDES'!F104="","",'Pnj APBDES'!F104)</f>
        <v>3</v>
      </c>
      <c r="G97" s="1677">
        <f>IF('Pnj APBDES'!G104="","",'Pnj APBDES'!G104)</f>
        <v>1</v>
      </c>
      <c r="H97" s="1678" t="str">
        <f>IF('Pnj APBDES'!H104="","",'Pnj APBDES'!H104)</f>
        <v>Belanja Perjalanan Dinas Dalam Kabupaten/Kota</v>
      </c>
      <c r="I97" s="1679">
        <f>'Pnj APBDES'!K104</f>
        <v>6200000</v>
      </c>
      <c r="J97" s="1650" t="str">
        <f>IF('Pnj APBDES'!N104="","",'Pnj APBDES'!N104)</f>
        <v>ADD</v>
      </c>
      <c r="K97" s="1619">
        <f>RKA!K49</f>
        <v>0</v>
      </c>
      <c r="L97" s="1619">
        <f>RKA!L49</f>
        <v>0</v>
      </c>
      <c r="M97" s="1619">
        <f>RKA!M49</f>
        <v>800000</v>
      </c>
      <c r="N97" s="1619">
        <f>RKA!N49</f>
        <v>800000</v>
      </c>
      <c r="O97" s="1619">
        <f>RKA!O49</f>
        <v>800000</v>
      </c>
      <c r="P97" s="1619">
        <f>RKA!P49</f>
        <v>800000</v>
      </c>
      <c r="Q97" s="1619">
        <f>RKA!Q49</f>
        <v>800000</v>
      </c>
      <c r="R97" s="1619">
        <f>RKA!R49</f>
        <v>800000</v>
      </c>
      <c r="S97" s="1619">
        <f>RKA!S49</f>
        <v>800000</v>
      </c>
      <c r="T97" s="1619">
        <f>RKA!T49</f>
        <v>800000</v>
      </c>
      <c r="U97" s="1619">
        <f>RKA!U49</f>
        <v>800000</v>
      </c>
      <c r="V97" s="1619">
        <f>RKA!V49</f>
        <v>800000</v>
      </c>
      <c r="W97" s="1619">
        <f t="shared" si="24"/>
        <v>8000000</v>
      </c>
      <c r="Y97" s="1578">
        <f t="shared" si="25"/>
        <v>-1800000</v>
      </c>
    </row>
    <row r="98" spans="1:25">
      <c r="A98" s="1676">
        <f>IF('Pnj APBDES'!A105="","",'Pnj APBDES'!A105)</f>
        <v>1</v>
      </c>
      <c r="B98" s="1677">
        <f>IF('Pnj APBDES'!B105="","",'Pnj APBDES'!B105)</f>
        <v>1</v>
      </c>
      <c r="C98" s="1677" t="str">
        <f>IF('Pnj APBDES'!C105="","",'Pnj APBDES'!C105)</f>
        <v>04</v>
      </c>
      <c r="D98" s="1676">
        <f>IF('Pnj APBDES'!D105="","",'Pnj APBDES'!D105)</f>
        <v>5</v>
      </c>
      <c r="E98" s="1676">
        <f>IF('Pnj APBDES'!E105="","",'Pnj APBDES'!E105)</f>
        <v>2</v>
      </c>
      <c r="F98" s="1677">
        <f>IF('Pnj APBDES'!F105="","",'Pnj APBDES'!F105)</f>
        <v>3</v>
      </c>
      <c r="G98" s="1677">
        <f>IF('Pnj APBDES'!G105="","",'Pnj APBDES'!G105)</f>
        <v>2</v>
      </c>
      <c r="H98" s="1678" t="str">
        <f>IF('Pnj APBDES'!H105="","",'Pnj APBDES'!H105)</f>
        <v>Belanja Perjalanan Dinas Luar Kabupaten/Kota</v>
      </c>
      <c r="I98" s="1679">
        <f>'Pnj APBDES'!K105</f>
        <v>0</v>
      </c>
      <c r="J98" s="1650" t="str">
        <f>IF('Pnj APBDES'!N105="","",'Pnj APBDES'!N105)</f>
        <v/>
      </c>
      <c r="K98" s="1619">
        <f>RKA!K50</f>
        <v>0</v>
      </c>
      <c r="L98" s="1619">
        <f>RKA!L50</f>
        <v>0</v>
      </c>
      <c r="M98" s="1619">
        <f>RKA!M50</f>
        <v>500000</v>
      </c>
      <c r="N98" s="1619">
        <f>RKA!N50</f>
        <v>500000</v>
      </c>
      <c r="O98" s="1619">
        <f>RKA!O50</f>
        <v>500000</v>
      </c>
      <c r="P98" s="1619">
        <f>RKA!P50</f>
        <v>500000</v>
      </c>
      <c r="Q98" s="1619">
        <f>RKA!Q50</f>
        <v>500000</v>
      </c>
      <c r="R98" s="1619">
        <f>RKA!R50</f>
        <v>500000</v>
      </c>
      <c r="S98" s="1619">
        <f>RKA!S50</f>
        <v>500000</v>
      </c>
      <c r="T98" s="1619">
        <f>RKA!T50</f>
        <v>500000</v>
      </c>
      <c r="U98" s="1619">
        <f>RKA!U50</f>
        <v>500000</v>
      </c>
      <c r="V98" s="1619">
        <f>RKA!V50</f>
        <v>500000</v>
      </c>
      <c r="W98" s="1619">
        <f t="shared" si="24"/>
        <v>5000000</v>
      </c>
      <c r="Y98" s="1578">
        <f t="shared" si="25"/>
        <v>-5000000</v>
      </c>
    </row>
    <row r="99" spans="1:25">
      <c r="A99" s="1676">
        <f>IF('Pnj APBDES'!A108="","",'Pnj APBDES'!A108)</f>
        <v>1</v>
      </c>
      <c r="B99" s="1677">
        <f>IF('Pnj APBDES'!B108="","",'Pnj APBDES'!B108)</f>
        <v>1</v>
      </c>
      <c r="C99" s="1677" t="str">
        <f>IF('Pnj APBDES'!C108="","",'Pnj APBDES'!C108)</f>
        <v>04</v>
      </c>
      <c r="D99" s="1676">
        <f>IF('Pnj APBDES'!D108="","",'Pnj APBDES'!D108)</f>
        <v>5</v>
      </c>
      <c r="E99" s="1677">
        <f>IF('Pnj APBDES'!E108="","",'Pnj APBDES'!E108)</f>
        <v>2</v>
      </c>
      <c r="F99" s="1677">
        <f>IF('Pnj APBDES'!F108="","",'Pnj APBDES'!F108)</f>
        <v>5</v>
      </c>
      <c r="G99" s="1676" t="str">
        <f>IF('Pnj APBDES'!G108="","",'Pnj APBDES'!G108)</f>
        <v/>
      </c>
      <c r="H99" s="1680" t="str">
        <f>IF('Pnj APBDES'!H108="","",'Pnj APBDES'!H108)</f>
        <v>Belanja Operasional Perkantoran</v>
      </c>
      <c r="I99" s="1679">
        <f>'Pnj APBDES'!K108</f>
        <v>1176000</v>
      </c>
      <c r="J99" s="1650" t="str">
        <f>IF('Pnj APBDES'!N108="","",'Pnj APBDES'!N108)</f>
        <v/>
      </c>
      <c r="K99" s="1619">
        <f>RKA!K51</f>
        <v>75000</v>
      </c>
      <c r="L99" s="1619">
        <f>RKA!L51</f>
        <v>75000</v>
      </c>
      <c r="M99" s="1619">
        <f>RKA!M51</f>
        <v>501000</v>
      </c>
      <c r="N99" s="1619">
        <f>RKA!N51</f>
        <v>75000</v>
      </c>
      <c r="O99" s="1619">
        <f>RKA!O51</f>
        <v>75000</v>
      </c>
      <c r="P99" s="1619">
        <f>RKA!P51</f>
        <v>225000</v>
      </c>
      <c r="Q99" s="1619">
        <f>RKA!Q51</f>
        <v>75000</v>
      </c>
      <c r="R99" s="1619">
        <f>RKA!R51</f>
        <v>75000</v>
      </c>
      <c r="S99" s="1619">
        <f>RKA!S51</f>
        <v>225000</v>
      </c>
      <c r="T99" s="1619">
        <f>RKA!T51</f>
        <v>75000</v>
      </c>
      <c r="U99" s="1619">
        <f>RKA!U51</f>
        <v>75000</v>
      </c>
      <c r="V99" s="1619">
        <f>RKA!V51</f>
        <v>225000</v>
      </c>
      <c r="W99" s="1619">
        <f t="shared" si="24"/>
        <v>1776000</v>
      </c>
      <c r="Y99" s="1578">
        <f t="shared" si="25"/>
        <v>-600000</v>
      </c>
    </row>
    <row r="100" spans="1:25">
      <c r="A100" s="1676">
        <f>IF('Pnj APBDES'!A109="","",'Pnj APBDES'!A109)</f>
        <v>1</v>
      </c>
      <c r="B100" s="1677">
        <f>IF('Pnj APBDES'!B109="","",'Pnj APBDES'!B109)</f>
        <v>1</v>
      </c>
      <c r="C100" s="1677" t="str">
        <f>IF('Pnj APBDES'!C109="","",'Pnj APBDES'!C109)</f>
        <v>04</v>
      </c>
      <c r="D100" s="1676">
        <f>IF('Pnj APBDES'!D109="","",'Pnj APBDES'!D109)</f>
        <v>5</v>
      </c>
      <c r="E100" s="1677">
        <f>IF('Pnj APBDES'!E109="","",'Pnj APBDES'!E109)</f>
        <v>2</v>
      </c>
      <c r="F100" s="1677">
        <f>IF('Pnj APBDES'!F109="","",'Pnj APBDES'!F109)</f>
        <v>5</v>
      </c>
      <c r="G100" s="1676">
        <f>IF('Pnj APBDES'!G109="","",'Pnj APBDES'!G109)</f>
        <v>1</v>
      </c>
      <c r="H100" s="1680" t="str">
        <f>IF('Pnj APBDES'!H109="","",'Pnj APBDES'!H109)</f>
        <v>Belanja Jasa Langganan Listrik</v>
      </c>
      <c r="I100" s="1679">
        <f>'Pnj APBDES'!K109</f>
        <v>900000</v>
      </c>
      <c r="J100" s="1650" t="str">
        <f>IF('Pnj APBDES'!N109="","",'Pnj APBDES'!N109)</f>
        <v>ADD</v>
      </c>
      <c r="K100" s="1619">
        <f>RKA!K52</f>
        <v>75000</v>
      </c>
      <c r="L100" s="1619">
        <f>RKA!L52</f>
        <v>75000</v>
      </c>
      <c r="M100" s="1619">
        <f>RKA!M52</f>
        <v>75000</v>
      </c>
      <c r="N100" s="1619">
        <f>RKA!N52</f>
        <v>75000</v>
      </c>
      <c r="O100" s="1619">
        <f>RKA!O52</f>
        <v>75000</v>
      </c>
      <c r="P100" s="1619">
        <f>RKA!P52</f>
        <v>75000</v>
      </c>
      <c r="Q100" s="1619">
        <f>RKA!Q52</f>
        <v>75000</v>
      </c>
      <c r="R100" s="1619">
        <f>RKA!R52</f>
        <v>75000</v>
      </c>
      <c r="S100" s="1619">
        <f>RKA!S52</f>
        <v>75000</v>
      </c>
      <c r="T100" s="1619">
        <f>RKA!T52</f>
        <v>75000</v>
      </c>
      <c r="U100" s="1619">
        <f>RKA!U52</f>
        <v>75000</v>
      </c>
      <c r="V100" s="1619">
        <f>RKA!V52</f>
        <v>75000</v>
      </c>
      <c r="W100" s="1619">
        <f t="shared" si="24"/>
        <v>900000</v>
      </c>
      <c r="Y100" s="1578">
        <f t="shared" si="25"/>
        <v>0</v>
      </c>
    </row>
    <row r="101" spans="1:25">
      <c r="A101" s="1676" t="e">
        <f>IF('Pnj APBDES'!#REF!="","",'Pnj APBDES'!#REF!)</f>
        <v>#REF!</v>
      </c>
      <c r="B101" s="1677" t="e">
        <f>IF('Pnj APBDES'!#REF!="","",'Pnj APBDES'!#REF!)</f>
        <v>#REF!</v>
      </c>
      <c r="C101" s="1677" t="e">
        <f>IF('Pnj APBDES'!#REF!="","",'Pnj APBDES'!#REF!)</f>
        <v>#REF!</v>
      </c>
      <c r="D101" s="1676" t="e">
        <f>IF('Pnj APBDES'!#REF!="","",'Pnj APBDES'!#REF!)</f>
        <v>#REF!</v>
      </c>
      <c r="E101" s="1677" t="e">
        <f>IF('Pnj APBDES'!#REF!="","",'Pnj APBDES'!#REF!)</f>
        <v>#REF!</v>
      </c>
      <c r="F101" s="1677" t="e">
        <f>IF('Pnj APBDES'!#REF!="","",'Pnj APBDES'!#REF!)</f>
        <v>#REF!</v>
      </c>
      <c r="G101" s="1676" t="e">
        <f>IF('Pnj APBDES'!#REF!="","",'Pnj APBDES'!#REF!)</f>
        <v>#REF!</v>
      </c>
      <c r="H101" s="1680" t="e">
        <f>IF('Pnj APBDES'!#REF!="","",'Pnj APBDES'!#REF!)</f>
        <v>#REF!</v>
      </c>
      <c r="I101" s="1679" t="e">
        <f>'Pnj APBDES'!#REF!</f>
        <v>#REF!</v>
      </c>
      <c r="J101" s="1650" t="e">
        <f>IF('Pnj APBDES'!#REF!="","",'Pnj APBDES'!#REF!)</f>
        <v>#REF!</v>
      </c>
      <c r="K101" s="1619">
        <f>RKA!K53</f>
        <v>0</v>
      </c>
      <c r="L101" s="1619">
        <f>RKA!L53</f>
        <v>0</v>
      </c>
      <c r="M101" s="1619">
        <f>RKA!M53</f>
        <v>150000</v>
      </c>
      <c r="N101" s="1619">
        <f>RKA!N53</f>
        <v>0</v>
      </c>
      <c r="O101" s="1619">
        <f>RKA!O53</f>
        <v>0</v>
      </c>
      <c r="P101" s="1619">
        <f>RKA!P53</f>
        <v>150000</v>
      </c>
      <c r="Q101" s="1619">
        <f>RKA!Q53</f>
        <v>0</v>
      </c>
      <c r="R101" s="1619">
        <f>RKA!R53</f>
        <v>0</v>
      </c>
      <c r="S101" s="1619">
        <f>RKA!S53</f>
        <v>150000</v>
      </c>
      <c r="T101" s="1619">
        <f>RKA!T53</f>
        <v>0</v>
      </c>
      <c r="U101" s="1619">
        <f>RKA!U53</f>
        <v>0</v>
      </c>
      <c r="V101" s="1619">
        <f>RKA!V53</f>
        <v>150000</v>
      </c>
      <c r="W101" s="1619">
        <f t="shared" si="24"/>
        <v>600000</v>
      </c>
      <c r="Y101" s="1578" t="e">
        <f t="shared" si="25"/>
        <v>#REF!</v>
      </c>
    </row>
    <row r="102" spans="1:25">
      <c r="A102" s="1676">
        <f>IF('Pnj APBDES'!A110="","",'Pnj APBDES'!A110)</f>
        <v>1</v>
      </c>
      <c r="B102" s="1677">
        <f>IF('Pnj APBDES'!B110="","",'Pnj APBDES'!B110)</f>
        <v>1</v>
      </c>
      <c r="C102" s="1677" t="str">
        <f>IF('Pnj APBDES'!C110="","",'Pnj APBDES'!C110)</f>
        <v>04</v>
      </c>
      <c r="D102" s="1676">
        <f>IF('Pnj APBDES'!D110="","",'Pnj APBDES'!D110)</f>
        <v>5</v>
      </c>
      <c r="E102" s="1677">
        <f>IF('Pnj APBDES'!E110="","",'Pnj APBDES'!E110)</f>
        <v>2</v>
      </c>
      <c r="F102" s="1677">
        <f>IF('Pnj APBDES'!F110="","",'Pnj APBDES'!F110)</f>
        <v>5</v>
      </c>
      <c r="G102" s="1676">
        <f>IF('Pnj APBDES'!G110="","",'Pnj APBDES'!G110)</f>
        <v>7</v>
      </c>
      <c r="H102" s="1680" t="str">
        <f>IF('Pnj APBDES'!H110="","",'Pnj APBDES'!H110)</f>
        <v>Belanja Jasa Perpanjangan ijin/Pajak</v>
      </c>
      <c r="I102" s="1679">
        <f>'Pnj APBDES'!K110</f>
        <v>276000</v>
      </c>
      <c r="J102" s="1650" t="str">
        <f>IF('Pnj APBDES'!N110="","",'Pnj APBDES'!N110)</f>
        <v>ADD</v>
      </c>
      <c r="K102" s="1619">
        <f>RKA!K54</f>
        <v>0</v>
      </c>
      <c r="L102" s="1619">
        <f>RKA!L54</f>
        <v>0</v>
      </c>
      <c r="M102" s="1619">
        <f>RKA!M54</f>
        <v>276000</v>
      </c>
      <c r="N102" s="1619">
        <f>RKA!N54</f>
        <v>0</v>
      </c>
      <c r="O102" s="1619">
        <f>RKA!O54</f>
        <v>0</v>
      </c>
      <c r="P102" s="1619">
        <f>RKA!P54</f>
        <v>0</v>
      </c>
      <c r="Q102" s="1619">
        <f>RKA!Q54</f>
        <v>0</v>
      </c>
      <c r="R102" s="1619">
        <f>RKA!R54</f>
        <v>0</v>
      </c>
      <c r="S102" s="1619">
        <f>RKA!S54</f>
        <v>0</v>
      </c>
      <c r="T102" s="1619">
        <f>RKA!T54</f>
        <v>0</v>
      </c>
      <c r="U102" s="1619">
        <f>RKA!U54</f>
        <v>0</v>
      </c>
      <c r="V102" s="1619">
        <f>RKA!V54</f>
        <v>0</v>
      </c>
      <c r="W102" s="1619">
        <f t="shared" si="24"/>
        <v>276000</v>
      </c>
      <c r="Y102" s="1578">
        <f t="shared" si="25"/>
        <v>0</v>
      </c>
    </row>
    <row r="103" spans="1:25">
      <c r="A103" s="1676">
        <f>IF('Pnj APBDES'!A111="","",'Pnj APBDES'!A111)</f>
        <v>1</v>
      </c>
      <c r="B103" s="1677">
        <f>IF('Pnj APBDES'!B111="","",'Pnj APBDES'!B111)</f>
        <v>1</v>
      </c>
      <c r="C103" s="1677" t="str">
        <f>IF('Pnj APBDES'!C111="","",'Pnj APBDES'!C111)</f>
        <v>04</v>
      </c>
      <c r="D103" s="1676">
        <f>IF('Pnj APBDES'!D111="","",'Pnj APBDES'!D111)</f>
        <v>5</v>
      </c>
      <c r="E103" s="1677">
        <f>IF('Pnj APBDES'!E111="","",'Pnj APBDES'!E111)</f>
        <v>2</v>
      </c>
      <c r="F103" s="1677">
        <f>IF('Pnj APBDES'!F111="","",'Pnj APBDES'!F111)</f>
        <v>6</v>
      </c>
      <c r="G103" s="1676" t="str">
        <f>IF('Pnj APBDES'!G111="","",'Pnj APBDES'!G111)</f>
        <v/>
      </c>
      <c r="H103" s="1680" t="str">
        <f>IF('Pnj APBDES'!H111="","",'Pnj APBDES'!H111)</f>
        <v xml:space="preserve">Belanja pemeliharaan </v>
      </c>
      <c r="I103" s="1679">
        <f>'Pnj APBDES'!K111</f>
        <v>1000000</v>
      </c>
      <c r="J103" s="1650" t="str">
        <f>IF('Pnj APBDES'!N111="","",'Pnj APBDES'!N111)</f>
        <v/>
      </c>
      <c r="K103" s="1619">
        <f>RKA!K55</f>
        <v>0</v>
      </c>
      <c r="L103" s="1619">
        <f>RKA!L55</f>
        <v>0</v>
      </c>
      <c r="M103" s="1619">
        <f>RKA!M55</f>
        <v>250000</v>
      </c>
      <c r="N103" s="1619">
        <f>RKA!N55</f>
        <v>0</v>
      </c>
      <c r="O103" s="1619">
        <f>RKA!O55</f>
        <v>0</v>
      </c>
      <c r="P103" s="1619">
        <f>RKA!P55</f>
        <v>250000</v>
      </c>
      <c r="Q103" s="1619">
        <f>RKA!Q55</f>
        <v>0</v>
      </c>
      <c r="R103" s="1619">
        <f>RKA!R55</f>
        <v>0</v>
      </c>
      <c r="S103" s="1619">
        <f>RKA!S55</f>
        <v>250000</v>
      </c>
      <c r="T103" s="1619">
        <f>RKA!T55</f>
        <v>0</v>
      </c>
      <c r="U103" s="1619">
        <f>RKA!U55</f>
        <v>0</v>
      </c>
      <c r="V103" s="1619">
        <f>RKA!V55</f>
        <v>250000</v>
      </c>
      <c r="W103" s="1619">
        <f t="shared" si="24"/>
        <v>1000000</v>
      </c>
      <c r="Y103" s="1578">
        <f t="shared" si="25"/>
        <v>0</v>
      </c>
    </row>
    <row r="104" spans="1:25">
      <c r="A104" s="1676">
        <f>IF('Pnj APBDES'!A112="","",'Pnj APBDES'!A112)</f>
        <v>1</v>
      </c>
      <c r="B104" s="1677">
        <f>IF('Pnj APBDES'!B112="","",'Pnj APBDES'!B112)</f>
        <v>1</v>
      </c>
      <c r="C104" s="1677" t="str">
        <f>IF('Pnj APBDES'!C112="","",'Pnj APBDES'!C112)</f>
        <v>04</v>
      </c>
      <c r="D104" s="1676">
        <f>IF('Pnj APBDES'!D112="","",'Pnj APBDES'!D112)</f>
        <v>5</v>
      </c>
      <c r="E104" s="1677">
        <f>IF('Pnj APBDES'!E112="","",'Pnj APBDES'!E112)</f>
        <v>2</v>
      </c>
      <c r="F104" s="1677">
        <f>IF('Pnj APBDES'!F112="","",'Pnj APBDES'!F112)</f>
        <v>6</v>
      </c>
      <c r="G104" s="1676">
        <f>IF('Pnj APBDES'!G112="","",'Pnj APBDES'!G112)</f>
        <v>2</v>
      </c>
      <c r="H104" s="1680" t="str">
        <f>IF('Pnj APBDES'!H112="","",'Pnj APBDES'!H112)</f>
        <v>Belanja pemeliharaan kendaraan bermotor</v>
      </c>
      <c r="I104" s="1679">
        <f>'Pnj APBDES'!K112</f>
        <v>1000000</v>
      </c>
      <c r="J104" s="1650" t="str">
        <f>IF('Pnj APBDES'!N112="","",'Pnj APBDES'!N112)</f>
        <v>ADD</v>
      </c>
      <c r="K104" s="1619">
        <f>RKA!K56</f>
        <v>0</v>
      </c>
      <c r="L104" s="1619">
        <f>RKA!L56</f>
        <v>0</v>
      </c>
      <c r="M104" s="1619">
        <f>RKA!M56</f>
        <v>250000</v>
      </c>
      <c r="N104" s="1619">
        <f>RKA!N56</f>
        <v>0</v>
      </c>
      <c r="O104" s="1619">
        <f>RKA!O56</f>
        <v>0</v>
      </c>
      <c r="P104" s="1619">
        <f>RKA!P56</f>
        <v>250000</v>
      </c>
      <c r="Q104" s="1619">
        <f>RKA!Q56</f>
        <v>0</v>
      </c>
      <c r="R104" s="1619">
        <f>RKA!R56</f>
        <v>0</v>
      </c>
      <c r="S104" s="1619">
        <f>RKA!S56</f>
        <v>250000</v>
      </c>
      <c r="T104" s="1619">
        <f>RKA!T56</f>
        <v>0</v>
      </c>
      <c r="U104" s="1619">
        <f>RKA!U56</f>
        <v>0</v>
      </c>
      <c r="V104" s="1619">
        <f>RKA!V56</f>
        <v>250000</v>
      </c>
      <c r="W104" s="1619">
        <f t="shared" si="24"/>
        <v>1000000</v>
      </c>
      <c r="Y104" s="1578">
        <f t="shared" si="25"/>
        <v>0</v>
      </c>
    </row>
    <row r="105" spans="1:25">
      <c r="A105" s="1672">
        <f>IF('Pnj APBDES'!A114="","",'Pnj APBDES'!A114)</f>
        <v>1</v>
      </c>
      <c r="B105" s="1673">
        <f>IF('Pnj APBDES'!B114="","",'Pnj APBDES'!B114)</f>
        <v>1</v>
      </c>
      <c r="C105" s="1673" t="str">
        <f>IF('Pnj APBDES'!C114="","",'Pnj APBDES'!C114)</f>
        <v>05</v>
      </c>
      <c r="D105" s="1672">
        <f>IF('Pnj APBDES'!D114="","",'Pnj APBDES'!D114)</f>
        <v>5</v>
      </c>
      <c r="E105" s="1672" t="str">
        <f>IF('Pnj APBDES'!E114="","",'Pnj APBDES'!E114)</f>
        <v/>
      </c>
      <c r="F105" s="1672" t="str">
        <f>IF('Pnj APBDES'!F114="","",'Pnj APBDES'!F114)</f>
        <v/>
      </c>
      <c r="G105" s="1672" t="str">
        <f>IF('Pnj APBDES'!G114="","",'Pnj APBDES'!G114)</f>
        <v/>
      </c>
      <c r="H105" s="1674" t="str">
        <f>IF('Pnj APBDES'!H114="","",'Pnj APBDES'!H114)</f>
        <v>Penyediaan Tunjangan BPD</v>
      </c>
      <c r="I105" s="1675">
        <f>'Pnj APBDES'!K114</f>
        <v>58800000</v>
      </c>
      <c r="J105" s="1650" t="str">
        <f>IF('Pnj APBDES'!N114="","",'Pnj APBDES'!N114)</f>
        <v/>
      </c>
      <c r="K105" s="1619">
        <f>RKA!K57</f>
        <v>4900000</v>
      </c>
      <c r="L105" s="1619">
        <f>RKA!L57</f>
        <v>4900000</v>
      </c>
      <c r="M105" s="1619">
        <f>RKA!M57</f>
        <v>4900000</v>
      </c>
      <c r="N105" s="1619">
        <f>RKA!N57</f>
        <v>4900000</v>
      </c>
      <c r="O105" s="1619">
        <f>RKA!O57</f>
        <v>4900000</v>
      </c>
      <c r="P105" s="1619">
        <f>RKA!P57</f>
        <v>4900000</v>
      </c>
      <c r="Q105" s="1619">
        <f>RKA!Q57</f>
        <v>4900000</v>
      </c>
      <c r="R105" s="1619">
        <f>RKA!R57</f>
        <v>4900000</v>
      </c>
      <c r="S105" s="1619">
        <f>RKA!S57</f>
        <v>4900000</v>
      </c>
      <c r="T105" s="1619">
        <f>RKA!T57</f>
        <v>4900000</v>
      </c>
      <c r="U105" s="1619">
        <f>RKA!U57</f>
        <v>4900000</v>
      </c>
      <c r="V105" s="1619">
        <f>RKA!V57</f>
        <v>4900000</v>
      </c>
      <c r="W105" s="1619">
        <f t="shared" si="24"/>
        <v>58800000</v>
      </c>
      <c r="Y105" s="1578">
        <f t="shared" si="25"/>
        <v>0</v>
      </c>
    </row>
    <row r="106" spans="1:25">
      <c r="A106" s="1676">
        <f>IF('Pnj APBDES'!A115="","",'Pnj APBDES'!A115)</f>
        <v>1</v>
      </c>
      <c r="B106" s="1677">
        <f>IF('Pnj APBDES'!B115="","",'Pnj APBDES'!B115)</f>
        <v>1</v>
      </c>
      <c r="C106" s="1677" t="str">
        <f>IF('Pnj APBDES'!C115="","",'Pnj APBDES'!C115)</f>
        <v>05</v>
      </c>
      <c r="D106" s="1676">
        <f>IF('Pnj APBDES'!D115="","",'Pnj APBDES'!D115)</f>
        <v>5</v>
      </c>
      <c r="E106" s="1676">
        <f>IF('Pnj APBDES'!E115="","",'Pnj APBDES'!E115)</f>
        <v>1</v>
      </c>
      <c r="F106" s="1676" t="str">
        <f>IF('Pnj APBDES'!F115="","",'Pnj APBDES'!F115)</f>
        <v/>
      </c>
      <c r="G106" s="1676" t="str">
        <f>IF('Pnj APBDES'!G115="","",'Pnj APBDES'!G115)</f>
        <v/>
      </c>
      <c r="H106" s="1678" t="str">
        <f>IF('Pnj APBDES'!H115="","",'Pnj APBDES'!H115)</f>
        <v>Belanja Pegawai</v>
      </c>
      <c r="I106" s="1679">
        <f>'Pnj APBDES'!K115</f>
        <v>58800000</v>
      </c>
      <c r="J106" s="1650" t="str">
        <f>IF('Pnj APBDES'!N115="","",'Pnj APBDES'!N115)</f>
        <v/>
      </c>
      <c r="K106" s="1619">
        <f>RKA!K58</f>
        <v>4900000</v>
      </c>
      <c r="L106" s="1619">
        <f>RKA!L58</f>
        <v>4900000</v>
      </c>
      <c r="M106" s="1619">
        <f>RKA!M58</f>
        <v>4900000</v>
      </c>
      <c r="N106" s="1619">
        <f>RKA!N58</f>
        <v>4900000</v>
      </c>
      <c r="O106" s="1619">
        <f>RKA!O58</f>
        <v>4900000</v>
      </c>
      <c r="P106" s="1619">
        <f>RKA!P58</f>
        <v>4900000</v>
      </c>
      <c r="Q106" s="1619">
        <f>RKA!Q58</f>
        <v>4900000</v>
      </c>
      <c r="R106" s="1619">
        <f>RKA!R58</f>
        <v>4900000</v>
      </c>
      <c r="S106" s="1619">
        <f>RKA!S58</f>
        <v>4900000</v>
      </c>
      <c r="T106" s="1619">
        <f>RKA!T58</f>
        <v>4900000</v>
      </c>
      <c r="U106" s="1619">
        <f>RKA!U58</f>
        <v>4900000</v>
      </c>
      <c r="V106" s="1619">
        <f>RKA!V58</f>
        <v>4900000</v>
      </c>
      <c r="W106" s="1619">
        <f t="shared" si="24"/>
        <v>58800000</v>
      </c>
      <c r="Y106" s="1578">
        <f t="shared" si="25"/>
        <v>0</v>
      </c>
    </row>
    <row r="107" spans="1:25">
      <c r="A107" s="1676">
        <f>IF('Pnj APBDES'!A116="","",'Pnj APBDES'!A116)</f>
        <v>1</v>
      </c>
      <c r="B107" s="1677">
        <f>IF('Pnj APBDES'!B116="","",'Pnj APBDES'!B116)</f>
        <v>1</v>
      </c>
      <c r="C107" s="1677" t="str">
        <f>IF('Pnj APBDES'!C116="","",'Pnj APBDES'!C116)</f>
        <v>05</v>
      </c>
      <c r="D107" s="1676">
        <f>IF('Pnj APBDES'!D116="","",'Pnj APBDES'!D116)</f>
        <v>5</v>
      </c>
      <c r="E107" s="1676">
        <f>IF('Pnj APBDES'!E116="","",'Pnj APBDES'!E116)</f>
        <v>1</v>
      </c>
      <c r="F107" s="1677">
        <f>IF('Pnj APBDES'!F116="","",'Pnj APBDES'!F116)</f>
        <v>4</v>
      </c>
      <c r="G107" s="1677" t="str">
        <f>IF('Pnj APBDES'!G116="","",'Pnj APBDES'!G116)</f>
        <v/>
      </c>
      <c r="H107" s="1678" t="str">
        <f>IF('Pnj APBDES'!H116="","",'Pnj APBDES'!H116)</f>
        <v>Tunjangan BPD</v>
      </c>
      <c r="I107" s="1679">
        <f>'Pnj APBDES'!K116</f>
        <v>58800000</v>
      </c>
      <c r="J107" s="1650" t="str">
        <f>IF('Pnj APBDES'!N116="","",'Pnj APBDES'!N116)</f>
        <v/>
      </c>
      <c r="K107" s="1619">
        <f>RKA!K59</f>
        <v>4900000</v>
      </c>
      <c r="L107" s="1619">
        <f>RKA!L59</f>
        <v>4900000</v>
      </c>
      <c r="M107" s="1619">
        <f>RKA!M59</f>
        <v>4900000</v>
      </c>
      <c r="N107" s="1619">
        <f>RKA!N59</f>
        <v>4900000</v>
      </c>
      <c r="O107" s="1619">
        <f>RKA!O59</f>
        <v>4900000</v>
      </c>
      <c r="P107" s="1619">
        <f>RKA!P59</f>
        <v>4900000</v>
      </c>
      <c r="Q107" s="1619">
        <f>RKA!Q59</f>
        <v>4900000</v>
      </c>
      <c r="R107" s="1619">
        <f>RKA!R59</f>
        <v>4900000</v>
      </c>
      <c r="S107" s="1619">
        <f>RKA!S59</f>
        <v>4900000</v>
      </c>
      <c r="T107" s="1619">
        <f>RKA!T59</f>
        <v>4900000</v>
      </c>
      <c r="U107" s="1619">
        <f>RKA!U59</f>
        <v>4900000</v>
      </c>
      <c r="V107" s="1619">
        <f>RKA!V59</f>
        <v>4900000</v>
      </c>
      <c r="W107" s="1619">
        <f t="shared" si="24"/>
        <v>58800000</v>
      </c>
      <c r="Y107" s="1578">
        <f t="shared" si="25"/>
        <v>0</v>
      </c>
    </row>
    <row r="108" spans="1:25">
      <c r="A108" s="1676">
        <f>IF('Pnj APBDES'!A117="","",'Pnj APBDES'!A117)</f>
        <v>1</v>
      </c>
      <c r="B108" s="1677">
        <f>IF('Pnj APBDES'!B117="","",'Pnj APBDES'!B117)</f>
        <v>1</v>
      </c>
      <c r="C108" s="1677" t="str">
        <f>IF('Pnj APBDES'!C117="","",'Pnj APBDES'!C117)</f>
        <v>05</v>
      </c>
      <c r="D108" s="1676">
        <f>IF('Pnj APBDES'!D117="","",'Pnj APBDES'!D117)</f>
        <v>5</v>
      </c>
      <c r="E108" s="1676">
        <f>IF('Pnj APBDES'!E117="","",'Pnj APBDES'!E117)</f>
        <v>1</v>
      </c>
      <c r="F108" s="1677">
        <f>IF('Pnj APBDES'!F117="","",'Pnj APBDES'!F117)</f>
        <v>4</v>
      </c>
      <c r="G108" s="1677">
        <f>IF('Pnj APBDES'!G117="","",'Pnj APBDES'!G117)</f>
        <v>1</v>
      </c>
      <c r="H108" s="1678" t="str">
        <f>IF('Pnj APBDES'!H117="","",'Pnj APBDES'!H117)</f>
        <v>Tunjangan BPD</v>
      </c>
      <c r="I108" s="1679">
        <f>'Pnj APBDES'!K117</f>
        <v>58800000</v>
      </c>
      <c r="J108" s="1650" t="str">
        <f>IF('Pnj APBDES'!N117="","",'Pnj APBDES'!N117)</f>
        <v>ADD</v>
      </c>
      <c r="K108" s="1619">
        <f>RKA!K60</f>
        <v>4900000</v>
      </c>
      <c r="L108" s="1619">
        <f>RKA!L60</f>
        <v>4900000</v>
      </c>
      <c r="M108" s="1619">
        <f>RKA!M60</f>
        <v>4900000</v>
      </c>
      <c r="N108" s="1619">
        <f>RKA!N60</f>
        <v>4900000</v>
      </c>
      <c r="O108" s="1619">
        <f>RKA!O60</f>
        <v>4900000</v>
      </c>
      <c r="P108" s="1619">
        <f>RKA!P60</f>
        <v>4900000</v>
      </c>
      <c r="Q108" s="1619">
        <f>RKA!Q60</f>
        <v>4900000</v>
      </c>
      <c r="R108" s="1619">
        <f>RKA!R60</f>
        <v>4900000</v>
      </c>
      <c r="S108" s="1619">
        <f>RKA!S60</f>
        <v>4900000</v>
      </c>
      <c r="T108" s="1619">
        <f>RKA!T60</f>
        <v>4900000</v>
      </c>
      <c r="U108" s="1619">
        <f>RKA!U60</f>
        <v>4900000</v>
      </c>
      <c r="V108" s="1619">
        <f>RKA!V60</f>
        <v>4900000</v>
      </c>
      <c r="W108" s="1619">
        <f t="shared" si="24"/>
        <v>58800000</v>
      </c>
      <c r="Y108" s="1578">
        <f t="shared" si="25"/>
        <v>0</v>
      </c>
    </row>
    <row r="109" spans="1:25" ht="24">
      <c r="A109" s="1672">
        <f>IF('Pnj APBDES'!A118="","",'Pnj APBDES'!A118)</f>
        <v>1</v>
      </c>
      <c r="B109" s="1673">
        <f>IF('Pnj APBDES'!B118="","",'Pnj APBDES'!B118)</f>
        <v>1</v>
      </c>
      <c r="C109" s="1673" t="str">
        <f>IF('Pnj APBDES'!C118="","",'Pnj APBDES'!C118)</f>
        <v>06</v>
      </c>
      <c r="D109" s="1672">
        <f>IF('Pnj APBDES'!D118="","",'Pnj APBDES'!D118)</f>
        <v>5</v>
      </c>
      <c r="E109" s="1672" t="str">
        <f>IF('Pnj APBDES'!E118="","",'Pnj APBDES'!E118)</f>
        <v/>
      </c>
      <c r="F109" s="1672" t="str">
        <f>IF('Pnj APBDES'!F118="","",'Pnj APBDES'!F118)</f>
        <v/>
      </c>
      <c r="G109" s="1672" t="str">
        <f>IF('Pnj APBDES'!G118="","",'Pnj APBDES'!G118)</f>
        <v/>
      </c>
      <c r="H109" s="1674" t="str">
        <f>IF('Pnj APBDES'!H118="","",'Pnj APBDES'!H118)</f>
        <v>Penyediaan Operasional BPD (ATK, perlengkapan perkantoran, Pakaian Seragam, listrik/telpon, dll)</v>
      </c>
      <c r="I109" s="1675">
        <f>'Pnj APBDES'!K118</f>
        <v>3439500</v>
      </c>
      <c r="J109" s="1650" t="str">
        <f>IF('Pnj APBDES'!N118="","",'Pnj APBDES'!N118)</f>
        <v/>
      </c>
      <c r="K109" s="1619">
        <f>RKA!K61</f>
        <v>0</v>
      </c>
      <c r="L109" s="1619">
        <f>RKA!L61</f>
        <v>0</v>
      </c>
      <c r="M109" s="1619">
        <f>RKA!M61</f>
        <v>1140000</v>
      </c>
      <c r="N109" s="1619">
        <f>RKA!N61</f>
        <v>180000</v>
      </c>
      <c r="O109" s="1619">
        <f>RKA!O61</f>
        <v>0</v>
      </c>
      <c r="P109" s="1619">
        <f>RKA!P61</f>
        <v>450000</v>
      </c>
      <c r="Q109" s="1619">
        <f>RKA!Q61</f>
        <v>450000</v>
      </c>
      <c r="R109" s="1619">
        <f>RKA!R61</f>
        <v>0</v>
      </c>
      <c r="S109" s="1619">
        <f>RKA!S61</f>
        <v>979500</v>
      </c>
      <c r="T109" s="1619">
        <f>RKA!T61</f>
        <v>480000</v>
      </c>
      <c r="U109" s="1619">
        <f>RKA!U61</f>
        <v>110000</v>
      </c>
      <c r="V109" s="1619">
        <f>RKA!V61</f>
        <v>0</v>
      </c>
      <c r="W109" s="1619">
        <f t="shared" si="24"/>
        <v>3789500</v>
      </c>
      <c r="Y109" s="1578">
        <f t="shared" si="25"/>
        <v>-350000</v>
      </c>
    </row>
    <row r="110" spans="1:25">
      <c r="A110" s="1676">
        <f>IF('Pnj APBDES'!A119="","",'Pnj APBDES'!A119)</f>
        <v>1</v>
      </c>
      <c r="B110" s="1677">
        <f>IF('Pnj APBDES'!B119="","",'Pnj APBDES'!B119)</f>
        <v>1</v>
      </c>
      <c r="C110" s="1677" t="str">
        <f>IF('Pnj APBDES'!C119="","",'Pnj APBDES'!C119)</f>
        <v>06</v>
      </c>
      <c r="D110" s="1676">
        <f>IF('Pnj APBDES'!D119="","",'Pnj APBDES'!D119)</f>
        <v>5</v>
      </c>
      <c r="E110" s="1676">
        <f>IF('Pnj APBDES'!E119="","",'Pnj APBDES'!E119)</f>
        <v>2</v>
      </c>
      <c r="F110" s="1676" t="str">
        <f>IF('Pnj APBDES'!F119="","",'Pnj APBDES'!F119)</f>
        <v/>
      </c>
      <c r="G110" s="1676" t="str">
        <f>IF('Pnj APBDES'!G119="","",'Pnj APBDES'!G119)</f>
        <v/>
      </c>
      <c r="H110" s="1678" t="str">
        <f>IF('Pnj APBDES'!H119="","",'Pnj APBDES'!H119)</f>
        <v>Belanja Barang dan Jasa</v>
      </c>
      <c r="I110" s="1679">
        <f>'Pnj APBDES'!K119</f>
        <v>3439500</v>
      </c>
      <c r="J110" s="1650" t="str">
        <f>IF('Pnj APBDES'!N119="","",'Pnj APBDES'!N119)</f>
        <v/>
      </c>
      <c r="K110" s="1619">
        <f>RKA!K62</f>
        <v>0</v>
      </c>
      <c r="L110" s="1619">
        <f>RKA!L62</f>
        <v>0</v>
      </c>
      <c r="M110" s="1619">
        <f>RKA!M62</f>
        <v>1140000</v>
      </c>
      <c r="N110" s="1619">
        <f>RKA!N62</f>
        <v>180000</v>
      </c>
      <c r="O110" s="1619">
        <f>RKA!O62</f>
        <v>0</v>
      </c>
      <c r="P110" s="1619">
        <f>RKA!P62</f>
        <v>450000</v>
      </c>
      <c r="Q110" s="1619">
        <f>RKA!Q62</f>
        <v>450000</v>
      </c>
      <c r="R110" s="1619">
        <f>RKA!R62</f>
        <v>0</v>
      </c>
      <c r="S110" s="1619">
        <f>RKA!S62</f>
        <v>979500</v>
      </c>
      <c r="T110" s="1619">
        <f>RKA!T62</f>
        <v>480000</v>
      </c>
      <c r="U110" s="1619">
        <f>RKA!U62</f>
        <v>110000</v>
      </c>
      <c r="V110" s="1619">
        <f>RKA!V62</f>
        <v>0</v>
      </c>
      <c r="W110" s="1619">
        <f t="shared" si="24"/>
        <v>3789500</v>
      </c>
      <c r="Y110" s="1578">
        <f t="shared" si="25"/>
        <v>-350000</v>
      </c>
    </row>
    <row r="111" spans="1:25">
      <c r="A111" s="1676">
        <f>IF('Pnj APBDES'!A120="","",'Pnj APBDES'!A120)</f>
        <v>1</v>
      </c>
      <c r="B111" s="1677">
        <f>IF('Pnj APBDES'!B120="","",'Pnj APBDES'!B120)</f>
        <v>1</v>
      </c>
      <c r="C111" s="1677" t="str">
        <f>IF('Pnj APBDES'!C120="","",'Pnj APBDES'!C120)</f>
        <v>06</v>
      </c>
      <c r="D111" s="1676">
        <f>IF('Pnj APBDES'!D120="","",'Pnj APBDES'!D120)</f>
        <v>5</v>
      </c>
      <c r="E111" s="1676">
        <f>IF('Pnj APBDES'!E120="","",'Pnj APBDES'!E120)</f>
        <v>2</v>
      </c>
      <c r="F111" s="1677">
        <f>IF('Pnj APBDES'!F120="","",'Pnj APBDES'!F120)</f>
        <v>1</v>
      </c>
      <c r="G111" s="1677" t="str">
        <f>IF('Pnj APBDES'!G120="","",'Pnj APBDES'!G120)</f>
        <v/>
      </c>
      <c r="H111" s="1678" t="str">
        <f>IF('Pnj APBDES'!H120="","",'Pnj APBDES'!H120)</f>
        <v>Belanja Barang Perlengkapan Kantor</v>
      </c>
      <c r="I111" s="1679">
        <f>'Pnj APBDES'!K120</f>
        <v>1679500</v>
      </c>
      <c r="J111" s="1650" t="str">
        <f>IF('Pnj APBDES'!N120="","",'Pnj APBDES'!N120)</f>
        <v/>
      </c>
      <c r="K111" s="1619">
        <f>RKA!K63</f>
        <v>0</v>
      </c>
      <c r="L111" s="1619">
        <f>RKA!L63</f>
        <v>0</v>
      </c>
      <c r="M111" s="1619">
        <f>RKA!M63</f>
        <v>700000</v>
      </c>
      <c r="N111" s="1619">
        <f>RKA!N63</f>
        <v>0</v>
      </c>
      <c r="O111" s="1619">
        <f>RKA!O63</f>
        <v>0</v>
      </c>
      <c r="P111" s="1619">
        <f>RKA!P63</f>
        <v>450000</v>
      </c>
      <c r="Q111" s="1619">
        <f>RKA!Q63</f>
        <v>0</v>
      </c>
      <c r="R111" s="1619">
        <f>RKA!R63</f>
        <v>0</v>
      </c>
      <c r="S111" s="1619">
        <f>RKA!S63</f>
        <v>409500</v>
      </c>
      <c r="T111" s="1619">
        <f>RKA!T63</f>
        <v>0</v>
      </c>
      <c r="U111" s="1619">
        <f>RKA!U63</f>
        <v>110000</v>
      </c>
      <c r="V111" s="1619">
        <f>RKA!V63</f>
        <v>0</v>
      </c>
      <c r="W111" s="1619">
        <f t="shared" si="24"/>
        <v>1669500</v>
      </c>
      <c r="Y111" s="1578">
        <f t="shared" si="25"/>
        <v>10000</v>
      </c>
    </row>
    <row r="112" spans="1:25">
      <c r="A112" s="1676">
        <f>IF('Pnj APBDES'!A121="","",'Pnj APBDES'!A121)</f>
        <v>1</v>
      </c>
      <c r="B112" s="1677">
        <f>IF('Pnj APBDES'!B121="","",'Pnj APBDES'!B121)</f>
        <v>1</v>
      </c>
      <c r="C112" s="1677" t="str">
        <f>IF('Pnj APBDES'!C121="","",'Pnj APBDES'!C121)</f>
        <v>06</v>
      </c>
      <c r="D112" s="1676">
        <f>IF('Pnj APBDES'!D121="","",'Pnj APBDES'!D121)</f>
        <v>5</v>
      </c>
      <c r="E112" s="1676">
        <f>IF('Pnj APBDES'!E121="","",'Pnj APBDES'!E121)</f>
        <v>2</v>
      </c>
      <c r="F112" s="1677">
        <f>IF('Pnj APBDES'!F121="","",'Pnj APBDES'!F121)</f>
        <v>1</v>
      </c>
      <c r="G112" s="1677">
        <f>IF('Pnj APBDES'!G121="","",'Pnj APBDES'!G121)</f>
        <v>1</v>
      </c>
      <c r="H112" s="1681" t="str">
        <f>IF('Pnj APBDES'!H121="","",'Pnj APBDES'!H121)</f>
        <v>Belanja Perlengkapan Alat Tulis Kantor</v>
      </c>
      <c r="I112" s="1679">
        <f>'Pnj APBDES'!K121</f>
        <v>809500</v>
      </c>
      <c r="J112" s="1650" t="str">
        <f>IF('Pnj APBDES'!N121="","",'Pnj APBDES'!N121)</f>
        <v>ADD</v>
      </c>
      <c r="K112" s="1619">
        <f>RKA!K64</f>
        <v>0</v>
      </c>
      <c r="L112" s="1619">
        <f>RKA!L64</f>
        <v>0</v>
      </c>
      <c r="M112" s="1619">
        <f>RKA!M64</f>
        <v>400000</v>
      </c>
      <c r="N112" s="1619">
        <f>RKA!N64</f>
        <v>0</v>
      </c>
      <c r="O112" s="1619">
        <f>RKA!O64</f>
        <v>0</v>
      </c>
      <c r="P112" s="1619">
        <f>RKA!P64</f>
        <v>200000</v>
      </c>
      <c r="Q112" s="1619">
        <f>RKA!Q64</f>
        <v>0</v>
      </c>
      <c r="R112" s="1619">
        <f>RKA!R64</f>
        <v>0</v>
      </c>
      <c r="S112" s="1619">
        <f>RKA!S64</f>
        <v>199500</v>
      </c>
      <c r="T112" s="1619">
        <f>RKA!T64</f>
        <v>0</v>
      </c>
      <c r="U112" s="1619">
        <f>RKA!U64</f>
        <v>0</v>
      </c>
      <c r="V112" s="1619">
        <f>RKA!V64</f>
        <v>0</v>
      </c>
      <c r="W112" s="1619">
        <f t="shared" si="24"/>
        <v>799500</v>
      </c>
      <c r="Y112" s="1578">
        <f t="shared" si="25"/>
        <v>10000</v>
      </c>
    </row>
    <row r="113" spans="1:25" ht="24">
      <c r="A113" s="1676">
        <f>IF('Pnj APBDES'!A122="","",'Pnj APBDES'!A122)</f>
        <v>1</v>
      </c>
      <c r="B113" s="1677">
        <f>IF('Pnj APBDES'!B122="","",'Pnj APBDES'!B122)</f>
        <v>1</v>
      </c>
      <c r="C113" s="1677" t="str">
        <f>IF('Pnj APBDES'!C122="","",'Pnj APBDES'!C122)</f>
        <v>06</v>
      </c>
      <c r="D113" s="1676">
        <f>IF('Pnj APBDES'!D122="","",'Pnj APBDES'!D122)</f>
        <v>5</v>
      </c>
      <c r="E113" s="1676">
        <f>IF('Pnj APBDES'!E122="","",'Pnj APBDES'!E122)</f>
        <v>2</v>
      </c>
      <c r="F113" s="1677">
        <f>IF('Pnj APBDES'!F122="","",'Pnj APBDES'!F122)</f>
        <v>1</v>
      </c>
      <c r="G113" s="1677">
        <f>IF('Pnj APBDES'!G122="","",'Pnj APBDES'!G122)</f>
        <v>3</v>
      </c>
      <c r="H113" s="1678" t="str">
        <f>IF('Pnj APBDES'!H122="","",'Pnj APBDES'!H122)</f>
        <v>Belanja Perlengkapan Cetak/Penggandaan - Belanja Barang Cetak dan Penggandaan</v>
      </c>
      <c r="I113" s="1679">
        <f>'Pnj APBDES'!K122</f>
        <v>0</v>
      </c>
      <c r="J113" s="1650" t="str">
        <f>IF('Pnj APBDES'!N122="","",'Pnj APBDES'!N122)</f>
        <v/>
      </c>
      <c r="K113" s="1619">
        <f>RKA!K65</f>
        <v>0</v>
      </c>
      <c r="L113" s="1619">
        <f>RKA!L65</f>
        <v>0</v>
      </c>
      <c r="M113" s="1619">
        <f>RKA!M65</f>
        <v>0</v>
      </c>
      <c r="N113" s="1619">
        <f>RKA!N65</f>
        <v>0</v>
      </c>
      <c r="O113" s="1619">
        <f>RKA!O65</f>
        <v>0</v>
      </c>
      <c r="P113" s="1619">
        <f>RKA!P65</f>
        <v>0</v>
      </c>
      <c r="Q113" s="1619">
        <f>RKA!Q65</f>
        <v>0</v>
      </c>
      <c r="R113" s="1619">
        <f>RKA!R65</f>
        <v>0</v>
      </c>
      <c r="S113" s="1619">
        <f>RKA!S65</f>
        <v>0</v>
      </c>
      <c r="T113" s="1619">
        <f>RKA!T65</f>
        <v>0</v>
      </c>
      <c r="U113" s="1619">
        <f>RKA!U65</f>
        <v>0</v>
      </c>
      <c r="V113" s="1619">
        <f>RKA!V65</f>
        <v>0</v>
      </c>
      <c r="W113" s="1619">
        <f t="shared" si="24"/>
        <v>0</v>
      </c>
      <c r="Y113" s="1578">
        <f t="shared" si="25"/>
        <v>0</v>
      </c>
    </row>
    <row r="114" spans="1:25" ht="24">
      <c r="A114" s="1676">
        <f>IF('Pnj APBDES'!A123="","",'Pnj APBDES'!A123)</f>
        <v>1</v>
      </c>
      <c r="B114" s="1677">
        <f>IF('Pnj APBDES'!B123="","",'Pnj APBDES'!B123)</f>
        <v>1</v>
      </c>
      <c r="C114" s="1677" t="str">
        <f>IF('Pnj APBDES'!C123="","",'Pnj APBDES'!C123)</f>
        <v>06</v>
      </c>
      <c r="D114" s="1676">
        <f>IF('Pnj APBDES'!D123="","",'Pnj APBDES'!D123)</f>
        <v>5</v>
      </c>
      <c r="E114" s="1676">
        <f>IF('Pnj APBDES'!E123="","",'Pnj APBDES'!E123)</f>
        <v>2</v>
      </c>
      <c r="F114" s="1677">
        <f>IF('Pnj APBDES'!F123="","",'Pnj APBDES'!F123)</f>
        <v>1</v>
      </c>
      <c r="G114" s="1677">
        <f>IF('Pnj APBDES'!G123="","",'Pnj APBDES'!G123)</f>
        <v>4</v>
      </c>
      <c r="H114" s="1678" t="str">
        <f>IF('Pnj APBDES'!H123="","",'Pnj APBDES'!H123)</f>
        <v>Belanja Perlengkapan Barang Konsumsi (Makan/minum) - Belanja Barang Konsumsi</v>
      </c>
      <c r="I114" s="1679">
        <f>'Pnj APBDES'!K123</f>
        <v>870000</v>
      </c>
      <c r="J114" s="1650" t="str">
        <f>IF('Pnj APBDES'!N123="","",'Pnj APBDES'!N123)</f>
        <v>ADD</v>
      </c>
      <c r="K114" s="1619">
        <f>RKA!K66</f>
        <v>0</v>
      </c>
      <c r="L114" s="1619">
        <f>RKA!L66</f>
        <v>0</v>
      </c>
      <c r="M114" s="1619">
        <f>RKA!M66</f>
        <v>300000</v>
      </c>
      <c r="N114" s="1619">
        <f>RKA!N66</f>
        <v>0</v>
      </c>
      <c r="O114" s="1619">
        <f>RKA!O66</f>
        <v>0</v>
      </c>
      <c r="P114" s="1619">
        <f>RKA!P66</f>
        <v>250000</v>
      </c>
      <c r="Q114" s="1619">
        <f>RKA!Q66</f>
        <v>0</v>
      </c>
      <c r="R114" s="1619">
        <f>RKA!R66</f>
        <v>0</v>
      </c>
      <c r="S114" s="1619">
        <f>RKA!S66</f>
        <v>210000</v>
      </c>
      <c r="T114" s="1619">
        <f>RKA!T66</f>
        <v>0</v>
      </c>
      <c r="U114" s="1619">
        <f>RKA!U66</f>
        <v>110000</v>
      </c>
      <c r="V114" s="1619">
        <f>RKA!V66</f>
        <v>0</v>
      </c>
      <c r="W114" s="1619">
        <f t="shared" si="24"/>
        <v>870000</v>
      </c>
      <c r="Y114" s="1578">
        <f t="shared" si="25"/>
        <v>0</v>
      </c>
    </row>
    <row r="115" spans="1:25">
      <c r="A115" s="1676">
        <f>IF('Pnj APBDES'!A124="","",'Pnj APBDES'!A124)</f>
        <v>1</v>
      </c>
      <c r="B115" s="1677">
        <f>IF('Pnj APBDES'!B124="","",'Pnj APBDES'!B124)</f>
        <v>1</v>
      </c>
      <c r="C115" s="1677" t="str">
        <f>IF('Pnj APBDES'!C124="","",'Pnj APBDES'!C124)</f>
        <v>06</v>
      </c>
      <c r="D115" s="1676">
        <f>IF('Pnj APBDES'!D124="","",'Pnj APBDES'!D124)</f>
        <v>5</v>
      </c>
      <c r="E115" s="1676">
        <f>IF('Pnj APBDES'!E124="","",'Pnj APBDES'!E124)</f>
        <v>2</v>
      </c>
      <c r="F115" s="1677">
        <f>IF('Pnj APBDES'!F124="","",'Pnj APBDES'!F124)</f>
        <v>3</v>
      </c>
      <c r="G115" s="1677" t="str">
        <f>IF('Pnj APBDES'!G124="","",'Pnj APBDES'!G124)</f>
        <v/>
      </c>
      <c r="H115" s="1678" t="str">
        <f>IF('Pnj APBDES'!H124="","",'Pnj APBDES'!H124)</f>
        <v>Belanja Perjalanan Dinas</v>
      </c>
      <c r="I115" s="1679">
        <f>'Pnj APBDES'!K124</f>
        <v>1760000</v>
      </c>
      <c r="J115" s="1650" t="str">
        <f>IF('Pnj APBDES'!N124="","",'Pnj APBDES'!N124)</f>
        <v/>
      </c>
      <c r="K115" s="1619">
        <f>RKA!K67</f>
        <v>0</v>
      </c>
      <c r="L115" s="1619">
        <f>RKA!L67</f>
        <v>0</v>
      </c>
      <c r="M115" s="1619">
        <f>RKA!M67</f>
        <v>440000</v>
      </c>
      <c r="N115" s="1619">
        <f>RKA!N67</f>
        <v>180000</v>
      </c>
      <c r="O115" s="1619">
        <f>RKA!O67</f>
        <v>0</v>
      </c>
      <c r="P115" s="1619">
        <f>RKA!P67</f>
        <v>0</v>
      </c>
      <c r="Q115" s="1619">
        <f>RKA!Q67</f>
        <v>450000</v>
      </c>
      <c r="R115" s="1619">
        <f>RKA!R67</f>
        <v>0</v>
      </c>
      <c r="S115" s="1619">
        <f>RKA!S67</f>
        <v>570000</v>
      </c>
      <c r="T115" s="1619">
        <f>RKA!T67</f>
        <v>480000</v>
      </c>
      <c r="U115" s="1619">
        <f>RKA!U67</f>
        <v>0</v>
      </c>
      <c r="V115" s="1619">
        <f>RKA!V67</f>
        <v>0</v>
      </c>
      <c r="W115" s="1619">
        <f t="shared" si="24"/>
        <v>2120000</v>
      </c>
      <c r="Y115" s="1578">
        <f t="shared" si="25"/>
        <v>-360000</v>
      </c>
    </row>
    <row r="116" spans="1:25">
      <c r="A116" s="1676">
        <f>IF('Pnj APBDES'!A125="","",'Pnj APBDES'!A125)</f>
        <v>1</v>
      </c>
      <c r="B116" s="1677">
        <f>IF('Pnj APBDES'!B125="","",'Pnj APBDES'!B125)</f>
        <v>1</v>
      </c>
      <c r="C116" s="1677" t="str">
        <f>IF('Pnj APBDES'!C125="","",'Pnj APBDES'!C125)</f>
        <v>06</v>
      </c>
      <c r="D116" s="1676">
        <f>IF('Pnj APBDES'!D125="","",'Pnj APBDES'!D125)</f>
        <v>5</v>
      </c>
      <c r="E116" s="1676">
        <f>IF('Pnj APBDES'!E125="","",'Pnj APBDES'!E125)</f>
        <v>2</v>
      </c>
      <c r="F116" s="1677">
        <f>IF('Pnj APBDES'!F125="","",'Pnj APBDES'!F125)</f>
        <v>3</v>
      </c>
      <c r="G116" s="1677">
        <f>IF('Pnj APBDES'!G125="","",'Pnj APBDES'!G125)</f>
        <v>1</v>
      </c>
      <c r="H116" s="1678" t="str">
        <f>IF('Pnj APBDES'!H125="","",'Pnj APBDES'!H125)</f>
        <v>Belanja Perjalanan Dinas Dalam Kabupaten/Kota</v>
      </c>
      <c r="I116" s="1679">
        <f>'Pnj APBDES'!K125</f>
        <v>1760000</v>
      </c>
      <c r="J116" s="1650" t="str">
        <f>IF('Pnj APBDES'!N125="","",'Pnj APBDES'!N125)</f>
        <v>ADD</v>
      </c>
      <c r="K116" s="1619">
        <f>RKA!K68</f>
        <v>0</v>
      </c>
      <c r="L116" s="1619">
        <f>RKA!L68</f>
        <v>0</v>
      </c>
      <c r="M116" s="1619">
        <f>RKA!M68</f>
        <v>440000</v>
      </c>
      <c r="N116" s="1619">
        <f>RKA!N68</f>
        <v>180000</v>
      </c>
      <c r="O116" s="1619">
        <f>RKA!O68</f>
        <v>0</v>
      </c>
      <c r="P116" s="1619">
        <f>RKA!P68</f>
        <v>0</v>
      </c>
      <c r="Q116" s="1619">
        <f>RKA!Q68</f>
        <v>450000</v>
      </c>
      <c r="R116" s="1619">
        <f>RKA!R68</f>
        <v>0</v>
      </c>
      <c r="S116" s="1619">
        <f>RKA!S68</f>
        <v>570000</v>
      </c>
      <c r="T116" s="1619">
        <f>RKA!T68</f>
        <v>480000</v>
      </c>
      <c r="U116" s="1619">
        <f>RKA!U68</f>
        <v>0</v>
      </c>
      <c r="V116" s="1619">
        <f>RKA!V68</f>
        <v>0</v>
      </c>
      <c r="W116" s="1619">
        <f t="shared" si="24"/>
        <v>2120000</v>
      </c>
      <c r="Y116" s="1578">
        <f t="shared" si="25"/>
        <v>-360000</v>
      </c>
    </row>
    <row r="117" spans="1:25">
      <c r="A117" s="1672">
        <f>IF('Pnj APBDES'!A126="","",'Pnj APBDES'!A126)</f>
        <v>1</v>
      </c>
      <c r="B117" s="1673">
        <f>IF('Pnj APBDES'!B126="","",'Pnj APBDES'!B126)</f>
        <v>1</v>
      </c>
      <c r="C117" s="1673" t="str">
        <f>IF('Pnj APBDES'!C126="","",'Pnj APBDES'!C126)</f>
        <v>07</v>
      </c>
      <c r="D117" s="1672">
        <f>IF('Pnj APBDES'!D126="","",'Pnj APBDES'!D126)</f>
        <v>5</v>
      </c>
      <c r="E117" s="1672" t="str">
        <f>IF('Pnj APBDES'!E126="","",'Pnj APBDES'!E126)</f>
        <v/>
      </c>
      <c r="F117" s="1672" t="str">
        <f>IF('Pnj APBDES'!F126="","",'Pnj APBDES'!F126)</f>
        <v/>
      </c>
      <c r="G117" s="1672" t="str">
        <f>IF('Pnj APBDES'!G126="","",'Pnj APBDES'!G126)</f>
        <v/>
      </c>
      <c r="H117" s="1674" t="str">
        <f>IF('Pnj APBDES'!H126="","",'Pnj APBDES'!H126)</f>
        <v>Penyediaan Insentif/Operasional RT</v>
      </c>
      <c r="I117" s="1675">
        <f>'Pnj APBDES'!K126</f>
        <v>76800000</v>
      </c>
      <c r="J117" s="1650" t="str">
        <f>IF('Pnj APBDES'!N126="","",'Pnj APBDES'!N126)</f>
        <v/>
      </c>
      <c r="K117" s="1619">
        <f>RKA!K69</f>
        <v>6400000</v>
      </c>
      <c r="L117" s="1619">
        <f>RKA!L69</f>
        <v>6400000</v>
      </c>
      <c r="M117" s="1619">
        <f>RKA!M69</f>
        <v>6400000</v>
      </c>
      <c r="N117" s="1619">
        <f>RKA!N69</f>
        <v>6400000</v>
      </c>
      <c r="O117" s="1619">
        <f>RKA!O69</f>
        <v>6400000</v>
      </c>
      <c r="P117" s="1619">
        <f>RKA!P69</f>
        <v>6400000</v>
      </c>
      <c r="Q117" s="1619">
        <f>RKA!Q69</f>
        <v>6400000</v>
      </c>
      <c r="R117" s="1619">
        <f>RKA!R69</f>
        <v>6400000</v>
      </c>
      <c r="S117" s="1619">
        <f>RKA!S69</f>
        <v>6400000</v>
      </c>
      <c r="T117" s="1619">
        <f>RKA!T69</f>
        <v>6400000</v>
      </c>
      <c r="U117" s="1619">
        <f>RKA!U69</f>
        <v>6400000</v>
      </c>
      <c r="V117" s="1619">
        <f>RKA!V69</f>
        <v>6400000</v>
      </c>
      <c r="W117" s="1619">
        <f t="shared" si="24"/>
        <v>76800000</v>
      </c>
      <c r="Y117" s="1578">
        <f t="shared" si="25"/>
        <v>0</v>
      </c>
    </row>
    <row r="118" spans="1:25">
      <c r="A118" s="1676">
        <f>IF('Pnj APBDES'!A127="","",'Pnj APBDES'!A127)</f>
        <v>1</v>
      </c>
      <c r="B118" s="1677">
        <f>IF('Pnj APBDES'!B127="","",'Pnj APBDES'!B127)</f>
        <v>1</v>
      </c>
      <c r="C118" s="1677" t="str">
        <f>IF('Pnj APBDES'!C127="","",'Pnj APBDES'!C127)</f>
        <v>07</v>
      </c>
      <c r="D118" s="1676">
        <f>IF('Pnj APBDES'!D127="","",'Pnj APBDES'!D127)</f>
        <v>5</v>
      </c>
      <c r="E118" s="1676">
        <f>IF('Pnj APBDES'!E127="","",'Pnj APBDES'!E127)</f>
        <v>2</v>
      </c>
      <c r="F118" s="1676" t="str">
        <f>IF('Pnj APBDES'!F127="","",'Pnj APBDES'!F127)</f>
        <v/>
      </c>
      <c r="G118" s="1676" t="str">
        <f>IF('Pnj APBDES'!G127="","",'Pnj APBDES'!G127)</f>
        <v/>
      </c>
      <c r="H118" s="1678" t="str">
        <f>IF('Pnj APBDES'!H127="","",'Pnj APBDES'!H127)</f>
        <v>Belanja Barang dan Jasa</v>
      </c>
      <c r="I118" s="1679">
        <f>'Pnj APBDES'!K127</f>
        <v>76800000</v>
      </c>
      <c r="J118" s="1650" t="str">
        <f>IF('Pnj APBDES'!N127="","",'Pnj APBDES'!N127)</f>
        <v/>
      </c>
      <c r="K118" s="1619">
        <f>RKA!K70</f>
        <v>6400000</v>
      </c>
      <c r="L118" s="1619">
        <f>RKA!L70</f>
        <v>6400000</v>
      </c>
      <c r="M118" s="1619">
        <f>RKA!M70</f>
        <v>6400000</v>
      </c>
      <c r="N118" s="1619">
        <f>RKA!N70</f>
        <v>6400000</v>
      </c>
      <c r="O118" s="1619">
        <f>RKA!O70</f>
        <v>6400000</v>
      </c>
      <c r="P118" s="1619">
        <f>RKA!P70</f>
        <v>6400000</v>
      </c>
      <c r="Q118" s="1619">
        <f>RKA!Q70</f>
        <v>6400000</v>
      </c>
      <c r="R118" s="1619">
        <f>RKA!R70</f>
        <v>6400000</v>
      </c>
      <c r="S118" s="1619">
        <f>RKA!S70</f>
        <v>6400000</v>
      </c>
      <c r="T118" s="1619">
        <f>RKA!T70</f>
        <v>6400000</v>
      </c>
      <c r="U118" s="1619">
        <f>RKA!U70</f>
        <v>6400000</v>
      </c>
      <c r="V118" s="1619">
        <f>RKA!V70</f>
        <v>6400000</v>
      </c>
      <c r="W118" s="1619">
        <f t="shared" si="24"/>
        <v>76800000</v>
      </c>
      <c r="Y118" s="1578">
        <f t="shared" si="25"/>
        <v>0</v>
      </c>
    </row>
    <row r="119" spans="1:25">
      <c r="A119" s="1676">
        <f>IF('Pnj APBDES'!A128="","",'Pnj APBDES'!A128)</f>
        <v>1</v>
      </c>
      <c r="B119" s="1677">
        <f>IF('Pnj APBDES'!B128="","",'Pnj APBDES'!B128)</f>
        <v>1</v>
      </c>
      <c r="C119" s="1677" t="str">
        <f>IF('Pnj APBDES'!C128="","",'Pnj APBDES'!C128)</f>
        <v>07</v>
      </c>
      <c r="D119" s="1676">
        <f>IF('Pnj APBDES'!D128="","",'Pnj APBDES'!D128)</f>
        <v>5</v>
      </c>
      <c r="E119" s="1676">
        <f>IF('Pnj APBDES'!E128="","",'Pnj APBDES'!E128)</f>
        <v>2</v>
      </c>
      <c r="F119" s="1677">
        <f>IF('Pnj APBDES'!F128="","",'Pnj APBDES'!F128)</f>
        <v>1</v>
      </c>
      <c r="G119" s="1677" t="str">
        <f>IF('Pnj APBDES'!G128="","",'Pnj APBDES'!G128)</f>
        <v/>
      </c>
      <c r="H119" s="1678" t="str">
        <f>IF('Pnj APBDES'!H128="","",'Pnj APBDES'!H128)</f>
        <v>Belanja Barang Perlengkapan Kantor</v>
      </c>
      <c r="I119" s="1679">
        <f>'Pnj APBDES'!K128</f>
        <v>76800000</v>
      </c>
      <c r="J119" s="1650" t="str">
        <f>IF('Pnj APBDES'!N128="","",'Pnj APBDES'!N128)</f>
        <v/>
      </c>
      <c r="K119" s="1619">
        <f>RKA!K71</f>
        <v>6400000</v>
      </c>
      <c r="L119" s="1619">
        <f>RKA!L71</f>
        <v>6400000</v>
      </c>
      <c r="M119" s="1619">
        <f>RKA!M71</f>
        <v>6400000</v>
      </c>
      <c r="N119" s="1619">
        <f>RKA!N71</f>
        <v>6400000</v>
      </c>
      <c r="O119" s="1619">
        <f>RKA!O71</f>
        <v>6400000</v>
      </c>
      <c r="P119" s="1619">
        <f>RKA!P71</f>
        <v>6400000</v>
      </c>
      <c r="Q119" s="1619">
        <f>RKA!Q71</f>
        <v>6400000</v>
      </c>
      <c r="R119" s="1619">
        <f>RKA!R71</f>
        <v>6400000</v>
      </c>
      <c r="S119" s="1619">
        <f>RKA!S71</f>
        <v>6400000</v>
      </c>
      <c r="T119" s="1619">
        <f>RKA!T71</f>
        <v>6400000</v>
      </c>
      <c r="U119" s="1619">
        <f>RKA!U71</f>
        <v>6400000</v>
      </c>
      <c r="V119" s="1619">
        <f>RKA!V71</f>
        <v>6400000</v>
      </c>
      <c r="W119" s="1619">
        <f t="shared" si="24"/>
        <v>76800000</v>
      </c>
      <c r="Y119" s="1578">
        <f t="shared" si="25"/>
        <v>0</v>
      </c>
    </row>
    <row r="120" spans="1:25">
      <c r="A120" s="1676">
        <f>IF('Pnj APBDES'!A129="","",'Pnj APBDES'!A129)</f>
        <v>1</v>
      </c>
      <c r="B120" s="1677">
        <f>IF('Pnj APBDES'!B129="","",'Pnj APBDES'!B129)</f>
        <v>1</v>
      </c>
      <c r="C120" s="1677" t="str">
        <f>IF('Pnj APBDES'!C129="","",'Pnj APBDES'!C129)</f>
        <v>07</v>
      </c>
      <c r="D120" s="1676">
        <f>IF('Pnj APBDES'!D129="","",'Pnj APBDES'!D129)</f>
        <v>5</v>
      </c>
      <c r="E120" s="1676">
        <f>IF('Pnj APBDES'!E129="","",'Pnj APBDES'!E129)</f>
        <v>2</v>
      </c>
      <c r="F120" s="1677">
        <f>IF('Pnj APBDES'!F129="","",'Pnj APBDES'!F129)</f>
        <v>1</v>
      </c>
      <c r="G120" s="1677">
        <f>IF('Pnj APBDES'!G129="","",'Pnj APBDES'!G129)</f>
        <v>5</v>
      </c>
      <c r="H120" s="1678" t="str">
        <f>IF('Pnj APBDES'!H129="","",'Pnj APBDES'!H129)</f>
        <v>Belanja Insentif</v>
      </c>
      <c r="I120" s="1679">
        <f>'Pnj APBDES'!K129</f>
        <v>76800000</v>
      </c>
      <c r="J120" s="1650" t="str">
        <f>IF('Pnj APBDES'!N129="","",'Pnj APBDES'!N129)</f>
        <v>ADD</v>
      </c>
      <c r="K120" s="1619">
        <f>RKA!K72</f>
        <v>6400000</v>
      </c>
      <c r="L120" s="1619">
        <f>RKA!L72</f>
        <v>6400000</v>
      </c>
      <c r="M120" s="1619">
        <f>RKA!M72</f>
        <v>6400000</v>
      </c>
      <c r="N120" s="1619">
        <f>RKA!N72</f>
        <v>6400000</v>
      </c>
      <c r="O120" s="1619">
        <f>RKA!O72</f>
        <v>6400000</v>
      </c>
      <c r="P120" s="1619">
        <f>RKA!P72</f>
        <v>6400000</v>
      </c>
      <c r="Q120" s="1619">
        <f>RKA!Q72</f>
        <v>6400000</v>
      </c>
      <c r="R120" s="1619">
        <f>RKA!R72</f>
        <v>6400000</v>
      </c>
      <c r="S120" s="1619">
        <f>RKA!S72</f>
        <v>6400000</v>
      </c>
      <c r="T120" s="1619">
        <f>RKA!T72</f>
        <v>6400000</v>
      </c>
      <c r="U120" s="1619">
        <f>RKA!U72</f>
        <v>6400000</v>
      </c>
      <c r="V120" s="1619">
        <f>RKA!V72</f>
        <v>6400000</v>
      </c>
      <c r="W120" s="1619">
        <f t="shared" si="24"/>
        <v>76800000</v>
      </c>
      <c r="Y120" s="1578">
        <f t="shared" si="25"/>
        <v>0</v>
      </c>
    </row>
    <row r="121" spans="1:25">
      <c r="A121" s="1672">
        <f>IF('Pnj APBDES'!A130="","",'Pnj APBDES'!A130)</f>
        <v>1</v>
      </c>
      <c r="B121" s="1673">
        <f>IF('Pnj APBDES'!B130="","",'Pnj APBDES'!B130)</f>
        <v>2</v>
      </c>
      <c r="C121" s="1673" t="str">
        <f>IF('Pnj APBDES'!C130="","",'Pnj APBDES'!C130)</f>
        <v/>
      </c>
      <c r="D121" s="1676" t="str">
        <f>IF('Pnj APBDES'!D130="","",'Pnj APBDES'!D130)</f>
        <v/>
      </c>
      <c r="E121" s="1672" t="str">
        <f>IF('Pnj APBDES'!E130="","",'Pnj APBDES'!E130)</f>
        <v/>
      </c>
      <c r="F121" s="1673" t="str">
        <f>IF('Pnj APBDES'!F130="","",'Pnj APBDES'!F130)</f>
        <v/>
      </c>
      <c r="G121" s="1673" t="str">
        <f>IF('Pnj APBDES'!G130="","",'Pnj APBDES'!G130)</f>
        <v/>
      </c>
      <c r="H121" s="1674" t="str">
        <f>IF('Pnj APBDES'!H130="","",'Pnj APBDES'!H130)</f>
        <v>Sarana dan Prasarana Pemerintahan Desa</v>
      </c>
      <c r="I121" s="1675">
        <f>'Pnj APBDES'!K130</f>
        <v>7005000</v>
      </c>
      <c r="J121" s="1650" t="str">
        <f>IF('Pnj APBDES'!N130="","",'Pnj APBDES'!N130)</f>
        <v/>
      </c>
      <c r="K121" s="1619">
        <f>RKA!K73</f>
        <v>0</v>
      </c>
      <c r="L121" s="1619">
        <f>RKA!L73</f>
        <v>0</v>
      </c>
      <c r="M121" s="1619">
        <f>RKA!M73</f>
        <v>0</v>
      </c>
      <c r="N121" s="1619">
        <f>RKA!N73</f>
        <v>0</v>
      </c>
      <c r="O121" s="1619">
        <f>RKA!O73</f>
        <v>0</v>
      </c>
      <c r="P121" s="1619">
        <f>RKA!P73</f>
        <v>18000000</v>
      </c>
      <c r="Q121" s="1619">
        <f>RKA!Q73</f>
        <v>0</v>
      </c>
      <c r="R121" s="1619">
        <f>RKA!R73</f>
        <v>0</v>
      </c>
      <c r="S121" s="1619">
        <f>RKA!S73</f>
        <v>2500000</v>
      </c>
      <c r="T121" s="1619">
        <f>RKA!T73</f>
        <v>0</v>
      </c>
      <c r="U121" s="1619">
        <f>RKA!U73</f>
        <v>0</v>
      </c>
      <c r="V121" s="1619">
        <f>RKA!V73</f>
        <v>0</v>
      </c>
      <c r="W121" s="1619">
        <f t="shared" si="24"/>
        <v>20500000</v>
      </c>
      <c r="Y121" s="1578">
        <f t="shared" si="25"/>
        <v>-13495000</v>
      </c>
    </row>
    <row r="122" spans="1:25">
      <c r="A122" s="1676">
        <f>IF('Pnj APBDES'!A131="","",'Pnj APBDES'!A131)</f>
        <v>1</v>
      </c>
      <c r="B122" s="1677">
        <f>IF('Pnj APBDES'!B131="","",'Pnj APBDES'!B131)</f>
        <v>2</v>
      </c>
      <c r="C122" s="1677" t="str">
        <f>IF('Pnj APBDES'!C131="","",'Pnj APBDES'!C131)</f>
        <v>01</v>
      </c>
      <c r="D122" s="1676">
        <f>IF('Pnj APBDES'!D131="","",'Pnj APBDES'!D131)</f>
        <v>5</v>
      </c>
      <c r="E122" s="1676" t="str">
        <f>IF('Pnj APBDES'!E131="","",'Pnj APBDES'!E131)</f>
        <v/>
      </c>
      <c r="F122" s="1677" t="str">
        <f>IF('Pnj APBDES'!F131="","",'Pnj APBDES'!F131)</f>
        <v/>
      </c>
      <c r="G122" s="1677" t="str">
        <f>IF('Pnj APBDES'!G131="","",'Pnj APBDES'!G131)</f>
        <v/>
      </c>
      <c r="H122" s="1678" t="str">
        <f>IF('Pnj APBDES'!H131="","",'Pnj APBDES'!H131)</f>
        <v>Penyediaan sarana (aset tetap) perkantoran/pemerintahan</v>
      </c>
      <c r="I122" s="1679">
        <f>'Pnj APBDES'!K131</f>
        <v>0</v>
      </c>
      <c r="J122" s="1650" t="str">
        <f>IF('Pnj APBDES'!N131="","",'Pnj APBDES'!N131)</f>
        <v/>
      </c>
      <c r="K122" s="1619">
        <f>RKA!K74</f>
        <v>0</v>
      </c>
      <c r="L122" s="1619">
        <f>RKA!L74</f>
        <v>0</v>
      </c>
      <c r="M122" s="1619">
        <f>RKA!M74</f>
        <v>0</v>
      </c>
      <c r="N122" s="1619">
        <f>RKA!N74</f>
        <v>0</v>
      </c>
      <c r="O122" s="1619">
        <f>RKA!O74</f>
        <v>0</v>
      </c>
      <c r="P122" s="1619">
        <f>RKA!P74</f>
        <v>18000000</v>
      </c>
      <c r="Q122" s="1619">
        <f>RKA!Q74</f>
        <v>0</v>
      </c>
      <c r="R122" s="1619">
        <f>RKA!R74</f>
        <v>0</v>
      </c>
      <c r="S122" s="1619">
        <f>RKA!S74</f>
        <v>2500000</v>
      </c>
      <c r="T122" s="1619">
        <f>RKA!T74</f>
        <v>0</v>
      </c>
      <c r="U122" s="1619">
        <f>RKA!U74</f>
        <v>0</v>
      </c>
      <c r="V122" s="1619">
        <f>RKA!V74</f>
        <v>0</v>
      </c>
      <c r="W122" s="1619">
        <f t="shared" si="24"/>
        <v>20500000</v>
      </c>
      <c r="Y122" s="1578">
        <f t="shared" si="25"/>
        <v>-20500000</v>
      </c>
    </row>
    <row r="123" spans="1:25">
      <c r="A123" s="1676">
        <f>IF('Pnj APBDES'!A132="","",'Pnj APBDES'!A132)</f>
        <v>1</v>
      </c>
      <c r="B123" s="1677">
        <f>IF('Pnj APBDES'!B132="","",'Pnj APBDES'!B132)</f>
        <v>2</v>
      </c>
      <c r="C123" s="1677" t="str">
        <f>IF('Pnj APBDES'!C132="","",'Pnj APBDES'!C132)</f>
        <v>01</v>
      </c>
      <c r="D123" s="1676">
        <f>IF('Pnj APBDES'!D132="","",'Pnj APBDES'!D132)</f>
        <v>5</v>
      </c>
      <c r="E123" s="1676">
        <f>IF('Pnj APBDES'!E132="","",'Pnj APBDES'!E132)</f>
        <v>3</v>
      </c>
      <c r="F123" s="1676" t="str">
        <f>IF('Pnj APBDES'!F132="","",'Pnj APBDES'!F132)</f>
        <v/>
      </c>
      <c r="G123" s="1677" t="str">
        <f>IF('Pnj APBDES'!G132="","",'Pnj APBDES'!G132)</f>
        <v/>
      </c>
      <c r="H123" s="1678" t="str">
        <f>IF('Pnj APBDES'!H132="","",'Pnj APBDES'!H132)</f>
        <v>Belanja Modal</v>
      </c>
      <c r="I123" s="1679">
        <f>'Pnj APBDES'!K132</f>
        <v>0</v>
      </c>
      <c r="J123" s="1650" t="str">
        <f>IF('Pnj APBDES'!N132="","",'Pnj APBDES'!N132)</f>
        <v/>
      </c>
      <c r="K123" s="1619">
        <f>RKA!K75</f>
        <v>0</v>
      </c>
      <c r="L123" s="1619">
        <f>RKA!L75</f>
        <v>0</v>
      </c>
      <c r="M123" s="1619">
        <f>RKA!M75</f>
        <v>0</v>
      </c>
      <c r="N123" s="1619">
        <f>RKA!N75</f>
        <v>0</v>
      </c>
      <c r="O123" s="1619">
        <f>RKA!O75</f>
        <v>0</v>
      </c>
      <c r="P123" s="1619">
        <f>RKA!P75</f>
        <v>18000000</v>
      </c>
      <c r="Q123" s="1619">
        <f>RKA!Q75</f>
        <v>0</v>
      </c>
      <c r="R123" s="1619">
        <f>RKA!R75</f>
        <v>0</v>
      </c>
      <c r="S123" s="1619">
        <f>RKA!S75</f>
        <v>2500000</v>
      </c>
      <c r="T123" s="1619">
        <f>RKA!T75</f>
        <v>0</v>
      </c>
      <c r="U123" s="1619">
        <f>RKA!U75</f>
        <v>0</v>
      </c>
      <c r="V123" s="1619">
        <f>RKA!V75</f>
        <v>0</v>
      </c>
      <c r="W123" s="1619">
        <f t="shared" si="24"/>
        <v>20500000</v>
      </c>
      <c r="Y123" s="1578">
        <f t="shared" si="25"/>
        <v>-20500000</v>
      </c>
    </row>
    <row r="124" spans="1:25">
      <c r="A124" s="1676">
        <f>IF('Pnj APBDES'!A133="","",'Pnj APBDES'!A133)</f>
        <v>1</v>
      </c>
      <c r="B124" s="1677">
        <f>IF('Pnj APBDES'!B133="","",'Pnj APBDES'!B133)</f>
        <v>2</v>
      </c>
      <c r="C124" s="1677" t="str">
        <f>IF('Pnj APBDES'!C133="","",'Pnj APBDES'!C133)</f>
        <v>01</v>
      </c>
      <c r="D124" s="1676">
        <f>IF('Pnj APBDES'!D133="","",'Pnj APBDES'!D133)</f>
        <v>5</v>
      </c>
      <c r="E124" s="1676">
        <f>IF('Pnj APBDES'!E133="","",'Pnj APBDES'!E133)</f>
        <v>3</v>
      </c>
      <c r="F124" s="1676">
        <f>IF('Pnj APBDES'!F133="","",'Pnj APBDES'!F133)</f>
        <v>2</v>
      </c>
      <c r="G124" s="1676" t="str">
        <f>IF('Pnj APBDES'!G133="","",'Pnj APBDES'!G133)</f>
        <v/>
      </c>
      <c r="H124" s="1678" t="str">
        <f>IF('Pnj APBDES'!H133="","",'Pnj APBDES'!H133)</f>
        <v>Belanja Modal peralatan mesin dan lainya</v>
      </c>
      <c r="I124" s="1679">
        <f>'Pnj APBDES'!K133</f>
        <v>0</v>
      </c>
      <c r="J124" s="1650" t="str">
        <f>IF('Pnj APBDES'!N133="","",'Pnj APBDES'!N133)</f>
        <v/>
      </c>
      <c r="K124" s="1619">
        <f>RKA!K76</f>
        <v>0</v>
      </c>
      <c r="L124" s="1619">
        <f>RKA!L76</f>
        <v>0</v>
      </c>
      <c r="M124" s="1619">
        <f>RKA!M76</f>
        <v>0</v>
      </c>
      <c r="N124" s="1619">
        <f>RKA!N76</f>
        <v>0</v>
      </c>
      <c r="O124" s="1619">
        <f>RKA!O76</f>
        <v>0</v>
      </c>
      <c r="P124" s="1619">
        <f>RKA!P76</f>
        <v>18000000</v>
      </c>
      <c r="Q124" s="1619">
        <f>RKA!Q76</f>
        <v>0</v>
      </c>
      <c r="R124" s="1619">
        <f>RKA!R76</f>
        <v>0</v>
      </c>
      <c r="S124" s="1619">
        <f>RKA!S76</f>
        <v>2500000</v>
      </c>
      <c r="T124" s="1619">
        <f>RKA!T76</f>
        <v>0</v>
      </c>
      <c r="U124" s="1619">
        <f>RKA!U76</f>
        <v>0</v>
      </c>
      <c r="V124" s="1619">
        <f>RKA!V76</f>
        <v>0</v>
      </c>
      <c r="W124" s="1619">
        <f t="shared" si="24"/>
        <v>20500000</v>
      </c>
      <c r="Y124" s="1578">
        <f t="shared" si="25"/>
        <v>-20500000</v>
      </c>
    </row>
    <row r="125" spans="1:25">
      <c r="A125" s="1676">
        <f>IF('Pnj APBDES'!A134="","",'Pnj APBDES'!A134)</f>
        <v>1</v>
      </c>
      <c r="B125" s="1677">
        <f>IF('Pnj APBDES'!B134="","",'Pnj APBDES'!B134)</f>
        <v>2</v>
      </c>
      <c r="C125" s="1677" t="str">
        <f>IF('Pnj APBDES'!C134="","",'Pnj APBDES'!C134)</f>
        <v>01</v>
      </c>
      <c r="D125" s="1676">
        <f>IF('Pnj APBDES'!D134="","",'Pnj APBDES'!D134)</f>
        <v>5</v>
      </c>
      <c r="E125" s="1676">
        <f>IF('Pnj APBDES'!E134="","",'Pnj APBDES'!E134)</f>
        <v>3</v>
      </c>
      <c r="F125" s="1676">
        <f>IF('Pnj APBDES'!F134="","",'Pnj APBDES'!F134)</f>
        <v>2</v>
      </c>
      <c r="G125" s="1676">
        <f>IF('Pnj APBDES'!G134="","",'Pnj APBDES'!G134)</f>
        <v>3</v>
      </c>
      <c r="H125" s="1678" t="str">
        <f>IF('Pnj APBDES'!H134="","",'Pnj APBDES'!H134)</f>
        <v>Belanja Modal Peralatan Mesin Dan Lainya</v>
      </c>
      <c r="I125" s="1679">
        <f>'Pnj APBDES'!K134</f>
        <v>0</v>
      </c>
      <c r="J125" s="1650" t="str">
        <f>IF('Pnj APBDES'!N134="","",'Pnj APBDES'!N134)</f>
        <v>ADD</v>
      </c>
      <c r="K125" s="1619">
        <f>RKA!K77</f>
        <v>0</v>
      </c>
      <c r="L125" s="1619">
        <f>RKA!L77</f>
        <v>0</v>
      </c>
      <c r="M125" s="1619">
        <f>RKA!M77</f>
        <v>0</v>
      </c>
      <c r="N125" s="1619">
        <f>RKA!N77</f>
        <v>0</v>
      </c>
      <c r="O125" s="1619">
        <f>RKA!O77</f>
        <v>0</v>
      </c>
      <c r="P125" s="1619">
        <f>RKA!P77</f>
        <v>18000000</v>
      </c>
      <c r="Q125" s="1619">
        <f>RKA!Q77</f>
        <v>0</v>
      </c>
      <c r="R125" s="1619">
        <f>RKA!R77</f>
        <v>0</v>
      </c>
      <c r="S125" s="1619">
        <f>RKA!S77</f>
        <v>2500000</v>
      </c>
      <c r="T125" s="1619">
        <f>RKA!T77</f>
        <v>0</v>
      </c>
      <c r="U125" s="1619">
        <f>RKA!U77</f>
        <v>0</v>
      </c>
      <c r="V125" s="1619">
        <f>RKA!V77</f>
        <v>0</v>
      </c>
      <c r="W125" s="1619">
        <f t="shared" si="24"/>
        <v>20500000</v>
      </c>
      <c r="Y125" s="1578">
        <f t="shared" si="25"/>
        <v>-20500000</v>
      </c>
    </row>
    <row r="126" spans="1:25">
      <c r="A126" s="1676" t="e">
        <f>IF('Pnj APBDES'!#REF!="","",'Pnj APBDES'!#REF!)</f>
        <v>#REF!</v>
      </c>
      <c r="B126" s="1677" t="e">
        <f>IF('Pnj APBDES'!#REF!="","",'Pnj APBDES'!#REF!)</f>
        <v>#REF!</v>
      </c>
      <c r="C126" s="1677" t="e">
        <f>IF('Pnj APBDES'!#REF!="","",'Pnj APBDES'!#REF!)</f>
        <v>#REF!</v>
      </c>
      <c r="D126" s="1676" t="e">
        <f>IF('Pnj APBDES'!#REF!="","",'Pnj APBDES'!#REF!)</f>
        <v>#REF!</v>
      </c>
      <c r="E126" s="1676" t="e">
        <f>IF('Pnj APBDES'!#REF!="","",'Pnj APBDES'!#REF!)</f>
        <v>#REF!</v>
      </c>
      <c r="F126" s="1676" t="e">
        <f>IF('Pnj APBDES'!#REF!="","",'Pnj APBDES'!#REF!)</f>
        <v>#REF!</v>
      </c>
      <c r="G126" s="1676" t="e">
        <f>IF('Pnj APBDES'!#REF!="","",'Pnj APBDES'!#REF!)</f>
        <v>#REF!</v>
      </c>
      <c r="H126" s="1678" t="e">
        <f>IF('Pnj APBDES'!#REF!="","",'Pnj APBDES'!#REF!)</f>
        <v>#REF!</v>
      </c>
      <c r="I126" s="1679" t="e">
        <f>'Pnj APBDES'!#REF!</f>
        <v>#REF!</v>
      </c>
      <c r="J126" s="1650" t="e">
        <f>IF('Pnj APBDES'!#REF!="","",'Pnj APBDES'!#REF!)</f>
        <v>#REF!</v>
      </c>
      <c r="K126" s="1619">
        <f>RKA!K78</f>
        <v>0</v>
      </c>
      <c r="L126" s="1619">
        <f>RKA!L78</f>
        <v>0</v>
      </c>
      <c r="M126" s="1619">
        <f>RKA!M78</f>
        <v>0</v>
      </c>
      <c r="N126" s="1619">
        <f>RKA!N78</f>
        <v>0</v>
      </c>
      <c r="O126" s="1619">
        <f>RKA!O78</f>
        <v>0</v>
      </c>
      <c r="P126" s="1619">
        <f>RKA!P78</f>
        <v>0</v>
      </c>
      <c r="Q126" s="1619">
        <f>RKA!Q78</f>
        <v>0</v>
      </c>
      <c r="R126" s="1619">
        <f>RKA!R78</f>
        <v>0</v>
      </c>
      <c r="S126" s="1619">
        <f>RKA!S78</f>
        <v>0</v>
      </c>
      <c r="T126" s="1619">
        <f>RKA!T78</f>
        <v>0</v>
      </c>
      <c r="U126" s="1619">
        <f>RKA!U78</f>
        <v>0</v>
      </c>
      <c r="V126" s="1619">
        <f>RKA!V78</f>
        <v>0</v>
      </c>
      <c r="W126" s="1619">
        <f t="shared" si="24"/>
        <v>0</v>
      </c>
      <c r="Y126" s="1578" t="e">
        <f t="shared" si="25"/>
        <v>#REF!</v>
      </c>
    </row>
    <row r="127" spans="1:25">
      <c r="A127" s="1672" t="e">
        <f>IF('Pnj APBDES'!#REF!="","",'Pnj APBDES'!#REF!)</f>
        <v>#REF!</v>
      </c>
      <c r="B127" s="1673" t="e">
        <f>IF('Pnj APBDES'!#REF!="","",'Pnj APBDES'!#REF!)</f>
        <v>#REF!</v>
      </c>
      <c r="C127" s="1673" t="e">
        <f>IF('Pnj APBDES'!#REF!="","",'Pnj APBDES'!#REF!)</f>
        <v>#REF!</v>
      </c>
      <c r="D127" s="1676" t="e">
        <f>IF('Pnj APBDES'!#REF!="","",'Pnj APBDES'!#REF!)</f>
        <v>#REF!</v>
      </c>
      <c r="E127" s="1672" t="e">
        <f>IF('Pnj APBDES'!#REF!="","",'Pnj APBDES'!#REF!)</f>
        <v>#REF!</v>
      </c>
      <c r="F127" s="1673" t="e">
        <f>IF('Pnj APBDES'!#REF!="","",'Pnj APBDES'!#REF!)</f>
        <v>#REF!</v>
      </c>
      <c r="G127" s="1673" t="e">
        <f>IF('Pnj APBDES'!#REF!="","",'Pnj APBDES'!#REF!)</f>
        <v>#REF!</v>
      </c>
      <c r="H127" s="1674" t="e">
        <f>IF('Pnj APBDES'!#REF!="","",'Pnj APBDES'!#REF!)</f>
        <v>#REF!</v>
      </c>
      <c r="I127" s="1675" t="e">
        <f>'Pnj APBDES'!#REF!</f>
        <v>#REF!</v>
      </c>
      <c r="J127" s="1650" t="e">
        <f>IF('Pnj APBDES'!#REF!="","",'Pnj APBDES'!#REF!)</f>
        <v>#REF!</v>
      </c>
      <c r="K127" s="1619">
        <f>RKA!K79</f>
        <v>0</v>
      </c>
      <c r="L127" s="1619">
        <f>RKA!L79</f>
        <v>0</v>
      </c>
      <c r="M127" s="1619">
        <f>RKA!M79</f>
        <v>0</v>
      </c>
      <c r="N127" s="1619">
        <f>RKA!N79</f>
        <v>0</v>
      </c>
      <c r="O127" s="1619">
        <f>RKA!O79</f>
        <v>0</v>
      </c>
      <c r="P127" s="1619">
        <f>RKA!P79</f>
        <v>0</v>
      </c>
      <c r="Q127" s="1619">
        <f>RKA!Q79</f>
        <v>0</v>
      </c>
      <c r="R127" s="1619">
        <f>RKA!R79</f>
        <v>0</v>
      </c>
      <c r="S127" s="1619">
        <f>RKA!S79</f>
        <v>0</v>
      </c>
      <c r="T127" s="1619">
        <f>RKA!T79</f>
        <v>1725000</v>
      </c>
      <c r="U127" s="1619">
        <f>RKA!U79</f>
        <v>0</v>
      </c>
      <c r="V127" s="1619">
        <f>RKA!V79</f>
        <v>0</v>
      </c>
      <c r="W127" s="1619">
        <f t="shared" si="24"/>
        <v>1725000</v>
      </c>
      <c r="Y127" s="1578" t="e">
        <f t="shared" si="25"/>
        <v>#REF!</v>
      </c>
    </row>
    <row r="128" spans="1:25">
      <c r="A128" s="1676" t="e">
        <f>IF('Pnj APBDES'!#REF!="","",'Pnj APBDES'!#REF!)</f>
        <v>#REF!</v>
      </c>
      <c r="B128" s="1677" t="e">
        <f>IF('Pnj APBDES'!#REF!="","",'Pnj APBDES'!#REF!)</f>
        <v>#REF!</v>
      </c>
      <c r="C128" s="1677" t="e">
        <f>IF('Pnj APBDES'!#REF!="","",'Pnj APBDES'!#REF!)</f>
        <v>#REF!</v>
      </c>
      <c r="D128" s="1676" t="e">
        <f>IF('Pnj APBDES'!#REF!="","",'Pnj APBDES'!#REF!)</f>
        <v>#REF!</v>
      </c>
      <c r="E128" s="1676" t="e">
        <f>IF('Pnj APBDES'!#REF!="","",'Pnj APBDES'!#REF!)</f>
        <v>#REF!</v>
      </c>
      <c r="F128" s="1677" t="e">
        <f>IF('Pnj APBDES'!#REF!="","",'Pnj APBDES'!#REF!)</f>
        <v>#REF!</v>
      </c>
      <c r="G128" s="1677" t="e">
        <f>IF('Pnj APBDES'!#REF!="","",'Pnj APBDES'!#REF!)</f>
        <v>#REF!</v>
      </c>
      <c r="H128" s="1678" t="e">
        <f>IF('Pnj APBDES'!#REF!="","",'Pnj APBDES'!#REF!)</f>
        <v>#REF!</v>
      </c>
      <c r="I128" s="1679" t="e">
        <f>'Pnj APBDES'!#REF!</f>
        <v>#REF!</v>
      </c>
      <c r="J128" s="1650" t="e">
        <f>IF('Pnj APBDES'!#REF!="","",'Pnj APBDES'!#REF!)</f>
        <v>#REF!</v>
      </c>
      <c r="K128" s="1619">
        <f>RKA!K80</f>
        <v>0</v>
      </c>
      <c r="L128" s="1619">
        <f>RKA!L80</f>
        <v>0</v>
      </c>
      <c r="M128" s="1619">
        <f>RKA!M80</f>
        <v>0</v>
      </c>
      <c r="N128" s="1619">
        <f>RKA!N80</f>
        <v>0</v>
      </c>
      <c r="O128" s="1619">
        <f>RKA!O80</f>
        <v>0</v>
      </c>
      <c r="P128" s="1619">
        <f>RKA!P80</f>
        <v>0</v>
      </c>
      <c r="Q128" s="1619">
        <f>RKA!Q80</f>
        <v>0</v>
      </c>
      <c r="R128" s="1619">
        <f>RKA!R80</f>
        <v>0</v>
      </c>
      <c r="S128" s="1619">
        <f>RKA!S80</f>
        <v>0</v>
      </c>
      <c r="T128" s="1619">
        <f>RKA!T80</f>
        <v>1725000</v>
      </c>
      <c r="U128" s="1619">
        <f>RKA!U80</f>
        <v>0</v>
      </c>
      <c r="V128" s="1619">
        <f>RKA!V80</f>
        <v>0</v>
      </c>
      <c r="W128" s="1619">
        <f t="shared" si="24"/>
        <v>1725000</v>
      </c>
      <c r="Y128" s="1578" t="e">
        <f t="shared" si="25"/>
        <v>#REF!</v>
      </c>
    </row>
    <row r="129" spans="1:25">
      <c r="A129" s="1676" t="e">
        <f>IF('Pnj APBDES'!#REF!="","",'Pnj APBDES'!#REF!)</f>
        <v>#REF!</v>
      </c>
      <c r="B129" s="1677" t="e">
        <f>IF('Pnj APBDES'!#REF!="","",'Pnj APBDES'!#REF!)</f>
        <v>#REF!</v>
      </c>
      <c r="C129" s="1677" t="e">
        <f>IF('Pnj APBDES'!#REF!="","",'Pnj APBDES'!#REF!)</f>
        <v>#REF!</v>
      </c>
      <c r="D129" s="1676" t="e">
        <f>IF('Pnj APBDES'!#REF!="","",'Pnj APBDES'!#REF!)</f>
        <v>#REF!</v>
      </c>
      <c r="E129" s="1676" t="e">
        <f>IF('Pnj APBDES'!#REF!="","",'Pnj APBDES'!#REF!)</f>
        <v>#REF!</v>
      </c>
      <c r="F129" s="1677" t="e">
        <f>IF('Pnj APBDES'!#REF!="","",'Pnj APBDES'!#REF!)</f>
        <v>#REF!</v>
      </c>
      <c r="G129" s="1677" t="e">
        <f>IF('Pnj APBDES'!#REF!="","",'Pnj APBDES'!#REF!)</f>
        <v>#REF!</v>
      </c>
      <c r="H129" s="1678" t="e">
        <f>IF('Pnj APBDES'!#REF!="","",'Pnj APBDES'!#REF!)</f>
        <v>#REF!</v>
      </c>
      <c r="I129" s="1679" t="e">
        <f>'Pnj APBDES'!#REF!</f>
        <v>#REF!</v>
      </c>
      <c r="J129" s="1650" t="e">
        <f>IF('Pnj APBDES'!#REF!="","",'Pnj APBDES'!#REF!)</f>
        <v>#REF!</v>
      </c>
      <c r="K129" s="1619">
        <f>RKA!K81</f>
        <v>0</v>
      </c>
      <c r="L129" s="1619">
        <f>RKA!L81</f>
        <v>0</v>
      </c>
      <c r="M129" s="1619">
        <f>RKA!M81</f>
        <v>0</v>
      </c>
      <c r="N129" s="1619">
        <f>RKA!N81</f>
        <v>0</v>
      </c>
      <c r="O129" s="1619">
        <f>RKA!O81</f>
        <v>0</v>
      </c>
      <c r="P129" s="1619">
        <f>RKA!P81</f>
        <v>0</v>
      </c>
      <c r="Q129" s="1619">
        <f>RKA!Q81</f>
        <v>0</v>
      </c>
      <c r="R129" s="1619">
        <f>RKA!R81</f>
        <v>0</v>
      </c>
      <c r="S129" s="1619">
        <f>RKA!S81</f>
        <v>0</v>
      </c>
      <c r="T129" s="1619">
        <f>RKA!T81</f>
        <v>1725000</v>
      </c>
      <c r="U129" s="1619">
        <f>RKA!U81</f>
        <v>0</v>
      </c>
      <c r="V129" s="1619">
        <f>RKA!V81</f>
        <v>0</v>
      </c>
      <c r="W129" s="1619">
        <f t="shared" ref="W129:W192" si="26">SUM(K129:V129)</f>
        <v>1725000</v>
      </c>
      <c r="Y129" s="1578" t="e">
        <f t="shared" si="25"/>
        <v>#REF!</v>
      </c>
    </row>
    <row r="130" spans="1:25">
      <c r="A130" s="1676" t="e">
        <f>IF('Pnj APBDES'!#REF!="","",'Pnj APBDES'!#REF!)</f>
        <v>#REF!</v>
      </c>
      <c r="B130" s="1677" t="e">
        <f>IF('Pnj APBDES'!#REF!="","",'Pnj APBDES'!#REF!)</f>
        <v>#REF!</v>
      </c>
      <c r="C130" s="1677" t="e">
        <f>IF('Pnj APBDES'!#REF!="","",'Pnj APBDES'!#REF!)</f>
        <v>#REF!</v>
      </c>
      <c r="D130" s="1676" t="e">
        <f>IF('Pnj APBDES'!#REF!="","",'Pnj APBDES'!#REF!)</f>
        <v>#REF!</v>
      </c>
      <c r="E130" s="1677" t="e">
        <f>IF('Pnj APBDES'!#REF!="","",'Pnj APBDES'!#REF!)</f>
        <v>#REF!</v>
      </c>
      <c r="F130" s="1677" t="e">
        <f>IF('Pnj APBDES'!#REF!="","",'Pnj APBDES'!#REF!)</f>
        <v>#REF!</v>
      </c>
      <c r="G130" s="1677" t="e">
        <f>IF('Pnj APBDES'!#REF!="","",'Pnj APBDES'!#REF!)</f>
        <v>#REF!</v>
      </c>
      <c r="H130" s="1678" t="e">
        <f>IF('Pnj APBDES'!#REF!="","",'Pnj APBDES'!#REF!)</f>
        <v>#REF!</v>
      </c>
      <c r="I130" s="1679" t="e">
        <f>'Pnj APBDES'!#REF!</f>
        <v>#REF!</v>
      </c>
      <c r="J130" s="1650" t="e">
        <f>IF('Pnj APBDES'!#REF!="","",'Pnj APBDES'!#REF!)</f>
        <v>#REF!</v>
      </c>
      <c r="K130" s="1619">
        <f>RKA!K82</f>
        <v>0</v>
      </c>
      <c r="L130" s="1619">
        <f>RKA!L82</f>
        <v>0</v>
      </c>
      <c r="M130" s="1619">
        <f>RKA!M82</f>
        <v>0</v>
      </c>
      <c r="N130" s="1619">
        <f>RKA!N82</f>
        <v>0</v>
      </c>
      <c r="O130" s="1619">
        <f>RKA!O82</f>
        <v>0</v>
      </c>
      <c r="P130" s="1619">
        <f>RKA!P82</f>
        <v>0</v>
      </c>
      <c r="Q130" s="1619">
        <f>RKA!Q82</f>
        <v>0</v>
      </c>
      <c r="R130" s="1619">
        <f>RKA!R82</f>
        <v>0</v>
      </c>
      <c r="S130" s="1619">
        <f>RKA!S82</f>
        <v>0</v>
      </c>
      <c r="T130" s="1619">
        <f>RKA!T82</f>
        <v>1725000</v>
      </c>
      <c r="U130" s="1619">
        <f>RKA!U82</f>
        <v>0</v>
      </c>
      <c r="V130" s="1619">
        <f>RKA!V82</f>
        <v>0</v>
      </c>
      <c r="W130" s="1619">
        <f t="shared" si="26"/>
        <v>1725000</v>
      </c>
      <c r="Y130" s="1578" t="e">
        <f t="shared" si="25"/>
        <v>#REF!</v>
      </c>
    </row>
    <row r="131" spans="1:25">
      <c r="A131" s="1676" t="e">
        <f>IF('Pnj APBDES'!#REF!="","",'Pnj APBDES'!#REF!)</f>
        <v>#REF!</v>
      </c>
      <c r="B131" s="1677" t="e">
        <f>IF('Pnj APBDES'!#REF!="","",'Pnj APBDES'!#REF!)</f>
        <v>#REF!</v>
      </c>
      <c r="C131" s="1677" t="e">
        <f>IF('Pnj APBDES'!#REF!="","",'Pnj APBDES'!#REF!)</f>
        <v>#REF!</v>
      </c>
      <c r="D131" s="1676" t="e">
        <f>IF('Pnj APBDES'!#REF!="","",'Pnj APBDES'!#REF!)</f>
        <v>#REF!</v>
      </c>
      <c r="E131" s="1677" t="e">
        <f>IF('Pnj APBDES'!#REF!="","",'Pnj APBDES'!#REF!)</f>
        <v>#REF!</v>
      </c>
      <c r="F131" s="1677" t="e">
        <f>IF('Pnj APBDES'!#REF!="","",'Pnj APBDES'!#REF!)</f>
        <v>#REF!</v>
      </c>
      <c r="G131" s="1677" t="e">
        <f>IF('Pnj APBDES'!#REF!="","",'Pnj APBDES'!#REF!)</f>
        <v>#REF!</v>
      </c>
      <c r="H131" s="1678" t="e">
        <f>IF('Pnj APBDES'!#REF!="","",'Pnj APBDES'!#REF!)</f>
        <v>#REF!</v>
      </c>
      <c r="I131" s="1679" t="e">
        <f>'Pnj APBDES'!#REF!</f>
        <v>#REF!</v>
      </c>
      <c r="J131" s="1650" t="e">
        <f>IF('Pnj APBDES'!#REF!="","",'Pnj APBDES'!#REF!)</f>
        <v>#REF!</v>
      </c>
      <c r="K131" s="1619">
        <f>RKA!K83</f>
        <v>0</v>
      </c>
      <c r="L131" s="1619">
        <f>RKA!L83</f>
        <v>0</v>
      </c>
      <c r="M131" s="1619">
        <f>RKA!M83</f>
        <v>0</v>
      </c>
      <c r="N131" s="1619">
        <f>RKA!N83</f>
        <v>0</v>
      </c>
      <c r="O131" s="1619">
        <f>RKA!O83</f>
        <v>0</v>
      </c>
      <c r="P131" s="1619">
        <f>RKA!P83</f>
        <v>0</v>
      </c>
      <c r="Q131" s="1619">
        <f>RKA!Q83</f>
        <v>0</v>
      </c>
      <c r="R131" s="1619">
        <f>RKA!R83</f>
        <v>0</v>
      </c>
      <c r="S131" s="1619">
        <f>RKA!S83</f>
        <v>0</v>
      </c>
      <c r="T131" s="1619">
        <f>RKA!T83</f>
        <v>1725000</v>
      </c>
      <c r="U131" s="1619">
        <f>RKA!U83</f>
        <v>0</v>
      </c>
      <c r="V131" s="1619">
        <f>RKA!V83</f>
        <v>0</v>
      </c>
      <c r="W131" s="1619">
        <f t="shared" si="26"/>
        <v>1725000</v>
      </c>
      <c r="Y131" s="1578" t="e">
        <f t="shared" si="25"/>
        <v>#REF!</v>
      </c>
    </row>
    <row r="132" spans="1:25">
      <c r="A132" s="1682">
        <f>IF('Pnj APBDES'!A138="","",'Pnj APBDES'!A138)</f>
        <v>1</v>
      </c>
      <c r="B132" s="1683">
        <f>IF('Pnj APBDES'!B138="","",'Pnj APBDES'!B138)</f>
        <v>4</v>
      </c>
      <c r="C132" s="1683" t="str">
        <f>IF('Pnj APBDES'!C138="","",'Pnj APBDES'!C138)</f>
        <v/>
      </c>
      <c r="D132" s="1676">
        <f>IF('Pnj APBDES'!D138="","",'Pnj APBDES'!D138)</f>
        <v>5</v>
      </c>
      <c r="E132" s="1682" t="str">
        <f>IF('Pnj APBDES'!E138="","",'Pnj APBDES'!E138)</f>
        <v/>
      </c>
      <c r="F132" s="1682" t="str">
        <f>IF('Pnj APBDES'!F138="","",'Pnj APBDES'!F138)</f>
        <v/>
      </c>
      <c r="G132" s="1682" t="str">
        <f>IF('Pnj APBDES'!G138="","",'Pnj APBDES'!G138)</f>
        <v/>
      </c>
      <c r="H132" s="1684" t="str">
        <f>IF('Pnj APBDES'!H138="","",'Pnj APBDES'!H138)</f>
        <v>Tata Praja Pemerintahan, Perencanaan, Keuangan dan Pelaporan</v>
      </c>
      <c r="I132" s="1685">
        <f>'Pnj APBDES'!K138</f>
        <v>18729000</v>
      </c>
      <c r="J132" s="1650" t="str">
        <f>IF('Pnj APBDES'!N138="","",'Pnj APBDES'!N138)</f>
        <v/>
      </c>
      <c r="K132" s="1619">
        <f>RKA!K84</f>
        <v>0</v>
      </c>
      <c r="L132" s="1619">
        <f>RKA!L84</f>
        <v>0</v>
      </c>
      <c r="M132" s="1619">
        <f>RKA!M84</f>
        <v>0</v>
      </c>
      <c r="N132" s="1619" t="e">
        <f>RKA!N84</f>
        <v>#REF!</v>
      </c>
      <c r="O132" s="1619">
        <f>RKA!O84</f>
        <v>0</v>
      </c>
      <c r="P132" s="1619">
        <f>RKA!P84</f>
        <v>3170000</v>
      </c>
      <c r="Q132" s="1619">
        <f>RKA!Q84</f>
        <v>0</v>
      </c>
      <c r="R132" s="1619">
        <f>RKA!R84</f>
        <v>0</v>
      </c>
      <c r="S132" s="1619">
        <f>RKA!S84</f>
        <v>0</v>
      </c>
      <c r="T132" s="1619">
        <f>RKA!T84</f>
        <v>3330000</v>
      </c>
      <c r="U132" s="1619">
        <f>RKA!U84</f>
        <v>0</v>
      </c>
      <c r="V132" s="1619">
        <f>RKA!V84</f>
        <v>0</v>
      </c>
      <c r="W132" s="1619" t="e">
        <f t="shared" si="26"/>
        <v>#REF!</v>
      </c>
      <c r="Y132" s="1578" t="e">
        <f t="shared" si="25"/>
        <v>#REF!</v>
      </c>
    </row>
    <row r="133" spans="1:25">
      <c r="A133" s="1686">
        <f>IF('Pnj APBDES'!A139="","",'Pnj APBDES'!A139)</f>
        <v>1</v>
      </c>
      <c r="B133" s="1687">
        <f>IF('Pnj APBDES'!B139="","",'Pnj APBDES'!B139)</f>
        <v>4</v>
      </c>
      <c r="C133" s="1686" t="str">
        <f>IF('Pnj APBDES'!C139="","",'Pnj APBDES'!C139)</f>
        <v>01</v>
      </c>
      <c r="D133" s="1676">
        <f>IF('Pnj APBDES'!D139="","",'Pnj APBDES'!D139)</f>
        <v>5</v>
      </c>
      <c r="E133" s="1676" t="str">
        <f>IF('Pnj APBDES'!E139="","",'Pnj APBDES'!E139)</f>
        <v/>
      </c>
      <c r="F133" s="1676" t="str">
        <f>IF('Pnj APBDES'!F139="","",'Pnj APBDES'!F139)</f>
        <v/>
      </c>
      <c r="G133" s="1676" t="str">
        <f>IF('Pnj APBDES'!G139="","",'Pnj APBDES'!G139)</f>
        <v/>
      </c>
      <c r="H133" s="1688" t="str">
        <f>IF('Pnj APBDES'!H139="","",'Pnj APBDES'!H139)</f>
        <v>Penyelenggaraan Musyawarah Perencanaan Desa</v>
      </c>
      <c r="I133" s="1679">
        <f>'Pnj APBDES'!K139</f>
        <v>6500000</v>
      </c>
      <c r="J133" s="1650" t="str">
        <f>IF('Pnj APBDES'!N139="","",'Pnj APBDES'!N139)</f>
        <v/>
      </c>
      <c r="K133" s="1619">
        <f>RKA!K85</f>
        <v>0</v>
      </c>
      <c r="L133" s="1619">
        <f>RKA!L85</f>
        <v>0</v>
      </c>
      <c r="M133" s="1619">
        <f>RKA!M85</f>
        <v>0</v>
      </c>
      <c r="N133" s="1619">
        <f>RKA!N85</f>
        <v>0</v>
      </c>
      <c r="O133" s="1619">
        <f>RKA!O85</f>
        <v>0</v>
      </c>
      <c r="P133" s="1619">
        <f>RKA!P85</f>
        <v>3170000</v>
      </c>
      <c r="Q133" s="1619">
        <f>RKA!Q85</f>
        <v>0</v>
      </c>
      <c r="R133" s="1619">
        <f>RKA!R85</f>
        <v>0</v>
      </c>
      <c r="S133" s="1619">
        <f>RKA!S85</f>
        <v>0</v>
      </c>
      <c r="T133" s="1619">
        <f>RKA!T85</f>
        <v>3330000</v>
      </c>
      <c r="U133" s="1619">
        <f>RKA!U85</f>
        <v>0</v>
      </c>
      <c r="V133" s="1619">
        <f>RKA!V85</f>
        <v>0</v>
      </c>
      <c r="W133" s="1619">
        <f t="shared" si="26"/>
        <v>6500000</v>
      </c>
      <c r="Y133" s="1578">
        <f t="shared" si="25"/>
        <v>0</v>
      </c>
    </row>
    <row r="134" spans="1:25">
      <c r="A134" s="1686">
        <f>IF('Pnj APBDES'!A140="","",'Pnj APBDES'!A140)</f>
        <v>1</v>
      </c>
      <c r="B134" s="1687">
        <f>IF('Pnj APBDES'!B140="","",'Pnj APBDES'!B140)</f>
        <v>4</v>
      </c>
      <c r="C134" s="1686" t="str">
        <f>IF('Pnj APBDES'!C140="","",'Pnj APBDES'!C140)</f>
        <v>01</v>
      </c>
      <c r="D134" s="1676">
        <f>IF('Pnj APBDES'!D140="","",'Pnj APBDES'!D140)</f>
        <v>5</v>
      </c>
      <c r="E134" s="1676">
        <f>IF('Pnj APBDES'!E140="","",'Pnj APBDES'!E140)</f>
        <v>2</v>
      </c>
      <c r="F134" s="1676" t="str">
        <f>IF('Pnj APBDES'!F140="","",'Pnj APBDES'!F140)</f>
        <v/>
      </c>
      <c r="G134" s="1676" t="str">
        <f>IF('Pnj APBDES'!G140="","",'Pnj APBDES'!G140)</f>
        <v/>
      </c>
      <c r="H134" s="1678" t="str">
        <f>IF('Pnj APBDES'!H140="","",'Pnj APBDES'!H140)</f>
        <v>Belanja Barang dan Jasa</v>
      </c>
      <c r="I134" s="1679">
        <f>'Pnj APBDES'!K140</f>
        <v>6500000</v>
      </c>
      <c r="J134" s="1650" t="str">
        <f>IF('Pnj APBDES'!N140="","",'Pnj APBDES'!N140)</f>
        <v/>
      </c>
      <c r="K134" s="1619">
        <f>RKA!K86</f>
        <v>0</v>
      </c>
      <c r="L134" s="1619">
        <f>RKA!L86</f>
        <v>0</v>
      </c>
      <c r="M134" s="1619">
        <f>RKA!M86</f>
        <v>0</v>
      </c>
      <c r="N134" s="1619">
        <f>RKA!N86</f>
        <v>0</v>
      </c>
      <c r="O134" s="1619">
        <f>RKA!O86</f>
        <v>0</v>
      </c>
      <c r="P134" s="1619">
        <f>RKA!P86</f>
        <v>3170000</v>
      </c>
      <c r="Q134" s="1619">
        <f>RKA!Q86</f>
        <v>0</v>
      </c>
      <c r="R134" s="1619">
        <f>RKA!R86</f>
        <v>0</v>
      </c>
      <c r="S134" s="1619">
        <f>RKA!S86</f>
        <v>0</v>
      </c>
      <c r="T134" s="1619">
        <f>RKA!T86</f>
        <v>3330000</v>
      </c>
      <c r="U134" s="1619">
        <f>RKA!U86</f>
        <v>0</v>
      </c>
      <c r="V134" s="1619">
        <f>RKA!V86</f>
        <v>0</v>
      </c>
      <c r="W134" s="1619">
        <f t="shared" si="26"/>
        <v>6500000</v>
      </c>
      <c r="Y134" s="1578">
        <f t="shared" si="25"/>
        <v>0</v>
      </c>
    </row>
    <row r="135" spans="1:25" ht="24">
      <c r="A135" s="1686">
        <f>IF('Pnj APBDES'!A141="","",'Pnj APBDES'!A141)</f>
        <v>1</v>
      </c>
      <c r="B135" s="1687">
        <f>IF('Pnj APBDES'!B141="","",'Pnj APBDES'!B141)</f>
        <v>4</v>
      </c>
      <c r="C135" s="1686" t="str">
        <f>IF('Pnj APBDES'!C141="","",'Pnj APBDES'!C141)</f>
        <v>01</v>
      </c>
      <c r="D135" s="1676">
        <f>IF('Pnj APBDES'!D141="","",'Pnj APBDES'!D141)</f>
        <v>5</v>
      </c>
      <c r="E135" s="1676">
        <f>IF('Pnj APBDES'!E141="","",'Pnj APBDES'!E141)</f>
        <v>2</v>
      </c>
      <c r="F135" s="1676">
        <f>IF('Pnj APBDES'!F141="","",'Pnj APBDES'!F141)</f>
        <v>6</v>
      </c>
      <c r="G135" s="1676" t="str">
        <f>IF('Pnj APBDES'!G141="","",'Pnj APBDES'!G141)</f>
        <v/>
      </c>
      <c r="H135" s="1678" t="str">
        <f>IF('Pnj APBDES'!H141="","",'Pnj APBDES'!H141)</f>
        <v>Belanja Perlengkapan Barang Konsumsi (Makan/minum) - Belanja Barang Konsumsi</v>
      </c>
      <c r="I135" s="1679">
        <f>'Pnj APBDES'!K141</f>
        <v>6500000</v>
      </c>
      <c r="J135" s="1650" t="str">
        <f>IF('Pnj APBDES'!N141="","",'Pnj APBDES'!N141)</f>
        <v/>
      </c>
      <c r="K135" s="1619">
        <f>RKA!K87</f>
        <v>0</v>
      </c>
      <c r="L135" s="1619">
        <f>RKA!L87</f>
        <v>0</v>
      </c>
      <c r="M135" s="1619">
        <f>RKA!M87</f>
        <v>0</v>
      </c>
      <c r="N135" s="1619">
        <f>RKA!N87</f>
        <v>0</v>
      </c>
      <c r="O135" s="1619">
        <f>RKA!O87</f>
        <v>0</v>
      </c>
      <c r="P135" s="1619">
        <f>RKA!P87</f>
        <v>3170000</v>
      </c>
      <c r="Q135" s="1619">
        <f>RKA!Q87</f>
        <v>0</v>
      </c>
      <c r="R135" s="1619">
        <f>RKA!R87</f>
        <v>0</v>
      </c>
      <c r="S135" s="1619">
        <f>RKA!S87</f>
        <v>0</v>
      </c>
      <c r="T135" s="1619">
        <f>RKA!T87</f>
        <v>3330000</v>
      </c>
      <c r="U135" s="1619">
        <f>RKA!U87</f>
        <v>0</v>
      </c>
      <c r="V135" s="1619">
        <f>RKA!V87</f>
        <v>0</v>
      </c>
      <c r="W135" s="1619">
        <f t="shared" si="26"/>
        <v>6500000</v>
      </c>
      <c r="Y135" s="1578">
        <f t="shared" si="25"/>
        <v>0</v>
      </c>
    </row>
    <row r="136" spans="1:25">
      <c r="A136" s="1686">
        <f>IF('Pnj APBDES'!A142="","",'Pnj APBDES'!A142)</f>
        <v>1</v>
      </c>
      <c r="B136" s="1687">
        <f>IF('Pnj APBDES'!B142="","",'Pnj APBDES'!B142)</f>
        <v>4</v>
      </c>
      <c r="C136" s="1689" t="str">
        <f>IF('Pnj APBDES'!C142="","",'Pnj APBDES'!C142)</f>
        <v>01</v>
      </c>
      <c r="D136" s="1676">
        <f>IF('Pnj APBDES'!D142="","",'Pnj APBDES'!D142)</f>
        <v>5</v>
      </c>
      <c r="E136" s="1676">
        <f>IF('Pnj APBDES'!E142="","",'Pnj APBDES'!E142)</f>
        <v>2</v>
      </c>
      <c r="F136" s="1676">
        <f>IF('Pnj APBDES'!F142="","",'Pnj APBDES'!F142)</f>
        <v>6</v>
      </c>
      <c r="G136" s="1676">
        <f>IF('Pnj APBDES'!G142="","",'Pnj APBDES'!G142)</f>
        <v>1</v>
      </c>
      <c r="H136" s="1678" t="str">
        <f>IF('Pnj APBDES'!H142="","",'Pnj APBDES'!H142)</f>
        <v>Belanja Air Mineral</v>
      </c>
      <c r="I136" s="1679">
        <f>'Pnj APBDES'!K142</f>
        <v>500000</v>
      </c>
      <c r="J136" s="1650" t="str">
        <f>IF('Pnj APBDES'!N142="","",'Pnj APBDES'!N142)</f>
        <v>ADD</v>
      </c>
      <c r="K136" s="1619">
        <f>RKA!K88</f>
        <v>0</v>
      </c>
      <c r="L136" s="1619">
        <f>RKA!L88</f>
        <v>0</v>
      </c>
      <c r="M136" s="1619">
        <f>RKA!M88</f>
        <v>0</v>
      </c>
      <c r="N136" s="1619">
        <f>RKA!N88</f>
        <v>0</v>
      </c>
      <c r="O136" s="1619">
        <f>RKA!O88</f>
        <v>0</v>
      </c>
      <c r="P136" s="1619">
        <f>RKA!P88</f>
        <v>250000</v>
      </c>
      <c r="Q136" s="1619">
        <f>RKA!Q88</f>
        <v>0</v>
      </c>
      <c r="R136" s="1619">
        <f>RKA!R88</f>
        <v>0</v>
      </c>
      <c r="S136" s="1619">
        <f>RKA!S88</f>
        <v>0</v>
      </c>
      <c r="T136" s="1619">
        <f>RKA!T88</f>
        <v>250000</v>
      </c>
      <c r="U136" s="1619">
        <f>RKA!U88</f>
        <v>0</v>
      </c>
      <c r="V136" s="1619">
        <f>RKA!V88</f>
        <v>0</v>
      </c>
      <c r="W136" s="1619">
        <f t="shared" si="26"/>
        <v>500000</v>
      </c>
      <c r="Y136" s="1578">
        <f t="shared" ref="Y136:Y214" si="27">I136-W136</f>
        <v>0</v>
      </c>
    </row>
    <row r="137" spans="1:25">
      <c r="A137" s="1686">
        <f>IF('Pnj APBDES'!A143="","",'Pnj APBDES'!A143)</f>
        <v>1</v>
      </c>
      <c r="B137" s="1687">
        <f>IF('Pnj APBDES'!B143="","",'Pnj APBDES'!B143)</f>
        <v>4</v>
      </c>
      <c r="C137" s="1689" t="str">
        <f>IF('Pnj APBDES'!C143="","",'Pnj APBDES'!C143)</f>
        <v>01</v>
      </c>
      <c r="D137" s="1676">
        <f>IF('Pnj APBDES'!D143="","",'Pnj APBDES'!D143)</f>
        <v>5</v>
      </c>
      <c r="E137" s="1676">
        <f>IF('Pnj APBDES'!E143="","",'Pnj APBDES'!E143)</f>
        <v>2</v>
      </c>
      <c r="F137" s="1676">
        <f>IF('Pnj APBDES'!F143="","",'Pnj APBDES'!F143)</f>
        <v>6</v>
      </c>
      <c r="G137" s="1676">
        <f>IF('Pnj APBDES'!G143="","",'Pnj APBDES'!G143)</f>
        <v>2</v>
      </c>
      <c r="H137" s="1678" t="str">
        <f>IF('Pnj APBDES'!H143="","",'Pnj APBDES'!H143)</f>
        <v>Snack Kotak</v>
      </c>
      <c r="I137" s="1679">
        <f>'Pnj APBDES'!K143</f>
        <v>2400000</v>
      </c>
      <c r="J137" s="1650" t="str">
        <f>IF('Pnj APBDES'!N143="","",'Pnj APBDES'!N143)</f>
        <v>ADD</v>
      </c>
      <c r="K137" s="1619">
        <f>RKA!K89</f>
        <v>0</v>
      </c>
      <c r="L137" s="1619">
        <f>RKA!L89</f>
        <v>0</v>
      </c>
      <c r="M137" s="1619">
        <f>RKA!M89</f>
        <v>0</v>
      </c>
      <c r="N137" s="1619">
        <f>RKA!N89</f>
        <v>0</v>
      </c>
      <c r="O137" s="1619">
        <f>RKA!O89</f>
        <v>0</v>
      </c>
      <c r="P137" s="1619">
        <f>RKA!P89</f>
        <v>1120000</v>
      </c>
      <c r="Q137" s="1619">
        <f>RKA!Q89</f>
        <v>0</v>
      </c>
      <c r="R137" s="1619">
        <f>RKA!R89</f>
        <v>0</v>
      </c>
      <c r="S137" s="1619">
        <f>RKA!S89</f>
        <v>0</v>
      </c>
      <c r="T137" s="1619">
        <f>RKA!T89</f>
        <v>1280000</v>
      </c>
      <c r="U137" s="1619">
        <f>RKA!U89</f>
        <v>0</v>
      </c>
      <c r="V137" s="1619">
        <f>RKA!V89</f>
        <v>0</v>
      </c>
      <c r="W137" s="1619">
        <f t="shared" si="26"/>
        <v>2400000</v>
      </c>
      <c r="Y137" s="1578">
        <f t="shared" si="27"/>
        <v>0</v>
      </c>
    </row>
    <row r="138" spans="1:25">
      <c r="A138" s="1686">
        <f>IF('Pnj APBDES'!A144="","",'Pnj APBDES'!A144)</f>
        <v>1</v>
      </c>
      <c r="B138" s="1687">
        <f>IF('Pnj APBDES'!B144="","",'Pnj APBDES'!B144)</f>
        <v>4</v>
      </c>
      <c r="C138" s="1689" t="str">
        <f>IF('Pnj APBDES'!C144="","",'Pnj APBDES'!C144)</f>
        <v>01</v>
      </c>
      <c r="D138" s="1676">
        <f>IF('Pnj APBDES'!D144="","",'Pnj APBDES'!D144)</f>
        <v>5</v>
      </c>
      <c r="E138" s="1676">
        <f>IF('Pnj APBDES'!E144="","",'Pnj APBDES'!E144)</f>
        <v>2</v>
      </c>
      <c r="F138" s="1676">
        <f>IF('Pnj APBDES'!F144="","",'Pnj APBDES'!F144)</f>
        <v>6</v>
      </c>
      <c r="G138" s="1676">
        <f>IF('Pnj APBDES'!G144="","",'Pnj APBDES'!G144)</f>
        <v>3</v>
      </c>
      <c r="H138" s="1678" t="str">
        <f>IF('Pnj APBDES'!H144="","",'Pnj APBDES'!H144)</f>
        <v>Nasi Kotak</v>
      </c>
      <c r="I138" s="1679">
        <f>'Pnj APBDES'!K144</f>
        <v>3600000</v>
      </c>
      <c r="J138" s="1650" t="str">
        <f>IF('Pnj APBDES'!N144="","",'Pnj APBDES'!N144)</f>
        <v>ADD</v>
      </c>
      <c r="K138" s="1619">
        <f>RKA!K90</f>
        <v>0</v>
      </c>
      <c r="L138" s="1619">
        <f>RKA!L90</f>
        <v>0</v>
      </c>
      <c r="M138" s="1619">
        <f>RKA!M90</f>
        <v>0</v>
      </c>
      <c r="N138" s="1619">
        <f>RKA!N90</f>
        <v>0</v>
      </c>
      <c r="O138" s="1619">
        <f>RKA!O90</f>
        <v>0</v>
      </c>
      <c r="P138" s="1619">
        <f>RKA!P90</f>
        <v>1800000</v>
      </c>
      <c r="Q138" s="1619">
        <f>RKA!Q90</f>
        <v>0</v>
      </c>
      <c r="R138" s="1619">
        <f>RKA!R90</f>
        <v>0</v>
      </c>
      <c r="S138" s="1619">
        <f>RKA!S90</f>
        <v>0</v>
      </c>
      <c r="T138" s="1619">
        <f>RKA!T90</f>
        <v>1800000</v>
      </c>
      <c r="U138" s="1619">
        <f>RKA!U90</f>
        <v>0</v>
      </c>
      <c r="V138" s="1619">
        <f>RKA!V90</f>
        <v>0</v>
      </c>
      <c r="W138" s="1619">
        <f t="shared" si="26"/>
        <v>3600000</v>
      </c>
      <c r="Y138" s="1578">
        <f t="shared" si="27"/>
        <v>0</v>
      </c>
    </row>
    <row r="139" spans="1:25">
      <c r="A139" s="1686" t="str">
        <f>IF('Pnj APBDES'!A145="","",'Pnj APBDES'!A145)</f>
        <v/>
      </c>
      <c r="B139" s="1687" t="str">
        <f>IF('Pnj APBDES'!B145="","",'Pnj APBDES'!B145)</f>
        <v/>
      </c>
      <c r="C139" s="1686" t="str">
        <f>IF('Pnj APBDES'!C145="","",'Pnj APBDES'!C145)</f>
        <v/>
      </c>
      <c r="D139" s="1676" t="str">
        <f>IF('Pnj APBDES'!D145="","",'Pnj APBDES'!D145)</f>
        <v/>
      </c>
      <c r="E139" s="1676" t="str">
        <f>IF('Pnj APBDES'!E145="","",'Pnj APBDES'!E145)</f>
        <v/>
      </c>
      <c r="F139" s="1676" t="str">
        <f>IF('Pnj APBDES'!F145="","",'Pnj APBDES'!F145)</f>
        <v/>
      </c>
      <c r="G139" s="1676" t="str">
        <f>IF('Pnj APBDES'!G145="","",'Pnj APBDES'!G145)</f>
        <v/>
      </c>
      <c r="H139" s="1678" t="str">
        <f>IF('Pnj APBDES'!H145="","",'Pnj APBDES'!H145)</f>
        <v/>
      </c>
      <c r="I139" s="1679">
        <f>'Pnj APBDES'!K145</f>
        <v>0</v>
      </c>
      <c r="J139" s="1650" t="str">
        <f>IF('Pnj APBDES'!N145="","",'Pnj APBDES'!N145)</f>
        <v/>
      </c>
      <c r="K139" s="1619">
        <f>RKA!K91</f>
        <v>0</v>
      </c>
      <c r="L139" s="1619">
        <f>RKA!L91</f>
        <v>0</v>
      </c>
      <c r="M139" s="1619">
        <f>RKA!M91</f>
        <v>0</v>
      </c>
      <c r="N139" s="1619">
        <f>RKA!N91</f>
        <v>0</v>
      </c>
      <c r="O139" s="1619">
        <f>RKA!O91</f>
        <v>0</v>
      </c>
      <c r="P139" s="1619">
        <f>RKA!P91</f>
        <v>0</v>
      </c>
      <c r="Q139" s="1619">
        <f>RKA!Q91</f>
        <v>0</v>
      </c>
      <c r="R139" s="1619">
        <f>RKA!R91</f>
        <v>0</v>
      </c>
      <c r="S139" s="1619">
        <f>RKA!S91</f>
        <v>0</v>
      </c>
      <c r="T139" s="1619">
        <f>RKA!T91</f>
        <v>0</v>
      </c>
      <c r="U139" s="1619">
        <f>RKA!U91</f>
        <v>0</v>
      </c>
      <c r="V139" s="1619">
        <f>RKA!V91</f>
        <v>0</v>
      </c>
      <c r="W139" s="1619">
        <f t="shared" si="26"/>
        <v>0</v>
      </c>
      <c r="Y139" s="1578">
        <f t="shared" si="27"/>
        <v>0</v>
      </c>
    </row>
    <row r="140" spans="1:25">
      <c r="A140" s="1690">
        <f>IF('Pnj APBDES'!A146="","",'Pnj APBDES'!A146)</f>
        <v>1</v>
      </c>
      <c r="B140" s="1691">
        <f>IF('Pnj APBDES'!B146="","",'Pnj APBDES'!B146)</f>
        <v>4</v>
      </c>
      <c r="C140" s="1690" t="str">
        <f>IF('Pnj APBDES'!C146="","",'Pnj APBDES'!C146)</f>
        <v>03</v>
      </c>
      <c r="D140" s="1672">
        <f>IF('Pnj APBDES'!D146="","",'Pnj APBDES'!D146)</f>
        <v>5</v>
      </c>
      <c r="E140" s="1672" t="str">
        <f>IF('Pnj APBDES'!E146="","",'Pnj APBDES'!E146)</f>
        <v/>
      </c>
      <c r="F140" s="1672" t="str">
        <f>IF('Pnj APBDES'!F146="","",'Pnj APBDES'!F146)</f>
        <v/>
      </c>
      <c r="G140" s="1672" t="str">
        <f>IF('Pnj APBDES'!G146="","",'Pnj APBDES'!G146)</f>
        <v/>
      </c>
      <c r="H140" s="1692" t="str">
        <f>IF('Pnj APBDES'!H146="","",'Pnj APBDES'!H146)</f>
        <v>Penyusunan Dokumen Perencanaan Desa (RKPDes)</v>
      </c>
      <c r="I140" s="1675">
        <f>'Pnj APBDES'!K146</f>
        <v>3880000</v>
      </c>
      <c r="J140" s="1650" t="str">
        <f>IF('Pnj APBDES'!N146="","",'Pnj APBDES'!N146)</f>
        <v/>
      </c>
      <c r="K140" s="1619">
        <f>RKA!K92</f>
        <v>0</v>
      </c>
      <c r="L140" s="1619">
        <f>RKA!L92</f>
        <v>0</v>
      </c>
      <c r="M140" s="1619">
        <f>RKA!M92</f>
        <v>0</v>
      </c>
      <c r="N140" s="1619">
        <f>RKA!N92</f>
        <v>3880000</v>
      </c>
      <c r="O140" s="1619">
        <f>RKA!O92</f>
        <v>0</v>
      </c>
      <c r="P140" s="1619">
        <f>RKA!P92</f>
        <v>0</v>
      </c>
      <c r="Q140" s="1619">
        <f>RKA!Q92</f>
        <v>0</v>
      </c>
      <c r="R140" s="1619">
        <f>RKA!R92</f>
        <v>0</v>
      </c>
      <c r="S140" s="1619">
        <f>RKA!S92</f>
        <v>0</v>
      </c>
      <c r="T140" s="1619">
        <f>RKA!T92</f>
        <v>0</v>
      </c>
      <c r="U140" s="1619">
        <f>RKA!U92</f>
        <v>0</v>
      </c>
      <c r="V140" s="1619">
        <f>RKA!V92</f>
        <v>0</v>
      </c>
      <c r="W140" s="1619">
        <f t="shared" si="26"/>
        <v>3880000</v>
      </c>
      <c r="Y140" s="1578">
        <f t="shared" si="27"/>
        <v>0</v>
      </c>
    </row>
    <row r="141" spans="1:25">
      <c r="A141" s="1686">
        <f>IF('Pnj APBDES'!A147="","",'Pnj APBDES'!A147)</f>
        <v>1</v>
      </c>
      <c r="B141" s="1687">
        <f>IF('Pnj APBDES'!B147="","",'Pnj APBDES'!B147)</f>
        <v>4</v>
      </c>
      <c r="C141" s="1686" t="str">
        <f>IF('Pnj APBDES'!C147="","",'Pnj APBDES'!C147)</f>
        <v>03</v>
      </c>
      <c r="D141" s="1676">
        <f>IF('Pnj APBDES'!D147="","",'Pnj APBDES'!D147)</f>
        <v>5</v>
      </c>
      <c r="E141" s="1676">
        <f>IF('Pnj APBDES'!E147="","",'Pnj APBDES'!E147)</f>
        <v>2</v>
      </c>
      <c r="F141" s="1676" t="str">
        <f>IF('Pnj APBDES'!F147="","",'Pnj APBDES'!F147)</f>
        <v/>
      </c>
      <c r="G141" s="1676" t="str">
        <f>IF('Pnj APBDES'!G147="","",'Pnj APBDES'!G147)</f>
        <v/>
      </c>
      <c r="H141" s="1678" t="str">
        <f>IF('Pnj APBDES'!H147="","",'Pnj APBDES'!H147)</f>
        <v>Belanja Barang dan Jasa</v>
      </c>
      <c r="I141" s="1679">
        <f>'Pnj APBDES'!K147</f>
        <v>3880000</v>
      </c>
      <c r="J141" s="1650" t="str">
        <f>IF('Pnj APBDES'!N147="","",'Pnj APBDES'!N147)</f>
        <v/>
      </c>
      <c r="K141" s="1619">
        <f>RKA!K93</f>
        <v>0</v>
      </c>
      <c r="L141" s="1619">
        <f>RKA!L93</f>
        <v>0</v>
      </c>
      <c r="M141" s="1619">
        <f>RKA!M93</f>
        <v>0</v>
      </c>
      <c r="N141" s="1619">
        <f>RKA!N93</f>
        <v>3880000</v>
      </c>
      <c r="O141" s="1619">
        <f>RKA!O93</f>
        <v>0</v>
      </c>
      <c r="P141" s="1619">
        <f>RKA!P93</f>
        <v>0</v>
      </c>
      <c r="Q141" s="1619">
        <f>RKA!Q93</f>
        <v>0</v>
      </c>
      <c r="R141" s="1619">
        <f>RKA!R93</f>
        <v>0</v>
      </c>
      <c r="S141" s="1619">
        <f>RKA!S93</f>
        <v>0</v>
      </c>
      <c r="T141" s="1619">
        <f>RKA!T93</f>
        <v>0</v>
      </c>
      <c r="U141" s="1619">
        <f>RKA!U93</f>
        <v>0</v>
      </c>
      <c r="V141" s="1619">
        <f>RKA!V93</f>
        <v>0</v>
      </c>
      <c r="W141" s="1619">
        <f t="shared" si="26"/>
        <v>3880000</v>
      </c>
      <c r="Y141" s="1578">
        <f t="shared" si="27"/>
        <v>0</v>
      </c>
    </row>
    <row r="142" spans="1:25">
      <c r="A142" s="1686">
        <f>IF('Pnj APBDES'!A148="","",'Pnj APBDES'!A148)</f>
        <v>1</v>
      </c>
      <c r="B142" s="1687">
        <f>IF('Pnj APBDES'!B148="","",'Pnj APBDES'!B148)</f>
        <v>4</v>
      </c>
      <c r="C142" s="1686" t="str">
        <f>IF('Pnj APBDES'!C148="","",'Pnj APBDES'!C148)</f>
        <v>03</v>
      </c>
      <c r="D142" s="1676">
        <f>IF('Pnj APBDES'!D148="","",'Pnj APBDES'!D148)</f>
        <v>5</v>
      </c>
      <c r="E142" s="1676">
        <f>IF('Pnj APBDES'!E148="","",'Pnj APBDES'!E148)</f>
        <v>2</v>
      </c>
      <c r="F142" s="1676">
        <f>IF('Pnj APBDES'!F148="","",'Pnj APBDES'!F148)</f>
        <v>2</v>
      </c>
      <c r="G142" s="1676" t="str">
        <f>IF('Pnj APBDES'!G148="","",'Pnj APBDES'!G148)</f>
        <v/>
      </c>
      <c r="H142" s="1678" t="str">
        <f>IF('Pnj APBDES'!H148="","",'Pnj APBDES'!H148)</f>
        <v>Belanja Jasa Honorarium</v>
      </c>
      <c r="I142" s="1679">
        <f>'Pnj APBDES'!K148</f>
        <v>3880000</v>
      </c>
      <c r="J142" s="1650" t="str">
        <f>IF('Pnj APBDES'!N148="","",'Pnj APBDES'!N148)</f>
        <v/>
      </c>
      <c r="K142" s="1619">
        <f>RKA!K94</f>
        <v>0</v>
      </c>
      <c r="L142" s="1619">
        <f>RKA!L94</f>
        <v>0</v>
      </c>
      <c r="M142" s="1619">
        <f>RKA!M94</f>
        <v>0</v>
      </c>
      <c r="N142" s="1619">
        <f>RKA!N94</f>
        <v>3880000</v>
      </c>
      <c r="O142" s="1619">
        <f>RKA!O94</f>
        <v>0</v>
      </c>
      <c r="P142" s="1619">
        <f>RKA!P94</f>
        <v>0</v>
      </c>
      <c r="Q142" s="1619">
        <f>RKA!Q94</f>
        <v>0</v>
      </c>
      <c r="R142" s="1619">
        <f>RKA!R94</f>
        <v>0</v>
      </c>
      <c r="S142" s="1619">
        <f>RKA!S94</f>
        <v>0</v>
      </c>
      <c r="T142" s="1619">
        <f>RKA!T94</f>
        <v>0</v>
      </c>
      <c r="U142" s="1619">
        <f>RKA!U94</f>
        <v>0</v>
      </c>
      <c r="V142" s="1619">
        <f>RKA!V94</f>
        <v>0</v>
      </c>
      <c r="W142" s="1619">
        <f t="shared" si="26"/>
        <v>3880000</v>
      </c>
      <c r="Y142" s="1578">
        <f t="shared" si="27"/>
        <v>0</v>
      </c>
    </row>
    <row r="143" spans="1:25">
      <c r="A143" s="1686">
        <f>IF('Pnj APBDES'!A149="","",'Pnj APBDES'!A149)</f>
        <v>1</v>
      </c>
      <c r="B143" s="1687">
        <f>IF('Pnj APBDES'!B149="","",'Pnj APBDES'!B149)</f>
        <v>4</v>
      </c>
      <c r="C143" s="1686" t="str">
        <f>IF('Pnj APBDES'!C149="","",'Pnj APBDES'!C149)</f>
        <v>03</v>
      </c>
      <c r="D143" s="1676">
        <f>IF('Pnj APBDES'!D149="","",'Pnj APBDES'!D149)</f>
        <v>5</v>
      </c>
      <c r="E143" s="1676">
        <f>IF('Pnj APBDES'!E149="","",'Pnj APBDES'!E149)</f>
        <v>2</v>
      </c>
      <c r="F143" s="1676">
        <f>IF('Pnj APBDES'!F149="","",'Pnj APBDES'!F149)</f>
        <v>2</v>
      </c>
      <c r="G143" s="1676">
        <f>IF('Pnj APBDES'!G149="","",'Pnj APBDES'!G149)</f>
        <v>1</v>
      </c>
      <c r="H143" s="1678" t="str">
        <f>IF('Pnj APBDES'!H149="","",'Pnj APBDES'!H149)</f>
        <v>Belanja Jasa Honorarium Tim yang Melaksanakan Kegiatan</v>
      </c>
      <c r="I143" s="1679"/>
      <c r="J143" s="1650" t="str">
        <f>IF('Pnj APBDES'!N149="","",'Pnj APBDES'!N149)</f>
        <v>ADD</v>
      </c>
      <c r="K143" s="1619">
        <f>RKA!K95</f>
        <v>0</v>
      </c>
      <c r="L143" s="1619">
        <f>RKA!L95</f>
        <v>0</v>
      </c>
      <c r="M143" s="1619">
        <f>RKA!M95</f>
        <v>0</v>
      </c>
      <c r="N143" s="1619">
        <f>RKA!N95</f>
        <v>3880000</v>
      </c>
      <c r="O143" s="1619">
        <f>RKA!O95</f>
        <v>0</v>
      </c>
      <c r="P143" s="1619">
        <f>RKA!P95</f>
        <v>0</v>
      </c>
      <c r="Q143" s="1619">
        <f>RKA!Q95</f>
        <v>0</v>
      </c>
      <c r="R143" s="1619">
        <f>RKA!R95</f>
        <v>0</v>
      </c>
      <c r="S143" s="1619">
        <f>RKA!S95</f>
        <v>0</v>
      </c>
      <c r="T143" s="1619">
        <f>RKA!T95</f>
        <v>0</v>
      </c>
      <c r="U143" s="1619">
        <f>RKA!U95</f>
        <v>0</v>
      </c>
      <c r="V143" s="1619">
        <f>RKA!V95</f>
        <v>0</v>
      </c>
      <c r="W143" s="1619">
        <f t="shared" si="26"/>
        <v>3880000</v>
      </c>
    </row>
    <row r="144" spans="1:25">
      <c r="A144" s="1690">
        <f>IF('Pnj APBDES'!A150="","",'Pnj APBDES'!A150)</f>
        <v>1</v>
      </c>
      <c r="B144" s="1691">
        <f>IF('Pnj APBDES'!B150="","",'Pnj APBDES'!B150)</f>
        <v>4</v>
      </c>
      <c r="C144" s="1690" t="str">
        <f>IF('Pnj APBDES'!C150="","",'Pnj APBDES'!C150)</f>
        <v>05</v>
      </c>
      <c r="D144" s="1672">
        <f>IF('Pnj APBDES'!D150="","",'Pnj APBDES'!D150)</f>
        <v>5</v>
      </c>
      <c r="E144" s="1672" t="str">
        <f>IF('Pnj APBDES'!E150="","",'Pnj APBDES'!E150)</f>
        <v/>
      </c>
      <c r="F144" s="1672" t="str">
        <f>IF('Pnj APBDES'!F150="","",'Pnj APBDES'!F150)</f>
        <v/>
      </c>
      <c r="G144" s="1672" t="str">
        <f>IF('Pnj APBDES'!G150="","",'Pnj APBDES'!G150)</f>
        <v/>
      </c>
      <c r="H144" s="1693" t="str">
        <f>IF('Pnj APBDES'!H150="","",'Pnj APBDES'!H150)</f>
        <v>Pengelolaan/Administrasi/Inventarisasi/Penilaian Aset Desa</v>
      </c>
      <c r="I144" s="1675"/>
      <c r="J144" s="1650" t="str">
        <f>IF('Pnj APBDES'!N150="","",'Pnj APBDES'!N150)</f>
        <v/>
      </c>
      <c r="K144" s="1619">
        <f>RKA!K96</f>
        <v>0</v>
      </c>
      <c r="L144" s="1619">
        <f>RKA!L96</f>
        <v>0</v>
      </c>
      <c r="M144" s="1619">
        <f>RKA!M96</f>
        <v>0</v>
      </c>
      <c r="N144" s="1619">
        <f>RKA!N96</f>
        <v>2700000</v>
      </c>
      <c r="O144" s="1619">
        <f>RKA!O96</f>
        <v>0</v>
      </c>
      <c r="P144" s="1619">
        <f>RKA!P96</f>
        <v>0</v>
      </c>
      <c r="Q144" s="1619">
        <f>RKA!Q96</f>
        <v>0</v>
      </c>
      <c r="R144" s="1619">
        <f>RKA!R96</f>
        <v>0</v>
      </c>
      <c r="S144" s="1619">
        <f>RKA!S96</f>
        <v>0</v>
      </c>
      <c r="T144" s="1619">
        <f>RKA!T96</f>
        <v>0</v>
      </c>
      <c r="U144" s="1619">
        <f>RKA!U96</f>
        <v>0</v>
      </c>
      <c r="V144" s="1619">
        <f>RKA!V96</f>
        <v>0</v>
      </c>
      <c r="W144" s="1619">
        <f t="shared" si="26"/>
        <v>2700000</v>
      </c>
    </row>
    <row r="145" spans="1:23">
      <c r="A145" s="1686">
        <f>IF('Pnj APBDES'!A151="","",'Pnj APBDES'!A151)</f>
        <v>1</v>
      </c>
      <c r="B145" s="1687">
        <f>IF('Pnj APBDES'!B151="","",'Pnj APBDES'!B151)</f>
        <v>4</v>
      </c>
      <c r="C145" s="1686" t="str">
        <f>IF('Pnj APBDES'!C151="","",'Pnj APBDES'!C151)</f>
        <v>05</v>
      </c>
      <c r="D145" s="1676">
        <f>IF('Pnj APBDES'!D151="","",'Pnj APBDES'!D151)</f>
        <v>5</v>
      </c>
      <c r="E145" s="1676">
        <f>IF('Pnj APBDES'!E151="","",'Pnj APBDES'!E151)</f>
        <v>2</v>
      </c>
      <c r="F145" s="1676" t="str">
        <f>IF('Pnj APBDES'!F151="","",'Pnj APBDES'!F151)</f>
        <v/>
      </c>
      <c r="G145" s="1676" t="str">
        <f>IF('Pnj APBDES'!G151="","",'Pnj APBDES'!G151)</f>
        <v/>
      </c>
      <c r="H145" s="1678" t="str">
        <f>IF('Pnj APBDES'!H151="","",'Pnj APBDES'!H151)</f>
        <v>Belanja Barang dan Jasa</v>
      </c>
      <c r="I145" s="1679"/>
      <c r="J145" s="1650" t="str">
        <f>IF('Pnj APBDES'!N151="","",'Pnj APBDES'!N151)</f>
        <v/>
      </c>
      <c r="K145" s="1619">
        <f>RKA!K97</f>
        <v>0</v>
      </c>
      <c r="L145" s="1619">
        <f>RKA!L97</f>
        <v>0</v>
      </c>
      <c r="M145" s="1619">
        <f>RKA!M97</f>
        <v>0</v>
      </c>
      <c r="N145" s="1619">
        <f>RKA!N97</f>
        <v>2700000</v>
      </c>
      <c r="O145" s="1619">
        <f>RKA!O97</f>
        <v>0</v>
      </c>
      <c r="P145" s="1619">
        <f>RKA!P97</f>
        <v>0</v>
      </c>
      <c r="Q145" s="1619">
        <f>RKA!Q97</f>
        <v>0</v>
      </c>
      <c r="R145" s="1619">
        <f>RKA!R97</f>
        <v>0</v>
      </c>
      <c r="S145" s="1619">
        <f>RKA!S97</f>
        <v>0</v>
      </c>
      <c r="T145" s="1619">
        <f>RKA!T97</f>
        <v>0</v>
      </c>
      <c r="U145" s="1619">
        <f>RKA!U97</f>
        <v>0</v>
      </c>
      <c r="V145" s="1619">
        <f>RKA!V97</f>
        <v>0</v>
      </c>
      <c r="W145" s="1619">
        <f t="shared" si="26"/>
        <v>2700000</v>
      </c>
    </row>
    <row r="146" spans="1:23">
      <c r="A146" s="1686">
        <f>IF('Pnj APBDES'!A152="","",'Pnj APBDES'!A152)</f>
        <v>1</v>
      </c>
      <c r="B146" s="1687">
        <f>IF('Pnj APBDES'!B152="","",'Pnj APBDES'!B152)</f>
        <v>4</v>
      </c>
      <c r="C146" s="1686" t="str">
        <f>IF('Pnj APBDES'!C152="","",'Pnj APBDES'!C152)</f>
        <v>05</v>
      </c>
      <c r="D146" s="1676">
        <f>IF('Pnj APBDES'!D152="","",'Pnj APBDES'!D152)</f>
        <v>5</v>
      </c>
      <c r="E146" s="1676">
        <f>IF('Pnj APBDES'!E152="","",'Pnj APBDES'!E152)</f>
        <v>2</v>
      </c>
      <c r="F146" s="1676">
        <f>IF('Pnj APBDES'!F152="","",'Pnj APBDES'!F152)</f>
        <v>2</v>
      </c>
      <c r="G146" s="1676" t="str">
        <f>IF('Pnj APBDES'!G152="","",'Pnj APBDES'!G152)</f>
        <v/>
      </c>
      <c r="H146" s="1678" t="str">
        <f>IF('Pnj APBDES'!H152="","",'Pnj APBDES'!H152)</f>
        <v>Belanja Jasa Honorarium</v>
      </c>
      <c r="I146" s="1679"/>
      <c r="J146" s="1650" t="str">
        <f>IF('Pnj APBDES'!N152="","",'Pnj APBDES'!N152)</f>
        <v/>
      </c>
      <c r="K146" s="1619">
        <f>RKA!K98</f>
        <v>0</v>
      </c>
      <c r="L146" s="1619">
        <f>RKA!L98</f>
        <v>0</v>
      </c>
      <c r="M146" s="1619">
        <f>RKA!M98</f>
        <v>0</v>
      </c>
      <c r="N146" s="1619">
        <f>RKA!N98</f>
        <v>2700000</v>
      </c>
      <c r="O146" s="1619">
        <f>RKA!O98</f>
        <v>0</v>
      </c>
      <c r="P146" s="1619">
        <f>RKA!P98</f>
        <v>0</v>
      </c>
      <c r="Q146" s="1619">
        <f>RKA!Q98</f>
        <v>0</v>
      </c>
      <c r="R146" s="1619">
        <f>RKA!R98</f>
        <v>0</v>
      </c>
      <c r="S146" s="1619">
        <f>RKA!S98</f>
        <v>0</v>
      </c>
      <c r="T146" s="1619">
        <f>RKA!T98</f>
        <v>0</v>
      </c>
      <c r="U146" s="1619">
        <f>RKA!U98</f>
        <v>0</v>
      </c>
      <c r="V146" s="1619">
        <f>RKA!V98</f>
        <v>0</v>
      </c>
      <c r="W146" s="1619">
        <f t="shared" si="26"/>
        <v>2700000</v>
      </c>
    </row>
    <row r="147" spans="1:23">
      <c r="A147" s="1686">
        <f>IF('Pnj APBDES'!A153="","",'Pnj APBDES'!A153)</f>
        <v>1</v>
      </c>
      <c r="B147" s="1687">
        <f>IF('Pnj APBDES'!B153="","",'Pnj APBDES'!B153)</f>
        <v>4</v>
      </c>
      <c r="C147" s="1686" t="str">
        <f>IF('Pnj APBDES'!C153="","",'Pnj APBDES'!C153)</f>
        <v>05</v>
      </c>
      <c r="D147" s="1676">
        <f>IF('Pnj APBDES'!D153="","",'Pnj APBDES'!D153)</f>
        <v>5</v>
      </c>
      <c r="E147" s="1676">
        <f>IF('Pnj APBDES'!E153="","",'Pnj APBDES'!E153)</f>
        <v>2</v>
      </c>
      <c r="F147" s="1676">
        <f>IF('Pnj APBDES'!F153="","",'Pnj APBDES'!F153)</f>
        <v>2</v>
      </c>
      <c r="G147" s="1676">
        <f>IF('Pnj APBDES'!G153="","",'Pnj APBDES'!G153)</f>
        <v>5</v>
      </c>
      <c r="H147" s="1678" t="str">
        <f>IF('Pnj APBDES'!H153="","",'Pnj APBDES'!H153)</f>
        <v>Belanja Jasa Honorarium Petugas</v>
      </c>
      <c r="I147" s="1679"/>
      <c r="J147" s="1650" t="str">
        <f>IF('Pnj APBDES'!N153="","",'Pnj APBDES'!N153)</f>
        <v>PAD</v>
      </c>
      <c r="K147" s="1619">
        <f>RKA!K99</f>
        <v>0</v>
      </c>
      <c r="L147" s="1619">
        <f>RKA!L99</f>
        <v>0</v>
      </c>
      <c r="M147" s="1619">
        <f>RKA!M99</f>
        <v>0</v>
      </c>
      <c r="N147" s="1619">
        <f>RKA!N99</f>
        <v>2700000</v>
      </c>
      <c r="O147" s="1619">
        <f>RKA!O99</f>
        <v>0</v>
      </c>
      <c r="P147" s="1619">
        <f>RKA!P99</f>
        <v>0</v>
      </c>
      <c r="Q147" s="1619">
        <f>RKA!Q99</f>
        <v>0</v>
      </c>
      <c r="R147" s="1619">
        <f>RKA!R99</f>
        <v>0</v>
      </c>
      <c r="S147" s="1619">
        <f>RKA!S99</f>
        <v>0</v>
      </c>
      <c r="T147" s="1619">
        <f>RKA!T99</f>
        <v>0</v>
      </c>
      <c r="U147" s="1619">
        <f>RKA!U99</f>
        <v>0</v>
      </c>
      <c r="V147" s="1619">
        <f>RKA!V99</f>
        <v>0</v>
      </c>
      <c r="W147" s="1619">
        <f t="shared" si="26"/>
        <v>2700000</v>
      </c>
    </row>
    <row r="148" spans="1:23" ht="24">
      <c r="A148" s="1690">
        <f>IF('Pnj APBDES'!A154="","",'Pnj APBDES'!A154)</f>
        <v>1</v>
      </c>
      <c r="B148" s="1691">
        <f>IF('Pnj APBDES'!B154="","",'Pnj APBDES'!B154)</f>
        <v>4</v>
      </c>
      <c r="C148" s="1690">
        <f>IF('Pnj APBDES'!C154="","",'Pnj APBDES'!C154)</f>
        <v>10</v>
      </c>
      <c r="D148" s="1672" t="str">
        <f>IF('Pnj APBDES'!D154="","",'Pnj APBDES'!D154)</f>
        <v/>
      </c>
      <c r="E148" s="1672" t="str">
        <f>IF('Pnj APBDES'!E154="","",'Pnj APBDES'!E154)</f>
        <v/>
      </c>
      <c r="F148" s="1672" t="str">
        <f>IF('Pnj APBDES'!F154="","",'Pnj APBDES'!F154)</f>
        <v/>
      </c>
      <c r="G148" s="1672" t="str">
        <f>IF('Pnj APBDES'!G154="","",'Pnj APBDES'!G154)</f>
        <v/>
      </c>
      <c r="H148" s="1674" t="str">
        <f>IF('Pnj APBDES'!H154="","",'Pnj APBDES'!H154)</f>
        <v>Dukungan dan sosialiasai pelaksanaan pilkades, pemilihan kepala kewilayahan dan BPD</v>
      </c>
      <c r="I148" s="1675"/>
      <c r="J148" s="1650" t="str">
        <f>IF('Pnj APBDES'!N154="","",'Pnj APBDES'!N154)</f>
        <v/>
      </c>
      <c r="K148" s="1619">
        <f>RKA!K100</f>
        <v>0</v>
      </c>
      <c r="L148" s="1619">
        <f>RKA!L100</f>
        <v>0</v>
      </c>
      <c r="M148" s="1619">
        <f>RKA!M100</f>
        <v>0</v>
      </c>
      <c r="N148" s="1619" t="e">
        <f>RKA!N100</f>
        <v>#REF!</v>
      </c>
      <c r="O148" s="1619">
        <f>RKA!O100</f>
        <v>0</v>
      </c>
      <c r="P148" s="1619">
        <f>RKA!P100</f>
        <v>0</v>
      </c>
      <c r="Q148" s="1619">
        <f>RKA!Q100</f>
        <v>0</v>
      </c>
      <c r="R148" s="1619">
        <f>RKA!R100</f>
        <v>0</v>
      </c>
      <c r="S148" s="1619">
        <f>RKA!S100</f>
        <v>0</v>
      </c>
      <c r="T148" s="1619">
        <f>RKA!T100</f>
        <v>0</v>
      </c>
      <c r="U148" s="1619">
        <f>RKA!U100</f>
        <v>0</v>
      </c>
      <c r="V148" s="1619">
        <f>RKA!V100</f>
        <v>0</v>
      </c>
      <c r="W148" s="1619" t="e">
        <f t="shared" si="26"/>
        <v>#REF!</v>
      </c>
    </row>
    <row r="149" spans="1:23">
      <c r="A149" s="1686">
        <f>IF('Pnj APBDES'!A155="","",'Pnj APBDES'!A155)</f>
        <v>1</v>
      </c>
      <c r="B149" s="1687">
        <f>IF('Pnj APBDES'!B155="","",'Pnj APBDES'!B155)</f>
        <v>4</v>
      </c>
      <c r="C149" s="1686">
        <f>IF('Pnj APBDES'!C155="","",'Pnj APBDES'!C155)</f>
        <v>10</v>
      </c>
      <c r="D149" s="1676">
        <f>IF('Pnj APBDES'!D155="","",'Pnj APBDES'!D155)</f>
        <v>5</v>
      </c>
      <c r="E149" s="1676">
        <f>IF('Pnj APBDES'!E155="","",'Pnj APBDES'!E155)</f>
        <v>2</v>
      </c>
      <c r="F149" s="1676" t="str">
        <f>IF('Pnj APBDES'!F155="","",'Pnj APBDES'!F155)</f>
        <v/>
      </c>
      <c r="G149" s="1676" t="str">
        <f>IF('Pnj APBDES'!G155="","",'Pnj APBDES'!G155)</f>
        <v/>
      </c>
      <c r="H149" s="1678" t="str">
        <f>IF('Pnj APBDES'!H155="","",'Pnj APBDES'!H155)</f>
        <v>Belanja Barang dan Jasa</v>
      </c>
      <c r="I149" s="1679"/>
      <c r="J149" s="1650" t="str">
        <f>IF('Pnj APBDES'!N155="","",'Pnj APBDES'!N155)</f>
        <v/>
      </c>
      <c r="K149" s="1619">
        <f>RKA!K101</f>
        <v>0</v>
      </c>
      <c r="L149" s="1619">
        <f>RKA!L101</f>
        <v>0</v>
      </c>
      <c r="M149" s="1619">
        <f>RKA!M101</f>
        <v>0</v>
      </c>
      <c r="N149" s="1619">
        <f>RKA!N101</f>
        <v>0</v>
      </c>
      <c r="O149" s="1619">
        <f>RKA!O101</f>
        <v>0</v>
      </c>
      <c r="P149" s="1619">
        <f>RKA!P101</f>
        <v>0</v>
      </c>
      <c r="Q149" s="1619">
        <f>RKA!Q101</f>
        <v>0</v>
      </c>
      <c r="R149" s="1619">
        <f>RKA!R101</f>
        <v>0</v>
      </c>
      <c r="S149" s="1619">
        <f>RKA!S101</f>
        <v>0</v>
      </c>
      <c r="T149" s="1619">
        <f>RKA!T101</f>
        <v>0</v>
      </c>
      <c r="U149" s="1619">
        <f>RKA!U101</f>
        <v>0</v>
      </c>
      <c r="V149" s="1619">
        <f>RKA!V101</f>
        <v>0</v>
      </c>
      <c r="W149" s="1619">
        <f t="shared" si="26"/>
        <v>0</v>
      </c>
    </row>
    <row r="150" spans="1:23" ht="24">
      <c r="A150" s="1686">
        <f>IF('Pnj APBDES'!A172="","",'Pnj APBDES'!A172)</f>
        <v>1</v>
      </c>
      <c r="B150" s="1687">
        <f>IF('Pnj APBDES'!B172="","",'Pnj APBDES'!B172)</f>
        <v>4</v>
      </c>
      <c r="C150" s="1686">
        <f>IF('Pnj APBDES'!C172="","",'Pnj APBDES'!C172)</f>
        <v>10</v>
      </c>
      <c r="D150" s="1676">
        <f>IF('Pnj APBDES'!D172="","",'Pnj APBDES'!D172)</f>
        <v>5</v>
      </c>
      <c r="E150" s="1676">
        <f>IF('Pnj APBDES'!E172="","",'Pnj APBDES'!E172)</f>
        <v>2</v>
      </c>
      <c r="F150" s="1676">
        <f>IF('Pnj APBDES'!F172="","",'Pnj APBDES'!F172)</f>
        <v>6</v>
      </c>
      <c r="G150" s="1676" t="str">
        <f>IF('Pnj APBDES'!G172="","",'Pnj APBDES'!G172)</f>
        <v/>
      </c>
      <c r="H150" s="1678" t="str">
        <f>IF('Pnj APBDES'!H172="","",'Pnj APBDES'!H172)</f>
        <v>Belanja Perlengkapan Barang Konsumsi (Makan/minum) - Belanja Barang Konsumsi</v>
      </c>
      <c r="I150" s="1679"/>
      <c r="J150" s="1650" t="str">
        <f>IF('Pnj APBDES'!N172="","",'Pnj APBDES'!N172)</f>
        <v/>
      </c>
      <c r="K150" s="1619">
        <f>RKA!K102</f>
        <v>0</v>
      </c>
      <c r="L150" s="1619">
        <f>RKA!L102</f>
        <v>0</v>
      </c>
      <c r="M150" s="1619">
        <f>RKA!M102</f>
        <v>0</v>
      </c>
      <c r="N150" s="1619" t="e">
        <f>RKA!N102</f>
        <v>#REF!</v>
      </c>
      <c r="O150" s="1619">
        <f>RKA!O102</f>
        <v>0</v>
      </c>
      <c r="P150" s="1619">
        <f>RKA!P102</f>
        <v>0</v>
      </c>
      <c r="Q150" s="1619">
        <f>RKA!Q102</f>
        <v>0</v>
      </c>
      <c r="R150" s="1619">
        <f>RKA!R102</f>
        <v>0</v>
      </c>
      <c r="S150" s="1619">
        <f>RKA!S102</f>
        <v>0</v>
      </c>
      <c r="T150" s="1619">
        <f>RKA!T102</f>
        <v>0</v>
      </c>
      <c r="U150" s="1619">
        <f>RKA!U102</f>
        <v>0</v>
      </c>
      <c r="V150" s="1619">
        <f>RKA!V102</f>
        <v>0</v>
      </c>
      <c r="W150" s="1619" t="e">
        <f t="shared" si="26"/>
        <v>#REF!</v>
      </c>
    </row>
    <row r="151" spans="1:23">
      <c r="A151" s="1686">
        <f>IF('Pnj APBDES'!A173="","",'Pnj APBDES'!A173)</f>
        <v>1</v>
      </c>
      <c r="B151" s="1687">
        <f>IF('Pnj APBDES'!B173="","",'Pnj APBDES'!B173)</f>
        <v>4</v>
      </c>
      <c r="C151" s="1686">
        <f>IF('Pnj APBDES'!C173="","",'Pnj APBDES'!C173)</f>
        <v>10</v>
      </c>
      <c r="D151" s="1676">
        <f>IF('Pnj APBDES'!D173="","",'Pnj APBDES'!D173)</f>
        <v>5</v>
      </c>
      <c r="E151" s="1676">
        <f>IF('Pnj APBDES'!E173="","",'Pnj APBDES'!E173)</f>
        <v>2</v>
      </c>
      <c r="F151" s="1676">
        <f>IF('Pnj APBDES'!F173="","",'Pnj APBDES'!F173)</f>
        <v>6</v>
      </c>
      <c r="G151" s="1676">
        <f>IF('Pnj APBDES'!G173="","",'Pnj APBDES'!G173)</f>
        <v>1</v>
      </c>
      <c r="H151" s="1678" t="str">
        <f>IF('Pnj APBDES'!H173="","",'Pnj APBDES'!H173)</f>
        <v>Nasi Kotak</v>
      </c>
      <c r="I151" s="1679"/>
      <c r="J151" s="1650" t="str">
        <f>IF('Pnj APBDES'!N173="","",'Pnj APBDES'!N173)</f>
        <v>ADD</v>
      </c>
      <c r="K151" s="1619">
        <f>RKA!K103</f>
        <v>0</v>
      </c>
      <c r="L151" s="1619">
        <f>RKA!L103</f>
        <v>0</v>
      </c>
      <c r="M151" s="1619">
        <f>RKA!M103</f>
        <v>0</v>
      </c>
      <c r="N151" s="1619">
        <f>RKA!N103</f>
        <v>3000000</v>
      </c>
      <c r="O151" s="1619">
        <f>RKA!O103</f>
        <v>0</v>
      </c>
      <c r="P151" s="1619">
        <f>RKA!P103</f>
        <v>0</v>
      </c>
      <c r="Q151" s="1619">
        <f>RKA!Q103</f>
        <v>0</v>
      </c>
      <c r="R151" s="1619">
        <f>RKA!R103</f>
        <v>0</v>
      </c>
      <c r="S151" s="1619">
        <f>RKA!S103</f>
        <v>0</v>
      </c>
      <c r="T151" s="1619">
        <f>RKA!T103</f>
        <v>0</v>
      </c>
      <c r="U151" s="1619">
        <f>RKA!U103</f>
        <v>0</v>
      </c>
      <c r="V151" s="1619">
        <f>RKA!V103</f>
        <v>0</v>
      </c>
      <c r="W151" s="1619">
        <f t="shared" si="26"/>
        <v>3000000</v>
      </c>
    </row>
    <row r="152" spans="1:23">
      <c r="A152" s="1686">
        <f>IF('Pnj APBDES'!A174="","",'Pnj APBDES'!A174)</f>
        <v>1</v>
      </c>
      <c r="B152" s="1687">
        <f>IF('Pnj APBDES'!B174="","",'Pnj APBDES'!B174)</f>
        <v>4</v>
      </c>
      <c r="C152" s="1686">
        <f>IF('Pnj APBDES'!C174="","",'Pnj APBDES'!C174)</f>
        <v>10</v>
      </c>
      <c r="D152" s="1676">
        <f>IF('Pnj APBDES'!D174="","",'Pnj APBDES'!D174)</f>
        <v>5</v>
      </c>
      <c r="E152" s="1676">
        <f>IF('Pnj APBDES'!E174="","",'Pnj APBDES'!E174)</f>
        <v>2</v>
      </c>
      <c r="F152" s="1676">
        <f>IF('Pnj APBDES'!F174="","",'Pnj APBDES'!F174)</f>
        <v>6</v>
      </c>
      <c r="G152" s="1676">
        <f>IF('Pnj APBDES'!G174="","",'Pnj APBDES'!G174)</f>
        <v>2</v>
      </c>
      <c r="H152" s="1678" t="str">
        <f>IF('Pnj APBDES'!H174="","",'Pnj APBDES'!H174)</f>
        <v>Snack Kotak</v>
      </c>
      <c r="I152" s="1679"/>
      <c r="J152" s="1650" t="str">
        <f>IF('Pnj APBDES'!N174="","",'Pnj APBDES'!N174)</f>
        <v>ADD</v>
      </c>
      <c r="K152" s="1619">
        <f>RKA!K104</f>
        <v>0</v>
      </c>
      <c r="L152" s="1619">
        <f>RKA!L104</f>
        <v>0</v>
      </c>
      <c r="M152" s="1619">
        <f>RKA!M104</f>
        <v>0</v>
      </c>
      <c r="N152" s="1619">
        <f>RKA!N104</f>
        <v>1050000</v>
      </c>
      <c r="O152" s="1619">
        <f>RKA!O104</f>
        <v>0</v>
      </c>
      <c r="P152" s="1619">
        <f>RKA!P104</f>
        <v>0</v>
      </c>
      <c r="Q152" s="1619">
        <f>RKA!Q104</f>
        <v>0</v>
      </c>
      <c r="R152" s="1619">
        <f>RKA!R104</f>
        <v>0</v>
      </c>
      <c r="S152" s="1619">
        <f>RKA!S104</f>
        <v>0</v>
      </c>
      <c r="T152" s="1619">
        <f>RKA!T104</f>
        <v>0</v>
      </c>
      <c r="U152" s="1619">
        <f>RKA!U104</f>
        <v>0</v>
      </c>
      <c r="V152" s="1619">
        <f>RKA!V104</f>
        <v>0</v>
      </c>
      <c r="W152" s="1619">
        <f t="shared" si="26"/>
        <v>1050000</v>
      </c>
    </row>
    <row r="153" spans="1:23">
      <c r="A153" s="1686">
        <f>IF('Pnj APBDES'!A175="","",'Pnj APBDES'!A175)</f>
        <v>1</v>
      </c>
      <c r="B153" s="1687">
        <f>IF('Pnj APBDES'!B175="","",'Pnj APBDES'!B175)</f>
        <v>4</v>
      </c>
      <c r="C153" s="1686">
        <f>IF('Pnj APBDES'!C175="","",'Pnj APBDES'!C175)</f>
        <v>10</v>
      </c>
      <c r="D153" s="1676">
        <f>IF('Pnj APBDES'!D175="","",'Pnj APBDES'!D175)</f>
        <v>5</v>
      </c>
      <c r="E153" s="1676">
        <f>IF('Pnj APBDES'!E175="","",'Pnj APBDES'!E175)</f>
        <v>2</v>
      </c>
      <c r="F153" s="1676">
        <f>IF('Pnj APBDES'!F175="","",'Pnj APBDES'!F175)</f>
        <v>6</v>
      </c>
      <c r="G153" s="1676">
        <f>IF('Pnj APBDES'!G175="","",'Pnj APBDES'!G175)</f>
        <v>3</v>
      </c>
      <c r="H153" s="1678" t="str">
        <f>IF('Pnj APBDES'!H175="","",'Pnj APBDES'!H175)</f>
        <v>Aqua</v>
      </c>
      <c r="I153" s="1679"/>
      <c r="J153" s="1650" t="str">
        <f>IF('Pnj APBDES'!N175="","",'Pnj APBDES'!N175)</f>
        <v>ADD</v>
      </c>
      <c r="K153" s="1619">
        <f>RKA!K105</f>
        <v>0</v>
      </c>
      <c r="L153" s="1619">
        <f>RKA!L105</f>
        <v>0</v>
      </c>
      <c r="M153" s="1619">
        <f>RKA!M105</f>
        <v>0</v>
      </c>
      <c r="N153" s="1619">
        <f>RKA!N105</f>
        <v>175000</v>
      </c>
      <c r="O153" s="1619">
        <f>RKA!O105</f>
        <v>0</v>
      </c>
      <c r="P153" s="1619">
        <f>RKA!P105</f>
        <v>0</v>
      </c>
      <c r="Q153" s="1619">
        <f>RKA!Q105</f>
        <v>0</v>
      </c>
      <c r="R153" s="1619">
        <f>RKA!R105</f>
        <v>0</v>
      </c>
      <c r="S153" s="1619">
        <f>RKA!S105</f>
        <v>0</v>
      </c>
      <c r="T153" s="1619">
        <f>RKA!T105</f>
        <v>0</v>
      </c>
      <c r="U153" s="1619">
        <f>RKA!U105</f>
        <v>0</v>
      </c>
      <c r="V153" s="1619">
        <f>RKA!V105</f>
        <v>0</v>
      </c>
      <c r="W153" s="1619">
        <f t="shared" si="26"/>
        <v>175000</v>
      </c>
    </row>
    <row r="154" spans="1:23">
      <c r="A154" s="1686" t="e">
        <f>IF('Pnj APBDES'!#REF!="","",'Pnj APBDES'!#REF!)</f>
        <v>#REF!</v>
      </c>
      <c r="B154" s="1687" t="e">
        <f>IF('Pnj APBDES'!#REF!="","",'Pnj APBDES'!#REF!)</f>
        <v>#REF!</v>
      </c>
      <c r="C154" s="1686" t="e">
        <f>IF('Pnj APBDES'!#REF!="","",'Pnj APBDES'!#REF!)</f>
        <v>#REF!</v>
      </c>
      <c r="D154" s="1676" t="e">
        <f>IF('Pnj APBDES'!#REF!="","",'Pnj APBDES'!#REF!)</f>
        <v>#REF!</v>
      </c>
      <c r="E154" s="1676" t="e">
        <f>IF('Pnj APBDES'!#REF!="","",'Pnj APBDES'!#REF!)</f>
        <v>#REF!</v>
      </c>
      <c r="F154" s="1676" t="e">
        <f>IF('Pnj APBDES'!#REF!="","",'Pnj APBDES'!#REF!)</f>
        <v>#REF!</v>
      </c>
      <c r="G154" s="1676" t="e">
        <f>IF('Pnj APBDES'!#REF!="","",'Pnj APBDES'!#REF!)</f>
        <v>#REF!</v>
      </c>
      <c r="H154" s="1678" t="e">
        <f>IF('Pnj APBDES'!#REF!="","",'Pnj APBDES'!#REF!)</f>
        <v>#REF!</v>
      </c>
      <c r="I154" s="1679"/>
      <c r="J154" s="1650" t="e">
        <f>IF('Pnj APBDES'!#REF!="","",'Pnj APBDES'!#REF!)</f>
        <v>#REF!</v>
      </c>
      <c r="K154" s="1619">
        <f>RKA!K106</f>
        <v>0</v>
      </c>
      <c r="L154" s="1619">
        <f>RKA!L106</f>
        <v>0</v>
      </c>
      <c r="M154" s="1619">
        <f>RKA!M106</f>
        <v>0</v>
      </c>
      <c r="N154" s="1619" t="e">
        <f>RKA!N106</f>
        <v>#REF!</v>
      </c>
      <c r="O154" s="1619">
        <f>RKA!O106</f>
        <v>0</v>
      </c>
      <c r="P154" s="1619">
        <f>RKA!P106</f>
        <v>0</v>
      </c>
      <c r="Q154" s="1619">
        <f>RKA!Q106</f>
        <v>0</v>
      </c>
      <c r="R154" s="1619">
        <f>RKA!R106</f>
        <v>0</v>
      </c>
      <c r="S154" s="1619">
        <f>RKA!S106</f>
        <v>0</v>
      </c>
      <c r="T154" s="1619">
        <f>RKA!T106</f>
        <v>0</v>
      </c>
      <c r="U154" s="1619">
        <f>RKA!U106</f>
        <v>0</v>
      </c>
      <c r="V154" s="1619">
        <f>RKA!V106</f>
        <v>0</v>
      </c>
      <c r="W154" s="1619" t="e">
        <f t="shared" si="26"/>
        <v>#REF!</v>
      </c>
    </row>
    <row r="155" spans="1:23">
      <c r="A155" s="1686" t="e">
        <f>IF('Pnj APBDES'!#REF!="","",'Pnj APBDES'!#REF!)</f>
        <v>#REF!</v>
      </c>
      <c r="B155" s="1687" t="e">
        <f>IF('Pnj APBDES'!#REF!="","",'Pnj APBDES'!#REF!)</f>
        <v>#REF!</v>
      </c>
      <c r="C155" s="1686" t="e">
        <f>IF('Pnj APBDES'!#REF!="","",'Pnj APBDES'!#REF!)</f>
        <v>#REF!</v>
      </c>
      <c r="D155" s="1676" t="e">
        <f>IF('Pnj APBDES'!#REF!="","",'Pnj APBDES'!#REF!)</f>
        <v>#REF!</v>
      </c>
      <c r="E155" s="1676" t="e">
        <f>IF('Pnj APBDES'!#REF!="","",'Pnj APBDES'!#REF!)</f>
        <v>#REF!</v>
      </c>
      <c r="F155" s="1676" t="e">
        <f>IF('Pnj APBDES'!#REF!="","",'Pnj APBDES'!#REF!)</f>
        <v>#REF!</v>
      </c>
      <c r="G155" s="1676" t="e">
        <f>IF('Pnj APBDES'!#REF!="","",'Pnj APBDES'!#REF!)</f>
        <v>#REF!</v>
      </c>
      <c r="H155" s="1678" t="e">
        <f>IF('Pnj APBDES'!#REF!="","",'Pnj APBDES'!#REF!)</f>
        <v>#REF!</v>
      </c>
      <c r="I155" s="1679"/>
      <c r="J155" s="1650" t="e">
        <f>IF('Pnj APBDES'!#REF!="","",'Pnj APBDES'!#REF!)</f>
        <v>#REF!</v>
      </c>
      <c r="K155" s="1619">
        <f>RKA!K107</f>
        <v>0</v>
      </c>
      <c r="L155" s="1619">
        <f>RKA!L107</f>
        <v>0</v>
      </c>
      <c r="M155" s="1619">
        <f>RKA!M107</f>
        <v>0</v>
      </c>
      <c r="N155" s="1619">
        <f>RKA!N107</f>
        <v>0</v>
      </c>
      <c r="O155" s="1619">
        <f>RKA!O107</f>
        <v>0</v>
      </c>
      <c r="P155" s="1619">
        <f>RKA!P107</f>
        <v>0</v>
      </c>
      <c r="Q155" s="1619">
        <f>RKA!Q107</f>
        <v>0</v>
      </c>
      <c r="R155" s="1619">
        <f>RKA!R107</f>
        <v>0</v>
      </c>
      <c r="S155" s="1619">
        <f>RKA!S107</f>
        <v>0</v>
      </c>
      <c r="T155" s="1619">
        <f>RKA!T107</f>
        <v>0</v>
      </c>
      <c r="U155" s="1619">
        <f>RKA!U107</f>
        <v>0</v>
      </c>
      <c r="V155" s="1619">
        <f>RKA!V107</f>
        <v>0</v>
      </c>
      <c r="W155" s="1619">
        <f t="shared" si="26"/>
        <v>0</v>
      </c>
    </row>
    <row r="156" spans="1:23">
      <c r="A156" s="1690">
        <f>IF('Pnj APBDES'!A181="","",'Pnj APBDES'!A181)</f>
        <v>1</v>
      </c>
      <c r="B156" s="1691">
        <f>IF('Pnj APBDES'!B181="","",'Pnj APBDES'!B181)</f>
        <v>5</v>
      </c>
      <c r="C156" s="1694" t="str">
        <f>IF('Pnj APBDES'!C181="","",'Pnj APBDES'!C181)</f>
        <v/>
      </c>
      <c r="D156" s="1676" t="str">
        <f>IF('Pnj APBDES'!D181="","",'Pnj APBDES'!D181)</f>
        <v/>
      </c>
      <c r="E156" s="1672" t="str">
        <f>IF('Pnj APBDES'!E181="","",'Pnj APBDES'!E181)</f>
        <v/>
      </c>
      <c r="F156" s="1672" t="str">
        <f>IF('Pnj APBDES'!F181="","",'Pnj APBDES'!F181)</f>
        <v/>
      </c>
      <c r="G156" s="1672" t="str">
        <f>IF('Pnj APBDES'!G181="","",'Pnj APBDES'!G181)</f>
        <v/>
      </c>
      <c r="H156" s="1695" t="str">
        <f>IF('Pnj APBDES'!H181="","",'Pnj APBDES'!H181)</f>
        <v>Pertanahan</v>
      </c>
      <c r="I156" s="1675"/>
      <c r="J156" s="1650" t="str">
        <f>IF('Pnj APBDES'!N181="","",'Pnj APBDES'!N181)</f>
        <v/>
      </c>
      <c r="K156" s="1619">
        <f>RKA!K108</f>
        <v>0</v>
      </c>
      <c r="L156" s="1619">
        <f>RKA!L108</f>
        <v>0</v>
      </c>
      <c r="M156" s="1619">
        <f>RKA!M108</f>
        <v>0</v>
      </c>
      <c r="N156" s="1619">
        <f>RKA!N108</f>
        <v>0</v>
      </c>
      <c r="O156" s="1619">
        <f>RKA!O108</f>
        <v>0</v>
      </c>
      <c r="P156" s="1619">
        <f>RKA!P108</f>
        <v>0</v>
      </c>
      <c r="Q156" s="1619">
        <f>RKA!Q108</f>
        <v>0</v>
      </c>
      <c r="R156" s="1619">
        <f>RKA!R108</f>
        <v>1209000</v>
      </c>
      <c r="S156" s="1619">
        <f>RKA!S108</f>
        <v>0</v>
      </c>
      <c r="T156" s="1619">
        <f>RKA!T108</f>
        <v>8600000</v>
      </c>
      <c r="U156" s="1619">
        <f>RKA!U108</f>
        <v>0</v>
      </c>
      <c r="V156" s="1619">
        <f>RKA!V108</f>
        <v>0</v>
      </c>
      <c r="W156" s="1619">
        <f t="shared" si="26"/>
        <v>9809000</v>
      </c>
    </row>
    <row r="157" spans="1:23">
      <c r="A157" s="1686">
        <f>IF('Pnj APBDES'!A182="","",'Pnj APBDES'!A182)</f>
        <v>1</v>
      </c>
      <c r="B157" s="1687">
        <f>IF('Pnj APBDES'!B182="","",'Pnj APBDES'!B182)</f>
        <v>5</v>
      </c>
      <c r="C157" s="1689" t="str">
        <f>IF('Pnj APBDES'!C182="","",'Pnj APBDES'!C182)</f>
        <v>06</v>
      </c>
      <c r="D157" s="1676" t="str">
        <f>IF('Pnj APBDES'!D182="","",'Pnj APBDES'!D182)</f>
        <v/>
      </c>
      <c r="E157" s="1676" t="str">
        <f>IF('Pnj APBDES'!E182="","",'Pnj APBDES'!E182)</f>
        <v/>
      </c>
      <c r="F157" s="1676" t="str">
        <f>IF('Pnj APBDES'!F182="","",'Pnj APBDES'!F182)</f>
        <v/>
      </c>
      <c r="G157" s="1676" t="str">
        <f>IF('Pnj APBDES'!G182="","",'Pnj APBDES'!G182)</f>
        <v/>
      </c>
      <c r="H157" s="1696" t="str">
        <f>IF('Pnj APBDES'!H182="","",'Pnj APBDES'!H182)</f>
        <v>Administrasi Pajak Bumi dan Bangunan (PBB)</v>
      </c>
      <c r="I157" s="1679"/>
      <c r="J157" s="1650" t="str">
        <f>IF('Pnj APBDES'!N182="","",'Pnj APBDES'!N182)</f>
        <v/>
      </c>
      <c r="K157" s="1619">
        <f>RKA!K109</f>
        <v>0</v>
      </c>
      <c r="L157" s="1619">
        <f>RKA!L109</f>
        <v>0</v>
      </c>
      <c r="M157" s="1619">
        <f>RKA!M109</f>
        <v>0</v>
      </c>
      <c r="N157" s="1619">
        <f>RKA!N109</f>
        <v>0</v>
      </c>
      <c r="O157" s="1619">
        <f>RKA!O109</f>
        <v>0</v>
      </c>
      <c r="P157" s="1619">
        <f>RKA!P109</f>
        <v>0</v>
      </c>
      <c r="Q157" s="1619">
        <f>RKA!Q109</f>
        <v>0</v>
      </c>
      <c r="R157" s="1619">
        <f>RKA!R109</f>
        <v>1209000</v>
      </c>
      <c r="S157" s="1619">
        <f>RKA!S109</f>
        <v>0</v>
      </c>
      <c r="T157" s="1619">
        <f>RKA!T109</f>
        <v>0</v>
      </c>
      <c r="U157" s="1619">
        <f>RKA!U109</f>
        <v>0</v>
      </c>
      <c r="V157" s="1619">
        <f>RKA!V109</f>
        <v>0</v>
      </c>
      <c r="W157" s="1619">
        <f t="shared" si="26"/>
        <v>1209000</v>
      </c>
    </row>
    <row r="158" spans="1:23">
      <c r="A158" s="1686">
        <f>IF('Pnj APBDES'!A183="","",'Pnj APBDES'!A183)</f>
        <v>1</v>
      </c>
      <c r="B158" s="1687">
        <f>IF('Pnj APBDES'!B183="","",'Pnj APBDES'!B183)</f>
        <v>5</v>
      </c>
      <c r="C158" s="1689" t="str">
        <f>IF('Pnj APBDES'!C183="","",'Pnj APBDES'!C183)</f>
        <v>06</v>
      </c>
      <c r="D158" s="1676">
        <f>IF('Pnj APBDES'!D183="","",'Pnj APBDES'!D183)</f>
        <v>5</v>
      </c>
      <c r="E158" s="1676">
        <f>IF('Pnj APBDES'!E183="","",'Pnj APBDES'!E183)</f>
        <v>2</v>
      </c>
      <c r="F158" s="1676" t="str">
        <f>IF('Pnj APBDES'!F183="","",'Pnj APBDES'!F183)</f>
        <v/>
      </c>
      <c r="G158" s="1676" t="str">
        <f>IF('Pnj APBDES'!G183="","",'Pnj APBDES'!G183)</f>
        <v/>
      </c>
      <c r="H158" s="1678" t="str">
        <f>IF('Pnj APBDES'!H183="","",'Pnj APBDES'!H183)</f>
        <v>Belanja Barang dan Jasa</v>
      </c>
      <c r="I158" s="1679"/>
      <c r="J158" s="1650" t="str">
        <f>IF('Pnj APBDES'!N183="","",'Pnj APBDES'!N183)</f>
        <v/>
      </c>
      <c r="K158" s="1619">
        <f>RKA!K110</f>
        <v>0</v>
      </c>
      <c r="L158" s="1619">
        <f>RKA!L110</f>
        <v>0</v>
      </c>
      <c r="M158" s="1619">
        <f>RKA!M110</f>
        <v>0</v>
      </c>
      <c r="N158" s="1619">
        <f>RKA!N110</f>
        <v>0</v>
      </c>
      <c r="O158" s="1619">
        <f>RKA!O110</f>
        <v>0</v>
      </c>
      <c r="P158" s="1619">
        <f>RKA!P110</f>
        <v>0</v>
      </c>
      <c r="Q158" s="1619">
        <f>RKA!Q110</f>
        <v>0</v>
      </c>
      <c r="R158" s="1619">
        <f>RKA!R110</f>
        <v>1209000</v>
      </c>
      <c r="S158" s="1619">
        <f>RKA!S110</f>
        <v>0</v>
      </c>
      <c r="T158" s="1619">
        <f>RKA!T110</f>
        <v>0</v>
      </c>
      <c r="U158" s="1619">
        <f>RKA!U110</f>
        <v>0</v>
      </c>
      <c r="V158" s="1619">
        <f>RKA!V110</f>
        <v>0</v>
      </c>
      <c r="W158" s="1619">
        <f t="shared" si="26"/>
        <v>1209000</v>
      </c>
    </row>
    <row r="159" spans="1:23">
      <c r="A159" s="1686">
        <f>IF('Pnj APBDES'!A184="","",'Pnj APBDES'!A184)</f>
        <v>1</v>
      </c>
      <c r="B159" s="1687">
        <f>IF('Pnj APBDES'!B184="","",'Pnj APBDES'!B184)</f>
        <v>5</v>
      </c>
      <c r="C159" s="1689" t="str">
        <f>IF('Pnj APBDES'!C184="","",'Pnj APBDES'!C184)</f>
        <v>06</v>
      </c>
      <c r="D159" s="1676">
        <f>IF('Pnj APBDES'!D184="","",'Pnj APBDES'!D184)</f>
        <v>5</v>
      </c>
      <c r="E159" s="1676">
        <f>IF('Pnj APBDES'!E184="","",'Pnj APBDES'!E184)</f>
        <v>2</v>
      </c>
      <c r="F159" s="1676">
        <f>IF('Pnj APBDES'!F184="","",'Pnj APBDES'!F184)</f>
        <v>2</v>
      </c>
      <c r="G159" s="1676" t="str">
        <f>IF('Pnj APBDES'!G184="","",'Pnj APBDES'!G184)</f>
        <v/>
      </c>
      <c r="H159" s="1678" t="str">
        <f>IF('Pnj APBDES'!H184="","",'Pnj APBDES'!H184)</f>
        <v>Belanja Jasa Honorarium</v>
      </c>
      <c r="I159" s="1679"/>
      <c r="J159" s="1650" t="str">
        <f>IF('Pnj APBDES'!N184="","",'Pnj APBDES'!N184)</f>
        <v/>
      </c>
      <c r="K159" s="1619">
        <f>RKA!K111</f>
        <v>0</v>
      </c>
      <c r="L159" s="1619">
        <f>RKA!L111</f>
        <v>0</v>
      </c>
      <c r="M159" s="1619">
        <f>RKA!M111</f>
        <v>0</v>
      </c>
      <c r="N159" s="1619">
        <f>RKA!N111</f>
        <v>0</v>
      </c>
      <c r="O159" s="1619">
        <f>RKA!O111</f>
        <v>0</v>
      </c>
      <c r="P159" s="1619">
        <f>RKA!P111</f>
        <v>0</v>
      </c>
      <c r="Q159" s="1619">
        <f>RKA!Q111</f>
        <v>0</v>
      </c>
      <c r="R159" s="1619">
        <f>RKA!R111</f>
        <v>1209000</v>
      </c>
      <c r="S159" s="1619">
        <f>RKA!S111</f>
        <v>0</v>
      </c>
      <c r="T159" s="1619">
        <f>RKA!T111</f>
        <v>0</v>
      </c>
      <c r="U159" s="1619">
        <f>RKA!U111</f>
        <v>0</v>
      </c>
      <c r="V159" s="1619">
        <f>RKA!V111</f>
        <v>0</v>
      </c>
      <c r="W159" s="1619">
        <f t="shared" si="26"/>
        <v>1209000</v>
      </c>
    </row>
    <row r="160" spans="1:23">
      <c r="A160" s="1686">
        <f>IF('Pnj APBDES'!A185="","",'Pnj APBDES'!A185)</f>
        <v>1</v>
      </c>
      <c r="B160" s="1687">
        <f>IF('Pnj APBDES'!B185="","",'Pnj APBDES'!B185)</f>
        <v>5</v>
      </c>
      <c r="C160" s="1689" t="str">
        <f>IF('Pnj APBDES'!C185="","",'Pnj APBDES'!C185)</f>
        <v>06</v>
      </c>
      <c r="D160" s="1676">
        <f>IF('Pnj APBDES'!D185="","",'Pnj APBDES'!D185)</f>
        <v>5</v>
      </c>
      <c r="E160" s="1676">
        <f>IF('Pnj APBDES'!E185="","",'Pnj APBDES'!E185)</f>
        <v>2</v>
      </c>
      <c r="F160" s="1676">
        <f>IF('Pnj APBDES'!F185="","",'Pnj APBDES'!F185)</f>
        <v>2</v>
      </c>
      <c r="G160" s="1676">
        <f>IF('Pnj APBDES'!G185="","",'Pnj APBDES'!G185)</f>
        <v>5</v>
      </c>
      <c r="H160" s="1678" t="str">
        <f>IF('Pnj APBDES'!H185="","",'Pnj APBDES'!H185)</f>
        <v>Belanja Jasa Honorarium Petugas</v>
      </c>
      <c r="I160" s="1679"/>
      <c r="J160" s="1650" t="str">
        <f>IF('Pnj APBDES'!N185="","",'Pnj APBDES'!N185)</f>
        <v>PBH</v>
      </c>
      <c r="K160" s="1619">
        <f>RKA!K112</f>
        <v>0</v>
      </c>
      <c r="L160" s="1619">
        <f>RKA!L112</f>
        <v>0</v>
      </c>
      <c r="M160" s="1619">
        <f>RKA!M112</f>
        <v>0</v>
      </c>
      <c r="N160" s="1619">
        <f>RKA!N112</f>
        <v>0</v>
      </c>
      <c r="O160" s="1619">
        <f>RKA!O112</f>
        <v>0</v>
      </c>
      <c r="P160" s="1619">
        <f>RKA!P112</f>
        <v>0</v>
      </c>
      <c r="Q160" s="1619">
        <f>RKA!Q112</f>
        <v>0</v>
      </c>
      <c r="R160" s="1619">
        <f>RKA!R112</f>
        <v>1209000</v>
      </c>
      <c r="S160" s="1619">
        <f>RKA!S112</f>
        <v>0</v>
      </c>
      <c r="T160" s="1619">
        <f>RKA!T112</f>
        <v>0</v>
      </c>
      <c r="U160" s="1619">
        <f>RKA!U112</f>
        <v>0</v>
      </c>
      <c r="V160" s="1619">
        <f>RKA!V112</f>
        <v>0</v>
      </c>
      <c r="W160" s="1619">
        <f t="shared" si="26"/>
        <v>1209000</v>
      </c>
    </row>
    <row r="161" spans="1:25">
      <c r="A161" s="1690">
        <f>IF('Pnj APBDES'!A186="","",'Pnj APBDES'!A186)</f>
        <v>1</v>
      </c>
      <c r="B161" s="1691">
        <f>IF('Pnj APBDES'!B186="","",'Pnj APBDES'!B186)</f>
        <v>5</v>
      </c>
      <c r="C161" s="1694">
        <f>IF('Pnj APBDES'!C186="","",'Pnj APBDES'!C186)</f>
        <v>90</v>
      </c>
      <c r="D161" s="1672" t="str">
        <f>IF('Pnj APBDES'!D186="","",'Pnj APBDES'!D186)</f>
        <v/>
      </c>
      <c r="E161" s="1672" t="str">
        <f>IF('Pnj APBDES'!E186="","",'Pnj APBDES'!E186)</f>
        <v/>
      </c>
      <c r="F161" s="1672" t="str">
        <f>IF('Pnj APBDES'!F186="","",'Pnj APBDES'!F186)</f>
        <v/>
      </c>
      <c r="G161" s="1672" t="str">
        <f>IF('Pnj APBDES'!G186="","",'Pnj APBDES'!G186)</f>
        <v/>
      </c>
      <c r="H161" s="1674" t="str">
        <f>IF('Pnj APBDES'!H186="","",'Pnj APBDES'!H186)</f>
        <v>Pengelolaan Tanah kas Desa</v>
      </c>
      <c r="I161" s="1675"/>
      <c r="J161" s="1650" t="str">
        <f>IF('Pnj APBDES'!N186="","",'Pnj APBDES'!N186)</f>
        <v/>
      </c>
      <c r="K161" s="1619">
        <f>RKA!K113</f>
        <v>0</v>
      </c>
      <c r="L161" s="1619">
        <f>RKA!L113</f>
        <v>0</v>
      </c>
      <c r="M161" s="1619">
        <f>RKA!M113</f>
        <v>0</v>
      </c>
      <c r="N161" s="1619">
        <f>RKA!N113</f>
        <v>0</v>
      </c>
      <c r="O161" s="1619">
        <f>RKA!O113</f>
        <v>0</v>
      </c>
      <c r="P161" s="1619">
        <f>RKA!P113</f>
        <v>0</v>
      </c>
      <c r="Q161" s="1619">
        <f>RKA!Q113</f>
        <v>0</v>
      </c>
      <c r="R161" s="1619">
        <f>RKA!R113</f>
        <v>0</v>
      </c>
      <c r="S161" s="1619">
        <f>RKA!S113</f>
        <v>0</v>
      </c>
      <c r="T161" s="1619">
        <f>RKA!T113</f>
        <v>8600000</v>
      </c>
      <c r="U161" s="1619">
        <f>RKA!U113</f>
        <v>0</v>
      </c>
      <c r="V161" s="1619">
        <f>RKA!V113</f>
        <v>0</v>
      </c>
      <c r="W161" s="1619">
        <f t="shared" si="26"/>
        <v>8600000</v>
      </c>
    </row>
    <row r="162" spans="1:25">
      <c r="A162" s="1686">
        <f>IF('Pnj APBDES'!A187="","",'Pnj APBDES'!A187)</f>
        <v>1</v>
      </c>
      <c r="B162" s="1687">
        <f>IF('Pnj APBDES'!B187="","",'Pnj APBDES'!B187)</f>
        <v>5</v>
      </c>
      <c r="C162" s="1689">
        <f>IF('Pnj APBDES'!C187="","",'Pnj APBDES'!C187)</f>
        <v>90</v>
      </c>
      <c r="D162" s="1676">
        <f>IF('Pnj APBDES'!D187="","",'Pnj APBDES'!D187)</f>
        <v>5</v>
      </c>
      <c r="E162" s="1676">
        <f>IF('Pnj APBDES'!E187="","",'Pnj APBDES'!E187)</f>
        <v>2</v>
      </c>
      <c r="F162" s="1676" t="str">
        <f>IF('Pnj APBDES'!F187="","",'Pnj APBDES'!F187)</f>
        <v/>
      </c>
      <c r="G162" s="1676" t="str">
        <f>IF('Pnj APBDES'!G187="","",'Pnj APBDES'!G187)</f>
        <v/>
      </c>
      <c r="H162" s="1678" t="str">
        <f>IF('Pnj APBDES'!H187="","",'Pnj APBDES'!H187)</f>
        <v>Belanja Barang dan Jasa</v>
      </c>
      <c r="I162" s="1679"/>
      <c r="J162" s="1650" t="str">
        <f>IF('Pnj APBDES'!N187="","",'Pnj APBDES'!N187)</f>
        <v/>
      </c>
      <c r="K162" s="1619">
        <f>RKA!K114</f>
        <v>0</v>
      </c>
      <c r="L162" s="1619">
        <f>RKA!L114</f>
        <v>0</v>
      </c>
      <c r="M162" s="1619">
        <f>RKA!M114</f>
        <v>0</v>
      </c>
      <c r="N162" s="1619">
        <f>RKA!N114</f>
        <v>0</v>
      </c>
      <c r="O162" s="1619">
        <f>RKA!O114</f>
        <v>0</v>
      </c>
      <c r="P162" s="1619">
        <f>RKA!P114</f>
        <v>0</v>
      </c>
      <c r="Q162" s="1619">
        <f>RKA!Q114</f>
        <v>0</v>
      </c>
      <c r="R162" s="1619">
        <f>RKA!R114</f>
        <v>0</v>
      </c>
      <c r="S162" s="1619">
        <f>RKA!S114</f>
        <v>0</v>
      </c>
      <c r="T162" s="1619">
        <f>RKA!T114</f>
        <v>8600000</v>
      </c>
      <c r="U162" s="1619">
        <f>RKA!U114</f>
        <v>0</v>
      </c>
      <c r="V162" s="1619">
        <f>RKA!V114</f>
        <v>0</v>
      </c>
      <c r="W162" s="1619">
        <f t="shared" si="26"/>
        <v>8600000</v>
      </c>
    </row>
    <row r="163" spans="1:25">
      <c r="A163" s="1686">
        <f>IF('Pnj APBDES'!A188="","",'Pnj APBDES'!A188)</f>
        <v>1</v>
      </c>
      <c r="B163" s="1687">
        <f>IF('Pnj APBDES'!B188="","",'Pnj APBDES'!B188)</f>
        <v>5</v>
      </c>
      <c r="C163" s="1689">
        <f>IF('Pnj APBDES'!C188="","",'Pnj APBDES'!C188)</f>
        <v>90</v>
      </c>
      <c r="D163" s="1676">
        <f>IF('Pnj APBDES'!D188="","",'Pnj APBDES'!D188)</f>
        <v>5</v>
      </c>
      <c r="E163" s="1676">
        <f>IF('Pnj APBDES'!E188="","",'Pnj APBDES'!E188)</f>
        <v>2</v>
      </c>
      <c r="F163" s="1676">
        <f>IF('Pnj APBDES'!F188="","",'Pnj APBDES'!F188)</f>
        <v>1</v>
      </c>
      <c r="G163" s="1676" t="str">
        <f>IF('Pnj APBDES'!G188="","",'Pnj APBDES'!G188)</f>
        <v/>
      </c>
      <c r="H163" s="1678" t="str">
        <f>IF('Pnj APBDES'!H188="","",'Pnj APBDES'!H188)</f>
        <v>Belanja barang perlengkapan</v>
      </c>
      <c r="I163" s="1679"/>
      <c r="J163" s="1650" t="str">
        <f>IF('Pnj APBDES'!N188="","",'Pnj APBDES'!N188)</f>
        <v/>
      </c>
      <c r="K163" s="1619">
        <f>RKA!K115</f>
        <v>0</v>
      </c>
      <c r="L163" s="1619">
        <f>RKA!L115</f>
        <v>0</v>
      </c>
      <c r="M163" s="1619">
        <f>RKA!M115</f>
        <v>0</v>
      </c>
      <c r="N163" s="1619">
        <f>RKA!N115</f>
        <v>0</v>
      </c>
      <c r="O163" s="1619">
        <f>RKA!O115</f>
        <v>0</v>
      </c>
      <c r="P163" s="1619">
        <f>RKA!P115</f>
        <v>0</v>
      </c>
      <c r="Q163" s="1619">
        <f>RKA!Q115</f>
        <v>0</v>
      </c>
      <c r="R163" s="1619">
        <f>RKA!R115</f>
        <v>0</v>
      </c>
      <c r="S163" s="1619">
        <f>RKA!S115</f>
        <v>0</v>
      </c>
      <c r="T163" s="1619">
        <f>RKA!T115</f>
        <v>8600000</v>
      </c>
      <c r="U163" s="1619">
        <f>RKA!U115</f>
        <v>0</v>
      </c>
      <c r="V163" s="1619">
        <f>RKA!V115</f>
        <v>0</v>
      </c>
      <c r="W163" s="1619">
        <f t="shared" si="26"/>
        <v>8600000</v>
      </c>
    </row>
    <row r="164" spans="1:25">
      <c r="A164" s="1686">
        <f>IF('Pnj APBDES'!A189="","",'Pnj APBDES'!A189)</f>
        <v>1</v>
      </c>
      <c r="B164" s="1687">
        <f>IF('Pnj APBDES'!B189="","",'Pnj APBDES'!B189)</f>
        <v>5</v>
      </c>
      <c r="C164" s="1689">
        <f>IF('Pnj APBDES'!C189="","",'Pnj APBDES'!C189)</f>
        <v>90</v>
      </c>
      <c r="D164" s="1676">
        <f>IF('Pnj APBDES'!D189="","",'Pnj APBDES'!D189)</f>
        <v>5</v>
      </c>
      <c r="E164" s="1676">
        <f>IF('Pnj APBDES'!E189="","",'Pnj APBDES'!E189)</f>
        <v>2</v>
      </c>
      <c r="F164" s="1676">
        <f>IF('Pnj APBDES'!F189="","",'Pnj APBDES'!F189)</f>
        <v>1</v>
      </c>
      <c r="G164" s="1676">
        <f>IF('Pnj APBDES'!G189="","",'Pnj APBDES'!G189)</f>
        <v>12</v>
      </c>
      <c r="H164" s="1678" t="str">
        <f>IF('Pnj APBDES'!H189="","",'Pnj APBDES'!H189)</f>
        <v>Belanja Pupuk / Obat- obatan pertanian</v>
      </c>
      <c r="I164" s="1679"/>
      <c r="J164" s="1650" t="str">
        <f>IF('Pnj APBDES'!N189="","",'Pnj APBDES'!N189)</f>
        <v>PAD</v>
      </c>
      <c r="K164" s="1619">
        <f>RKA!K116</f>
        <v>0</v>
      </c>
      <c r="L164" s="1619">
        <f>RKA!L116</f>
        <v>0</v>
      </c>
      <c r="M164" s="1619">
        <f>RKA!M116</f>
        <v>0</v>
      </c>
      <c r="N164" s="1619">
        <f>RKA!N116</f>
        <v>0</v>
      </c>
      <c r="O164" s="1619">
        <f>RKA!O116</f>
        <v>0</v>
      </c>
      <c r="P164" s="1619">
        <f>RKA!P116</f>
        <v>0</v>
      </c>
      <c r="Q164" s="1619">
        <f>RKA!Q116</f>
        <v>0</v>
      </c>
      <c r="R164" s="1619">
        <f>RKA!R116</f>
        <v>0</v>
      </c>
      <c r="S164" s="1619">
        <f>RKA!S116</f>
        <v>0</v>
      </c>
      <c r="T164" s="1619">
        <f>RKA!T116</f>
        <v>8600000</v>
      </c>
      <c r="U164" s="1619">
        <f>RKA!U116</f>
        <v>0</v>
      </c>
      <c r="V164" s="1619">
        <f>RKA!V116</f>
        <v>0</v>
      </c>
      <c r="W164" s="1619">
        <f t="shared" si="26"/>
        <v>8600000</v>
      </c>
    </row>
    <row r="165" spans="1:25">
      <c r="A165" s="1605"/>
      <c r="B165" s="1606"/>
      <c r="C165" s="1607"/>
      <c r="D165" s="1605"/>
      <c r="E165" s="1606"/>
      <c r="F165" s="1606"/>
      <c r="G165" s="1621"/>
      <c r="H165" s="1622"/>
      <c r="I165" s="1624"/>
      <c r="J165" s="1650" t="str">
        <f>IF('Pnj APBDES'!N190="","",'Pnj APBDES'!N190)</f>
        <v/>
      </c>
      <c r="K165" s="1619">
        <f>RKA!K117</f>
        <v>0</v>
      </c>
      <c r="L165" s="1619">
        <f>RKA!L117</f>
        <v>0</v>
      </c>
      <c r="M165" s="1619">
        <f>RKA!M117</f>
        <v>0</v>
      </c>
      <c r="N165" s="1619">
        <f>RKA!N117</f>
        <v>0</v>
      </c>
      <c r="O165" s="1619">
        <f>RKA!O117</f>
        <v>0</v>
      </c>
      <c r="P165" s="1619">
        <f>RKA!P117</f>
        <v>0</v>
      </c>
      <c r="Q165" s="1619">
        <f>RKA!Q117</f>
        <v>0</v>
      </c>
      <c r="R165" s="1619">
        <f>RKA!R117</f>
        <v>0</v>
      </c>
      <c r="S165" s="1619">
        <f>RKA!S117</f>
        <v>0</v>
      </c>
      <c r="T165" s="1619">
        <f>RKA!T117</f>
        <v>0</v>
      </c>
      <c r="U165" s="1619">
        <f>RKA!U117</f>
        <v>0</v>
      </c>
      <c r="V165" s="1619">
        <f>RKA!V117</f>
        <v>0</v>
      </c>
      <c r="W165" s="1619">
        <f t="shared" si="26"/>
        <v>0</v>
      </c>
    </row>
    <row r="166" spans="1:25" ht="23.25" customHeight="1">
      <c r="A166" s="1669">
        <v>2</v>
      </c>
      <c r="B166" s="1697"/>
      <c r="C166" s="1697"/>
      <c r="D166" s="1698"/>
      <c r="E166" s="1669"/>
      <c r="F166" s="1669"/>
      <c r="G166" s="1669"/>
      <c r="H166" s="1623" t="s">
        <v>1191</v>
      </c>
      <c r="I166" s="1671">
        <f>'Pnj APBDES'!K191</f>
        <v>627978050</v>
      </c>
      <c r="J166" s="1650" t="str">
        <f>IF('Pnj APBDES'!N191="","",'Pnj APBDES'!N191)</f>
        <v/>
      </c>
      <c r="K166" s="1619">
        <f>RKA!K118</f>
        <v>2900000</v>
      </c>
      <c r="L166" s="1619">
        <f>RKA!L118</f>
        <v>2900000</v>
      </c>
      <c r="M166" s="1619">
        <f>RKA!M118</f>
        <v>257411000</v>
      </c>
      <c r="N166" s="1619" t="e">
        <f>RKA!N118</f>
        <v>#REF!</v>
      </c>
      <c r="O166" s="1619">
        <f>RKA!O118</f>
        <v>42950000</v>
      </c>
      <c r="P166" s="1619">
        <f>RKA!P118</f>
        <v>105050000</v>
      </c>
      <c r="Q166" s="1619">
        <f>RKA!Q118</f>
        <v>5800000</v>
      </c>
      <c r="R166" s="1619">
        <f>RKA!R118</f>
        <v>195359800</v>
      </c>
      <c r="S166" s="1619">
        <f>RKA!S118</f>
        <v>2950000</v>
      </c>
      <c r="T166" s="1619">
        <f>RKA!T118</f>
        <v>161086000</v>
      </c>
      <c r="U166" s="1619">
        <f>RKA!U118</f>
        <v>2950000</v>
      </c>
      <c r="V166" s="1619">
        <f>RKA!V118</f>
        <v>2900000</v>
      </c>
      <c r="W166" s="1619" t="e">
        <f t="shared" si="26"/>
        <v>#REF!</v>
      </c>
      <c r="Y166" s="1578" t="e">
        <f t="shared" si="27"/>
        <v>#REF!</v>
      </c>
    </row>
    <row r="167" spans="1:25">
      <c r="A167" s="1672">
        <f>IF('Pnj APBDES'!A192="","",'Pnj APBDES'!A192)</f>
        <v>2</v>
      </c>
      <c r="B167" s="1673">
        <f>IF('Pnj APBDES'!B192="","",'Pnj APBDES'!B192)</f>
        <v>1</v>
      </c>
      <c r="C167" s="1673" t="str">
        <f>IF('Pnj APBDES'!C192="","",'Pnj APBDES'!C192)</f>
        <v/>
      </c>
      <c r="D167" s="1676" t="str">
        <f>IF('Pnj APBDES'!D192="","",'Pnj APBDES'!D192)</f>
        <v/>
      </c>
      <c r="E167" s="1672" t="str">
        <f>IF('Pnj APBDES'!E192="","",'Pnj APBDES'!E192)</f>
        <v/>
      </c>
      <c r="F167" s="1672" t="str">
        <f>IF('Pnj APBDES'!F192="","",'Pnj APBDES'!F192)</f>
        <v/>
      </c>
      <c r="G167" s="1672" t="str">
        <f>IF('Pnj APBDES'!G192="","",'Pnj APBDES'!G192)</f>
        <v/>
      </c>
      <c r="H167" s="1674" t="str">
        <f>IF('Pnj APBDES'!H192="","",'Pnj APBDES'!H192)</f>
        <v>Pendidikan</v>
      </c>
      <c r="I167" s="1675">
        <f>'Pnj APBDES'!K192</f>
        <v>57951050</v>
      </c>
      <c r="J167" s="1650" t="str">
        <f>IF('Pnj APBDES'!N192="","",'Pnj APBDES'!N192)</f>
        <v/>
      </c>
      <c r="K167" s="1619">
        <f>RKA!K119</f>
        <v>1900000</v>
      </c>
      <c r="L167" s="1619">
        <f>RKA!L119</f>
        <v>1900000</v>
      </c>
      <c r="M167" s="1619">
        <f>RKA!M119</f>
        <v>1900000</v>
      </c>
      <c r="N167" s="1619" t="e">
        <f>RKA!N119</f>
        <v>#REF!</v>
      </c>
      <c r="O167" s="1619">
        <f>RKA!O119</f>
        <v>1900000</v>
      </c>
      <c r="P167" s="1619">
        <f>RKA!P119</f>
        <v>1900000</v>
      </c>
      <c r="Q167" s="1619">
        <f>RKA!Q119</f>
        <v>1900000</v>
      </c>
      <c r="R167" s="1619">
        <f>RKA!R119</f>
        <v>1900000</v>
      </c>
      <c r="S167" s="1619">
        <f>RKA!S119</f>
        <v>1900000</v>
      </c>
      <c r="T167" s="1619">
        <f>RKA!T119</f>
        <v>1900000</v>
      </c>
      <c r="U167" s="1619">
        <f>RKA!U119</f>
        <v>1900000</v>
      </c>
      <c r="V167" s="1619">
        <f>RKA!V119</f>
        <v>1900000</v>
      </c>
      <c r="W167" s="1619" t="e">
        <f t="shared" si="26"/>
        <v>#REF!</v>
      </c>
      <c r="Y167" s="1578" t="e">
        <f t="shared" si="27"/>
        <v>#REF!</v>
      </c>
    </row>
    <row r="168" spans="1:25">
      <c r="A168" s="1699">
        <f>IF('Pnj APBDES'!A193="","",'Pnj APBDES'!A193)</f>
        <v>2</v>
      </c>
      <c r="B168" s="1687">
        <f>IF('Pnj APBDES'!B193="","",'Pnj APBDES'!B193)</f>
        <v>1</v>
      </c>
      <c r="C168" s="1687" t="str">
        <f>IF('Pnj APBDES'!C193="","",'Pnj APBDES'!C193)</f>
        <v>01</v>
      </c>
      <c r="D168" s="1676" t="str">
        <f>IF('Pnj APBDES'!D193="","",'Pnj APBDES'!D193)</f>
        <v/>
      </c>
      <c r="E168" s="1676" t="str">
        <f>IF('Pnj APBDES'!E193="","",'Pnj APBDES'!E193)</f>
        <v/>
      </c>
      <c r="F168" s="1676" t="str">
        <f>IF('Pnj APBDES'!F193="","",'Pnj APBDES'!F193)</f>
        <v/>
      </c>
      <c r="G168" s="1676" t="str">
        <f>IF('Pnj APBDES'!G193="","",'Pnj APBDES'!G193)</f>
        <v/>
      </c>
      <c r="H168" s="1688" t="str">
        <f>IF('Pnj APBDES'!H193="","",'Pnj APBDES'!H193)</f>
        <v>Penyelenggaraan PAUD/TK/Madrasya Non  formal Milik Desa</v>
      </c>
      <c r="I168" s="1679">
        <f>'Pnj APBDES'!K193</f>
        <v>22800000</v>
      </c>
      <c r="J168" s="1650" t="str">
        <f>IF('Pnj APBDES'!N193="","",'Pnj APBDES'!N193)</f>
        <v/>
      </c>
      <c r="K168" s="1619">
        <f>RKA!K120</f>
        <v>1900000</v>
      </c>
      <c r="L168" s="1619">
        <f>RKA!L120</f>
        <v>1900000</v>
      </c>
      <c r="M168" s="1619">
        <f>RKA!M120</f>
        <v>1900000</v>
      </c>
      <c r="N168" s="1619" t="e">
        <f>RKA!N120</f>
        <v>#REF!</v>
      </c>
      <c r="O168" s="1619">
        <f>RKA!O120</f>
        <v>1900000</v>
      </c>
      <c r="P168" s="1619">
        <f>RKA!P120</f>
        <v>1900000</v>
      </c>
      <c r="Q168" s="1619">
        <f>RKA!Q120</f>
        <v>1900000</v>
      </c>
      <c r="R168" s="1619">
        <f>RKA!R120</f>
        <v>1900000</v>
      </c>
      <c r="S168" s="1619">
        <f>RKA!S120</f>
        <v>1900000</v>
      </c>
      <c r="T168" s="1619">
        <f>RKA!T120</f>
        <v>1900000</v>
      </c>
      <c r="U168" s="1619">
        <f>RKA!U120</f>
        <v>1900000</v>
      </c>
      <c r="V168" s="1619">
        <f>RKA!V120</f>
        <v>1900000</v>
      </c>
      <c r="W168" s="1619" t="e">
        <f t="shared" si="26"/>
        <v>#REF!</v>
      </c>
      <c r="Y168" s="1578" t="e">
        <f t="shared" si="27"/>
        <v>#REF!</v>
      </c>
    </row>
    <row r="169" spans="1:25">
      <c r="A169" s="1699">
        <f>IF('Pnj APBDES'!A194="","",'Pnj APBDES'!A194)</f>
        <v>2</v>
      </c>
      <c r="B169" s="1687">
        <f>IF('Pnj APBDES'!B194="","",'Pnj APBDES'!B194)</f>
        <v>1</v>
      </c>
      <c r="C169" s="1687" t="str">
        <f>IF('Pnj APBDES'!C194="","",'Pnj APBDES'!C194)</f>
        <v>01</v>
      </c>
      <c r="D169" s="1676">
        <f>IF('Pnj APBDES'!D194="","",'Pnj APBDES'!D194)</f>
        <v>5</v>
      </c>
      <c r="E169" s="1676">
        <f>IF('Pnj APBDES'!E194="","",'Pnj APBDES'!E194)</f>
        <v>2</v>
      </c>
      <c r="F169" s="1676" t="str">
        <f>IF('Pnj APBDES'!F194="","",'Pnj APBDES'!F194)</f>
        <v/>
      </c>
      <c r="G169" s="1676" t="str">
        <f>IF('Pnj APBDES'!G194="","",'Pnj APBDES'!G194)</f>
        <v/>
      </c>
      <c r="H169" s="1688" t="str">
        <f>IF('Pnj APBDES'!H194="","",'Pnj APBDES'!H194)</f>
        <v>Belanja Barang dan Jasa</v>
      </c>
      <c r="I169" s="1679">
        <f>'Pnj APBDES'!K194</f>
        <v>22800000</v>
      </c>
      <c r="J169" s="1650" t="str">
        <f>IF('Pnj APBDES'!N194="","",'Pnj APBDES'!N194)</f>
        <v/>
      </c>
      <c r="K169" s="1619">
        <f>RKA!K121</f>
        <v>1900000</v>
      </c>
      <c r="L169" s="1619">
        <f>RKA!L121</f>
        <v>1900000</v>
      </c>
      <c r="M169" s="1619">
        <f>RKA!M121</f>
        <v>1900000</v>
      </c>
      <c r="N169" s="1619">
        <f>RKA!N121</f>
        <v>1900000</v>
      </c>
      <c r="O169" s="1619">
        <f>RKA!O121</f>
        <v>1900000</v>
      </c>
      <c r="P169" s="1619">
        <f>RKA!P121</f>
        <v>1900000</v>
      </c>
      <c r="Q169" s="1619">
        <f>RKA!Q121</f>
        <v>1900000</v>
      </c>
      <c r="R169" s="1619">
        <f>RKA!R121</f>
        <v>1900000</v>
      </c>
      <c r="S169" s="1619">
        <f>RKA!S121</f>
        <v>1900000</v>
      </c>
      <c r="T169" s="1619">
        <f>RKA!T121</f>
        <v>1900000</v>
      </c>
      <c r="U169" s="1619">
        <f>RKA!U121</f>
        <v>1900000</v>
      </c>
      <c r="V169" s="1619">
        <f>RKA!V121</f>
        <v>1900000</v>
      </c>
      <c r="W169" s="1619">
        <f t="shared" si="26"/>
        <v>22800000</v>
      </c>
      <c r="Y169" s="1578">
        <f t="shared" si="27"/>
        <v>0</v>
      </c>
    </row>
    <row r="170" spans="1:25">
      <c r="A170" s="1699">
        <f>IF('Pnj APBDES'!A195="","",'Pnj APBDES'!A195)</f>
        <v>2</v>
      </c>
      <c r="B170" s="1687">
        <f>IF('Pnj APBDES'!B195="","",'Pnj APBDES'!B195)</f>
        <v>1</v>
      </c>
      <c r="C170" s="1687" t="str">
        <f>IF('Pnj APBDES'!C195="","",'Pnj APBDES'!C195)</f>
        <v>01</v>
      </c>
      <c r="D170" s="1676">
        <f>IF('Pnj APBDES'!D195="","",'Pnj APBDES'!D195)</f>
        <v>5</v>
      </c>
      <c r="E170" s="1676">
        <f>IF('Pnj APBDES'!E195="","",'Pnj APBDES'!E195)</f>
        <v>2</v>
      </c>
      <c r="F170" s="1676">
        <f>IF('Pnj APBDES'!F195="","",'Pnj APBDES'!F195)</f>
        <v>2</v>
      </c>
      <c r="G170" s="1676" t="str">
        <f>IF('Pnj APBDES'!G195="","",'Pnj APBDES'!G195)</f>
        <v/>
      </c>
      <c r="H170" s="1678" t="str">
        <f>IF('Pnj APBDES'!H195="","",'Pnj APBDES'!H195)</f>
        <v>Belanja Jasa Honorarium</v>
      </c>
      <c r="I170" s="1679">
        <f>'Pnj APBDES'!K195</f>
        <v>22800000</v>
      </c>
      <c r="J170" s="1650" t="str">
        <f>IF('Pnj APBDES'!N195="","",'Pnj APBDES'!N195)</f>
        <v/>
      </c>
      <c r="K170" s="1619">
        <f>RKA!K122</f>
        <v>1900000</v>
      </c>
      <c r="L170" s="1619">
        <f>RKA!L122</f>
        <v>1900000</v>
      </c>
      <c r="M170" s="1619">
        <f>RKA!M122</f>
        <v>1900000</v>
      </c>
      <c r="N170" s="1619">
        <f>RKA!N122</f>
        <v>1900000</v>
      </c>
      <c r="O170" s="1619">
        <f>RKA!O122</f>
        <v>1900000</v>
      </c>
      <c r="P170" s="1619">
        <f>RKA!P122</f>
        <v>1900000</v>
      </c>
      <c r="Q170" s="1619">
        <f>RKA!Q122</f>
        <v>1900000</v>
      </c>
      <c r="R170" s="1619">
        <f>RKA!R122</f>
        <v>1900000</v>
      </c>
      <c r="S170" s="1619">
        <f>RKA!S122</f>
        <v>1900000</v>
      </c>
      <c r="T170" s="1619">
        <f>RKA!T122</f>
        <v>1900000</v>
      </c>
      <c r="U170" s="1619">
        <f>RKA!U122</f>
        <v>1900000</v>
      </c>
      <c r="V170" s="1619">
        <f>RKA!V122</f>
        <v>1900000</v>
      </c>
      <c r="W170" s="1619">
        <f t="shared" si="26"/>
        <v>22800000</v>
      </c>
      <c r="Y170" s="1578">
        <f t="shared" si="27"/>
        <v>0</v>
      </c>
    </row>
    <row r="171" spans="1:25">
      <c r="A171" s="1699">
        <f>IF('Pnj APBDES'!A196="","",'Pnj APBDES'!A196)</f>
        <v>2</v>
      </c>
      <c r="B171" s="1687">
        <f>IF('Pnj APBDES'!B196="","",'Pnj APBDES'!B196)</f>
        <v>1</v>
      </c>
      <c r="C171" s="1687" t="str">
        <f>IF('Pnj APBDES'!C196="","",'Pnj APBDES'!C196)</f>
        <v>01</v>
      </c>
      <c r="D171" s="1676">
        <f>IF('Pnj APBDES'!D196="","",'Pnj APBDES'!D196)</f>
        <v>5</v>
      </c>
      <c r="E171" s="1676">
        <f>IF('Pnj APBDES'!E196="","",'Pnj APBDES'!E196)</f>
        <v>2</v>
      </c>
      <c r="F171" s="1676">
        <f>IF('Pnj APBDES'!F196="","",'Pnj APBDES'!F196)</f>
        <v>2</v>
      </c>
      <c r="G171" s="1676">
        <f>IF('Pnj APBDES'!G196="","",'Pnj APBDES'!G196)</f>
        <v>5</v>
      </c>
      <c r="H171" s="1678" t="str">
        <f>IF('Pnj APBDES'!H196="","",'Pnj APBDES'!H196)</f>
        <v>Belanja Jasa Honorarium Petugas</v>
      </c>
      <c r="I171" s="1679">
        <f>'Pnj APBDES'!K196</f>
        <v>22800000</v>
      </c>
      <c r="J171" s="1650" t="str">
        <f>IF('Pnj APBDES'!N196="","",'Pnj APBDES'!N196)</f>
        <v>DD</v>
      </c>
      <c r="K171" s="1619">
        <f>RKA!K123</f>
        <v>1900000</v>
      </c>
      <c r="L171" s="1619">
        <f>RKA!L123</f>
        <v>1900000</v>
      </c>
      <c r="M171" s="1619">
        <f>RKA!M123</f>
        <v>1900000</v>
      </c>
      <c r="N171" s="1619">
        <f>RKA!N123</f>
        <v>1900000</v>
      </c>
      <c r="O171" s="1619">
        <f>RKA!O123</f>
        <v>1900000</v>
      </c>
      <c r="P171" s="1619">
        <f>RKA!P123</f>
        <v>1900000</v>
      </c>
      <c r="Q171" s="1619">
        <f>RKA!Q123</f>
        <v>1900000</v>
      </c>
      <c r="R171" s="1619">
        <f>RKA!R123</f>
        <v>1900000</v>
      </c>
      <c r="S171" s="1619">
        <f>RKA!S123</f>
        <v>1900000</v>
      </c>
      <c r="T171" s="1619">
        <f>RKA!T123</f>
        <v>1900000</v>
      </c>
      <c r="U171" s="1619">
        <f>RKA!U123</f>
        <v>1900000</v>
      </c>
      <c r="V171" s="1619">
        <f>RKA!V123</f>
        <v>1900000</v>
      </c>
      <c r="W171" s="1619">
        <f t="shared" si="26"/>
        <v>22800000</v>
      </c>
      <c r="Y171" s="1578">
        <f t="shared" si="27"/>
        <v>0</v>
      </c>
    </row>
    <row r="172" spans="1:25">
      <c r="A172" s="1699" t="e">
        <f>IF('Pnj APBDES'!#REF!="","",'Pnj APBDES'!#REF!)</f>
        <v>#REF!</v>
      </c>
      <c r="B172" s="1687" t="e">
        <f>IF('Pnj APBDES'!#REF!="","",'Pnj APBDES'!#REF!)</f>
        <v>#REF!</v>
      </c>
      <c r="C172" s="1687" t="e">
        <f>IF('Pnj APBDES'!#REF!="","",'Pnj APBDES'!#REF!)</f>
        <v>#REF!</v>
      </c>
      <c r="D172" s="1676" t="e">
        <f>IF('Pnj APBDES'!#REF!="","",'Pnj APBDES'!#REF!)</f>
        <v>#REF!</v>
      </c>
      <c r="E172" s="1676" t="e">
        <f>IF('Pnj APBDES'!#REF!="","",'Pnj APBDES'!#REF!)</f>
        <v>#REF!</v>
      </c>
      <c r="F172" s="1676" t="e">
        <f>IF('Pnj APBDES'!#REF!="","",'Pnj APBDES'!#REF!)</f>
        <v>#REF!</v>
      </c>
      <c r="G172" s="1676" t="e">
        <f>IF('Pnj APBDES'!#REF!="","",'Pnj APBDES'!#REF!)</f>
        <v>#REF!</v>
      </c>
      <c r="H172" s="1678" t="e">
        <f>IF('Pnj APBDES'!#REF!="","",'Pnj APBDES'!#REF!)</f>
        <v>#REF!</v>
      </c>
      <c r="I172" s="1679" t="e">
        <f>'Pnj APBDES'!#REF!</f>
        <v>#REF!</v>
      </c>
      <c r="J172" s="1650" t="e">
        <f>IF('Pnj APBDES'!#REF!="","",'Pnj APBDES'!#REF!)</f>
        <v>#REF!</v>
      </c>
      <c r="K172" s="1619">
        <f>RKA!K124</f>
        <v>0</v>
      </c>
      <c r="L172" s="1619">
        <f>RKA!L124</f>
        <v>0</v>
      </c>
      <c r="M172" s="1619">
        <f>RKA!M124</f>
        <v>0</v>
      </c>
      <c r="N172" s="1619">
        <f>RKA!N124</f>
        <v>0</v>
      </c>
      <c r="O172" s="1619">
        <f>RKA!O124</f>
        <v>0</v>
      </c>
      <c r="P172" s="1619">
        <f>RKA!P124</f>
        <v>0</v>
      </c>
      <c r="Q172" s="1619">
        <f>RKA!Q124</f>
        <v>0</v>
      </c>
      <c r="R172" s="1619">
        <f>RKA!R124</f>
        <v>0</v>
      </c>
      <c r="S172" s="1619">
        <f>RKA!S124</f>
        <v>0</v>
      </c>
      <c r="T172" s="1619">
        <f>RKA!T124</f>
        <v>0</v>
      </c>
      <c r="U172" s="1619">
        <f>RKA!U124</f>
        <v>0</v>
      </c>
      <c r="V172" s="1619">
        <f>RKA!V124</f>
        <v>0</v>
      </c>
      <c r="W172" s="1619">
        <f t="shared" si="26"/>
        <v>0</v>
      </c>
      <c r="Y172" s="1578" t="e">
        <f t="shared" si="27"/>
        <v>#REF!</v>
      </c>
    </row>
    <row r="173" spans="1:25">
      <c r="A173" s="1700" t="e">
        <f>IF('Pnj APBDES'!#REF!="","",'Pnj APBDES'!#REF!)</f>
        <v>#REF!</v>
      </c>
      <c r="B173" s="1691" t="e">
        <f>IF('Pnj APBDES'!#REF!="","",'Pnj APBDES'!#REF!)</f>
        <v>#REF!</v>
      </c>
      <c r="C173" s="1691" t="e">
        <f>IF('Pnj APBDES'!#REF!="","",'Pnj APBDES'!#REF!)</f>
        <v>#REF!</v>
      </c>
      <c r="D173" s="1673" t="e">
        <f>IF('Pnj APBDES'!#REF!="","",'Pnj APBDES'!#REF!)</f>
        <v>#REF!</v>
      </c>
      <c r="E173" s="1672" t="e">
        <f>IF('Pnj APBDES'!#REF!="","",'Pnj APBDES'!#REF!)</f>
        <v>#REF!</v>
      </c>
      <c r="F173" s="1672" t="e">
        <f>IF('Pnj APBDES'!#REF!="","",'Pnj APBDES'!#REF!)</f>
        <v>#REF!</v>
      </c>
      <c r="G173" s="1672" t="e">
        <f>IF('Pnj APBDES'!#REF!="","",'Pnj APBDES'!#REF!)</f>
        <v>#REF!</v>
      </c>
      <c r="H173" s="1674" t="e">
        <f>IF('Pnj APBDES'!#REF!="","",'Pnj APBDES'!#REF!)</f>
        <v>#REF!</v>
      </c>
      <c r="I173" s="1675" t="e">
        <f>'Pnj APBDES'!#REF!</f>
        <v>#REF!</v>
      </c>
      <c r="J173" s="1650" t="e">
        <f>IF('Pnj APBDES'!#REF!="","",'Pnj APBDES'!#REF!)</f>
        <v>#REF!</v>
      </c>
      <c r="K173" s="1619">
        <f>RKA!K125</f>
        <v>0</v>
      </c>
      <c r="L173" s="1619">
        <f>RKA!L125</f>
        <v>0</v>
      </c>
      <c r="M173" s="1619">
        <f>RKA!M125</f>
        <v>0</v>
      </c>
      <c r="N173" s="1619" t="e">
        <f>RKA!N125</f>
        <v>#REF!</v>
      </c>
      <c r="O173" s="1619">
        <f>RKA!O125</f>
        <v>0</v>
      </c>
      <c r="P173" s="1619">
        <f>RKA!P125</f>
        <v>0</v>
      </c>
      <c r="Q173" s="1619">
        <f>RKA!Q125</f>
        <v>0</v>
      </c>
      <c r="R173" s="1619">
        <f>RKA!R125</f>
        <v>0</v>
      </c>
      <c r="S173" s="1619">
        <f>RKA!S125</f>
        <v>0</v>
      </c>
      <c r="T173" s="1619">
        <f>RKA!T125</f>
        <v>0</v>
      </c>
      <c r="U173" s="1619">
        <f>RKA!U125</f>
        <v>0</v>
      </c>
      <c r="V173" s="1619">
        <f>RKA!V125</f>
        <v>0</v>
      </c>
      <c r="W173" s="1619" t="e">
        <f t="shared" si="26"/>
        <v>#REF!</v>
      </c>
      <c r="Y173" s="1578" t="e">
        <f t="shared" si="27"/>
        <v>#REF!</v>
      </c>
    </row>
    <row r="174" spans="1:25">
      <c r="A174" s="1699" t="e">
        <f>IF('Pnj APBDES'!#REF!="","",'Pnj APBDES'!#REF!)</f>
        <v>#REF!</v>
      </c>
      <c r="B174" s="1687" t="e">
        <f>IF('Pnj APBDES'!#REF!="","",'Pnj APBDES'!#REF!)</f>
        <v>#REF!</v>
      </c>
      <c r="C174" s="1687" t="e">
        <f>IF('Pnj APBDES'!#REF!="","",'Pnj APBDES'!#REF!)</f>
        <v>#REF!</v>
      </c>
      <c r="D174" s="1676" t="e">
        <f>IF('Pnj APBDES'!#REF!="","",'Pnj APBDES'!#REF!)</f>
        <v>#REF!</v>
      </c>
      <c r="E174" s="1676" t="e">
        <f>IF('Pnj APBDES'!#REF!="","",'Pnj APBDES'!#REF!)</f>
        <v>#REF!</v>
      </c>
      <c r="F174" s="1676" t="e">
        <f>IF('Pnj APBDES'!#REF!="","",'Pnj APBDES'!#REF!)</f>
        <v>#REF!</v>
      </c>
      <c r="G174" s="1676" t="e">
        <f>IF('Pnj APBDES'!#REF!="","",'Pnj APBDES'!#REF!)</f>
        <v>#REF!</v>
      </c>
      <c r="H174" s="1678" t="e">
        <f>IF('Pnj APBDES'!#REF!="","",'Pnj APBDES'!#REF!)</f>
        <v>#REF!</v>
      </c>
      <c r="I174" s="1679" t="e">
        <f>'Pnj APBDES'!#REF!</f>
        <v>#REF!</v>
      </c>
      <c r="J174" s="1650" t="e">
        <f>IF('Pnj APBDES'!#REF!="","",'Pnj APBDES'!#REF!)</f>
        <v>#REF!</v>
      </c>
      <c r="K174" s="1619">
        <f>RKA!K126</f>
        <v>0</v>
      </c>
      <c r="L174" s="1619">
        <f>RKA!L126</f>
        <v>0</v>
      </c>
      <c r="M174" s="1619">
        <f>RKA!M126</f>
        <v>0</v>
      </c>
      <c r="N174" s="1619" t="e">
        <f>RKA!N126</f>
        <v>#REF!</v>
      </c>
      <c r="O174" s="1619">
        <f>RKA!O126</f>
        <v>0</v>
      </c>
      <c r="P174" s="1619">
        <f>RKA!P126</f>
        <v>0</v>
      </c>
      <c r="Q174" s="1619">
        <f>RKA!Q126</f>
        <v>0</v>
      </c>
      <c r="R174" s="1619">
        <f>RKA!R126</f>
        <v>0</v>
      </c>
      <c r="S174" s="1619">
        <f>RKA!S126</f>
        <v>0</v>
      </c>
      <c r="T174" s="1619">
        <f>RKA!T126</f>
        <v>0</v>
      </c>
      <c r="U174" s="1619">
        <f>RKA!U126</f>
        <v>0</v>
      </c>
      <c r="V174" s="1619">
        <f>RKA!V126</f>
        <v>0</v>
      </c>
      <c r="W174" s="1619" t="e">
        <f t="shared" si="26"/>
        <v>#REF!</v>
      </c>
      <c r="Y174" s="1578" t="e">
        <f t="shared" si="27"/>
        <v>#REF!</v>
      </c>
    </row>
    <row r="175" spans="1:25">
      <c r="A175" s="1699" t="e">
        <f>IF('Pnj APBDES'!#REF!="","",'Pnj APBDES'!#REF!)</f>
        <v>#REF!</v>
      </c>
      <c r="B175" s="1687" t="e">
        <f>IF('Pnj APBDES'!#REF!="","",'Pnj APBDES'!#REF!)</f>
        <v>#REF!</v>
      </c>
      <c r="C175" s="1687" t="e">
        <f>IF('Pnj APBDES'!#REF!="","",'Pnj APBDES'!#REF!)</f>
        <v>#REF!</v>
      </c>
      <c r="D175" s="1676" t="e">
        <f>IF('Pnj APBDES'!#REF!="","",'Pnj APBDES'!#REF!)</f>
        <v>#REF!</v>
      </c>
      <c r="E175" s="1676" t="e">
        <f>IF('Pnj APBDES'!#REF!="","",'Pnj APBDES'!#REF!)</f>
        <v>#REF!</v>
      </c>
      <c r="F175" s="1676" t="e">
        <f>IF('Pnj APBDES'!#REF!="","",'Pnj APBDES'!#REF!)</f>
        <v>#REF!</v>
      </c>
      <c r="G175" s="1676" t="e">
        <f>IF('Pnj APBDES'!#REF!="","",'Pnj APBDES'!#REF!)</f>
        <v>#REF!</v>
      </c>
      <c r="H175" s="1678" t="e">
        <f>IF('Pnj APBDES'!#REF!="","",'Pnj APBDES'!#REF!)</f>
        <v>#REF!</v>
      </c>
      <c r="I175" s="1679" t="e">
        <f>'Pnj APBDES'!#REF!</f>
        <v>#REF!</v>
      </c>
      <c r="J175" s="1650" t="e">
        <f>IF('Pnj APBDES'!#REF!="","",'Pnj APBDES'!#REF!)</f>
        <v>#REF!</v>
      </c>
      <c r="K175" s="1619">
        <f>RKA!K127</f>
        <v>0</v>
      </c>
      <c r="L175" s="1619">
        <f>RKA!L127</f>
        <v>0</v>
      </c>
      <c r="M175" s="1619">
        <f>RKA!M127</f>
        <v>0</v>
      </c>
      <c r="N175" s="1619" t="e">
        <f>RKA!N127</f>
        <v>#REF!</v>
      </c>
      <c r="O175" s="1619">
        <f>RKA!O127</f>
        <v>0</v>
      </c>
      <c r="P175" s="1619">
        <f>RKA!P127</f>
        <v>0</v>
      </c>
      <c r="Q175" s="1619">
        <f>RKA!Q127</f>
        <v>0</v>
      </c>
      <c r="R175" s="1619">
        <f>RKA!R127</f>
        <v>0</v>
      </c>
      <c r="S175" s="1619">
        <f>RKA!S127</f>
        <v>0</v>
      </c>
      <c r="T175" s="1619">
        <f>RKA!T127</f>
        <v>0</v>
      </c>
      <c r="U175" s="1619">
        <f>RKA!U127</f>
        <v>0</v>
      </c>
      <c r="V175" s="1619">
        <f>RKA!V127</f>
        <v>0</v>
      </c>
      <c r="W175" s="1619" t="e">
        <f t="shared" si="26"/>
        <v>#REF!</v>
      </c>
      <c r="Y175" s="1578" t="e">
        <f t="shared" si="27"/>
        <v>#REF!</v>
      </c>
    </row>
    <row r="176" spans="1:25">
      <c r="A176" s="1699" t="e">
        <f>IF('Pnj APBDES'!#REF!="","",'Pnj APBDES'!#REF!)</f>
        <v>#REF!</v>
      </c>
      <c r="B176" s="1687" t="e">
        <f>IF('Pnj APBDES'!#REF!="","",'Pnj APBDES'!#REF!)</f>
        <v>#REF!</v>
      </c>
      <c r="C176" s="1687" t="e">
        <f>IF('Pnj APBDES'!#REF!="","",'Pnj APBDES'!#REF!)</f>
        <v>#REF!</v>
      </c>
      <c r="D176" s="1676" t="e">
        <f>IF('Pnj APBDES'!#REF!="","",'Pnj APBDES'!#REF!)</f>
        <v>#REF!</v>
      </c>
      <c r="E176" s="1676" t="e">
        <f>IF('Pnj APBDES'!#REF!="","",'Pnj APBDES'!#REF!)</f>
        <v>#REF!</v>
      </c>
      <c r="F176" s="1676" t="e">
        <f>IF('Pnj APBDES'!#REF!="","",'Pnj APBDES'!#REF!)</f>
        <v>#REF!</v>
      </c>
      <c r="G176" s="1676" t="e">
        <f>IF('Pnj APBDES'!#REF!="","",'Pnj APBDES'!#REF!)</f>
        <v>#REF!</v>
      </c>
      <c r="H176" s="1678" t="e">
        <f>IF('Pnj APBDES'!#REF!="","",'Pnj APBDES'!#REF!)</f>
        <v>#REF!</v>
      </c>
      <c r="I176" s="1679" t="e">
        <f>'Pnj APBDES'!#REF!</f>
        <v>#REF!</v>
      </c>
      <c r="J176" s="1650" t="e">
        <f>IF('Pnj APBDES'!#REF!="","",'Pnj APBDES'!#REF!)</f>
        <v>#REF!</v>
      </c>
      <c r="K176" s="1619">
        <f>RKA!K128</f>
        <v>0</v>
      </c>
      <c r="L176" s="1619">
        <f>RKA!L128</f>
        <v>0</v>
      </c>
      <c r="M176" s="1619">
        <f>RKA!M128</f>
        <v>0</v>
      </c>
      <c r="N176" s="1619" t="e">
        <f>RKA!N128</f>
        <v>#REF!</v>
      </c>
      <c r="O176" s="1619">
        <f>RKA!O128</f>
        <v>0</v>
      </c>
      <c r="P176" s="1619">
        <f>RKA!P128</f>
        <v>0</v>
      </c>
      <c r="Q176" s="1619">
        <f>RKA!Q128</f>
        <v>0</v>
      </c>
      <c r="R176" s="1619">
        <f>RKA!R128</f>
        <v>0</v>
      </c>
      <c r="S176" s="1619">
        <f>RKA!S128</f>
        <v>0</v>
      </c>
      <c r="T176" s="1619">
        <f>RKA!T128</f>
        <v>0</v>
      </c>
      <c r="U176" s="1619">
        <f>RKA!U128</f>
        <v>0</v>
      </c>
      <c r="V176" s="1619">
        <f>RKA!V128</f>
        <v>0</v>
      </c>
      <c r="W176" s="1619" t="e">
        <f t="shared" si="26"/>
        <v>#REF!</v>
      </c>
      <c r="Y176" s="1578" t="e">
        <f t="shared" si="27"/>
        <v>#REF!</v>
      </c>
    </row>
    <row r="177" spans="1:25">
      <c r="A177" s="1699" t="e">
        <f>IF('Pnj APBDES'!#REF!="","",'Pnj APBDES'!#REF!)</f>
        <v>#REF!</v>
      </c>
      <c r="B177" s="1687" t="e">
        <f>IF('Pnj APBDES'!#REF!="","",'Pnj APBDES'!#REF!)</f>
        <v>#REF!</v>
      </c>
      <c r="C177" s="1687" t="e">
        <f>IF('Pnj APBDES'!#REF!="","",'Pnj APBDES'!#REF!)</f>
        <v>#REF!</v>
      </c>
      <c r="D177" s="1676" t="e">
        <f>IF('Pnj APBDES'!#REF!="","",'Pnj APBDES'!#REF!)</f>
        <v>#REF!</v>
      </c>
      <c r="E177" s="1676" t="e">
        <f>IF('Pnj APBDES'!#REF!="","",'Pnj APBDES'!#REF!)</f>
        <v>#REF!</v>
      </c>
      <c r="F177" s="1676" t="e">
        <f>IF('Pnj APBDES'!#REF!="","",'Pnj APBDES'!#REF!)</f>
        <v>#REF!</v>
      </c>
      <c r="G177" s="1676" t="e">
        <f>IF('Pnj APBDES'!#REF!="","",'Pnj APBDES'!#REF!)</f>
        <v>#REF!</v>
      </c>
      <c r="H177" s="1678" t="e">
        <f>IF('Pnj APBDES'!#REF!="","",'Pnj APBDES'!#REF!)</f>
        <v>#REF!</v>
      </c>
      <c r="I177" s="1679" t="e">
        <f>'Pnj APBDES'!#REF!</f>
        <v>#REF!</v>
      </c>
      <c r="J177" s="1650" t="e">
        <f>IF('Pnj APBDES'!#REF!="","",'Pnj APBDES'!#REF!)</f>
        <v>#REF!</v>
      </c>
      <c r="K177" s="1619">
        <f>RKA!K129</f>
        <v>0</v>
      </c>
      <c r="L177" s="1619">
        <f>RKA!L129</f>
        <v>0</v>
      </c>
      <c r="M177" s="1619">
        <f>RKA!M129</f>
        <v>0</v>
      </c>
      <c r="N177" s="1619" t="e">
        <f>RKA!N129</f>
        <v>#REF!</v>
      </c>
      <c r="O177" s="1619">
        <f>RKA!O129</f>
        <v>0</v>
      </c>
      <c r="P177" s="1619">
        <f>RKA!P129</f>
        <v>0</v>
      </c>
      <c r="Q177" s="1619">
        <f>RKA!Q129</f>
        <v>0</v>
      </c>
      <c r="R177" s="1619">
        <f>RKA!R129</f>
        <v>0</v>
      </c>
      <c r="S177" s="1619">
        <f>RKA!S129</f>
        <v>0</v>
      </c>
      <c r="T177" s="1619">
        <f>RKA!T129</f>
        <v>0</v>
      </c>
      <c r="U177" s="1619">
        <f>RKA!U129</f>
        <v>0</v>
      </c>
      <c r="V177" s="1619">
        <f>RKA!V129</f>
        <v>0</v>
      </c>
      <c r="W177" s="1619" t="e">
        <f t="shared" si="26"/>
        <v>#REF!</v>
      </c>
      <c r="Y177" s="1578" t="e">
        <f t="shared" si="27"/>
        <v>#REF!</v>
      </c>
    </row>
    <row r="178" spans="1:25">
      <c r="A178" s="1699" t="str">
        <f>IF('Pnj APBDES'!A197="","",'Pnj APBDES'!A197)</f>
        <v/>
      </c>
      <c r="B178" s="1687" t="str">
        <f>IF('Pnj APBDES'!B197="","",'Pnj APBDES'!B197)</f>
        <v/>
      </c>
      <c r="C178" s="1687" t="str">
        <f>IF('Pnj APBDES'!C197="","",'Pnj APBDES'!C197)</f>
        <v/>
      </c>
      <c r="D178" s="1676" t="str">
        <f>IF('Pnj APBDES'!D197="","",'Pnj APBDES'!D197)</f>
        <v/>
      </c>
      <c r="E178" s="1676" t="str">
        <f>IF('Pnj APBDES'!E197="","",'Pnj APBDES'!E197)</f>
        <v/>
      </c>
      <c r="F178" s="1676" t="str">
        <f>IF('Pnj APBDES'!F197="","",'Pnj APBDES'!F197)</f>
        <v/>
      </c>
      <c r="G178" s="1676" t="str">
        <f>IF('Pnj APBDES'!G197="","",'Pnj APBDES'!G197)</f>
        <v/>
      </c>
      <c r="H178" s="1678" t="str">
        <f>IF('Pnj APBDES'!H197="","",'Pnj APBDES'!H197)</f>
        <v/>
      </c>
      <c r="I178" s="1679">
        <f>'Pnj APBDES'!K197</f>
        <v>0</v>
      </c>
      <c r="J178" s="1650" t="str">
        <f>IF('Pnj APBDES'!N197="","",'Pnj APBDES'!N197)</f>
        <v/>
      </c>
      <c r="K178" s="1619">
        <f>RKA!K130</f>
        <v>0</v>
      </c>
      <c r="L178" s="1619">
        <f>RKA!L130</f>
        <v>0</v>
      </c>
      <c r="M178" s="1619">
        <f>RKA!M130</f>
        <v>0</v>
      </c>
      <c r="N178" s="1619">
        <f>RKA!N130</f>
        <v>0</v>
      </c>
      <c r="O178" s="1619">
        <f>RKA!O130</f>
        <v>0</v>
      </c>
      <c r="P178" s="1619">
        <f>RKA!P130</f>
        <v>0</v>
      </c>
      <c r="Q178" s="1619">
        <f>RKA!Q130</f>
        <v>0</v>
      </c>
      <c r="R178" s="1619">
        <f>RKA!R130</f>
        <v>0</v>
      </c>
      <c r="S178" s="1619">
        <f>RKA!S130</f>
        <v>0</v>
      </c>
      <c r="T178" s="1619">
        <f>RKA!T130</f>
        <v>0</v>
      </c>
      <c r="U178" s="1619">
        <f>RKA!U130</f>
        <v>0</v>
      </c>
      <c r="V178" s="1619">
        <f>RKA!V130</f>
        <v>0</v>
      </c>
      <c r="W178" s="1619">
        <f t="shared" si="26"/>
        <v>0</v>
      </c>
      <c r="Y178" s="1578">
        <f t="shared" si="27"/>
        <v>0</v>
      </c>
    </row>
    <row r="179" spans="1:25">
      <c r="A179" s="1700">
        <f>IF('Pnj APBDES'!A203="","",'Pnj APBDES'!A203)</f>
        <v>2</v>
      </c>
      <c r="B179" s="1691">
        <f>IF('Pnj APBDES'!B203="","",'Pnj APBDES'!B203)</f>
        <v>2</v>
      </c>
      <c r="C179" s="1691" t="str">
        <f>IF('Pnj APBDES'!C203="","",'Pnj APBDES'!C203)</f>
        <v/>
      </c>
      <c r="D179" s="1672" t="str">
        <f>IF('Pnj APBDES'!D203="","",'Pnj APBDES'!D203)</f>
        <v/>
      </c>
      <c r="E179" s="1672" t="str">
        <f>IF('Pnj APBDES'!E203="","",'Pnj APBDES'!E203)</f>
        <v/>
      </c>
      <c r="F179" s="1672" t="str">
        <f>IF('Pnj APBDES'!F203="","",'Pnj APBDES'!F203)</f>
        <v/>
      </c>
      <c r="G179" s="1672" t="str">
        <f>IF('Pnj APBDES'!G203="","",'Pnj APBDES'!G203)</f>
        <v/>
      </c>
      <c r="H179" s="1674" t="str">
        <f>IF('Pnj APBDES'!H203="","",'Pnj APBDES'!H203)</f>
        <v>Kesehatan</v>
      </c>
      <c r="I179" s="1675">
        <f>'Pnj APBDES'!K203</f>
        <v>15280000</v>
      </c>
      <c r="J179" s="1650" t="str">
        <f>IF('Pnj APBDES'!N203="","",'Pnj APBDES'!N203)</f>
        <v/>
      </c>
      <c r="K179" s="1619">
        <f>RKA!K131</f>
        <v>1000000</v>
      </c>
      <c r="L179" s="1619">
        <f>RKA!L131</f>
        <v>1000000</v>
      </c>
      <c r="M179" s="1619">
        <f>RKA!M131</f>
        <v>1000000</v>
      </c>
      <c r="N179" s="1619">
        <f>RKA!N131</f>
        <v>1080000</v>
      </c>
      <c r="O179" s="1619">
        <f>RKA!O131</f>
        <v>1050000</v>
      </c>
      <c r="P179" s="1619">
        <f>RKA!P131</f>
        <v>1050000</v>
      </c>
      <c r="Q179" s="1619">
        <f>RKA!Q131</f>
        <v>3900000</v>
      </c>
      <c r="R179" s="1619">
        <f>RKA!R131</f>
        <v>1050000</v>
      </c>
      <c r="S179" s="1619">
        <f>RKA!S131</f>
        <v>1050000</v>
      </c>
      <c r="T179" s="1619">
        <f>RKA!T131</f>
        <v>1050000</v>
      </c>
      <c r="U179" s="1619">
        <f>RKA!U131</f>
        <v>1050000</v>
      </c>
      <c r="V179" s="1619">
        <f>RKA!V131</f>
        <v>1000000</v>
      </c>
      <c r="W179" s="1619">
        <f t="shared" si="26"/>
        <v>15280000</v>
      </c>
      <c r="Y179" s="1578">
        <f t="shared" si="27"/>
        <v>0</v>
      </c>
    </row>
    <row r="180" spans="1:25" ht="24">
      <c r="A180" s="1699">
        <f>IF('Pnj APBDES'!A204="","",'Pnj APBDES'!A204)</f>
        <v>2</v>
      </c>
      <c r="B180" s="1687">
        <f>IF('Pnj APBDES'!B204="","",'Pnj APBDES'!B204)</f>
        <v>2</v>
      </c>
      <c r="C180" s="1687" t="str">
        <f>IF('Pnj APBDES'!C204="","",'Pnj APBDES'!C204)</f>
        <v>02</v>
      </c>
      <c r="D180" s="1676" t="str">
        <f>IF('Pnj APBDES'!D204="","",'Pnj APBDES'!D204)</f>
        <v/>
      </c>
      <c r="E180" s="1676" t="str">
        <f>IF('Pnj APBDES'!E204="","",'Pnj APBDES'!E204)</f>
        <v/>
      </c>
      <c r="F180" s="1676" t="str">
        <f>IF('Pnj APBDES'!F204="","",'Pnj APBDES'!F204)</f>
        <v/>
      </c>
      <c r="G180" s="1676" t="str">
        <f>IF('Pnj APBDES'!G204="","",'Pnj APBDES'!G204)</f>
        <v/>
      </c>
      <c r="H180" s="1701" t="str">
        <f>IF('Pnj APBDES'!H204="","",'Pnj APBDES'!H204)</f>
        <v>Penyelenggaraan Posyandu ( Makan Tambahan, Kelas Ibu Hamil,Kelas Lamsia,Insentif Kader Posyandu)</v>
      </c>
      <c r="I180" s="1679">
        <f>'Pnj APBDES'!K204</f>
        <v>15280000</v>
      </c>
      <c r="J180" s="1650" t="str">
        <f>IF('Pnj APBDES'!N204="","",'Pnj APBDES'!N204)</f>
        <v/>
      </c>
      <c r="K180" s="1619">
        <f>RKA!K132</f>
        <v>1000000</v>
      </c>
      <c r="L180" s="1619">
        <f>RKA!L132</f>
        <v>1000000</v>
      </c>
      <c r="M180" s="1619">
        <f>RKA!M132</f>
        <v>1000000</v>
      </c>
      <c r="N180" s="1619">
        <f>RKA!N132</f>
        <v>1080000</v>
      </c>
      <c r="O180" s="1619">
        <f>RKA!O132</f>
        <v>1050000</v>
      </c>
      <c r="P180" s="1619">
        <f>RKA!P132</f>
        <v>1050000</v>
      </c>
      <c r="Q180" s="1619">
        <f>RKA!Q132</f>
        <v>3900000</v>
      </c>
      <c r="R180" s="1619">
        <f>RKA!R132</f>
        <v>1050000</v>
      </c>
      <c r="S180" s="1619">
        <f>RKA!S132</f>
        <v>1050000</v>
      </c>
      <c r="T180" s="1619">
        <f>RKA!T132</f>
        <v>1050000</v>
      </c>
      <c r="U180" s="1619">
        <f>RKA!U132</f>
        <v>1050000</v>
      </c>
      <c r="V180" s="1619">
        <f>RKA!V132</f>
        <v>1000000</v>
      </c>
      <c r="W180" s="1619">
        <f t="shared" si="26"/>
        <v>15280000</v>
      </c>
      <c r="Y180" s="1578">
        <f t="shared" si="27"/>
        <v>0</v>
      </c>
    </row>
    <row r="181" spans="1:25">
      <c r="A181" s="1699">
        <f>IF('Pnj APBDES'!A205="","",'Pnj APBDES'!A205)</f>
        <v>2</v>
      </c>
      <c r="B181" s="1687">
        <f>IF('Pnj APBDES'!B205="","",'Pnj APBDES'!B205)</f>
        <v>2</v>
      </c>
      <c r="C181" s="1687" t="str">
        <f>IF('Pnj APBDES'!C205="","",'Pnj APBDES'!C205)</f>
        <v>02</v>
      </c>
      <c r="D181" s="1676">
        <f>IF('Pnj APBDES'!D205="","",'Pnj APBDES'!D205)</f>
        <v>5</v>
      </c>
      <c r="E181" s="1676">
        <f>IF('Pnj APBDES'!E205="","",'Pnj APBDES'!E205)</f>
        <v>2</v>
      </c>
      <c r="F181" s="1676" t="str">
        <f>IF('Pnj APBDES'!F205="","",'Pnj APBDES'!F205)</f>
        <v/>
      </c>
      <c r="G181" s="1676" t="str">
        <f>IF('Pnj APBDES'!G205="","",'Pnj APBDES'!G205)</f>
        <v/>
      </c>
      <c r="H181" s="1688" t="str">
        <f>IF('Pnj APBDES'!H205="","",'Pnj APBDES'!H205)</f>
        <v>Belanja Barang dan Jasa</v>
      </c>
      <c r="I181" s="1679">
        <f>'Pnj APBDES'!K205</f>
        <v>15280000</v>
      </c>
      <c r="J181" s="1650" t="str">
        <f>IF('Pnj APBDES'!N205="","",'Pnj APBDES'!N205)</f>
        <v/>
      </c>
      <c r="K181" s="1619">
        <f>RKA!K133</f>
        <v>1000000</v>
      </c>
      <c r="L181" s="1619">
        <f>RKA!L133</f>
        <v>1000000</v>
      </c>
      <c r="M181" s="1619">
        <f>RKA!M133</f>
        <v>1000000</v>
      </c>
      <c r="N181" s="1619">
        <f>RKA!N133</f>
        <v>1080000</v>
      </c>
      <c r="O181" s="1619">
        <f>RKA!O133</f>
        <v>1050000</v>
      </c>
      <c r="P181" s="1619">
        <f>RKA!P133</f>
        <v>1050000</v>
      </c>
      <c r="Q181" s="1619">
        <f>RKA!Q133</f>
        <v>3900000</v>
      </c>
      <c r="R181" s="1619">
        <f>RKA!R133</f>
        <v>1050000</v>
      </c>
      <c r="S181" s="1619">
        <f>RKA!S133</f>
        <v>1050000</v>
      </c>
      <c r="T181" s="1619">
        <f>RKA!T133</f>
        <v>1050000</v>
      </c>
      <c r="U181" s="1619">
        <f>RKA!U133</f>
        <v>1050000</v>
      </c>
      <c r="V181" s="1619">
        <f>RKA!V133</f>
        <v>1000000</v>
      </c>
      <c r="W181" s="1619">
        <f t="shared" si="26"/>
        <v>15280000</v>
      </c>
      <c r="Y181" s="1578">
        <f t="shared" si="27"/>
        <v>0</v>
      </c>
    </row>
    <row r="182" spans="1:25">
      <c r="A182" s="1699">
        <f>IF('Pnj APBDES'!A206="","",'Pnj APBDES'!A206)</f>
        <v>2</v>
      </c>
      <c r="B182" s="1687">
        <f>IF('Pnj APBDES'!B206="","",'Pnj APBDES'!B206)</f>
        <v>2</v>
      </c>
      <c r="C182" s="1687" t="str">
        <f>IF('Pnj APBDES'!C206="","",'Pnj APBDES'!C206)</f>
        <v>02</v>
      </c>
      <c r="D182" s="1676">
        <f>IF('Pnj APBDES'!D206="","",'Pnj APBDES'!D206)</f>
        <v>5</v>
      </c>
      <c r="E182" s="1676">
        <f>IF('Pnj APBDES'!E206="","",'Pnj APBDES'!E206)</f>
        <v>2</v>
      </c>
      <c r="F182" s="1676">
        <f>IF('Pnj APBDES'!F206="","",'Pnj APBDES'!F206)</f>
        <v>2</v>
      </c>
      <c r="G182" s="1676" t="str">
        <f>IF('Pnj APBDES'!G206="","",'Pnj APBDES'!G206)</f>
        <v/>
      </c>
      <c r="H182" s="1678" t="str">
        <f>IF('Pnj APBDES'!H206="","",'Pnj APBDES'!H206)</f>
        <v>Belanja Jasa Honorarium</v>
      </c>
      <c r="I182" s="1679">
        <f>'Pnj APBDES'!K206</f>
        <v>9600000</v>
      </c>
      <c r="J182" s="1650" t="str">
        <f>IF('Pnj APBDES'!N206="","",'Pnj APBDES'!N206)</f>
        <v/>
      </c>
      <c r="K182" s="1619">
        <f>RKA!K134</f>
        <v>800000</v>
      </c>
      <c r="L182" s="1619">
        <f>RKA!L134</f>
        <v>800000</v>
      </c>
      <c r="M182" s="1619">
        <f>RKA!M134</f>
        <v>800000</v>
      </c>
      <c r="N182" s="1619">
        <f>RKA!N134</f>
        <v>800000</v>
      </c>
      <c r="O182" s="1619">
        <f>RKA!O134</f>
        <v>800000</v>
      </c>
      <c r="P182" s="1619">
        <f>RKA!P134</f>
        <v>800000</v>
      </c>
      <c r="Q182" s="1619">
        <f>RKA!Q134</f>
        <v>800000</v>
      </c>
      <c r="R182" s="1619">
        <f>RKA!R134</f>
        <v>800000</v>
      </c>
      <c r="S182" s="1619">
        <f>RKA!S134</f>
        <v>800000</v>
      </c>
      <c r="T182" s="1619">
        <f>RKA!T134</f>
        <v>800000</v>
      </c>
      <c r="U182" s="1619">
        <f>RKA!U134</f>
        <v>800000</v>
      </c>
      <c r="V182" s="1619">
        <f>RKA!V134</f>
        <v>800000</v>
      </c>
      <c r="W182" s="1619">
        <f t="shared" si="26"/>
        <v>9600000</v>
      </c>
      <c r="Y182" s="1578">
        <f t="shared" si="27"/>
        <v>0</v>
      </c>
    </row>
    <row r="183" spans="1:25">
      <c r="A183" s="1699">
        <f>IF('Pnj APBDES'!A207="","",'Pnj APBDES'!A207)</f>
        <v>2</v>
      </c>
      <c r="B183" s="1687">
        <f>IF('Pnj APBDES'!B207="","",'Pnj APBDES'!B207)</f>
        <v>2</v>
      </c>
      <c r="C183" s="1687" t="str">
        <f>IF('Pnj APBDES'!C207="","",'Pnj APBDES'!C207)</f>
        <v>02</v>
      </c>
      <c r="D183" s="1676">
        <f>IF('Pnj APBDES'!D207="","",'Pnj APBDES'!D207)</f>
        <v>5</v>
      </c>
      <c r="E183" s="1676">
        <f>IF('Pnj APBDES'!E207="","",'Pnj APBDES'!E207)</f>
        <v>2</v>
      </c>
      <c r="F183" s="1676">
        <f>IF('Pnj APBDES'!F207="","",'Pnj APBDES'!F207)</f>
        <v>2</v>
      </c>
      <c r="G183" s="1676">
        <f>IF('Pnj APBDES'!G207="","",'Pnj APBDES'!G207)</f>
        <v>5</v>
      </c>
      <c r="H183" s="1678" t="str">
        <f>IF('Pnj APBDES'!H207="","",'Pnj APBDES'!H207)</f>
        <v>Belanja Jasa Honorarium Petugas</v>
      </c>
      <c r="I183" s="1679">
        <f>'Pnj APBDES'!K207</f>
        <v>9600000</v>
      </c>
      <c r="J183" s="1650" t="str">
        <f>IF('Pnj APBDES'!N207="","",'Pnj APBDES'!N207)</f>
        <v>DD</v>
      </c>
      <c r="K183" s="1619">
        <f>RKA!K135</f>
        <v>800000</v>
      </c>
      <c r="L183" s="1619">
        <f>RKA!L135</f>
        <v>800000</v>
      </c>
      <c r="M183" s="1619">
        <f>RKA!M135</f>
        <v>800000</v>
      </c>
      <c r="N183" s="1619">
        <f>RKA!N135</f>
        <v>800000</v>
      </c>
      <c r="O183" s="1619">
        <f>RKA!O135</f>
        <v>800000</v>
      </c>
      <c r="P183" s="1619">
        <f>RKA!P135</f>
        <v>800000</v>
      </c>
      <c r="Q183" s="1619">
        <f>RKA!Q135</f>
        <v>800000</v>
      </c>
      <c r="R183" s="1619">
        <f>RKA!R135</f>
        <v>800000</v>
      </c>
      <c r="S183" s="1619">
        <f>RKA!S135</f>
        <v>800000</v>
      </c>
      <c r="T183" s="1619">
        <f>RKA!T135</f>
        <v>800000</v>
      </c>
      <c r="U183" s="1619">
        <f>RKA!U135</f>
        <v>800000</v>
      </c>
      <c r="V183" s="1619">
        <f>RKA!V135</f>
        <v>800000</v>
      </c>
      <c r="W183" s="1619">
        <f t="shared" si="26"/>
        <v>9600000</v>
      </c>
      <c r="Y183" s="1578">
        <f t="shared" si="27"/>
        <v>0</v>
      </c>
    </row>
    <row r="184" spans="1:25">
      <c r="A184" s="1699">
        <f>IF('Pnj APBDES'!A208="","",'Pnj APBDES'!A208)</f>
        <v>2</v>
      </c>
      <c r="B184" s="1687">
        <f>IF('Pnj APBDES'!B208="","",'Pnj APBDES'!B208)</f>
        <v>2</v>
      </c>
      <c r="C184" s="1687" t="str">
        <f>IF('Pnj APBDES'!C208="","",'Pnj APBDES'!C208)</f>
        <v>02</v>
      </c>
      <c r="D184" s="1676">
        <f>IF('Pnj APBDES'!D208="","",'Pnj APBDES'!D208)</f>
        <v>5</v>
      </c>
      <c r="E184" s="1676">
        <f>IF('Pnj APBDES'!E208="","",'Pnj APBDES'!E208)</f>
        <v>7</v>
      </c>
      <c r="F184" s="1676" t="str">
        <f>IF('Pnj APBDES'!F208="","",'Pnj APBDES'!F208)</f>
        <v/>
      </c>
      <c r="G184" s="1676" t="str">
        <f>IF('Pnj APBDES'!G208="","",'Pnj APBDES'!G208)</f>
        <v/>
      </c>
      <c r="H184" s="1678" t="str">
        <f>IF('Pnj APBDES'!H208="","",'Pnj APBDES'!H208)</f>
        <v>Belanja Barang dan Jasa yang diserahkan kepada masyarakat</v>
      </c>
      <c r="I184" s="1679">
        <f>'Pnj APBDES'!K208</f>
        <v>2880000</v>
      </c>
      <c r="J184" s="1650" t="str">
        <f>IF('Pnj APBDES'!N208="","",'Pnj APBDES'!N208)</f>
        <v>DD</v>
      </c>
      <c r="K184" s="1619">
        <f>RKA!K136</f>
        <v>200000</v>
      </c>
      <c r="L184" s="1619">
        <f>RKA!L136</f>
        <v>200000</v>
      </c>
      <c r="M184" s="1619">
        <f>RKA!M136</f>
        <v>200000</v>
      </c>
      <c r="N184" s="1619">
        <f>RKA!N136</f>
        <v>280000</v>
      </c>
      <c r="O184" s="1619">
        <f>RKA!O136</f>
        <v>250000</v>
      </c>
      <c r="P184" s="1619">
        <f>RKA!P136</f>
        <v>250000</v>
      </c>
      <c r="Q184" s="1619">
        <f>RKA!Q136</f>
        <v>300000</v>
      </c>
      <c r="R184" s="1619">
        <f>RKA!R136</f>
        <v>250000</v>
      </c>
      <c r="S184" s="1619">
        <f>RKA!S136</f>
        <v>250000</v>
      </c>
      <c r="T184" s="1619">
        <f>RKA!T136</f>
        <v>250000</v>
      </c>
      <c r="U184" s="1619">
        <f>RKA!U136</f>
        <v>250000</v>
      </c>
      <c r="V184" s="1619">
        <f>RKA!V136</f>
        <v>200000</v>
      </c>
      <c r="W184" s="1619">
        <f t="shared" si="26"/>
        <v>2880000</v>
      </c>
      <c r="Y184" s="1578">
        <f t="shared" si="27"/>
        <v>0</v>
      </c>
    </row>
    <row r="185" spans="1:25">
      <c r="A185" s="1699">
        <f>IF('Pnj APBDES'!A209="","",'Pnj APBDES'!A209)</f>
        <v>2</v>
      </c>
      <c r="B185" s="1687">
        <f>IF('Pnj APBDES'!B209="","",'Pnj APBDES'!B209)</f>
        <v>2</v>
      </c>
      <c r="C185" s="1687">
        <f>IF('Pnj APBDES'!C209="","",'Pnj APBDES'!C209)</f>
        <v>2</v>
      </c>
      <c r="D185" s="1676">
        <f>IF('Pnj APBDES'!D209="","",'Pnj APBDES'!D209)</f>
        <v>5</v>
      </c>
      <c r="E185" s="1676">
        <f>IF('Pnj APBDES'!E209="","",'Pnj APBDES'!E209)</f>
        <v>7</v>
      </c>
      <c r="F185" s="1676">
        <f>IF('Pnj APBDES'!F209="","",'Pnj APBDES'!F209)</f>
        <v>1</v>
      </c>
      <c r="G185" s="1672" t="str">
        <f>IF('Pnj APBDES'!G209="","",'Pnj APBDES'!G209)</f>
        <v/>
      </c>
      <c r="H185" s="1678" t="str">
        <f>IF('Pnj APBDES'!H209="","",'Pnj APBDES'!H209)</f>
        <v xml:space="preserve">Belanja Modal Bahan Baku </v>
      </c>
      <c r="I185" s="1679">
        <f>'Pnj APBDES'!K209</f>
        <v>2800000</v>
      </c>
      <c r="J185" s="1650" t="str">
        <f>IF('Pnj APBDES'!N209="","",'Pnj APBDES'!N209)</f>
        <v>DD</v>
      </c>
      <c r="K185" s="1619">
        <f>RKA!K137</f>
        <v>0</v>
      </c>
      <c r="L185" s="1619">
        <f>RKA!L137</f>
        <v>0</v>
      </c>
      <c r="M185" s="1619">
        <f>RKA!M137</f>
        <v>0</v>
      </c>
      <c r="N185" s="1619">
        <f>RKA!N137</f>
        <v>0</v>
      </c>
      <c r="O185" s="1619">
        <f>RKA!O137</f>
        <v>0</v>
      </c>
      <c r="P185" s="1619">
        <f>RKA!P137</f>
        <v>0</v>
      </c>
      <c r="Q185" s="1619">
        <f>RKA!Q137</f>
        <v>2800000</v>
      </c>
      <c r="R185" s="1619">
        <f>RKA!R137</f>
        <v>0</v>
      </c>
      <c r="S185" s="1619">
        <f>RKA!S137</f>
        <v>0</v>
      </c>
      <c r="T185" s="1619">
        <f>RKA!T137</f>
        <v>0</v>
      </c>
      <c r="U185" s="1619">
        <f>RKA!U137</f>
        <v>0</v>
      </c>
      <c r="V185" s="1619">
        <f>RKA!V137</f>
        <v>0</v>
      </c>
      <c r="W185" s="1619">
        <f t="shared" si="26"/>
        <v>2800000</v>
      </c>
      <c r="Y185" s="1578">
        <f t="shared" si="27"/>
        <v>0</v>
      </c>
    </row>
    <row r="186" spans="1:25">
      <c r="A186" s="1699" t="str">
        <f>IF('Pnj APBDES'!A210="","",'Pnj APBDES'!A210)</f>
        <v/>
      </c>
      <c r="B186" s="1687" t="str">
        <f>IF('Pnj APBDES'!B210="","",'Pnj APBDES'!B210)</f>
        <v/>
      </c>
      <c r="C186" s="1687" t="str">
        <f>IF('Pnj APBDES'!C210="","",'Pnj APBDES'!C210)</f>
        <v/>
      </c>
      <c r="D186" s="1676" t="str">
        <f>IF('Pnj APBDES'!D210="","",'Pnj APBDES'!D210)</f>
        <v/>
      </c>
      <c r="E186" s="1676" t="str">
        <f>IF('Pnj APBDES'!E210="","",'Pnj APBDES'!E210)</f>
        <v/>
      </c>
      <c r="F186" s="1676" t="str">
        <f>IF('Pnj APBDES'!F210="","",'Pnj APBDES'!F210)</f>
        <v/>
      </c>
      <c r="G186" s="1676" t="str">
        <f>IF('Pnj APBDES'!G210="","",'Pnj APBDES'!G210)</f>
        <v/>
      </c>
      <c r="H186" s="1702" t="str">
        <f>IF('Pnj APBDES'!H210="","",'Pnj APBDES'!H210)</f>
        <v/>
      </c>
      <c r="I186" s="1702">
        <f>'Pnj APBDES'!K210</f>
        <v>0</v>
      </c>
      <c r="J186" s="1650" t="str">
        <f>IF('Pnj APBDES'!N210="","",'Pnj APBDES'!N210)</f>
        <v/>
      </c>
      <c r="K186" s="1619">
        <f>RKA!K138</f>
        <v>0</v>
      </c>
      <c r="L186" s="1619">
        <f>RKA!L138</f>
        <v>0</v>
      </c>
      <c r="M186" s="1619">
        <f>RKA!M138</f>
        <v>0</v>
      </c>
      <c r="N186" s="1619">
        <f>RKA!N138</f>
        <v>0</v>
      </c>
      <c r="O186" s="1619">
        <f>RKA!O138</f>
        <v>0</v>
      </c>
      <c r="P186" s="1619">
        <f>RKA!P138</f>
        <v>0</v>
      </c>
      <c r="Q186" s="1619">
        <f>RKA!Q138</f>
        <v>0</v>
      </c>
      <c r="R186" s="1619">
        <f>RKA!R138</f>
        <v>0</v>
      </c>
      <c r="S186" s="1619">
        <f>RKA!S138</f>
        <v>0</v>
      </c>
      <c r="T186" s="1619">
        <f>RKA!T138</f>
        <v>0</v>
      </c>
      <c r="U186" s="1619">
        <f>RKA!U138</f>
        <v>0</v>
      </c>
      <c r="V186" s="1619">
        <f>RKA!V138</f>
        <v>0</v>
      </c>
      <c r="W186" s="1619">
        <f t="shared" si="26"/>
        <v>0</v>
      </c>
      <c r="Y186" s="1578">
        <f t="shared" si="27"/>
        <v>0</v>
      </c>
    </row>
    <row r="187" spans="1:25">
      <c r="A187" s="1700">
        <f>IF('Pnj APBDES'!A211="","",'Pnj APBDES'!A211)</f>
        <v>2</v>
      </c>
      <c r="B187" s="1691">
        <f>IF('Pnj APBDES'!B211="","",'Pnj APBDES'!B211)</f>
        <v>3</v>
      </c>
      <c r="C187" s="1673" t="str">
        <f>IF('Pnj APBDES'!C211="","",'Pnj APBDES'!C211)</f>
        <v/>
      </c>
      <c r="D187" s="1676" t="str">
        <f>IF('Pnj APBDES'!D211="","",'Pnj APBDES'!D211)</f>
        <v/>
      </c>
      <c r="E187" s="1672" t="str">
        <f>IF('Pnj APBDES'!E211="","",'Pnj APBDES'!E211)</f>
        <v/>
      </c>
      <c r="F187" s="1672" t="str">
        <f>IF('Pnj APBDES'!F211="","",'Pnj APBDES'!F211)</f>
        <v/>
      </c>
      <c r="G187" s="1672" t="str">
        <f>IF('Pnj APBDES'!G211="","",'Pnj APBDES'!G211)</f>
        <v/>
      </c>
      <c r="H187" s="1692" t="str">
        <f>IF('Pnj APBDES'!H211="","",'Pnj APBDES'!H211)</f>
        <v>Pekerjaan Umum dan Penataan Ruang</v>
      </c>
      <c r="I187" s="1675">
        <f>'Pnj APBDES'!K211</f>
        <v>514747000</v>
      </c>
      <c r="J187" s="1650" t="str">
        <f>IF('Pnj APBDES'!N211="","",'Pnj APBDES'!N211)</f>
        <v/>
      </c>
      <c r="K187" s="1619">
        <f>RKA!K139</f>
        <v>0</v>
      </c>
      <c r="L187" s="1619">
        <f>RKA!L139</f>
        <v>0</v>
      </c>
      <c r="M187" s="1619">
        <f>RKA!M139</f>
        <v>254511000</v>
      </c>
      <c r="N187" s="1619">
        <f>RKA!N139</f>
        <v>0</v>
      </c>
      <c r="O187" s="1619">
        <f>RKA!O139</f>
        <v>40000000</v>
      </c>
      <c r="P187" s="1619">
        <f>RKA!P139</f>
        <v>102100000</v>
      </c>
      <c r="Q187" s="1619">
        <f>RKA!Q139</f>
        <v>0</v>
      </c>
      <c r="R187" s="1619">
        <f>RKA!R139</f>
        <v>192409800</v>
      </c>
      <c r="S187" s="1619">
        <f>RKA!S139</f>
        <v>0</v>
      </c>
      <c r="T187" s="1619">
        <f>RKA!T139</f>
        <v>158136000</v>
      </c>
      <c r="U187" s="1619">
        <f>RKA!U139</f>
        <v>0</v>
      </c>
      <c r="V187" s="1619">
        <f>RKA!V139</f>
        <v>0</v>
      </c>
      <c r="W187" s="1619">
        <f t="shared" si="26"/>
        <v>747156800</v>
      </c>
      <c r="Y187" s="1578">
        <f t="shared" si="27"/>
        <v>-232409800</v>
      </c>
    </row>
    <row r="188" spans="1:25">
      <c r="A188" s="1700">
        <f>IF('Pnj APBDES'!A212="","",'Pnj APBDES'!A212)</f>
        <v>2</v>
      </c>
      <c r="B188" s="1691">
        <f>IF('Pnj APBDES'!B212="","",'Pnj APBDES'!B212)</f>
        <v>3</v>
      </c>
      <c r="C188" s="1691">
        <f>IF('Pnj APBDES'!C212="","",'Pnj APBDES'!C212)</f>
        <v>10</v>
      </c>
      <c r="D188" s="1672" t="str">
        <f>IF('Pnj APBDES'!D212="","",'Pnj APBDES'!D212)</f>
        <v/>
      </c>
      <c r="E188" s="1672" t="str">
        <f>IF('Pnj APBDES'!E212="","",'Pnj APBDES'!E212)</f>
        <v/>
      </c>
      <c r="F188" s="1672" t="str">
        <f>IF('Pnj APBDES'!F212="","",'Pnj APBDES'!F212)</f>
        <v/>
      </c>
      <c r="G188" s="1672" t="str">
        <f>IF('Pnj APBDES'!G212="","",'Pnj APBDES'!G212)</f>
        <v/>
      </c>
      <c r="H188" s="1692" t="str">
        <f>IF('Pnj APBDES'!H212="","",'Pnj APBDES'!H212)</f>
        <v>Pembangunan Pengerasan Jalan Desa</v>
      </c>
      <c r="I188" s="1675">
        <f>'Pnj APBDES'!K212</f>
        <v>514747000</v>
      </c>
      <c r="J188" s="1650" t="str">
        <f>IF('Pnj APBDES'!N212="","",'Pnj APBDES'!N212)</f>
        <v/>
      </c>
      <c r="K188" s="1619">
        <f>RKA!K140</f>
        <v>0</v>
      </c>
      <c r="L188" s="1619">
        <f>RKA!L140</f>
        <v>0</v>
      </c>
      <c r="M188" s="1619">
        <f>RKA!M140</f>
        <v>254511000</v>
      </c>
      <c r="N188" s="1619">
        <f>RKA!N140</f>
        <v>0</v>
      </c>
      <c r="O188" s="1619">
        <f>RKA!O140</f>
        <v>0</v>
      </c>
      <c r="P188" s="1619">
        <f>RKA!P140</f>
        <v>102100000</v>
      </c>
      <c r="Q188" s="1619">
        <f>RKA!Q140</f>
        <v>0</v>
      </c>
      <c r="R188" s="1619">
        <f>RKA!R140</f>
        <v>0</v>
      </c>
      <c r="S188" s="1619">
        <f>RKA!S140</f>
        <v>0</v>
      </c>
      <c r="T188" s="1619">
        <f>RKA!T140</f>
        <v>158136000</v>
      </c>
      <c r="U188" s="1619">
        <f>RKA!U140</f>
        <v>0</v>
      </c>
      <c r="V188" s="1619">
        <f>RKA!V140</f>
        <v>0</v>
      </c>
      <c r="W188" s="1619">
        <f t="shared" si="26"/>
        <v>514747000</v>
      </c>
      <c r="Y188" s="1578">
        <f t="shared" si="27"/>
        <v>0</v>
      </c>
    </row>
    <row r="189" spans="1:25">
      <c r="A189" s="1699">
        <f>IF('Pnj APBDES'!A213="","",'Pnj APBDES'!A213)</f>
        <v>2</v>
      </c>
      <c r="B189" s="1687">
        <f>IF('Pnj APBDES'!B213="","",'Pnj APBDES'!B213)</f>
        <v>3</v>
      </c>
      <c r="C189" s="1687">
        <f>IF('Pnj APBDES'!C213="","",'Pnj APBDES'!C213)</f>
        <v>10</v>
      </c>
      <c r="D189" s="1676">
        <f>IF('Pnj APBDES'!D213="","",'Pnj APBDES'!D213)</f>
        <v>5</v>
      </c>
      <c r="E189" s="1676">
        <f>IF('Pnj APBDES'!E213="","",'Pnj APBDES'!E213)</f>
        <v>3</v>
      </c>
      <c r="F189" s="1676" t="str">
        <f>IF('Pnj APBDES'!F213="","",'Pnj APBDES'!F213)</f>
        <v/>
      </c>
      <c r="G189" s="1676" t="str">
        <f>IF('Pnj APBDES'!G213="","",'Pnj APBDES'!G213)</f>
        <v/>
      </c>
      <c r="H189" s="1678" t="str">
        <f>IF('Pnj APBDES'!H213="","",'Pnj APBDES'!H213)</f>
        <v>Belanja Modal</v>
      </c>
      <c r="I189" s="1679">
        <f>'Pnj APBDES'!K213</f>
        <v>514747000</v>
      </c>
      <c r="J189" s="1650" t="str">
        <f>IF('Pnj APBDES'!N213="","",'Pnj APBDES'!N213)</f>
        <v/>
      </c>
      <c r="K189" s="1619">
        <f>RKA!K141</f>
        <v>0</v>
      </c>
      <c r="L189" s="1619">
        <f>RKA!L141</f>
        <v>0</v>
      </c>
      <c r="M189" s="1619">
        <f>RKA!M141</f>
        <v>254511000</v>
      </c>
      <c r="N189" s="1619">
        <f>RKA!N141</f>
        <v>0</v>
      </c>
      <c r="O189" s="1619">
        <f>RKA!O141</f>
        <v>0</v>
      </c>
      <c r="P189" s="1619">
        <f>RKA!P141</f>
        <v>102100000</v>
      </c>
      <c r="Q189" s="1619">
        <f>RKA!Q141</f>
        <v>0</v>
      </c>
      <c r="R189" s="1619">
        <f>RKA!R141</f>
        <v>0</v>
      </c>
      <c r="S189" s="1619">
        <f>RKA!S141</f>
        <v>0</v>
      </c>
      <c r="T189" s="1619">
        <f>RKA!T141</f>
        <v>158136000</v>
      </c>
      <c r="U189" s="1619">
        <f>RKA!U141</f>
        <v>0</v>
      </c>
      <c r="V189" s="1619">
        <f>RKA!V141</f>
        <v>0</v>
      </c>
      <c r="W189" s="1619">
        <f t="shared" si="26"/>
        <v>514747000</v>
      </c>
      <c r="Y189" s="1578">
        <f t="shared" si="27"/>
        <v>0</v>
      </c>
    </row>
    <row r="190" spans="1:25">
      <c r="A190" s="1699">
        <f>IF('Pnj APBDES'!A214="","",'Pnj APBDES'!A214)</f>
        <v>2</v>
      </c>
      <c r="B190" s="1687">
        <f>IF('Pnj APBDES'!B214="","",'Pnj APBDES'!B214)</f>
        <v>3</v>
      </c>
      <c r="C190" s="1687">
        <f>IF('Pnj APBDES'!C214="","",'Pnj APBDES'!C214)</f>
        <v>10</v>
      </c>
      <c r="D190" s="1676">
        <f>IF('Pnj APBDES'!D214="","",'Pnj APBDES'!D214)</f>
        <v>5</v>
      </c>
      <c r="E190" s="1676">
        <f>IF('Pnj APBDES'!E214="","",'Pnj APBDES'!E214)</f>
        <v>3</v>
      </c>
      <c r="F190" s="1676">
        <f>IF('Pnj APBDES'!F214="","",'Pnj APBDES'!F214)</f>
        <v>5</v>
      </c>
      <c r="G190" s="1676" t="str">
        <f>IF('Pnj APBDES'!G214="","",'Pnj APBDES'!G214)</f>
        <v/>
      </c>
      <c r="H190" s="1696" t="str">
        <f>IF('Pnj APBDES'!H214="","",'Pnj APBDES'!H214)</f>
        <v>Belanja Modal Jalan</v>
      </c>
      <c r="I190" s="1679">
        <f>'Pnj APBDES'!K214</f>
        <v>514747000</v>
      </c>
      <c r="J190" s="1650" t="str">
        <f>IF('Pnj APBDES'!N214="","",'Pnj APBDES'!N214)</f>
        <v/>
      </c>
      <c r="K190" s="1619">
        <f>RKA!K142</f>
        <v>0</v>
      </c>
      <c r="L190" s="1619">
        <f>RKA!L142</f>
        <v>0</v>
      </c>
      <c r="M190" s="1619">
        <f>RKA!M142</f>
        <v>254511000</v>
      </c>
      <c r="N190" s="1619">
        <f>RKA!N142</f>
        <v>0</v>
      </c>
      <c r="O190" s="1619">
        <f>RKA!O142</f>
        <v>0</v>
      </c>
      <c r="P190" s="1619">
        <f>RKA!P142</f>
        <v>102100000</v>
      </c>
      <c r="Q190" s="1619">
        <f>RKA!Q142</f>
        <v>0</v>
      </c>
      <c r="R190" s="1619">
        <f>RKA!R142</f>
        <v>0</v>
      </c>
      <c r="S190" s="1619">
        <f>RKA!S142</f>
        <v>0</v>
      </c>
      <c r="T190" s="1619">
        <f>RKA!T142</f>
        <v>158136000</v>
      </c>
      <c r="U190" s="1619">
        <f>RKA!U142</f>
        <v>0</v>
      </c>
      <c r="V190" s="1619">
        <f>RKA!V142</f>
        <v>0</v>
      </c>
      <c r="W190" s="1619">
        <f t="shared" si="26"/>
        <v>514747000</v>
      </c>
      <c r="Y190" s="1578">
        <f t="shared" si="27"/>
        <v>0</v>
      </c>
    </row>
    <row r="191" spans="1:25">
      <c r="A191" s="1699">
        <f>IF('Pnj APBDES'!A215="","",'Pnj APBDES'!A215)</f>
        <v>2</v>
      </c>
      <c r="B191" s="1687">
        <f>IF('Pnj APBDES'!B215="","",'Pnj APBDES'!B215)</f>
        <v>3</v>
      </c>
      <c r="C191" s="1687">
        <f>IF('Pnj APBDES'!C215="","",'Pnj APBDES'!C215)</f>
        <v>10</v>
      </c>
      <c r="D191" s="1676">
        <f>IF('Pnj APBDES'!D215="","",'Pnj APBDES'!D215)</f>
        <v>5</v>
      </c>
      <c r="E191" s="1676">
        <f>IF('Pnj APBDES'!E215="","",'Pnj APBDES'!E215)</f>
        <v>3</v>
      </c>
      <c r="F191" s="1676">
        <f>IF('Pnj APBDES'!F215="","",'Pnj APBDES'!F215)</f>
        <v>5</v>
      </c>
      <c r="G191" s="1676">
        <f>IF('Pnj APBDES'!G215="","",'Pnj APBDES'!G215)</f>
        <v>1</v>
      </c>
      <c r="H191" s="1678" t="str">
        <f>IF('Pnj APBDES'!H215="","",'Pnj APBDES'!H215)</f>
        <v>Belanja Modal Honor Tim yang Melaksanakan Kegiatan</v>
      </c>
      <c r="I191" s="1679">
        <f>'Pnj APBDES'!K215</f>
        <v>5400000</v>
      </c>
      <c r="J191" s="1650" t="str">
        <f>IF('Pnj APBDES'!N215="","",'Pnj APBDES'!N215)</f>
        <v>DD</v>
      </c>
      <c r="K191" s="1619">
        <f>RKA!K143</f>
        <v>0</v>
      </c>
      <c r="L191" s="1619">
        <f>RKA!L143</f>
        <v>0</v>
      </c>
      <c r="M191" s="1619">
        <f>RKA!M143</f>
        <v>2475000</v>
      </c>
      <c r="N191" s="1619">
        <f>RKA!N143</f>
        <v>0</v>
      </c>
      <c r="O191" s="1619">
        <f>RKA!O143</f>
        <v>0</v>
      </c>
      <c r="P191" s="1619">
        <f>RKA!P143</f>
        <v>1275000</v>
      </c>
      <c r="Q191" s="1619">
        <f>RKA!Q143</f>
        <v>0</v>
      </c>
      <c r="R191" s="1619">
        <f>RKA!R143</f>
        <v>0</v>
      </c>
      <c r="S191" s="1619">
        <f>RKA!S143</f>
        <v>0</v>
      </c>
      <c r="T191" s="1619">
        <f>RKA!T143</f>
        <v>1650000</v>
      </c>
      <c r="U191" s="1619">
        <f>RKA!U143</f>
        <v>0</v>
      </c>
      <c r="V191" s="1619">
        <f>RKA!V143</f>
        <v>0</v>
      </c>
      <c r="W191" s="1619">
        <f t="shared" si="26"/>
        <v>5400000</v>
      </c>
      <c r="Y191" s="1578">
        <f t="shared" si="27"/>
        <v>0</v>
      </c>
    </row>
    <row r="192" spans="1:25">
      <c r="A192" s="1699">
        <f>IF('Pnj APBDES'!A216="","",'Pnj APBDES'!A216)</f>
        <v>2</v>
      </c>
      <c r="B192" s="1687">
        <f>IF('Pnj APBDES'!B216="","",'Pnj APBDES'!B216)</f>
        <v>3</v>
      </c>
      <c r="C192" s="1687">
        <f>IF('Pnj APBDES'!C216="","",'Pnj APBDES'!C216)</f>
        <v>10</v>
      </c>
      <c r="D192" s="1676">
        <f>IF('Pnj APBDES'!D216="","",'Pnj APBDES'!D216)</f>
        <v>5</v>
      </c>
      <c r="E192" s="1676">
        <f>IF('Pnj APBDES'!E216="","",'Pnj APBDES'!E216)</f>
        <v>3</v>
      </c>
      <c r="F192" s="1676">
        <f>IF('Pnj APBDES'!F216="","",'Pnj APBDES'!F216)</f>
        <v>5</v>
      </c>
      <c r="G192" s="1676">
        <f>IF('Pnj APBDES'!G216="","",'Pnj APBDES'!G216)</f>
        <v>2</v>
      </c>
      <c r="H192" s="1678" t="str">
        <f>IF('Pnj APBDES'!H216="","",'Pnj APBDES'!H216)</f>
        <v>Belanja Modal Upah Tenaga Kerja</v>
      </c>
      <c r="I192" s="1679">
        <f>'Pnj APBDES'!K216</f>
        <v>130020000</v>
      </c>
      <c r="J192" s="1650" t="str">
        <f>IF('Pnj APBDES'!N216="","",'Pnj APBDES'!N216)</f>
        <v>DD</v>
      </c>
      <c r="K192" s="1619">
        <f>RKA!K144</f>
        <v>0</v>
      </c>
      <c r="L192" s="1619">
        <f>RKA!L144</f>
        <v>0</v>
      </c>
      <c r="M192" s="1619">
        <f>RKA!M144</f>
        <v>64420000</v>
      </c>
      <c r="N192" s="1619">
        <f>RKA!N144</f>
        <v>0</v>
      </c>
      <c r="O192" s="1619">
        <f>RKA!O144</f>
        <v>0</v>
      </c>
      <c r="P192" s="1619">
        <f>RKA!P144</f>
        <v>25540000</v>
      </c>
      <c r="Q192" s="1619">
        <f>RKA!Q144</f>
        <v>0</v>
      </c>
      <c r="R192" s="1619">
        <f>RKA!R144</f>
        <v>0</v>
      </c>
      <c r="S192" s="1619">
        <f>RKA!S144</f>
        <v>0</v>
      </c>
      <c r="T192" s="1619">
        <f>RKA!T144</f>
        <v>40060000</v>
      </c>
      <c r="U192" s="1619">
        <f>RKA!U144</f>
        <v>0</v>
      </c>
      <c r="V192" s="1619">
        <f>RKA!V144</f>
        <v>0</v>
      </c>
      <c r="W192" s="1619">
        <f t="shared" si="26"/>
        <v>130020000</v>
      </c>
      <c r="Y192" s="1578">
        <f t="shared" si="27"/>
        <v>0</v>
      </c>
    </row>
    <row r="193" spans="1:25">
      <c r="A193" s="1699">
        <f>IF('Pnj APBDES'!A217="","",'Pnj APBDES'!A217)</f>
        <v>2</v>
      </c>
      <c r="B193" s="1687">
        <f>IF('Pnj APBDES'!B217="","",'Pnj APBDES'!B217)</f>
        <v>3</v>
      </c>
      <c r="C193" s="1687">
        <f>IF('Pnj APBDES'!C217="","",'Pnj APBDES'!C217)</f>
        <v>10</v>
      </c>
      <c r="D193" s="1676">
        <f>IF('Pnj APBDES'!D217="","",'Pnj APBDES'!D217)</f>
        <v>5</v>
      </c>
      <c r="E193" s="1676">
        <f>IF('Pnj APBDES'!E217="","",'Pnj APBDES'!E217)</f>
        <v>3</v>
      </c>
      <c r="F193" s="1676">
        <f>IF('Pnj APBDES'!F217="","",'Pnj APBDES'!F217)</f>
        <v>5</v>
      </c>
      <c r="G193" s="1676">
        <f>IF('Pnj APBDES'!G217="","",'Pnj APBDES'!G217)</f>
        <v>3</v>
      </c>
      <c r="H193" s="1678" t="str">
        <f>IF('Pnj APBDES'!H217="","",'Pnj APBDES'!H217)</f>
        <v xml:space="preserve">Belanja Modal Bahan Baku </v>
      </c>
      <c r="I193" s="1679">
        <f>'Pnj APBDES'!K217</f>
        <v>372327000</v>
      </c>
      <c r="J193" s="1650" t="str">
        <f>IF('Pnj APBDES'!N217="","",'Pnj APBDES'!N217)</f>
        <v>DD</v>
      </c>
      <c r="K193" s="1619">
        <f>RKA!K145</f>
        <v>0</v>
      </c>
      <c r="L193" s="1619">
        <f>RKA!L145</f>
        <v>0</v>
      </c>
      <c r="M193" s="1619">
        <f>RKA!M145</f>
        <v>184616000</v>
      </c>
      <c r="N193" s="1619">
        <f>RKA!N145</f>
        <v>0</v>
      </c>
      <c r="O193" s="1619">
        <f>RKA!O145</f>
        <v>0</v>
      </c>
      <c r="P193" s="1619">
        <f>RKA!P145</f>
        <v>73285000</v>
      </c>
      <c r="Q193" s="1619">
        <f>RKA!Q145</f>
        <v>0</v>
      </c>
      <c r="R193" s="1619">
        <f>RKA!R145</f>
        <v>0</v>
      </c>
      <c r="S193" s="1619">
        <f>RKA!S145</f>
        <v>0</v>
      </c>
      <c r="T193" s="1619">
        <f>RKA!T145</f>
        <v>114426000</v>
      </c>
      <c r="U193" s="1619">
        <f>RKA!U145</f>
        <v>0</v>
      </c>
      <c r="V193" s="1619">
        <f>RKA!V145</f>
        <v>0</v>
      </c>
      <c r="W193" s="1619">
        <f t="shared" ref="W193:W256" si="28">SUM(K193:V193)</f>
        <v>372327000</v>
      </c>
      <c r="Y193" s="1578">
        <f t="shared" si="27"/>
        <v>0</v>
      </c>
    </row>
    <row r="194" spans="1:25">
      <c r="A194" s="1699">
        <f>IF('Pnj APBDES'!A218="","",'Pnj APBDES'!A218)</f>
        <v>2</v>
      </c>
      <c r="B194" s="1687">
        <f>IF('Pnj APBDES'!B218="","",'Pnj APBDES'!B218)</f>
        <v>3</v>
      </c>
      <c r="C194" s="1687">
        <f>IF('Pnj APBDES'!C218="","",'Pnj APBDES'!C218)</f>
        <v>10</v>
      </c>
      <c r="D194" s="1676">
        <f>IF('Pnj APBDES'!D218="","",'Pnj APBDES'!D218)</f>
        <v>5</v>
      </c>
      <c r="E194" s="1676">
        <f>IF('Pnj APBDES'!E218="","",'Pnj APBDES'!E218)</f>
        <v>3</v>
      </c>
      <c r="F194" s="1676">
        <f>IF('Pnj APBDES'!F218="","",'Pnj APBDES'!F218)</f>
        <v>5</v>
      </c>
      <c r="G194" s="1676">
        <f>IF('Pnj APBDES'!G218="","",'Pnj APBDES'!G218)</f>
        <v>4</v>
      </c>
      <c r="H194" s="1678" t="str">
        <f>IF('Pnj APBDES'!H218="","",'Pnj APBDES'!H218)</f>
        <v xml:space="preserve">Belanja Modal Sewa Peralatan  </v>
      </c>
      <c r="I194" s="1679">
        <f>'Pnj APBDES'!K218</f>
        <v>7000000</v>
      </c>
      <c r="J194" s="1650" t="str">
        <f>IF('Pnj APBDES'!N218="","",'Pnj APBDES'!N218)</f>
        <v>DD</v>
      </c>
      <c r="K194" s="1619">
        <f>RKA!K146</f>
        <v>0</v>
      </c>
      <c r="L194" s="1619">
        <f>RKA!L146</f>
        <v>0</v>
      </c>
      <c r="M194" s="1619">
        <f>RKA!M146</f>
        <v>3000000</v>
      </c>
      <c r="N194" s="1619">
        <f>RKA!N146</f>
        <v>0</v>
      </c>
      <c r="O194" s="1619">
        <f>RKA!O146</f>
        <v>0</v>
      </c>
      <c r="P194" s="1619">
        <f>RKA!P146</f>
        <v>2000000</v>
      </c>
      <c r="Q194" s="1619">
        <f>RKA!Q146</f>
        <v>0</v>
      </c>
      <c r="R194" s="1619">
        <f>RKA!R146</f>
        <v>0</v>
      </c>
      <c r="S194" s="1619">
        <f>RKA!S146</f>
        <v>0</v>
      </c>
      <c r="T194" s="1619">
        <f>RKA!T146</f>
        <v>2000000</v>
      </c>
      <c r="U194" s="1619">
        <f>RKA!U146</f>
        <v>0</v>
      </c>
      <c r="V194" s="1619">
        <f>RKA!V146</f>
        <v>0</v>
      </c>
      <c r="W194" s="1619">
        <f t="shared" si="28"/>
        <v>7000000</v>
      </c>
      <c r="Y194" s="1578">
        <f t="shared" si="27"/>
        <v>0</v>
      </c>
    </row>
    <row r="195" spans="1:25">
      <c r="A195" s="1700" t="e">
        <f>IF('Pnj APBDES'!#REF!="","",'Pnj APBDES'!#REF!)</f>
        <v>#REF!</v>
      </c>
      <c r="B195" s="1691" t="e">
        <f>IF('Pnj APBDES'!#REF!="","",'Pnj APBDES'!#REF!)</f>
        <v>#REF!</v>
      </c>
      <c r="C195" s="1691" t="e">
        <f>IF('Pnj APBDES'!#REF!="","",'Pnj APBDES'!#REF!)</f>
        <v>#REF!</v>
      </c>
      <c r="D195" s="1672" t="e">
        <f>IF('Pnj APBDES'!#REF!="","",'Pnj APBDES'!#REF!)</f>
        <v>#REF!</v>
      </c>
      <c r="E195" s="1672" t="e">
        <f>IF('Pnj APBDES'!#REF!="","",'Pnj APBDES'!#REF!)</f>
        <v>#REF!</v>
      </c>
      <c r="F195" s="1672" t="e">
        <f>IF('Pnj APBDES'!#REF!="","",'Pnj APBDES'!#REF!)</f>
        <v>#REF!</v>
      </c>
      <c r="G195" s="1672" t="e">
        <f>IF('Pnj APBDES'!#REF!="","",'Pnj APBDES'!#REF!)</f>
        <v>#REF!</v>
      </c>
      <c r="H195" s="1692" t="e">
        <f>IF('Pnj APBDES'!#REF!="","",'Pnj APBDES'!#REF!)</f>
        <v>#REF!</v>
      </c>
      <c r="I195" s="1675" t="e">
        <f>'Pnj APBDES'!#REF!</f>
        <v>#REF!</v>
      </c>
      <c r="J195" s="1650" t="e">
        <f>IF('Pnj APBDES'!#REF!="","",'Pnj APBDES'!#REF!)</f>
        <v>#REF!</v>
      </c>
      <c r="K195" s="1619">
        <f>RKA!K147</f>
        <v>0</v>
      </c>
      <c r="L195" s="1619">
        <f>RKA!L147</f>
        <v>0</v>
      </c>
      <c r="M195" s="1619">
        <f>RKA!M147</f>
        <v>0</v>
      </c>
      <c r="N195" s="1619">
        <f>RKA!N147</f>
        <v>0</v>
      </c>
      <c r="O195" s="1619">
        <f>RKA!O147</f>
        <v>40000000</v>
      </c>
      <c r="P195" s="1619">
        <f>RKA!P147</f>
        <v>0</v>
      </c>
      <c r="Q195" s="1619">
        <f>RKA!Q147</f>
        <v>0</v>
      </c>
      <c r="R195" s="1619">
        <f>RKA!R147</f>
        <v>0</v>
      </c>
      <c r="S195" s="1619">
        <f>RKA!S147</f>
        <v>0</v>
      </c>
      <c r="T195" s="1619">
        <f>RKA!T147</f>
        <v>0</v>
      </c>
      <c r="U195" s="1619">
        <f>RKA!U147</f>
        <v>0</v>
      </c>
      <c r="V195" s="1619">
        <f>RKA!V147</f>
        <v>0</v>
      </c>
      <c r="W195" s="1619">
        <f t="shared" si="28"/>
        <v>40000000</v>
      </c>
      <c r="Y195" s="1578" t="e">
        <f t="shared" si="27"/>
        <v>#REF!</v>
      </c>
    </row>
    <row r="196" spans="1:25">
      <c r="A196" s="1699" t="e">
        <f>IF('Pnj APBDES'!#REF!="","",'Pnj APBDES'!#REF!)</f>
        <v>#REF!</v>
      </c>
      <c r="B196" s="1687" t="e">
        <f>IF('Pnj APBDES'!#REF!="","",'Pnj APBDES'!#REF!)</f>
        <v>#REF!</v>
      </c>
      <c r="C196" s="1687" t="e">
        <f>IF('Pnj APBDES'!#REF!="","",'Pnj APBDES'!#REF!)</f>
        <v>#REF!</v>
      </c>
      <c r="D196" s="1676" t="e">
        <f>IF('Pnj APBDES'!#REF!="","",'Pnj APBDES'!#REF!)</f>
        <v>#REF!</v>
      </c>
      <c r="E196" s="1676" t="e">
        <f>IF('Pnj APBDES'!#REF!="","",'Pnj APBDES'!#REF!)</f>
        <v>#REF!</v>
      </c>
      <c r="F196" s="1676" t="e">
        <f>IF('Pnj APBDES'!#REF!="","",'Pnj APBDES'!#REF!)</f>
        <v>#REF!</v>
      </c>
      <c r="G196" s="1676" t="e">
        <f>IF('Pnj APBDES'!#REF!="","",'Pnj APBDES'!#REF!)</f>
        <v>#REF!</v>
      </c>
      <c r="H196" s="1678" t="e">
        <f>IF('Pnj APBDES'!#REF!="","",'Pnj APBDES'!#REF!)</f>
        <v>#REF!</v>
      </c>
      <c r="I196" s="1679" t="e">
        <f>'Pnj APBDES'!#REF!</f>
        <v>#REF!</v>
      </c>
      <c r="J196" s="1650" t="e">
        <f>IF('Pnj APBDES'!#REF!="","",'Pnj APBDES'!#REF!)</f>
        <v>#REF!</v>
      </c>
      <c r="K196" s="1619">
        <f>RKA!K148</f>
        <v>0</v>
      </c>
      <c r="L196" s="1619">
        <f>RKA!L148</f>
        <v>0</v>
      </c>
      <c r="M196" s="1619">
        <f>RKA!M148</f>
        <v>0</v>
      </c>
      <c r="N196" s="1619">
        <f>RKA!N148</f>
        <v>0</v>
      </c>
      <c r="O196" s="1619">
        <f>RKA!O148</f>
        <v>40000000</v>
      </c>
      <c r="P196" s="1619">
        <f>RKA!P148</f>
        <v>0</v>
      </c>
      <c r="Q196" s="1619">
        <f>RKA!Q148</f>
        <v>0</v>
      </c>
      <c r="R196" s="1619">
        <f>RKA!R148</f>
        <v>0</v>
      </c>
      <c r="S196" s="1619">
        <f>RKA!S148</f>
        <v>0</v>
      </c>
      <c r="T196" s="1619">
        <f>RKA!T148</f>
        <v>0</v>
      </c>
      <c r="U196" s="1619">
        <f>RKA!U148</f>
        <v>0</v>
      </c>
      <c r="V196" s="1619">
        <f>RKA!V148</f>
        <v>0</v>
      </c>
      <c r="W196" s="1619">
        <f t="shared" si="28"/>
        <v>40000000</v>
      </c>
      <c r="Y196" s="1578" t="e">
        <f t="shared" si="27"/>
        <v>#REF!</v>
      </c>
    </row>
    <row r="197" spans="1:25">
      <c r="A197" s="1699" t="e">
        <f>IF('Pnj APBDES'!#REF!="","",'Pnj APBDES'!#REF!)</f>
        <v>#REF!</v>
      </c>
      <c r="B197" s="1687" t="e">
        <f>IF('Pnj APBDES'!#REF!="","",'Pnj APBDES'!#REF!)</f>
        <v>#REF!</v>
      </c>
      <c r="C197" s="1687" t="e">
        <f>IF('Pnj APBDES'!#REF!="","",'Pnj APBDES'!#REF!)</f>
        <v>#REF!</v>
      </c>
      <c r="D197" s="1676" t="e">
        <f>IF('Pnj APBDES'!#REF!="","",'Pnj APBDES'!#REF!)</f>
        <v>#REF!</v>
      </c>
      <c r="E197" s="1676" t="e">
        <f>IF('Pnj APBDES'!#REF!="","",'Pnj APBDES'!#REF!)</f>
        <v>#REF!</v>
      </c>
      <c r="F197" s="1676" t="e">
        <f>IF('Pnj APBDES'!#REF!="","",'Pnj APBDES'!#REF!)</f>
        <v>#REF!</v>
      </c>
      <c r="G197" s="1676" t="e">
        <f>IF('Pnj APBDES'!#REF!="","",'Pnj APBDES'!#REF!)</f>
        <v>#REF!</v>
      </c>
      <c r="H197" s="1696" t="e">
        <f>IF('Pnj APBDES'!#REF!="","",'Pnj APBDES'!#REF!)</f>
        <v>#REF!</v>
      </c>
      <c r="I197" s="1679" t="e">
        <f>'Pnj APBDES'!#REF!</f>
        <v>#REF!</v>
      </c>
      <c r="J197" s="1650" t="e">
        <f>IF('Pnj APBDES'!#REF!="","",'Pnj APBDES'!#REF!)</f>
        <v>#REF!</v>
      </c>
      <c r="K197" s="1619">
        <f>RKA!K149</f>
        <v>0</v>
      </c>
      <c r="L197" s="1619">
        <f>RKA!L149</f>
        <v>0</v>
      </c>
      <c r="M197" s="1619">
        <f>RKA!M149</f>
        <v>0</v>
      </c>
      <c r="N197" s="1619">
        <f>RKA!N149</f>
        <v>0</v>
      </c>
      <c r="O197" s="1619">
        <f>RKA!O149</f>
        <v>40000000</v>
      </c>
      <c r="P197" s="1619">
        <f>RKA!P149</f>
        <v>0</v>
      </c>
      <c r="Q197" s="1619">
        <f>RKA!Q149</f>
        <v>0</v>
      </c>
      <c r="R197" s="1619">
        <f>RKA!R149</f>
        <v>0</v>
      </c>
      <c r="S197" s="1619">
        <f>RKA!S149</f>
        <v>0</v>
      </c>
      <c r="T197" s="1619">
        <f>RKA!T149</f>
        <v>0</v>
      </c>
      <c r="U197" s="1619">
        <f>RKA!U149</f>
        <v>0</v>
      </c>
      <c r="V197" s="1619">
        <f>RKA!V149</f>
        <v>0</v>
      </c>
      <c r="W197" s="1619">
        <f t="shared" si="28"/>
        <v>40000000</v>
      </c>
      <c r="Y197" s="1578" t="e">
        <f t="shared" si="27"/>
        <v>#REF!</v>
      </c>
    </row>
    <row r="198" spans="1:25">
      <c r="A198" s="1699" t="e">
        <f>IF('Pnj APBDES'!#REF!="","",'Pnj APBDES'!#REF!)</f>
        <v>#REF!</v>
      </c>
      <c r="B198" s="1687" t="e">
        <f>IF('Pnj APBDES'!#REF!="","",'Pnj APBDES'!#REF!)</f>
        <v>#REF!</v>
      </c>
      <c r="C198" s="1687" t="e">
        <f>IF('Pnj APBDES'!#REF!="","",'Pnj APBDES'!#REF!)</f>
        <v>#REF!</v>
      </c>
      <c r="D198" s="1676" t="e">
        <f>IF('Pnj APBDES'!#REF!="","",'Pnj APBDES'!#REF!)</f>
        <v>#REF!</v>
      </c>
      <c r="E198" s="1676" t="e">
        <f>IF('Pnj APBDES'!#REF!="","",'Pnj APBDES'!#REF!)</f>
        <v>#REF!</v>
      </c>
      <c r="F198" s="1676" t="e">
        <f>IF('Pnj APBDES'!#REF!="","",'Pnj APBDES'!#REF!)</f>
        <v>#REF!</v>
      </c>
      <c r="G198" s="1676" t="e">
        <f>IF('Pnj APBDES'!#REF!="","",'Pnj APBDES'!#REF!)</f>
        <v>#REF!</v>
      </c>
      <c r="H198" s="1678" t="e">
        <f>IF('Pnj APBDES'!#REF!="","",'Pnj APBDES'!#REF!)</f>
        <v>#REF!</v>
      </c>
      <c r="I198" s="1679" t="e">
        <f>'Pnj APBDES'!#REF!</f>
        <v>#REF!</v>
      </c>
      <c r="J198" s="1650" t="e">
        <f>IF('Pnj APBDES'!#REF!="","",'Pnj APBDES'!#REF!)</f>
        <v>#REF!</v>
      </c>
      <c r="K198" s="1619">
        <f>RKA!K150</f>
        <v>0</v>
      </c>
      <c r="L198" s="1619">
        <f>RKA!L150</f>
        <v>0</v>
      </c>
      <c r="M198" s="1619">
        <f>RKA!M150</f>
        <v>0</v>
      </c>
      <c r="N198" s="1619">
        <f>RKA!N150</f>
        <v>0</v>
      </c>
      <c r="O198" s="1619">
        <f>RKA!O150</f>
        <v>450000</v>
      </c>
      <c r="P198" s="1619">
        <f>RKA!P150</f>
        <v>0</v>
      </c>
      <c r="Q198" s="1619">
        <f>RKA!Q150</f>
        <v>0</v>
      </c>
      <c r="R198" s="1619">
        <f>RKA!R150</f>
        <v>0</v>
      </c>
      <c r="S198" s="1619">
        <f>RKA!S150</f>
        <v>0</v>
      </c>
      <c r="T198" s="1619">
        <f>RKA!T150</f>
        <v>0</v>
      </c>
      <c r="U198" s="1619">
        <f>RKA!U150</f>
        <v>0</v>
      </c>
      <c r="V198" s="1619">
        <f>RKA!V150</f>
        <v>0</v>
      </c>
      <c r="W198" s="1619">
        <f t="shared" si="28"/>
        <v>450000</v>
      </c>
      <c r="Y198" s="1578" t="e">
        <f t="shared" si="27"/>
        <v>#REF!</v>
      </c>
    </row>
    <row r="199" spans="1:25">
      <c r="A199" s="1699" t="e">
        <f>IF('Pnj APBDES'!#REF!="","",'Pnj APBDES'!#REF!)</f>
        <v>#REF!</v>
      </c>
      <c r="B199" s="1687" t="e">
        <f>IF('Pnj APBDES'!#REF!="","",'Pnj APBDES'!#REF!)</f>
        <v>#REF!</v>
      </c>
      <c r="C199" s="1687" t="e">
        <f>IF('Pnj APBDES'!#REF!="","",'Pnj APBDES'!#REF!)</f>
        <v>#REF!</v>
      </c>
      <c r="D199" s="1676" t="e">
        <f>IF('Pnj APBDES'!#REF!="","",'Pnj APBDES'!#REF!)</f>
        <v>#REF!</v>
      </c>
      <c r="E199" s="1676" t="e">
        <f>IF('Pnj APBDES'!#REF!="","",'Pnj APBDES'!#REF!)</f>
        <v>#REF!</v>
      </c>
      <c r="F199" s="1676" t="e">
        <f>IF('Pnj APBDES'!#REF!="","",'Pnj APBDES'!#REF!)</f>
        <v>#REF!</v>
      </c>
      <c r="G199" s="1676" t="e">
        <f>IF('Pnj APBDES'!#REF!="","",'Pnj APBDES'!#REF!)</f>
        <v>#REF!</v>
      </c>
      <c r="H199" s="1678" t="e">
        <f>IF('Pnj APBDES'!#REF!="","",'Pnj APBDES'!#REF!)</f>
        <v>#REF!</v>
      </c>
      <c r="I199" s="1679" t="e">
        <f>'Pnj APBDES'!#REF!</f>
        <v>#REF!</v>
      </c>
      <c r="J199" s="1650" t="e">
        <f>IF('Pnj APBDES'!#REF!="","",'Pnj APBDES'!#REF!)</f>
        <v>#REF!</v>
      </c>
      <c r="K199" s="1619">
        <f>RKA!K151</f>
        <v>0</v>
      </c>
      <c r="L199" s="1619">
        <f>RKA!L151</f>
        <v>0</v>
      </c>
      <c r="M199" s="1619">
        <f>RKA!M151</f>
        <v>0</v>
      </c>
      <c r="N199" s="1619">
        <f>RKA!N151</f>
        <v>0</v>
      </c>
      <c r="O199" s="1619">
        <f>RKA!O151</f>
        <v>39550000</v>
      </c>
      <c r="P199" s="1619">
        <f>RKA!P151</f>
        <v>0</v>
      </c>
      <c r="Q199" s="1619">
        <f>RKA!Q151</f>
        <v>0</v>
      </c>
      <c r="R199" s="1619">
        <f>RKA!R151</f>
        <v>0</v>
      </c>
      <c r="S199" s="1619">
        <f>RKA!S151</f>
        <v>0</v>
      </c>
      <c r="T199" s="1619">
        <f>RKA!T151</f>
        <v>0</v>
      </c>
      <c r="U199" s="1619">
        <f>RKA!U151</f>
        <v>0</v>
      </c>
      <c r="V199" s="1619">
        <f>RKA!V151</f>
        <v>0</v>
      </c>
      <c r="W199" s="1619">
        <f t="shared" si="28"/>
        <v>39550000</v>
      </c>
      <c r="Y199" s="1578" t="e">
        <f t="shared" si="27"/>
        <v>#REF!</v>
      </c>
    </row>
    <row r="200" spans="1:25">
      <c r="A200" s="1700">
        <f>IF('Pnj APBDES'!A255="","",'Pnj APBDES'!A255)</f>
        <v>3</v>
      </c>
      <c r="B200" s="1691">
        <f>IF('Pnj APBDES'!B255="","",'Pnj APBDES'!B255)</f>
        <v>3</v>
      </c>
      <c r="C200" s="1691">
        <f>IF('Pnj APBDES'!C255="","",'Pnj APBDES'!C255)</f>
        <v>15</v>
      </c>
      <c r="D200" s="1672" t="str">
        <f>IF('Pnj APBDES'!D255="","",'Pnj APBDES'!D255)</f>
        <v/>
      </c>
      <c r="E200" s="1672" t="str">
        <f>IF('Pnj APBDES'!E255="","",'Pnj APBDES'!E255)</f>
        <v/>
      </c>
      <c r="F200" s="1672" t="str">
        <f>IF('Pnj APBDES'!F255="","",'Pnj APBDES'!F255)</f>
        <v/>
      </c>
      <c r="G200" s="1672" t="str">
        <f>IF('Pnj APBDES'!G255="","",'Pnj APBDES'!G255)</f>
        <v/>
      </c>
      <c r="H200" s="1674" t="str">
        <f>IF('Pnj APBDES'!H255="","",'Pnj APBDES'!H255)</f>
        <v>Pembangunan gedung sarana olah raga desa</v>
      </c>
      <c r="I200" s="1675">
        <f>'Pnj APBDES'!K255</f>
        <v>203804386</v>
      </c>
      <c r="J200" s="1650" t="str">
        <f>IF('Pnj APBDES'!N255="","",'Pnj APBDES'!N255)</f>
        <v/>
      </c>
      <c r="K200" s="1619">
        <f>RKA!K152</f>
        <v>0</v>
      </c>
      <c r="L200" s="1619">
        <f>RKA!L152</f>
        <v>0</v>
      </c>
      <c r="M200" s="1619">
        <f>RKA!M152</f>
        <v>0</v>
      </c>
      <c r="N200" s="1619">
        <f>RKA!N152</f>
        <v>0</v>
      </c>
      <c r="O200" s="1619">
        <f>RKA!O152</f>
        <v>0</v>
      </c>
      <c r="P200" s="1619">
        <f>RKA!P152</f>
        <v>0</v>
      </c>
      <c r="Q200" s="1619">
        <f>RKA!Q152</f>
        <v>0</v>
      </c>
      <c r="R200" s="1619">
        <f>RKA!R152</f>
        <v>192409800</v>
      </c>
      <c r="S200" s="1619">
        <f>RKA!S152</f>
        <v>0</v>
      </c>
      <c r="T200" s="1619">
        <f>RKA!T152</f>
        <v>0</v>
      </c>
      <c r="U200" s="1619">
        <f>RKA!U152</f>
        <v>0</v>
      </c>
      <c r="V200" s="1619">
        <f>RKA!V152</f>
        <v>0</v>
      </c>
      <c r="W200" s="1619">
        <f t="shared" si="28"/>
        <v>192409800</v>
      </c>
      <c r="Y200" s="1578">
        <f t="shared" si="27"/>
        <v>11394586</v>
      </c>
    </row>
    <row r="201" spans="1:25">
      <c r="A201" s="1699">
        <f>IF('Pnj APBDES'!A256="","",'Pnj APBDES'!A256)</f>
        <v>2</v>
      </c>
      <c r="B201" s="1687">
        <f>IF('Pnj APBDES'!B256="","",'Pnj APBDES'!B256)</f>
        <v>3</v>
      </c>
      <c r="C201" s="1687">
        <f>IF('Pnj APBDES'!C256="","",'Pnj APBDES'!C256)</f>
        <v>15</v>
      </c>
      <c r="D201" s="1676">
        <f>IF('Pnj APBDES'!D256="","",'Pnj APBDES'!D256)</f>
        <v>5</v>
      </c>
      <c r="E201" s="1676">
        <f>IF('Pnj APBDES'!E256="","",'Pnj APBDES'!E256)</f>
        <v>3</v>
      </c>
      <c r="F201" s="1676" t="str">
        <f>IF('Pnj APBDES'!F256="","",'Pnj APBDES'!F256)</f>
        <v/>
      </c>
      <c r="G201" s="1676" t="str">
        <f>IF('Pnj APBDES'!G256="","",'Pnj APBDES'!G256)</f>
        <v/>
      </c>
      <c r="H201" s="1678" t="str">
        <f>IF('Pnj APBDES'!H256="","",'Pnj APBDES'!H256)</f>
        <v>Belanja Modal</v>
      </c>
      <c r="I201" s="1679">
        <f>'Pnj APBDES'!K256</f>
        <v>203804386</v>
      </c>
      <c r="J201" s="1650" t="str">
        <f>IF('Pnj APBDES'!N256="","",'Pnj APBDES'!N256)</f>
        <v/>
      </c>
      <c r="K201" s="1619">
        <f>RKA!K153</f>
        <v>0</v>
      </c>
      <c r="L201" s="1619">
        <f>RKA!L153</f>
        <v>0</v>
      </c>
      <c r="M201" s="1619">
        <f>RKA!M153</f>
        <v>0</v>
      </c>
      <c r="N201" s="1619">
        <f>RKA!N153</f>
        <v>0</v>
      </c>
      <c r="O201" s="1619">
        <f>RKA!O153</f>
        <v>0</v>
      </c>
      <c r="P201" s="1619">
        <f>RKA!P153</f>
        <v>0</v>
      </c>
      <c r="Q201" s="1619">
        <f>RKA!Q153</f>
        <v>0</v>
      </c>
      <c r="R201" s="1619">
        <f>RKA!R153</f>
        <v>192409800</v>
      </c>
      <c r="S201" s="1619">
        <f>RKA!S153</f>
        <v>0</v>
      </c>
      <c r="T201" s="1619">
        <f>RKA!T153</f>
        <v>0</v>
      </c>
      <c r="U201" s="1619">
        <f>RKA!U153</f>
        <v>0</v>
      </c>
      <c r="V201" s="1619">
        <f>RKA!V153</f>
        <v>0</v>
      </c>
      <c r="W201" s="1619">
        <f t="shared" si="28"/>
        <v>192409800</v>
      </c>
      <c r="Y201" s="1578">
        <f t="shared" si="27"/>
        <v>11394586</v>
      </c>
    </row>
    <row r="202" spans="1:25">
      <c r="A202" s="1699">
        <f>IF('Pnj APBDES'!A257="","",'Pnj APBDES'!A257)</f>
        <v>2</v>
      </c>
      <c r="B202" s="1687">
        <f>IF('Pnj APBDES'!B257="","",'Pnj APBDES'!B257)</f>
        <v>3</v>
      </c>
      <c r="C202" s="1687">
        <f>IF('Pnj APBDES'!C257="","",'Pnj APBDES'!C257)</f>
        <v>15</v>
      </c>
      <c r="D202" s="1676">
        <f>IF('Pnj APBDES'!D257="","",'Pnj APBDES'!D257)</f>
        <v>5</v>
      </c>
      <c r="E202" s="1676">
        <f>IF('Pnj APBDES'!E257="","",'Pnj APBDES'!E257)</f>
        <v>3</v>
      </c>
      <c r="F202" s="1676">
        <f>IF('Pnj APBDES'!F257="","",'Pnj APBDES'!F257)</f>
        <v>1</v>
      </c>
      <c r="G202" s="1676" t="str">
        <f>IF('Pnj APBDES'!G257="","",'Pnj APBDES'!G257)</f>
        <v/>
      </c>
      <c r="H202" s="1678" t="str">
        <f>IF('Pnj APBDES'!H257="","",'Pnj APBDES'!H257)</f>
        <v>Belanja Modal Honor Tim yang Melaksanakan Kegiatan</v>
      </c>
      <c r="I202" s="1679">
        <f>'Pnj APBDES'!K257</f>
        <v>825000</v>
      </c>
      <c r="J202" s="1650" t="str">
        <f>IF('Pnj APBDES'!N257="","",'Pnj APBDES'!N257)</f>
        <v>DD</v>
      </c>
      <c r="K202" s="1619">
        <f>RKA!K154</f>
        <v>0</v>
      </c>
      <c r="L202" s="1619">
        <f>RKA!L154</f>
        <v>0</v>
      </c>
      <c r="M202" s="1619">
        <f>RKA!M154</f>
        <v>0</v>
      </c>
      <c r="N202" s="1619">
        <f>RKA!N154</f>
        <v>0</v>
      </c>
      <c r="O202" s="1619">
        <f>RKA!O154</f>
        <v>0</v>
      </c>
      <c r="P202" s="1619">
        <f>RKA!P154</f>
        <v>0</v>
      </c>
      <c r="Q202" s="1619">
        <f>RKA!Q154</f>
        <v>0</v>
      </c>
      <c r="R202" s="1619">
        <f>RKA!R154</f>
        <v>825000</v>
      </c>
      <c r="S202" s="1619">
        <f>RKA!S154</f>
        <v>0</v>
      </c>
      <c r="T202" s="1619">
        <f>RKA!T154</f>
        <v>0</v>
      </c>
      <c r="U202" s="1619">
        <f>RKA!U154</f>
        <v>0</v>
      </c>
      <c r="V202" s="1619">
        <f>RKA!V154</f>
        <v>0</v>
      </c>
      <c r="W202" s="1619">
        <f t="shared" si="28"/>
        <v>825000</v>
      </c>
      <c r="Y202" s="1578">
        <f t="shared" si="27"/>
        <v>0</v>
      </c>
    </row>
    <row r="203" spans="1:25">
      <c r="A203" s="1699">
        <f>IF('Pnj APBDES'!A258="","",'Pnj APBDES'!A258)</f>
        <v>2</v>
      </c>
      <c r="B203" s="1687">
        <f>IF('Pnj APBDES'!B258="","",'Pnj APBDES'!B258)</f>
        <v>3</v>
      </c>
      <c r="C203" s="1687">
        <f>IF('Pnj APBDES'!C258="","",'Pnj APBDES'!C258)</f>
        <v>15</v>
      </c>
      <c r="D203" s="1676">
        <f>IF('Pnj APBDES'!D258="","",'Pnj APBDES'!D258)</f>
        <v>5</v>
      </c>
      <c r="E203" s="1676">
        <f>IF('Pnj APBDES'!E258="","",'Pnj APBDES'!E258)</f>
        <v>3</v>
      </c>
      <c r="F203" s="1676">
        <f>IF('Pnj APBDES'!F258="","",'Pnj APBDES'!F258)</f>
        <v>2</v>
      </c>
      <c r="G203" s="1676" t="str">
        <f>IF('Pnj APBDES'!G258="","",'Pnj APBDES'!G258)</f>
        <v/>
      </c>
      <c r="H203" s="1678" t="str">
        <f>IF('Pnj APBDES'!H258="","",'Pnj APBDES'!H258)</f>
        <v>Belanja Modal Upah Tenaga Kerja</v>
      </c>
      <c r="I203" s="1679">
        <f>'Pnj APBDES'!K258</f>
        <v>41760000</v>
      </c>
      <c r="J203" s="1650" t="str">
        <f>IF('Pnj APBDES'!N258="","",'Pnj APBDES'!N258)</f>
        <v>DD</v>
      </c>
      <c r="K203" s="1619">
        <f>RKA!K155</f>
        <v>0</v>
      </c>
      <c r="L203" s="1619">
        <f>RKA!L155</f>
        <v>0</v>
      </c>
      <c r="M203" s="1619">
        <f>RKA!M155</f>
        <v>0</v>
      </c>
      <c r="N203" s="1619">
        <f>RKA!N155</f>
        <v>0</v>
      </c>
      <c r="O203" s="1619">
        <f>RKA!O155</f>
        <v>0</v>
      </c>
      <c r="P203" s="1619">
        <f>RKA!P155</f>
        <v>0</v>
      </c>
      <c r="Q203" s="1619">
        <f>RKA!Q155</f>
        <v>0</v>
      </c>
      <c r="R203" s="1619">
        <f>RKA!R155</f>
        <v>43080000</v>
      </c>
      <c r="S203" s="1619">
        <f>RKA!S155</f>
        <v>0</v>
      </c>
      <c r="T203" s="1619">
        <f>RKA!T155</f>
        <v>0</v>
      </c>
      <c r="U203" s="1619">
        <f>RKA!U155</f>
        <v>0</v>
      </c>
      <c r="V203" s="1619">
        <f>RKA!V155</f>
        <v>0</v>
      </c>
      <c r="W203" s="1619">
        <f t="shared" si="28"/>
        <v>43080000</v>
      </c>
      <c r="Y203" s="1578">
        <f t="shared" si="27"/>
        <v>-1320000</v>
      </c>
    </row>
    <row r="204" spans="1:25">
      <c r="A204" s="1699">
        <f>IF('Pnj APBDES'!A259="","",'Pnj APBDES'!A259)</f>
        <v>2</v>
      </c>
      <c r="B204" s="1687">
        <f>IF('Pnj APBDES'!B259="","",'Pnj APBDES'!B259)</f>
        <v>3</v>
      </c>
      <c r="C204" s="1687">
        <f>IF('Pnj APBDES'!C259="","",'Pnj APBDES'!C259)</f>
        <v>15</v>
      </c>
      <c r="D204" s="1676">
        <f>IF('Pnj APBDES'!D259="","",'Pnj APBDES'!D259)</f>
        <v>5</v>
      </c>
      <c r="E204" s="1676">
        <f>IF('Pnj APBDES'!E259="","",'Pnj APBDES'!E259)</f>
        <v>3</v>
      </c>
      <c r="F204" s="1676">
        <f>IF('Pnj APBDES'!F259="","",'Pnj APBDES'!F259)</f>
        <v>3</v>
      </c>
      <c r="G204" s="1676" t="str">
        <f>IF('Pnj APBDES'!G259="","",'Pnj APBDES'!G259)</f>
        <v/>
      </c>
      <c r="H204" s="1678" t="str">
        <f>IF('Pnj APBDES'!H259="","",'Pnj APBDES'!H259)</f>
        <v xml:space="preserve">Belanja Modal Bahan Baku </v>
      </c>
      <c r="I204" s="1679">
        <f>'Pnj APBDES'!K259</f>
        <v>161219386</v>
      </c>
      <c r="J204" s="1650" t="str">
        <f>IF('Pnj APBDES'!N259="","",'Pnj APBDES'!N259)</f>
        <v>DD</v>
      </c>
      <c r="K204" s="1619">
        <f>RKA!K156</f>
        <v>0</v>
      </c>
      <c r="L204" s="1619">
        <f>RKA!L156</f>
        <v>0</v>
      </c>
      <c r="M204" s="1619">
        <f>RKA!M156</f>
        <v>0</v>
      </c>
      <c r="N204" s="1619">
        <f>RKA!N156</f>
        <v>0</v>
      </c>
      <c r="O204" s="1619">
        <f>RKA!O156</f>
        <v>0</v>
      </c>
      <c r="P204" s="1619">
        <f>RKA!P156</f>
        <v>0</v>
      </c>
      <c r="Q204" s="1619">
        <f>RKA!Q156</f>
        <v>0</v>
      </c>
      <c r="R204" s="1619">
        <f>RKA!R156</f>
        <v>148504800</v>
      </c>
      <c r="S204" s="1619">
        <f>RKA!S156</f>
        <v>0</v>
      </c>
      <c r="T204" s="1619">
        <f>RKA!T156</f>
        <v>0</v>
      </c>
      <c r="U204" s="1619">
        <f>RKA!U156</f>
        <v>0</v>
      </c>
      <c r="V204" s="1619">
        <f>RKA!V156</f>
        <v>0</v>
      </c>
      <c r="W204" s="1619">
        <f t="shared" si="28"/>
        <v>148504800</v>
      </c>
      <c r="Y204" s="1578">
        <f t="shared" si="27"/>
        <v>12714586</v>
      </c>
    </row>
    <row r="205" spans="1:25">
      <c r="A205" s="1699" t="e">
        <f>IF('Pnj APBDES'!#REF!="","",'Pnj APBDES'!#REF!)</f>
        <v>#REF!</v>
      </c>
      <c r="B205" s="1687" t="e">
        <f>IF('Pnj APBDES'!#REF!="","",'Pnj APBDES'!#REF!)</f>
        <v>#REF!</v>
      </c>
      <c r="C205" s="1687" t="e">
        <f>IF('Pnj APBDES'!#REF!="","",'Pnj APBDES'!#REF!)</f>
        <v>#REF!</v>
      </c>
      <c r="D205" s="1676" t="e">
        <f>IF('Pnj APBDES'!#REF!="","",'Pnj APBDES'!#REF!)</f>
        <v>#REF!</v>
      </c>
      <c r="E205" s="1676" t="e">
        <f>IF('Pnj APBDES'!#REF!="","",'Pnj APBDES'!#REF!)</f>
        <v>#REF!</v>
      </c>
      <c r="F205" s="1676" t="e">
        <f>IF('Pnj APBDES'!#REF!="","",'Pnj APBDES'!#REF!)</f>
        <v>#REF!</v>
      </c>
      <c r="G205" s="1676" t="e">
        <f>IF('Pnj APBDES'!#REF!="","",'Pnj APBDES'!#REF!)</f>
        <v>#REF!</v>
      </c>
      <c r="H205" s="1678" t="e">
        <f>IF('Pnj APBDES'!#REF!="","",'Pnj APBDES'!#REF!)</f>
        <v>#REF!</v>
      </c>
      <c r="I205" s="1679" t="e">
        <f>'Pnj APBDES'!#REF!</f>
        <v>#REF!</v>
      </c>
      <c r="J205" s="1650" t="e">
        <f>IF('Pnj APBDES'!#REF!="","",'Pnj APBDES'!#REF!)</f>
        <v>#REF!</v>
      </c>
      <c r="K205" s="1619">
        <f>RKA!K157</f>
        <v>0</v>
      </c>
      <c r="L205" s="1619">
        <f>RKA!L157</f>
        <v>0</v>
      </c>
      <c r="M205" s="1619">
        <f>RKA!M157</f>
        <v>0</v>
      </c>
      <c r="N205" s="1619">
        <f>RKA!N157</f>
        <v>0</v>
      </c>
      <c r="O205" s="1619">
        <f>RKA!O157</f>
        <v>0</v>
      </c>
      <c r="P205" s="1619">
        <f>RKA!P157</f>
        <v>0</v>
      </c>
      <c r="Q205" s="1619">
        <f>RKA!Q157</f>
        <v>0</v>
      </c>
      <c r="R205" s="1619">
        <f>RKA!R157</f>
        <v>0</v>
      </c>
      <c r="S205" s="1619">
        <f>RKA!S157</f>
        <v>0</v>
      </c>
      <c r="T205" s="1619">
        <f>RKA!T157</f>
        <v>0</v>
      </c>
      <c r="U205" s="1619">
        <f>RKA!U157</f>
        <v>0</v>
      </c>
      <c r="V205" s="1619">
        <f>RKA!V157</f>
        <v>0</v>
      </c>
      <c r="W205" s="1619">
        <f t="shared" si="28"/>
        <v>0</v>
      </c>
      <c r="Y205" s="1578" t="e">
        <f t="shared" si="27"/>
        <v>#REF!</v>
      </c>
    </row>
    <row r="206" spans="1:25">
      <c r="A206" s="1669">
        <f>IF('Pnj APBDES'!A226="","",'Pnj APBDES'!A226)</f>
        <v>3</v>
      </c>
      <c r="B206" s="1697" t="str">
        <f>IF('Pnj APBDES'!B226="","",'Pnj APBDES'!B226)</f>
        <v/>
      </c>
      <c r="C206" s="1697" t="str">
        <f>IF('Pnj APBDES'!C226="","",'Pnj APBDES'!C226)</f>
        <v/>
      </c>
      <c r="D206" s="1698" t="str">
        <f>IF('Pnj APBDES'!D226="","",'Pnj APBDES'!D226)</f>
        <v/>
      </c>
      <c r="E206" s="1669" t="str">
        <f>IF('Pnj APBDES'!E226="","",'Pnj APBDES'!E226)</f>
        <v/>
      </c>
      <c r="F206" s="1669" t="str">
        <f>IF('Pnj APBDES'!F226="","",'Pnj APBDES'!F226)</f>
        <v/>
      </c>
      <c r="G206" s="1669" t="str">
        <f>IF('Pnj APBDES'!G226="","",'Pnj APBDES'!G226)</f>
        <v/>
      </c>
      <c r="H206" s="1670" t="str">
        <f>IF('Pnj APBDES'!H226="","",'Pnj APBDES'!H226)</f>
        <v>PEMBINAAN KEMASYARAKATAN DESA</v>
      </c>
      <c r="I206" s="1671">
        <f>'Pnj APBDES'!K226</f>
        <v>270759386</v>
      </c>
      <c r="J206" s="1650" t="str">
        <f>IF('Pnj APBDES'!N226="","",'Pnj APBDES'!N226)</f>
        <v/>
      </c>
      <c r="K206" s="1619" t="e">
        <f>RKA!K158</f>
        <v>#REF!</v>
      </c>
      <c r="L206" s="1619" t="e">
        <f>RKA!L158</f>
        <v>#REF!</v>
      </c>
      <c r="M206" s="1619" t="e">
        <f>RKA!M158</f>
        <v>#REF!</v>
      </c>
      <c r="N206" s="1619" t="e">
        <f>RKA!N158</f>
        <v>#REF!</v>
      </c>
      <c r="O206" s="1619" t="e">
        <f>RKA!O158</f>
        <v>#REF!</v>
      </c>
      <c r="P206" s="1619" t="e">
        <f>RKA!P158</f>
        <v>#REF!</v>
      </c>
      <c r="Q206" s="1619" t="e">
        <f>RKA!Q158</f>
        <v>#REF!</v>
      </c>
      <c r="R206" s="1619" t="e">
        <f>RKA!R158</f>
        <v>#REF!</v>
      </c>
      <c r="S206" s="1619" t="e">
        <f>RKA!S158</f>
        <v>#REF!</v>
      </c>
      <c r="T206" s="1619" t="e">
        <f>RKA!T158</f>
        <v>#REF!</v>
      </c>
      <c r="U206" s="1619" t="e">
        <f>RKA!U158</f>
        <v>#REF!</v>
      </c>
      <c r="V206" s="1619" t="e">
        <f>RKA!V158</f>
        <v>#REF!</v>
      </c>
      <c r="W206" s="1619" t="e">
        <f t="shared" si="28"/>
        <v>#REF!</v>
      </c>
      <c r="Y206" s="1578" t="e">
        <f t="shared" si="27"/>
        <v>#REF!</v>
      </c>
    </row>
    <row r="207" spans="1:25">
      <c r="A207" s="1672">
        <f>IF('Pnj APBDES'!A227="","",'Pnj APBDES'!A227)</f>
        <v>3</v>
      </c>
      <c r="B207" s="1673">
        <f>IF('Pnj APBDES'!B227="","",'Pnj APBDES'!B227)</f>
        <v>1</v>
      </c>
      <c r="C207" s="1673" t="str">
        <f>IF('Pnj APBDES'!C227="","",'Pnj APBDES'!C227)</f>
        <v/>
      </c>
      <c r="D207" s="1676" t="str">
        <f>IF('Pnj APBDES'!D227="","",'Pnj APBDES'!D227)</f>
        <v/>
      </c>
      <c r="E207" s="1672" t="str">
        <f>IF('Pnj APBDES'!E227="","",'Pnj APBDES'!E227)</f>
        <v/>
      </c>
      <c r="F207" s="1672" t="str">
        <f>IF('Pnj APBDES'!F227="","",'Pnj APBDES'!F227)</f>
        <v/>
      </c>
      <c r="G207" s="1672" t="str">
        <f>IF('Pnj APBDES'!G227="","",'Pnj APBDES'!G227)</f>
        <v/>
      </c>
      <c r="H207" s="1674" t="str">
        <f>IF('Pnj APBDES'!H227="","",'Pnj APBDES'!H227)</f>
        <v>Ketenteraman, Ketertiban Umum, dan Pelindungan Masyarakat</v>
      </c>
      <c r="I207" s="1675">
        <f>'Pnj APBDES'!K227</f>
        <v>8700000</v>
      </c>
      <c r="J207" s="1650" t="str">
        <f>IF('Pnj APBDES'!N227="","",'Pnj APBDES'!N227)</f>
        <v/>
      </c>
      <c r="K207" s="1619">
        <f>RKA!K159</f>
        <v>725000</v>
      </c>
      <c r="L207" s="1619">
        <f>RKA!L159</f>
        <v>725000</v>
      </c>
      <c r="M207" s="1619">
        <f>RKA!M159</f>
        <v>725000</v>
      </c>
      <c r="N207" s="1619">
        <f>RKA!N159</f>
        <v>725000</v>
      </c>
      <c r="O207" s="1619">
        <f>RKA!O159</f>
        <v>725000</v>
      </c>
      <c r="P207" s="1619">
        <f>RKA!P159</f>
        <v>725000</v>
      </c>
      <c r="Q207" s="1619">
        <f>RKA!Q159</f>
        <v>725000</v>
      </c>
      <c r="R207" s="1619">
        <f>RKA!R159</f>
        <v>725000</v>
      </c>
      <c r="S207" s="1619">
        <f>RKA!S159</f>
        <v>725000</v>
      </c>
      <c r="T207" s="1619">
        <f>RKA!T159</f>
        <v>725000</v>
      </c>
      <c r="U207" s="1619">
        <f>RKA!U159</f>
        <v>725000</v>
      </c>
      <c r="V207" s="1619">
        <f>RKA!V159</f>
        <v>725000</v>
      </c>
      <c r="W207" s="1619">
        <f t="shared" si="28"/>
        <v>8700000</v>
      </c>
      <c r="Y207" s="1578">
        <f t="shared" si="27"/>
        <v>0</v>
      </c>
    </row>
    <row r="208" spans="1:25" ht="24">
      <c r="A208" s="1699">
        <f>IF('Pnj APBDES'!A228="","",'Pnj APBDES'!A228)</f>
        <v>3</v>
      </c>
      <c r="B208" s="1687">
        <f>IF('Pnj APBDES'!B228="","",'Pnj APBDES'!B228)</f>
        <v>1</v>
      </c>
      <c r="C208" s="1687" t="str">
        <f>IF('Pnj APBDES'!C228="","",'Pnj APBDES'!C228)</f>
        <v>02</v>
      </c>
      <c r="D208" s="1676">
        <f>IF('Pnj APBDES'!D228="","",'Pnj APBDES'!D228)</f>
        <v>5</v>
      </c>
      <c r="E208" s="1676" t="str">
        <f>IF('Pnj APBDES'!E228="","",'Pnj APBDES'!E228)</f>
        <v/>
      </c>
      <c r="F208" s="1676" t="str">
        <f>IF('Pnj APBDES'!F228="","",'Pnj APBDES'!F228)</f>
        <v/>
      </c>
      <c r="G208" s="1676" t="str">
        <f>IF('Pnj APBDES'!G228="","",'Pnj APBDES'!G228)</f>
        <v/>
      </c>
      <c r="H208" s="1688" t="str">
        <f>IF('Pnj APBDES'!H228="","",'Pnj APBDES'!H228)</f>
        <v>Penguatan dan Peningkatan Kapasitas Tenaga Keamanan/Ketertiban oleh Pemerintah Desa (Satlinmas desa)</v>
      </c>
      <c r="I208" s="1679">
        <f>'Pnj APBDES'!K228</f>
        <v>8700000</v>
      </c>
      <c r="J208" s="1650" t="str">
        <f>IF('Pnj APBDES'!N228="","",'Pnj APBDES'!N228)</f>
        <v/>
      </c>
      <c r="K208" s="1619">
        <f>RKA!K160</f>
        <v>725000</v>
      </c>
      <c r="L208" s="1619">
        <f>RKA!L160</f>
        <v>725000</v>
      </c>
      <c r="M208" s="1619">
        <f>RKA!M160</f>
        <v>725000</v>
      </c>
      <c r="N208" s="1619">
        <f>RKA!N160</f>
        <v>725000</v>
      </c>
      <c r="O208" s="1619">
        <f>RKA!O160</f>
        <v>725000</v>
      </c>
      <c r="P208" s="1619">
        <f>RKA!P160</f>
        <v>725000</v>
      </c>
      <c r="Q208" s="1619">
        <f>RKA!Q160</f>
        <v>725000</v>
      </c>
      <c r="R208" s="1619">
        <f>RKA!R160</f>
        <v>725000</v>
      </c>
      <c r="S208" s="1619">
        <f>RKA!S160</f>
        <v>725000</v>
      </c>
      <c r="T208" s="1619">
        <f>RKA!T160</f>
        <v>725000</v>
      </c>
      <c r="U208" s="1619">
        <f>RKA!U160</f>
        <v>725000</v>
      </c>
      <c r="V208" s="1619">
        <f>RKA!V160</f>
        <v>725000</v>
      </c>
      <c r="W208" s="1619">
        <f t="shared" si="28"/>
        <v>8700000</v>
      </c>
      <c r="Y208" s="1578">
        <f t="shared" si="27"/>
        <v>0</v>
      </c>
    </row>
    <row r="209" spans="1:25">
      <c r="A209" s="1699">
        <f>IF('Pnj APBDES'!A229="","",'Pnj APBDES'!A229)</f>
        <v>3</v>
      </c>
      <c r="B209" s="1687">
        <f>IF('Pnj APBDES'!B229="","",'Pnj APBDES'!B229)</f>
        <v>1</v>
      </c>
      <c r="C209" s="1687" t="str">
        <f>IF('Pnj APBDES'!C229="","",'Pnj APBDES'!C229)</f>
        <v>02</v>
      </c>
      <c r="D209" s="1676">
        <f>IF('Pnj APBDES'!D229="","",'Pnj APBDES'!D229)</f>
        <v>5</v>
      </c>
      <c r="E209" s="1676">
        <f>IF('Pnj APBDES'!E229="","",'Pnj APBDES'!E229)</f>
        <v>2</v>
      </c>
      <c r="F209" s="1676" t="str">
        <f>IF('Pnj APBDES'!F229="","",'Pnj APBDES'!F229)</f>
        <v/>
      </c>
      <c r="G209" s="1676" t="str">
        <f>IF('Pnj APBDES'!G229="","",'Pnj APBDES'!G229)</f>
        <v/>
      </c>
      <c r="H209" s="1678" t="str">
        <f>IF('Pnj APBDES'!H229="","",'Pnj APBDES'!H229)</f>
        <v>Belanja Barang dan Jasa</v>
      </c>
      <c r="I209" s="1679">
        <f>'Pnj APBDES'!K229</f>
        <v>8700000</v>
      </c>
      <c r="J209" s="1650" t="str">
        <f>IF('Pnj APBDES'!N229="","",'Pnj APBDES'!N229)</f>
        <v/>
      </c>
      <c r="K209" s="1619">
        <f>RKA!K161</f>
        <v>725000</v>
      </c>
      <c r="L209" s="1619">
        <f>RKA!L161</f>
        <v>725000</v>
      </c>
      <c r="M209" s="1619">
        <f>RKA!M161</f>
        <v>725000</v>
      </c>
      <c r="N209" s="1619">
        <f>RKA!N161</f>
        <v>725000</v>
      </c>
      <c r="O209" s="1619">
        <f>RKA!O161</f>
        <v>725000</v>
      </c>
      <c r="P209" s="1619">
        <f>RKA!P161</f>
        <v>725000</v>
      </c>
      <c r="Q209" s="1619">
        <f>RKA!Q161</f>
        <v>725000</v>
      </c>
      <c r="R209" s="1619">
        <f>RKA!R161</f>
        <v>725000</v>
      </c>
      <c r="S209" s="1619">
        <f>RKA!S161</f>
        <v>725000</v>
      </c>
      <c r="T209" s="1619">
        <f>RKA!T161</f>
        <v>725000</v>
      </c>
      <c r="U209" s="1619">
        <f>RKA!U161</f>
        <v>725000</v>
      </c>
      <c r="V209" s="1619">
        <f>RKA!V161</f>
        <v>725000</v>
      </c>
      <c r="W209" s="1619">
        <f t="shared" si="28"/>
        <v>8700000</v>
      </c>
      <c r="Y209" s="1578">
        <f t="shared" si="27"/>
        <v>0</v>
      </c>
    </row>
    <row r="210" spans="1:25">
      <c r="A210" s="1699">
        <f>IF('Pnj APBDES'!A230="","",'Pnj APBDES'!A230)</f>
        <v>3</v>
      </c>
      <c r="B210" s="1687">
        <f>IF('Pnj APBDES'!B230="","",'Pnj APBDES'!B230)</f>
        <v>1</v>
      </c>
      <c r="C210" s="1687" t="str">
        <f>IF('Pnj APBDES'!C230="","",'Pnj APBDES'!C230)</f>
        <v>02</v>
      </c>
      <c r="D210" s="1676">
        <f>IF('Pnj APBDES'!D230="","",'Pnj APBDES'!D230)</f>
        <v>5</v>
      </c>
      <c r="E210" s="1676">
        <f>IF('Pnj APBDES'!E230="","",'Pnj APBDES'!E230)</f>
        <v>2</v>
      </c>
      <c r="F210" s="1676">
        <f>IF('Pnj APBDES'!F230="","",'Pnj APBDES'!F230)</f>
        <v>2</v>
      </c>
      <c r="G210" s="1676" t="str">
        <f>IF('Pnj APBDES'!G230="","",'Pnj APBDES'!G230)</f>
        <v/>
      </c>
      <c r="H210" s="1678" t="str">
        <f>IF('Pnj APBDES'!H230="","",'Pnj APBDES'!H230)</f>
        <v>Belanja Jasa Honorarium</v>
      </c>
      <c r="I210" s="1679">
        <f>'Pnj APBDES'!K230</f>
        <v>8700000</v>
      </c>
      <c r="J210" s="1650" t="str">
        <f>IF('Pnj APBDES'!N230="","",'Pnj APBDES'!N230)</f>
        <v/>
      </c>
      <c r="K210" s="1619">
        <f>RKA!K162</f>
        <v>725000</v>
      </c>
      <c r="L210" s="1619">
        <f>RKA!L162</f>
        <v>725000</v>
      </c>
      <c r="M210" s="1619">
        <f>RKA!M162</f>
        <v>725000</v>
      </c>
      <c r="N210" s="1619">
        <f>RKA!N162</f>
        <v>725000</v>
      </c>
      <c r="O210" s="1619">
        <f>RKA!O162</f>
        <v>725000</v>
      </c>
      <c r="P210" s="1619">
        <f>RKA!P162</f>
        <v>725000</v>
      </c>
      <c r="Q210" s="1619">
        <f>RKA!Q162</f>
        <v>725000</v>
      </c>
      <c r="R210" s="1619">
        <f>RKA!R162</f>
        <v>725000</v>
      </c>
      <c r="S210" s="1619">
        <f>RKA!S162</f>
        <v>725000</v>
      </c>
      <c r="T210" s="1619">
        <f>RKA!T162</f>
        <v>725000</v>
      </c>
      <c r="U210" s="1619">
        <f>RKA!U162</f>
        <v>725000</v>
      </c>
      <c r="V210" s="1619">
        <f>RKA!V162</f>
        <v>725000</v>
      </c>
      <c r="W210" s="1619">
        <f t="shared" si="28"/>
        <v>8700000</v>
      </c>
      <c r="Y210" s="1578">
        <f t="shared" si="27"/>
        <v>0</v>
      </c>
    </row>
    <row r="211" spans="1:25">
      <c r="A211" s="1699">
        <f>IF('Pnj APBDES'!A231="","",'Pnj APBDES'!A231)</f>
        <v>3</v>
      </c>
      <c r="B211" s="1687">
        <f>IF('Pnj APBDES'!B231="","",'Pnj APBDES'!B231)</f>
        <v>1</v>
      </c>
      <c r="C211" s="1687" t="str">
        <f>IF('Pnj APBDES'!C231="","",'Pnj APBDES'!C231)</f>
        <v>02</v>
      </c>
      <c r="D211" s="1676">
        <f>IF('Pnj APBDES'!D231="","",'Pnj APBDES'!D231)</f>
        <v>5</v>
      </c>
      <c r="E211" s="1676">
        <f>IF('Pnj APBDES'!E231="","",'Pnj APBDES'!E231)</f>
        <v>2</v>
      </c>
      <c r="F211" s="1676">
        <f>IF('Pnj APBDES'!F231="","",'Pnj APBDES'!F231)</f>
        <v>2</v>
      </c>
      <c r="G211" s="1676">
        <f>IF('Pnj APBDES'!G231="","",'Pnj APBDES'!G231)</f>
        <v>5</v>
      </c>
      <c r="H211" s="1678" t="str">
        <f>IF('Pnj APBDES'!H231="","",'Pnj APBDES'!H231)</f>
        <v>Belanja Jasa Honorarium Petugas</v>
      </c>
      <c r="I211" s="1679">
        <f>'Pnj APBDES'!K231</f>
        <v>8700000</v>
      </c>
      <c r="J211" s="1650" t="str">
        <f>IF('Pnj APBDES'!N231="","",'Pnj APBDES'!N231)</f>
        <v>PAD</v>
      </c>
      <c r="K211" s="1619">
        <f>RKA!K163</f>
        <v>725000</v>
      </c>
      <c r="L211" s="1619">
        <f>RKA!L163</f>
        <v>725000</v>
      </c>
      <c r="M211" s="1619">
        <f>RKA!M163</f>
        <v>725000</v>
      </c>
      <c r="N211" s="1619">
        <f>RKA!N163</f>
        <v>725000</v>
      </c>
      <c r="O211" s="1619">
        <f>RKA!O163</f>
        <v>725000</v>
      </c>
      <c r="P211" s="1619">
        <f>RKA!P163</f>
        <v>725000</v>
      </c>
      <c r="Q211" s="1619">
        <f>RKA!Q163</f>
        <v>725000</v>
      </c>
      <c r="R211" s="1619">
        <f>RKA!R163</f>
        <v>725000</v>
      </c>
      <c r="S211" s="1619">
        <f>RKA!S163</f>
        <v>725000</v>
      </c>
      <c r="T211" s="1619">
        <f>RKA!T163</f>
        <v>725000</v>
      </c>
      <c r="U211" s="1619">
        <f>RKA!U163</f>
        <v>725000</v>
      </c>
      <c r="V211" s="1619">
        <f>RKA!V163</f>
        <v>725000</v>
      </c>
      <c r="W211" s="1619">
        <f t="shared" si="28"/>
        <v>8700000</v>
      </c>
      <c r="Y211" s="1578">
        <f t="shared" si="27"/>
        <v>0</v>
      </c>
    </row>
    <row r="212" spans="1:25">
      <c r="A212" s="1672">
        <f>IF('Pnj APBDES'!A232="","",'Pnj APBDES'!A232)</f>
        <v>3</v>
      </c>
      <c r="B212" s="1673">
        <f>IF('Pnj APBDES'!B232="","",'Pnj APBDES'!B232)</f>
        <v>2</v>
      </c>
      <c r="C212" s="1691" t="str">
        <f>IF('Pnj APBDES'!C232="","",'Pnj APBDES'!C232)</f>
        <v/>
      </c>
      <c r="D212" s="1672" t="str">
        <f>IF('Pnj APBDES'!D232="","",'Pnj APBDES'!D232)</f>
        <v/>
      </c>
      <c r="E212" s="1672" t="str">
        <f>IF('Pnj APBDES'!E232="","",'Pnj APBDES'!E232)</f>
        <v/>
      </c>
      <c r="F212" s="1672" t="str">
        <f>IF('Pnj APBDES'!F232="","",'Pnj APBDES'!F232)</f>
        <v/>
      </c>
      <c r="G212" s="1672" t="str">
        <f>IF('Pnj APBDES'!G232="","",'Pnj APBDES'!G232)</f>
        <v/>
      </c>
      <c r="H212" s="1703" t="str">
        <f>IF('Pnj APBDES'!H232="","",'Pnj APBDES'!H232)</f>
        <v>Kebudayaan dan Keagamaan</v>
      </c>
      <c r="I212" s="1675">
        <f>'Pnj APBDES'!K232</f>
        <v>33270000</v>
      </c>
      <c r="J212" s="1650" t="str">
        <f>IF('Pnj APBDES'!N232="","",'Pnj APBDES'!N232)</f>
        <v/>
      </c>
      <c r="K212" s="1619">
        <f>RKA!K164</f>
        <v>2025000</v>
      </c>
      <c r="L212" s="1619">
        <f>RKA!L164</f>
        <v>2025000</v>
      </c>
      <c r="M212" s="1619">
        <f>RKA!M164</f>
        <v>2025000</v>
      </c>
      <c r="N212" s="1619">
        <f>RKA!N164</f>
        <v>2025000</v>
      </c>
      <c r="O212" s="1619">
        <f>RKA!O164</f>
        <v>2025000</v>
      </c>
      <c r="P212" s="1619">
        <f>RKA!P164</f>
        <v>2025000</v>
      </c>
      <c r="Q212" s="1619">
        <f>RKA!Q164</f>
        <v>2025000</v>
      </c>
      <c r="R212" s="1619">
        <f>RKA!R164</f>
        <v>2025000</v>
      </c>
      <c r="S212" s="1619">
        <f>RKA!S164</f>
        <v>10995000</v>
      </c>
      <c r="T212" s="1619">
        <f>RKA!T164</f>
        <v>2025000</v>
      </c>
      <c r="U212" s="1619">
        <f>RKA!U164</f>
        <v>2025000</v>
      </c>
      <c r="V212" s="1619">
        <f>RKA!V164</f>
        <v>2025000</v>
      </c>
      <c r="W212" s="1619">
        <f t="shared" si="28"/>
        <v>33270000</v>
      </c>
      <c r="Y212" s="1578">
        <f t="shared" si="27"/>
        <v>0</v>
      </c>
    </row>
    <row r="213" spans="1:25">
      <c r="A213" s="1676">
        <f>IF('Pnj APBDES'!A233="","",'Pnj APBDES'!A233)</f>
        <v>3</v>
      </c>
      <c r="B213" s="1677">
        <f>IF('Pnj APBDES'!B233="","",'Pnj APBDES'!B233)</f>
        <v>2</v>
      </c>
      <c r="C213" s="1687">
        <f>IF('Pnj APBDES'!C233="","",'Pnj APBDES'!C233)</f>
        <v>90</v>
      </c>
      <c r="D213" s="1676" t="str">
        <f>IF('Pnj APBDES'!D233="","",'Pnj APBDES'!D233)</f>
        <v/>
      </c>
      <c r="E213" s="1676" t="str">
        <f>IF('Pnj APBDES'!E233="","",'Pnj APBDES'!E233)</f>
        <v/>
      </c>
      <c r="F213" s="1676" t="str">
        <f>IF('Pnj APBDES'!F233="","",'Pnj APBDES'!F233)</f>
        <v/>
      </c>
      <c r="G213" s="1676" t="str">
        <f>IF('Pnj APBDES'!G233="","",'Pnj APBDES'!G233)</f>
        <v/>
      </c>
      <c r="H213" s="1696" t="str">
        <f>IF('Pnj APBDES'!H233="","",'Pnj APBDES'!H233)</f>
        <v>Pembinaan Pegawai sara Desa</v>
      </c>
      <c r="I213" s="1679">
        <f>'Pnj APBDES'!K233</f>
        <v>24300000</v>
      </c>
      <c r="J213" s="1650" t="str">
        <f>IF('Pnj APBDES'!N233="","",'Pnj APBDES'!N233)</f>
        <v/>
      </c>
      <c r="K213" s="1619">
        <f>RKA!K165</f>
        <v>2025000</v>
      </c>
      <c r="L213" s="1619">
        <f>RKA!L165</f>
        <v>2025000</v>
      </c>
      <c r="M213" s="1619">
        <f>RKA!M165</f>
        <v>2025000</v>
      </c>
      <c r="N213" s="1619">
        <f>RKA!N165</f>
        <v>2025000</v>
      </c>
      <c r="O213" s="1619">
        <f>RKA!O165</f>
        <v>2025000</v>
      </c>
      <c r="P213" s="1619">
        <f>RKA!P165</f>
        <v>2025000</v>
      </c>
      <c r="Q213" s="1619">
        <f>RKA!Q165</f>
        <v>2025000</v>
      </c>
      <c r="R213" s="1619">
        <f>RKA!R165</f>
        <v>2025000</v>
      </c>
      <c r="S213" s="1619">
        <f>RKA!S165</f>
        <v>2025000</v>
      </c>
      <c r="T213" s="1619">
        <f>RKA!T165</f>
        <v>2025000</v>
      </c>
      <c r="U213" s="1619">
        <f>RKA!U165</f>
        <v>2025000</v>
      </c>
      <c r="V213" s="1619">
        <f>RKA!V165</f>
        <v>2025000</v>
      </c>
      <c r="W213" s="1619">
        <f t="shared" si="28"/>
        <v>24300000</v>
      </c>
      <c r="Y213" s="1578">
        <f t="shared" si="27"/>
        <v>0</v>
      </c>
    </row>
    <row r="214" spans="1:25">
      <c r="A214" s="1699">
        <f>IF('Pnj APBDES'!A234="","",'Pnj APBDES'!A234)</f>
        <v>3</v>
      </c>
      <c r="B214" s="1687">
        <f>IF('Pnj APBDES'!B234="","",'Pnj APBDES'!B234)</f>
        <v>2</v>
      </c>
      <c r="C214" s="1687">
        <f>IF('Pnj APBDES'!C234="","",'Pnj APBDES'!C234)</f>
        <v>90</v>
      </c>
      <c r="D214" s="1676">
        <f>IF('Pnj APBDES'!D234="","",'Pnj APBDES'!D234)</f>
        <v>5</v>
      </c>
      <c r="E214" s="1676">
        <f>IF('Pnj APBDES'!E234="","",'Pnj APBDES'!E234)</f>
        <v>2</v>
      </c>
      <c r="F214" s="1676" t="str">
        <f>IF('Pnj APBDES'!F234="","",'Pnj APBDES'!F234)</f>
        <v/>
      </c>
      <c r="G214" s="1676" t="str">
        <f>IF('Pnj APBDES'!G234="","",'Pnj APBDES'!G234)</f>
        <v/>
      </c>
      <c r="H214" s="1678" t="str">
        <f>IF('Pnj APBDES'!H234="","",'Pnj APBDES'!H234)</f>
        <v>Belanja Barang dan Jasa</v>
      </c>
      <c r="I214" s="1679">
        <f>'Pnj APBDES'!K234</f>
        <v>24300000</v>
      </c>
      <c r="J214" s="1650" t="str">
        <f>IF('Pnj APBDES'!N234="","",'Pnj APBDES'!N234)</f>
        <v/>
      </c>
      <c r="K214" s="1619">
        <f>RKA!K166</f>
        <v>2025000</v>
      </c>
      <c r="L214" s="1619">
        <f>RKA!L166</f>
        <v>2025000</v>
      </c>
      <c r="M214" s="1619">
        <f>RKA!M166</f>
        <v>2025000</v>
      </c>
      <c r="N214" s="1619">
        <f>RKA!N166</f>
        <v>2025000</v>
      </c>
      <c r="O214" s="1619">
        <f>RKA!O166</f>
        <v>2025000</v>
      </c>
      <c r="P214" s="1619">
        <f>RKA!P166</f>
        <v>2025000</v>
      </c>
      <c r="Q214" s="1619">
        <f>RKA!Q166</f>
        <v>2025000</v>
      </c>
      <c r="R214" s="1619">
        <f>RKA!R166</f>
        <v>2025000</v>
      </c>
      <c r="S214" s="1619">
        <f>RKA!S166</f>
        <v>2025000</v>
      </c>
      <c r="T214" s="1619">
        <f>RKA!T166</f>
        <v>2025000</v>
      </c>
      <c r="U214" s="1619">
        <f>RKA!U166</f>
        <v>2025000</v>
      </c>
      <c r="V214" s="1619">
        <f>RKA!V166</f>
        <v>2025000</v>
      </c>
      <c r="W214" s="1619">
        <f t="shared" si="28"/>
        <v>24300000</v>
      </c>
      <c r="Y214" s="1578">
        <f t="shared" si="27"/>
        <v>0</v>
      </c>
    </row>
    <row r="215" spans="1:25">
      <c r="A215" s="1699">
        <f>IF('Pnj APBDES'!A235="","",'Pnj APBDES'!A235)</f>
        <v>3</v>
      </c>
      <c r="B215" s="1677">
        <f>IF('Pnj APBDES'!B235="","",'Pnj APBDES'!B235)</f>
        <v>2</v>
      </c>
      <c r="C215" s="1687">
        <f>IF('Pnj APBDES'!C235="","",'Pnj APBDES'!C235)</f>
        <v>90</v>
      </c>
      <c r="D215" s="1676">
        <f>IF('Pnj APBDES'!D235="","",'Pnj APBDES'!D235)</f>
        <v>5</v>
      </c>
      <c r="E215" s="1676">
        <f>IF('Pnj APBDES'!E235="","",'Pnj APBDES'!E235)</f>
        <v>2</v>
      </c>
      <c r="F215" s="1676">
        <f>IF('Pnj APBDES'!F235="","",'Pnj APBDES'!F235)</f>
        <v>2</v>
      </c>
      <c r="G215" s="1676" t="str">
        <f>IF('Pnj APBDES'!G235="","",'Pnj APBDES'!G235)</f>
        <v/>
      </c>
      <c r="H215" s="1678" t="str">
        <f>IF('Pnj APBDES'!H235="","",'Pnj APBDES'!H235)</f>
        <v>Belanja Jasa Honorarium</v>
      </c>
      <c r="I215" s="1679">
        <f>'Pnj APBDES'!K235</f>
        <v>24300000</v>
      </c>
      <c r="J215" s="1650" t="str">
        <f>IF('Pnj APBDES'!N235="","",'Pnj APBDES'!N235)</f>
        <v/>
      </c>
      <c r="K215" s="1619">
        <f>RKA!K167</f>
        <v>2025000</v>
      </c>
      <c r="L215" s="1619">
        <f>RKA!L167</f>
        <v>2025000</v>
      </c>
      <c r="M215" s="1619">
        <f>RKA!M167</f>
        <v>2025000</v>
      </c>
      <c r="N215" s="1619">
        <f>RKA!N167</f>
        <v>2025000</v>
      </c>
      <c r="O215" s="1619">
        <f>RKA!O167</f>
        <v>2025000</v>
      </c>
      <c r="P215" s="1619">
        <f>RKA!P167</f>
        <v>2025000</v>
      </c>
      <c r="Q215" s="1619">
        <f>RKA!Q167</f>
        <v>2025000</v>
      </c>
      <c r="R215" s="1619">
        <f>RKA!R167</f>
        <v>2025000</v>
      </c>
      <c r="S215" s="1619">
        <f>RKA!S167</f>
        <v>2025000</v>
      </c>
      <c r="T215" s="1619">
        <f>RKA!T167</f>
        <v>2025000</v>
      </c>
      <c r="U215" s="1619">
        <f>RKA!U167</f>
        <v>2025000</v>
      </c>
      <c r="V215" s="1619">
        <f>RKA!V167</f>
        <v>2025000</v>
      </c>
      <c r="W215" s="1619">
        <f t="shared" si="28"/>
        <v>24300000</v>
      </c>
    </row>
    <row r="216" spans="1:25">
      <c r="A216" s="1699">
        <f>IF('Pnj APBDES'!A236="","",'Pnj APBDES'!A236)</f>
        <v>3</v>
      </c>
      <c r="B216" s="1677">
        <f>IF('Pnj APBDES'!B236="","",'Pnj APBDES'!B236)</f>
        <v>2</v>
      </c>
      <c r="C216" s="1687">
        <f>IF('Pnj APBDES'!C236="","",'Pnj APBDES'!C236)</f>
        <v>90</v>
      </c>
      <c r="D216" s="1676">
        <f>IF('Pnj APBDES'!D236="","",'Pnj APBDES'!D236)</f>
        <v>5</v>
      </c>
      <c r="E216" s="1676">
        <f>IF('Pnj APBDES'!E236="","",'Pnj APBDES'!E236)</f>
        <v>2</v>
      </c>
      <c r="F216" s="1676">
        <f>IF('Pnj APBDES'!F236="","",'Pnj APBDES'!F236)</f>
        <v>2</v>
      </c>
      <c r="G216" s="1676">
        <f>IF('Pnj APBDES'!G236="","",'Pnj APBDES'!G236)</f>
        <v>5</v>
      </c>
      <c r="H216" s="1678" t="str">
        <f>IF('Pnj APBDES'!H236="","",'Pnj APBDES'!H236)</f>
        <v>Belanja Jasa Honorarium Petugas</v>
      </c>
      <c r="I216" s="1679">
        <f>'Pnj APBDES'!K236</f>
        <v>24300000</v>
      </c>
      <c r="J216" s="1650" t="str">
        <f>IF('Pnj APBDES'!N236="","",'Pnj APBDES'!N236)</f>
        <v>PBH</v>
      </c>
      <c r="K216" s="1619">
        <f>RKA!K168</f>
        <v>2025000</v>
      </c>
      <c r="L216" s="1619">
        <f>RKA!L168</f>
        <v>2025000</v>
      </c>
      <c r="M216" s="1619">
        <f>RKA!M168</f>
        <v>2025000</v>
      </c>
      <c r="N216" s="1619">
        <f>RKA!N168</f>
        <v>2025000</v>
      </c>
      <c r="O216" s="1619">
        <f>RKA!O168</f>
        <v>2025000</v>
      </c>
      <c r="P216" s="1619">
        <f>RKA!P168</f>
        <v>2025000</v>
      </c>
      <c r="Q216" s="1619">
        <f>RKA!Q168</f>
        <v>2025000</v>
      </c>
      <c r="R216" s="1619">
        <f>RKA!R168</f>
        <v>2025000</v>
      </c>
      <c r="S216" s="1619">
        <f>RKA!S168</f>
        <v>2025000</v>
      </c>
      <c r="T216" s="1619">
        <f>RKA!T168</f>
        <v>2025000</v>
      </c>
      <c r="U216" s="1619">
        <f>RKA!U168</f>
        <v>2025000</v>
      </c>
      <c r="V216" s="1619">
        <f>RKA!V168</f>
        <v>2025000</v>
      </c>
      <c r="W216" s="1619">
        <f t="shared" si="28"/>
        <v>24300000</v>
      </c>
    </row>
    <row r="217" spans="1:25">
      <c r="A217" s="1700" t="e">
        <f>IF('Pnj APBDES'!#REF!="","",'Pnj APBDES'!#REF!)</f>
        <v>#REF!</v>
      </c>
      <c r="B217" s="1673" t="e">
        <f>IF('Pnj APBDES'!#REF!="","",'Pnj APBDES'!#REF!)</f>
        <v>#REF!</v>
      </c>
      <c r="C217" s="1691" t="e">
        <f>IF('Pnj APBDES'!#REF!="","",'Pnj APBDES'!#REF!)</f>
        <v>#REF!</v>
      </c>
      <c r="D217" s="1672" t="e">
        <f>IF('Pnj APBDES'!#REF!="","",'Pnj APBDES'!#REF!)</f>
        <v>#REF!</v>
      </c>
      <c r="E217" s="1672" t="e">
        <f>IF('Pnj APBDES'!#REF!="","",'Pnj APBDES'!#REF!)</f>
        <v>#REF!</v>
      </c>
      <c r="F217" s="1672" t="e">
        <f>IF('Pnj APBDES'!#REF!="","",'Pnj APBDES'!#REF!)</f>
        <v>#REF!</v>
      </c>
      <c r="G217" s="1672" t="e">
        <f>IF('Pnj APBDES'!#REF!="","",'Pnj APBDES'!#REF!)</f>
        <v>#REF!</v>
      </c>
      <c r="H217" s="1674" t="e">
        <f>IF('Pnj APBDES'!#REF!="","",'Pnj APBDES'!#REF!)</f>
        <v>#REF!</v>
      </c>
      <c r="I217" s="1675" t="e">
        <f>'Pnj APBDES'!#REF!</f>
        <v>#REF!</v>
      </c>
      <c r="J217" s="1650" t="e">
        <f>IF('Pnj APBDES'!#REF!="","",'Pnj APBDES'!#REF!)</f>
        <v>#REF!</v>
      </c>
      <c r="K217" s="1619">
        <f>RKA!K169</f>
        <v>0</v>
      </c>
      <c r="L217" s="1619">
        <f>RKA!L169</f>
        <v>0</v>
      </c>
      <c r="M217" s="1619">
        <f>RKA!M169</f>
        <v>0</v>
      </c>
      <c r="N217" s="1619">
        <f>RKA!N169</f>
        <v>0</v>
      </c>
      <c r="O217" s="1619">
        <f>RKA!O169</f>
        <v>0</v>
      </c>
      <c r="P217" s="1619">
        <f>RKA!P169</f>
        <v>0</v>
      </c>
      <c r="Q217" s="1619">
        <f>RKA!Q169</f>
        <v>0</v>
      </c>
      <c r="R217" s="1619">
        <f>RKA!R169</f>
        <v>0</v>
      </c>
      <c r="S217" s="1619">
        <f>RKA!S169</f>
        <v>0</v>
      </c>
      <c r="T217" s="1619">
        <f>RKA!T169</f>
        <v>0</v>
      </c>
      <c r="U217" s="1619">
        <f>RKA!U169</f>
        <v>0</v>
      </c>
      <c r="V217" s="1619">
        <f>RKA!V169</f>
        <v>0</v>
      </c>
      <c r="W217" s="1619">
        <f t="shared" si="28"/>
        <v>0</v>
      </c>
    </row>
    <row r="218" spans="1:25" ht="24">
      <c r="A218" s="1672">
        <f>IF('Pnj APBDES'!A237="","",'Pnj APBDES'!A237)</f>
        <v>3</v>
      </c>
      <c r="B218" s="1673">
        <f>IF('Pnj APBDES'!B237="","",'Pnj APBDES'!B237)</f>
        <v>2</v>
      </c>
      <c r="C218" s="1691" t="str">
        <f>IF('Pnj APBDES'!C237="","",'Pnj APBDES'!C237)</f>
        <v>03</v>
      </c>
      <c r="D218" s="1672" t="str">
        <f>IF('Pnj APBDES'!D237="","",'Pnj APBDES'!D237)</f>
        <v/>
      </c>
      <c r="E218" s="1672" t="str">
        <f>IF('Pnj APBDES'!E237="","",'Pnj APBDES'!E237)</f>
        <v/>
      </c>
      <c r="F218" s="1672" t="str">
        <f>IF('Pnj APBDES'!F237="","",'Pnj APBDES'!F237)</f>
        <v/>
      </c>
      <c r="G218" s="1672" t="str">
        <f>IF('Pnj APBDES'!G237="","",'Pnj APBDES'!G237)</f>
        <v/>
      </c>
      <c r="H218" s="1704" t="str">
        <f>IF('Pnj APBDES'!H237="","",'Pnj APBDES'!H237)</f>
        <v>Penyelenggaraan Festival Kesenian, Adat/Kebudayaan, dan Keagamaan (perayaan hari kemerdekaan, hari besar keagamaan, dll) tingkat Desa</v>
      </c>
      <c r="I218" s="1675">
        <f>'Pnj APBDES'!K237</f>
        <v>8970000</v>
      </c>
      <c r="J218" s="1650" t="str">
        <f>IF('Pnj APBDES'!N237="","",'Pnj APBDES'!N237)</f>
        <v/>
      </c>
      <c r="K218" s="1619">
        <f>RKA!K170</f>
        <v>0</v>
      </c>
      <c r="L218" s="1619">
        <f>RKA!L170</f>
        <v>0</v>
      </c>
      <c r="M218" s="1619">
        <f>RKA!M170</f>
        <v>0</v>
      </c>
      <c r="N218" s="1619">
        <f>RKA!N170</f>
        <v>0</v>
      </c>
      <c r="O218" s="1619">
        <f>RKA!O170</f>
        <v>0</v>
      </c>
      <c r="P218" s="1619">
        <f>RKA!P170</f>
        <v>0</v>
      </c>
      <c r="Q218" s="1619">
        <f>RKA!Q170</f>
        <v>0</v>
      </c>
      <c r="R218" s="1619">
        <f>RKA!R170</f>
        <v>0</v>
      </c>
      <c r="S218" s="1619">
        <f>RKA!S170</f>
        <v>8970000</v>
      </c>
      <c r="T218" s="1619">
        <f>RKA!T170</f>
        <v>0</v>
      </c>
      <c r="U218" s="1619">
        <f>RKA!U170</f>
        <v>0</v>
      </c>
      <c r="V218" s="1619">
        <f>RKA!V170</f>
        <v>0</v>
      </c>
      <c r="W218" s="1619">
        <f t="shared" si="28"/>
        <v>8970000</v>
      </c>
    </row>
    <row r="219" spans="1:25">
      <c r="A219" s="1699">
        <f>IF('Pnj APBDES'!A238="","",'Pnj APBDES'!A238)</f>
        <v>3</v>
      </c>
      <c r="B219" s="1687">
        <f>IF('Pnj APBDES'!B238="","",'Pnj APBDES'!B238)</f>
        <v>2</v>
      </c>
      <c r="C219" s="1687" t="str">
        <f>IF('Pnj APBDES'!C238="","",'Pnj APBDES'!C238)</f>
        <v>03</v>
      </c>
      <c r="D219" s="1676">
        <f>IF('Pnj APBDES'!D238="","",'Pnj APBDES'!D238)</f>
        <v>5</v>
      </c>
      <c r="E219" s="1676">
        <f>IF('Pnj APBDES'!E238="","",'Pnj APBDES'!E238)</f>
        <v>2</v>
      </c>
      <c r="F219" s="1676" t="str">
        <f>IF('Pnj APBDES'!F238="","",'Pnj APBDES'!F238)</f>
        <v/>
      </c>
      <c r="G219" s="1676" t="str">
        <f>IF('Pnj APBDES'!G238="","",'Pnj APBDES'!G238)</f>
        <v/>
      </c>
      <c r="H219" s="1674" t="str">
        <f>IF('Pnj APBDES'!H238="","",'Pnj APBDES'!H238)</f>
        <v>Belanja Barang dan Jasa</v>
      </c>
      <c r="I219" s="1675">
        <f>'Pnj APBDES'!K238</f>
        <v>7020000</v>
      </c>
      <c r="J219" s="1650" t="str">
        <f>IF('Pnj APBDES'!N238="","",'Pnj APBDES'!N238)</f>
        <v/>
      </c>
      <c r="K219" s="1619">
        <f>RKA!K171</f>
        <v>0</v>
      </c>
      <c r="L219" s="1619">
        <f>RKA!L171</f>
        <v>0</v>
      </c>
      <c r="M219" s="1619">
        <f>RKA!M171</f>
        <v>0</v>
      </c>
      <c r="N219" s="1619">
        <f>RKA!N171</f>
        <v>0</v>
      </c>
      <c r="O219" s="1619">
        <f>RKA!O171</f>
        <v>0</v>
      </c>
      <c r="P219" s="1619">
        <f>RKA!P171</f>
        <v>0</v>
      </c>
      <c r="Q219" s="1619">
        <f>RKA!Q171</f>
        <v>0</v>
      </c>
      <c r="R219" s="1619">
        <f>RKA!R171</f>
        <v>0</v>
      </c>
      <c r="S219" s="1619">
        <f>RKA!S171</f>
        <v>7020000</v>
      </c>
      <c r="T219" s="1619">
        <f>RKA!T171</f>
        <v>0</v>
      </c>
      <c r="U219" s="1619">
        <f>RKA!U171</f>
        <v>0</v>
      </c>
      <c r="V219" s="1619">
        <f>RKA!V171</f>
        <v>0</v>
      </c>
      <c r="W219" s="1619">
        <f t="shared" si="28"/>
        <v>7020000</v>
      </c>
    </row>
    <row r="220" spans="1:25">
      <c r="A220" s="1699">
        <f>IF('Pnj APBDES'!A239="","",'Pnj APBDES'!A239)</f>
        <v>3</v>
      </c>
      <c r="B220" s="1677">
        <f>IF('Pnj APBDES'!B239="","",'Pnj APBDES'!B239)</f>
        <v>2</v>
      </c>
      <c r="C220" s="1687" t="str">
        <f>IF('Pnj APBDES'!C239="","",'Pnj APBDES'!C239)</f>
        <v>03</v>
      </c>
      <c r="D220" s="1676">
        <f>IF('Pnj APBDES'!D239="","",'Pnj APBDES'!D239)</f>
        <v>5</v>
      </c>
      <c r="E220" s="1676">
        <f>IF('Pnj APBDES'!E239="","",'Pnj APBDES'!E239)</f>
        <v>2</v>
      </c>
      <c r="F220" s="1676">
        <f>IF('Pnj APBDES'!F239="","",'Pnj APBDES'!F239)</f>
        <v>1</v>
      </c>
      <c r="G220" s="1676">
        <f>IF('Pnj APBDES'!G239="","",'Pnj APBDES'!G239)</f>
        <v>3</v>
      </c>
      <c r="H220" s="1678" t="str">
        <f>IF('Pnj APBDES'!H239="","",'Pnj APBDES'!H239)</f>
        <v>Belanja Perlengkapan Alat-alat Rumah Tangga</v>
      </c>
      <c r="I220" s="1679">
        <f>'Pnj APBDES'!K239</f>
        <v>1200000</v>
      </c>
      <c r="J220" s="1650" t="str">
        <f>IF('Pnj APBDES'!N239="","",'Pnj APBDES'!N239)</f>
        <v>ADD</v>
      </c>
      <c r="K220" s="1619">
        <f>RKA!K172</f>
        <v>0</v>
      </c>
      <c r="L220" s="1619">
        <f>RKA!L172</f>
        <v>0</v>
      </c>
      <c r="M220" s="1619">
        <f>RKA!M172</f>
        <v>0</v>
      </c>
      <c r="N220" s="1619">
        <f>RKA!N172</f>
        <v>0</v>
      </c>
      <c r="O220" s="1619">
        <f>RKA!O172</f>
        <v>0</v>
      </c>
      <c r="P220" s="1619">
        <f>RKA!P172</f>
        <v>0</v>
      </c>
      <c r="Q220" s="1619">
        <f>RKA!Q172</f>
        <v>0</v>
      </c>
      <c r="R220" s="1619">
        <f>RKA!R172</f>
        <v>0</v>
      </c>
      <c r="S220" s="1619">
        <f>RKA!S172</f>
        <v>1200000</v>
      </c>
      <c r="T220" s="1619">
        <f>RKA!T172</f>
        <v>0</v>
      </c>
      <c r="U220" s="1619">
        <f>RKA!U172</f>
        <v>0</v>
      </c>
      <c r="V220" s="1619">
        <f>RKA!V172</f>
        <v>0</v>
      </c>
      <c r="W220" s="1619">
        <f t="shared" si="28"/>
        <v>1200000</v>
      </c>
    </row>
    <row r="221" spans="1:25" ht="24">
      <c r="A221" s="1699">
        <f>IF('Pnj APBDES'!A240="","",'Pnj APBDES'!A240)</f>
        <v>3</v>
      </c>
      <c r="B221" s="1677">
        <f>IF('Pnj APBDES'!B240="","",'Pnj APBDES'!B240)</f>
        <v>2</v>
      </c>
      <c r="C221" s="1687" t="str">
        <f>IF('Pnj APBDES'!C240="","",'Pnj APBDES'!C240)</f>
        <v>03</v>
      </c>
      <c r="D221" s="1676">
        <f>IF('Pnj APBDES'!D240="","",'Pnj APBDES'!D240)</f>
        <v>5</v>
      </c>
      <c r="E221" s="1676">
        <f>IF('Pnj APBDES'!E240="","",'Pnj APBDES'!E240)</f>
        <v>2</v>
      </c>
      <c r="F221" s="1677">
        <f>IF('Pnj APBDES'!F240="","",'Pnj APBDES'!F240)</f>
        <v>1</v>
      </c>
      <c r="G221" s="1677">
        <f>IF('Pnj APBDES'!G240="","",'Pnj APBDES'!G240)</f>
        <v>4</v>
      </c>
      <c r="H221" s="1678" t="str">
        <f>IF('Pnj APBDES'!H240="","",'Pnj APBDES'!H240)</f>
        <v>Belanja Perlengkapan Barang Konsumsi (Makan/minum) - Belanja Barang Konsumsi</v>
      </c>
      <c r="I221" s="1679">
        <f>'Pnj APBDES'!K240</f>
        <v>3425000</v>
      </c>
      <c r="J221" s="1650" t="str">
        <f>IF('Pnj APBDES'!N240="","",'Pnj APBDES'!N240)</f>
        <v>ADD</v>
      </c>
      <c r="K221" s="1619">
        <f>RKA!K173</f>
        <v>0</v>
      </c>
      <c r="L221" s="1619">
        <f>RKA!L173</f>
        <v>0</v>
      </c>
      <c r="M221" s="1619">
        <f>RKA!M173</f>
        <v>0</v>
      </c>
      <c r="N221" s="1619">
        <f>RKA!N173</f>
        <v>0</v>
      </c>
      <c r="O221" s="1619">
        <f>RKA!O173</f>
        <v>0</v>
      </c>
      <c r="P221" s="1619">
        <f>RKA!P173</f>
        <v>0</v>
      </c>
      <c r="Q221" s="1619">
        <f>RKA!Q173</f>
        <v>0</v>
      </c>
      <c r="R221" s="1619">
        <f>RKA!R173</f>
        <v>0</v>
      </c>
      <c r="S221" s="1619">
        <f>RKA!S173</f>
        <v>3425000</v>
      </c>
      <c r="T221" s="1619">
        <f>RKA!T173</f>
        <v>0</v>
      </c>
      <c r="U221" s="1619">
        <f>RKA!U173</f>
        <v>0</v>
      </c>
      <c r="V221" s="1619">
        <f>RKA!V173</f>
        <v>0</v>
      </c>
      <c r="W221" s="1619">
        <f t="shared" si="28"/>
        <v>3425000</v>
      </c>
    </row>
    <row r="222" spans="1:25">
      <c r="A222" s="1699">
        <f>IF('Pnj APBDES'!A241="","",'Pnj APBDES'!A241)</f>
        <v>4</v>
      </c>
      <c r="B222" s="1687">
        <f>IF('Pnj APBDES'!B241="","",'Pnj APBDES'!B241)</f>
        <v>3</v>
      </c>
      <c r="C222" s="1687" t="str">
        <f>IF('Pnj APBDES'!C241="","",'Pnj APBDES'!C241)</f>
        <v>03</v>
      </c>
      <c r="D222" s="1676">
        <f>IF('Pnj APBDES'!D241="","",'Pnj APBDES'!D241)</f>
        <v>5</v>
      </c>
      <c r="E222" s="1676">
        <f>IF('Pnj APBDES'!E241="","",'Pnj APBDES'!E241)</f>
        <v>2</v>
      </c>
      <c r="F222" s="1676">
        <f>IF('Pnj APBDES'!F241="","",'Pnj APBDES'!F241)</f>
        <v>1</v>
      </c>
      <c r="G222" s="1676">
        <f>IF('Pnj APBDES'!G241="","",'Pnj APBDES'!G241)</f>
        <v>1</v>
      </c>
      <c r="H222" s="1705" t="str">
        <f>IF('Pnj APBDES'!H241="","",'Pnj APBDES'!H241)</f>
        <v>Belanja barang cetak dan penggadaan</v>
      </c>
      <c r="I222" s="1679">
        <f>'Pnj APBDES'!K241</f>
        <v>315000</v>
      </c>
      <c r="J222" s="1650" t="str">
        <f>IF('Pnj APBDES'!N241="","",'Pnj APBDES'!N241)</f>
        <v>ADD</v>
      </c>
      <c r="K222" s="1619">
        <f>RKA!K174</f>
        <v>0</v>
      </c>
      <c r="L222" s="1619">
        <f>RKA!L174</f>
        <v>0</v>
      </c>
      <c r="M222" s="1619">
        <f>RKA!M174</f>
        <v>0</v>
      </c>
      <c r="N222" s="1619">
        <f>RKA!N174</f>
        <v>0</v>
      </c>
      <c r="O222" s="1619">
        <f>RKA!O174</f>
        <v>0</v>
      </c>
      <c r="P222" s="1619">
        <f>RKA!P174</f>
        <v>0</v>
      </c>
      <c r="Q222" s="1619">
        <f>RKA!Q174</f>
        <v>0</v>
      </c>
      <c r="R222" s="1619">
        <f>RKA!R174</f>
        <v>0</v>
      </c>
      <c r="S222" s="1619">
        <f>RKA!S174</f>
        <v>315000</v>
      </c>
      <c r="T222" s="1619">
        <f>RKA!T174</f>
        <v>0</v>
      </c>
      <c r="U222" s="1619">
        <f>RKA!U174</f>
        <v>0</v>
      </c>
      <c r="V222" s="1619">
        <f>RKA!V174</f>
        <v>0</v>
      </c>
      <c r="W222" s="1619">
        <f t="shared" si="28"/>
        <v>315000</v>
      </c>
    </row>
    <row r="223" spans="1:25">
      <c r="A223" s="1699">
        <f>IF('Pnj APBDES'!A242="","",'Pnj APBDES'!A242)</f>
        <v>4</v>
      </c>
      <c r="B223" s="1687">
        <f>IF('Pnj APBDES'!B242="","",'Pnj APBDES'!B242)</f>
        <v>3</v>
      </c>
      <c r="C223" s="1687" t="str">
        <f>IF('Pnj APBDES'!C242="","",'Pnj APBDES'!C242)</f>
        <v>03</v>
      </c>
      <c r="D223" s="1676">
        <f>IF('Pnj APBDES'!D242="","",'Pnj APBDES'!D242)</f>
        <v>5</v>
      </c>
      <c r="E223" s="1676">
        <f>IF('Pnj APBDES'!E242="","",'Pnj APBDES'!E242)</f>
        <v>2</v>
      </c>
      <c r="F223" s="1676">
        <f>IF('Pnj APBDES'!F242="","",'Pnj APBDES'!F242)</f>
        <v>1</v>
      </c>
      <c r="G223" s="1676">
        <f>IF('Pnj APBDES'!G242="","",'Pnj APBDES'!G242)</f>
        <v>2</v>
      </c>
      <c r="H223" s="1705" t="str">
        <f>IF('Pnj APBDES'!H242="","",'Pnj APBDES'!H242)</f>
        <v>Belanja pakaian dinas/seragam/atribut</v>
      </c>
      <c r="I223" s="1679">
        <f>'Pnj APBDES'!K242</f>
        <v>1725000</v>
      </c>
      <c r="J223" s="1650" t="str">
        <f>IF('Pnj APBDES'!N242="","",'Pnj APBDES'!N242)</f>
        <v>ADD</v>
      </c>
      <c r="K223" s="1619">
        <f>RKA!K175</f>
        <v>0</v>
      </c>
      <c r="L223" s="1619">
        <f>RKA!L175</f>
        <v>0</v>
      </c>
      <c r="M223" s="1619">
        <f>RKA!M175</f>
        <v>0</v>
      </c>
      <c r="N223" s="1619">
        <f>RKA!N175</f>
        <v>0</v>
      </c>
      <c r="O223" s="1619">
        <f>RKA!O175</f>
        <v>0</v>
      </c>
      <c r="P223" s="1619">
        <f>RKA!P175</f>
        <v>0</v>
      </c>
      <c r="Q223" s="1619">
        <f>RKA!Q175</f>
        <v>0</v>
      </c>
      <c r="R223" s="1619">
        <f>RKA!R175</f>
        <v>0</v>
      </c>
      <c r="S223" s="1619">
        <f>RKA!S175</f>
        <v>1725000</v>
      </c>
      <c r="T223" s="1619">
        <f>RKA!T175</f>
        <v>0</v>
      </c>
      <c r="U223" s="1619">
        <f>RKA!U175</f>
        <v>0</v>
      </c>
      <c r="V223" s="1619">
        <f>RKA!V175</f>
        <v>0</v>
      </c>
      <c r="W223" s="1619">
        <f t="shared" si="28"/>
        <v>1725000</v>
      </c>
    </row>
    <row r="224" spans="1:25">
      <c r="A224" s="1699">
        <f>IF('Pnj APBDES'!A243="","",'Pnj APBDES'!A243)</f>
        <v>4</v>
      </c>
      <c r="B224" s="1687">
        <f>IF('Pnj APBDES'!B243="","",'Pnj APBDES'!B243)</f>
        <v>3</v>
      </c>
      <c r="C224" s="1687" t="str">
        <f>IF('Pnj APBDES'!C243="","",'Pnj APBDES'!C243)</f>
        <v>03</v>
      </c>
      <c r="D224" s="1676">
        <f>IF('Pnj APBDES'!D243="","",'Pnj APBDES'!D243)</f>
        <v>5</v>
      </c>
      <c r="E224" s="1676">
        <f>IF('Pnj APBDES'!E243="","",'Pnj APBDES'!E243)</f>
        <v>2</v>
      </c>
      <c r="F224" s="1676">
        <f>IF('Pnj APBDES'!F243="","",'Pnj APBDES'!F243)</f>
        <v>1</v>
      </c>
      <c r="G224" s="1676">
        <f>IF('Pnj APBDES'!G243="","",'Pnj APBDES'!G243)</f>
        <v>4</v>
      </c>
      <c r="H224" s="1678" t="str">
        <f>IF('Pnj APBDES'!H243="","",'Pnj APBDES'!H243)</f>
        <v>Belanja barang yang diberikan kepada masyarakat</v>
      </c>
      <c r="I224" s="1679">
        <f>'Pnj APBDES'!K243</f>
        <v>355000</v>
      </c>
      <c r="J224" s="1650" t="str">
        <f>IF('Pnj APBDES'!N243="","",'Pnj APBDES'!N243)</f>
        <v>ADD</v>
      </c>
      <c r="K224" s="1619">
        <f>RKA!K176</f>
        <v>0</v>
      </c>
      <c r="L224" s="1619">
        <f>RKA!L176</f>
        <v>0</v>
      </c>
      <c r="M224" s="1619">
        <f>RKA!M176</f>
        <v>0</v>
      </c>
      <c r="N224" s="1619">
        <f>RKA!N176</f>
        <v>0</v>
      </c>
      <c r="O224" s="1619">
        <f>RKA!O176</f>
        <v>0</v>
      </c>
      <c r="P224" s="1619">
        <f>RKA!P176</f>
        <v>0</v>
      </c>
      <c r="Q224" s="1619">
        <f>RKA!Q176</f>
        <v>0</v>
      </c>
      <c r="R224" s="1619">
        <f>RKA!R176</f>
        <v>0</v>
      </c>
      <c r="S224" s="1619">
        <f>RKA!S176</f>
        <v>355000</v>
      </c>
      <c r="T224" s="1619">
        <f>RKA!T176</f>
        <v>0</v>
      </c>
      <c r="U224" s="1619">
        <f>RKA!U176</f>
        <v>0</v>
      </c>
      <c r="V224" s="1619">
        <f>RKA!V176</f>
        <v>0</v>
      </c>
      <c r="W224" s="1619">
        <f t="shared" si="28"/>
        <v>355000</v>
      </c>
    </row>
    <row r="225" spans="1:23">
      <c r="A225" s="1699">
        <f>IF('Pnj APBDES'!A244="","",'Pnj APBDES'!A244)</f>
        <v>4</v>
      </c>
      <c r="B225" s="1687">
        <f>IF('Pnj APBDES'!B244="","",'Pnj APBDES'!B244)</f>
        <v>3</v>
      </c>
      <c r="C225" s="1687" t="str">
        <f>IF('Pnj APBDES'!C244="","",'Pnj APBDES'!C244)</f>
        <v>03</v>
      </c>
      <c r="D225" s="1676">
        <f>IF('Pnj APBDES'!D244="","",'Pnj APBDES'!D244)</f>
        <v>5</v>
      </c>
      <c r="E225" s="1676">
        <f>IF('Pnj APBDES'!E244="","",'Pnj APBDES'!E244)</f>
        <v>2</v>
      </c>
      <c r="F225" s="1676">
        <f>IF('Pnj APBDES'!F244="","",'Pnj APBDES'!F244)</f>
        <v>2</v>
      </c>
      <c r="G225" s="1676" t="str">
        <f>IF('Pnj APBDES'!G244="","",'Pnj APBDES'!G244)</f>
        <v/>
      </c>
      <c r="H225" s="1706" t="str">
        <f>IF('Pnj APBDES'!H244="","",'Pnj APBDES'!H244)</f>
        <v>Belanja jasa honorarium</v>
      </c>
      <c r="I225" s="1675">
        <f>'Pnj APBDES'!K244</f>
        <v>1150000</v>
      </c>
      <c r="J225" s="1650" t="str">
        <f>IF('Pnj APBDES'!N244="","",'Pnj APBDES'!N244)</f>
        <v/>
      </c>
      <c r="K225" s="1619">
        <f>RKA!K177</f>
        <v>0</v>
      </c>
      <c r="L225" s="1619">
        <f>RKA!L177</f>
        <v>0</v>
      </c>
      <c r="M225" s="1619">
        <f>RKA!M177</f>
        <v>0</v>
      </c>
      <c r="N225" s="1619">
        <f>RKA!N177</f>
        <v>0</v>
      </c>
      <c r="O225" s="1619">
        <f>RKA!O177</f>
        <v>0</v>
      </c>
      <c r="P225" s="1619">
        <f>RKA!P177</f>
        <v>0</v>
      </c>
      <c r="Q225" s="1619">
        <f>RKA!Q177</f>
        <v>0</v>
      </c>
      <c r="R225" s="1619">
        <f>RKA!R177</f>
        <v>0</v>
      </c>
      <c r="S225" s="1619">
        <f>RKA!S177</f>
        <v>1150000</v>
      </c>
      <c r="T225" s="1619">
        <f>RKA!T177</f>
        <v>0</v>
      </c>
      <c r="U225" s="1619">
        <f>RKA!U177</f>
        <v>0</v>
      </c>
      <c r="V225" s="1619">
        <f>RKA!V177</f>
        <v>0</v>
      </c>
      <c r="W225" s="1619">
        <f t="shared" si="28"/>
        <v>1150000</v>
      </c>
    </row>
    <row r="226" spans="1:23">
      <c r="A226" s="1699">
        <f>IF('Pnj APBDES'!A245="","",'Pnj APBDES'!A245)</f>
        <v>4</v>
      </c>
      <c r="B226" s="1687">
        <f>IF('Pnj APBDES'!B245="","",'Pnj APBDES'!B245)</f>
        <v>3</v>
      </c>
      <c r="C226" s="1687" t="str">
        <f>IF('Pnj APBDES'!C245="","",'Pnj APBDES'!C245)</f>
        <v>03</v>
      </c>
      <c r="D226" s="1676">
        <f>IF('Pnj APBDES'!D245="","",'Pnj APBDES'!D245)</f>
        <v>5</v>
      </c>
      <c r="E226" s="1676">
        <f>IF('Pnj APBDES'!E245="","",'Pnj APBDES'!E245)</f>
        <v>2</v>
      </c>
      <c r="F226" s="1676">
        <f>IF('Pnj APBDES'!F245="","",'Pnj APBDES'!F245)</f>
        <v>2</v>
      </c>
      <c r="G226" s="1698">
        <f>IF('Pnj APBDES'!G245="","",'Pnj APBDES'!G245)</f>
        <v>90</v>
      </c>
      <c r="H226" s="1705" t="str">
        <f>IF('Pnj APBDES'!H245="","",'Pnj APBDES'!H245)</f>
        <v>Belanja uang saku</v>
      </c>
      <c r="I226" s="1679">
        <f>'Pnj APBDES'!K245</f>
        <v>1150000</v>
      </c>
      <c r="J226" s="1650" t="str">
        <f>IF('Pnj APBDES'!N245="","",'Pnj APBDES'!N245)</f>
        <v>ADD</v>
      </c>
      <c r="K226" s="1619">
        <f>RKA!K178</f>
        <v>0</v>
      </c>
      <c r="L226" s="1619">
        <f>RKA!L178</f>
        <v>0</v>
      </c>
      <c r="M226" s="1619">
        <f>RKA!M178</f>
        <v>0</v>
      </c>
      <c r="N226" s="1619">
        <f>RKA!N178</f>
        <v>0</v>
      </c>
      <c r="O226" s="1619">
        <f>RKA!O178</f>
        <v>0</v>
      </c>
      <c r="P226" s="1619">
        <f>RKA!P178</f>
        <v>0</v>
      </c>
      <c r="Q226" s="1619">
        <f>RKA!Q178</f>
        <v>0</v>
      </c>
      <c r="R226" s="1619">
        <f>RKA!R178</f>
        <v>0</v>
      </c>
      <c r="S226" s="1619">
        <f>RKA!S178</f>
        <v>1150000</v>
      </c>
      <c r="T226" s="1619">
        <f>RKA!T178</f>
        <v>0</v>
      </c>
      <c r="U226" s="1619">
        <f>RKA!U178</f>
        <v>0</v>
      </c>
      <c r="V226" s="1619">
        <f>RKA!V178</f>
        <v>0</v>
      </c>
      <c r="W226" s="1619">
        <f t="shared" si="28"/>
        <v>1150000</v>
      </c>
    </row>
    <row r="227" spans="1:23">
      <c r="A227" s="1699" t="str">
        <f>IF('Pnj APBDES'!A246="","",'Pnj APBDES'!A246)</f>
        <v/>
      </c>
      <c r="B227" s="1677" t="str">
        <f>IF('Pnj APBDES'!B246="","",'Pnj APBDES'!B246)</f>
        <v/>
      </c>
      <c r="C227" s="1687" t="str">
        <f>IF('Pnj APBDES'!C246="","",'Pnj APBDES'!C246)</f>
        <v/>
      </c>
      <c r="D227" s="1676" t="str">
        <f>IF('Pnj APBDES'!D246="","",'Pnj APBDES'!D246)</f>
        <v/>
      </c>
      <c r="E227" s="1676" t="str">
        <f>IF('Pnj APBDES'!E246="","",'Pnj APBDES'!E246)</f>
        <v/>
      </c>
      <c r="F227" s="1677" t="str">
        <f>IF('Pnj APBDES'!F246="","",'Pnj APBDES'!F246)</f>
        <v/>
      </c>
      <c r="G227" s="1677" t="str">
        <f>IF('Pnj APBDES'!G246="","",'Pnj APBDES'!G246)</f>
        <v/>
      </c>
      <c r="H227" s="1678" t="str">
        <f>IF('Pnj APBDES'!H246="","",'Pnj APBDES'!H246)</f>
        <v/>
      </c>
      <c r="I227" s="1679">
        <f>'Pnj APBDES'!K246</f>
        <v>0</v>
      </c>
      <c r="J227" s="1650" t="str">
        <f>IF('Pnj APBDES'!N246="","",'Pnj APBDES'!N246)</f>
        <v/>
      </c>
      <c r="K227" s="1619">
        <f>RKA!K179</f>
        <v>0</v>
      </c>
      <c r="L227" s="1619">
        <f>RKA!L179</f>
        <v>0</v>
      </c>
      <c r="M227" s="1619">
        <f>RKA!M179</f>
        <v>0</v>
      </c>
      <c r="N227" s="1619">
        <f>RKA!N179</f>
        <v>0</v>
      </c>
      <c r="O227" s="1619">
        <f>RKA!O179</f>
        <v>0</v>
      </c>
      <c r="P227" s="1619">
        <f>RKA!P179</f>
        <v>0</v>
      </c>
      <c r="Q227" s="1619">
        <f>RKA!Q179</f>
        <v>0</v>
      </c>
      <c r="R227" s="1619">
        <f>RKA!R179</f>
        <v>0</v>
      </c>
      <c r="S227" s="1619">
        <f>RKA!S179</f>
        <v>0</v>
      </c>
      <c r="T227" s="1619">
        <f>RKA!T179</f>
        <v>0</v>
      </c>
      <c r="U227" s="1619">
        <f>RKA!U179</f>
        <v>0</v>
      </c>
      <c r="V227" s="1619">
        <f>RKA!V179</f>
        <v>0</v>
      </c>
      <c r="W227" s="1619">
        <f t="shared" si="28"/>
        <v>0</v>
      </c>
    </row>
    <row r="228" spans="1:23">
      <c r="A228" s="1699">
        <f>IF('Pnj APBDES'!A247="","",'Pnj APBDES'!A247)</f>
        <v>3</v>
      </c>
      <c r="B228" s="1677">
        <f>IF('Pnj APBDES'!B247="","",'Pnj APBDES'!B247)</f>
        <v>2</v>
      </c>
      <c r="C228" s="1687" t="str">
        <f>IF('Pnj APBDES'!C247="","",'Pnj APBDES'!C247)</f>
        <v>03</v>
      </c>
      <c r="D228" s="1676">
        <f>IF('Pnj APBDES'!D247="","",'Pnj APBDES'!D247)</f>
        <v>5</v>
      </c>
      <c r="E228" s="1676">
        <f>IF('Pnj APBDES'!E247="","",'Pnj APBDES'!E247)</f>
        <v>2</v>
      </c>
      <c r="F228" s="1676">
        <f>IF('Pnj APBDES'!F247="","",'Pnj APBDES'!F247)</f>
        <v>4</v>
      </c>
      <c r="G228" s="1676" t="str">
        <f>IF('Pnj APBDES'!G247="","",'Pnj APBDES'!G247)</f>
        <v/>
      </c>
      <c r="H228" s="1674" t="str">
        <f>IF('Pnj APBDES'!H247="","",'Pnj APBDES'!H247)</f>
        <v>Belanja Jasa Sewa</v>
      </c>
      <c r="I228" s="1675">
        <f>'Pnj APBDES'!K247</f>
        <v>800000</v>
      </c>
      <c r="J228" s="1650" t="str">
        <f>IF('Pnj APBDES'!N247="","",'Pnj APBDES'!N247)</f>
        <v/>
      </c>
      <c r="K228" s="1619">
        <f>RKA!K180</f>
        <v>0</v>
      </c>
      <c r="L228" s="1619">
        <f>RKA!L180</f>
        <v>0</v>
      </c>
      <c r="M228" s="1619">
        <f>RKA!M180</f>
        <v>0</v>
      </c>
      <c r="N228" s="1619">
        <f>RKA!N180</f>
        <v>0</v>
      </c>
      <c r="O228" s="1619">
        <f>RKA!O180</f>
        <v>0</v>
      </c>
      <c r="P228" s="1619">
        <f>RKA!P180</f>
        <v>0</v>
      </c>
      <c r="Q228" s="1619">
        <f>RKA!Q180</f>
        <v>0</v>
      </c>
      <c r="R228" s="1619">
        <f>RKA!R180</f>
        <v>0</v>
      </c>
      <c r="S228" s="1619">
        <f>RKA!S180</f>
        <v>800000</v>
      </c>
      <c r="T228" s="1619">
        <f>RKA!T180</f>
        <v>0</v>
      </c>
      <c r="U228" s="1619">
        <f>RKA!U180</f>
        <v>0</v>
      </c>
      <c r="V228" s="1619">
        <f>RKA!V180</f>
        <v>0</v>
      </c>
      <c r="W228" s="1619">
        <f t="shared" si="28"/>
        <v>800000</v>
      </c>
    </row>
    <row r="229" spans="1:23">
      <c r="A229" s="1699">
        <f>IF('Pnj APBDES'!A248="","",'Pnj APBDES'!A248)</f>
        <v>3</v>
      </c>
      <c r="B229" s="1677">
        <f>IF('Pnj APBDES'!B248="","",'Pnj APBDES'!B248)</f>
        <v>2</v>
      </c>
      <c r="C229" s="1687" t="str">
        <f>IF('Pnj APBDES'!C248="","",'Pnj APBDES'!C248)</f>
        <v>03</v>
      </c>
      <c r="D229" s="1676">
        <f>IF('Pnj APBDES'!D248="","",'Pnj APBDES'!D248)</f>
        <v>5</v>
      </c>
      <c r="E229" s="1676">
        <f>IF('Pnj APBDES'!E248="","",'Pnj APBDES'!E248)</f>
        <v>2</v>
      </c>
      <c r="F229" s="1676">
        <f>IF('Pnj APBDES'!F248="","",'Pnj APBDES'!F248)</f>
        <v>4</v>
      </c>
      <c r="G229" s="1676">
        <f>IF('Pnj APBDES'!G248="","",'Pnj APBDES'!G248)</f>
        <v>2</v>
      </c>
      <c r="H229" s="1678" t="str">
        <f>IF('Pnj APBDES'!H248="","",'Pnj APBDES'!H248)</f>
        <v>Belanja Jasa Sewa Peralatan/Perlengkapan</v>
      </c>
      <c r="I229" s="1679">
        <f>'Pnj APBDES'!K248</f>
        <v>800000</v>
      </c>
      <c r="J229" s="1650" t="str">
        <f>IF('Pnj APBDES'!N248="","",'Pnj APBDES'!N248)</f>
        <v>ADD</v>
      </c>
      <c r="K229" s="1619">
        <f>RKA!K181</f>
        <v>0</v>
      </c>
      <c r="L229" s="1619">
        <f>RKA!L181</f>
        <v>0</v>
      </c>
      <c r="M229" s="1619">
        <f>RKA!M181</f>
        <v>0</v>
      </c>
      <c r="N229" s="1619">
        <f>RKA!N181</f>
        <v>0</v>
      </c>
      <c r="O229" s="1619">
        <f>RKA!O181</f>
        <v>0</v>
      </c>
      <c r="P229" s="1619">
        <f>RKA!P181</f>
        <v>0</v>
      </c>
      <c r="Q229" s="1619">
        <f>RKA!Q181</f>
        <v>0</v>
      </c>
      <c r="R229" s="1619">
        <f>RKA!R181</f>
        <v>0</v>
      </c>
      <c r="S229" s="1619">
        <f>RKA!S181</f>
        <v>800000</v>
      </c>
      <c r="T229" s="1619">
        <f>RKA!T181</f>
        <v>0</v>
      </c>
      <c r="U229" s="1619">
        <f>RKA!U181</f>
        <v>0</v>
      </c>
      <c r="V229" s="1619">
        <f>RKA!V181</f>
        <v>0</v>
      </c>
      <c r="W229" s="1619">
        <f t="shared" si="28"/>
        <v>800000</v>
      </c>
    </row>
    <row r="230" spans="1:23">
      <c r="A230" s="1707" t="str">
        <f>IF('Pnj APBDES'!A249="","",'Pnj APBDES'!A249)</f>
        <v/>
      </c>
      <c r="B230" s="1708" t="str">
        <f>IF('Pnj APBDES'!B249="","",'Pnj APBDES'!B249)</f>
        <v/>
      </c>
      <c r="C230" s="1708" t="str">
        <f>IF('Pnj APBDES'!C249="","",'Pnj APBDES'!C249)</f>
        <v/>
      </c>
      <c r="D230" s="1709" t="str">
        <f>IF('Pnj APBDES'!D249="","",'Pnj APBDES'!D249)</f>
        <v/>
      </c>
      <c r="E230" s="1709" t="str">
        <f>IF('Pnj APBDES'!E249="","",'Pnj APBDES'!E249)</f>
        <v/>
      </c>
      <c r="F230" s="1709" t="str">
        <f>IF('Pnj APBDES'!F249="","",'Pnj APBDES'!F249)</f>
        <v/>
      </c>
      <c r="G230" s="1709" t="str">
        <f>IF('Pnj APBDES'!G249="","",'Pnj APBDES'!G249)</f>
        <v/>
      </c>
      <c r="H230" s="1710" t="str">
        <f>IF('Pnj APBDES'!H249="","",'Pnj APBDES'!H249)</f>
        <v/>
      </c>
      <c r="I230" s="1711">
        <f>'Pnj APBDES'!K249</f>
        <v>0</v>
      </c>
      <c r="J230" s="1650" t="str">
        <f>IF('Pnj APBDES'!N249="","",'Pnj APBDES'!N249)</f>
        <v/>
      </c>
      <c r="K230" s="1619">
        <f>RKA!K182</f>
        <v>0</v>
      </c>
      <c r="L230" s="1619">
        <f>RKA!L182</f>
        <v>0</v>
      </c>
      <c r="M230" s="1619">
        <f>RKA!M182</f>
        <v>0</v>
      </c>
      <c r="N230" s="1619">
        <f>RKA!N182</f>
        <v>0</v>
      </c>
      <c r="O230" s="1619">
        <f>RKA!O182</f>
        <v>0</v>
      </c>
      <c r="P230" s="1619">
        <f>RKA!P182</f>
        <v>0</v>
      </c>
      <c r="Q230" s="1619">
        <f>RKA!Q182</f>
        <v>0</v>
      </c>
      <c r="R230" s="1619">
        <f>RKA!R182</f>
        <v>0</v>
      </c>
      <c r="S230" s="1619">
        <f>RKA!S182</f>
        <v>0</v>
      </c>
      <c r="T230" s="1619">
        <f>RKA!T182</f>
        <v>0</v>
      </c>
      <c r="U230" s="1619">
        <f>RKA!U182</f>
        <v>0</v>
      </c>
      <c r="V230" s="1619">
        <f>RKA!V182</f>
        <v>0</v>
      </c>
      <c r="W230" s="1619">
        <f t="shared" si="28"/>
        <v>0</v>
      </c>
    </row>
    <row r="231" spans="1:23">
      <c r="A231" s="1700">
        <f>IF('Pnj APBDES'!A250="","",'Pnj APBDES'!A250)</f>
        <v>3</v>
      </c>
      <c r="B231" s="1673">
        <f>IF('Pnj APBDES'!B250="","",'Pnj APBDES'!B250)</f>
        <v>3</v>
      </c>
      <c r="C231" s="1691" t="str">
        <f>IF('Pnj APBDES'!C250="","",'Pnj APBDES'!C250)</f>
        <v/>
      </c>
      <c r="D231" s="1672" t="str">
        <f>IF('Pnj APBDES'!D250="","",'Pnj APBDES'!D250)</f>
        <v/>
      </c>
      <c r="E231" s="1672" t="str">
        <f>IF('Pnj APBDES'!E250="","",'Pnj APBDES'!E250)</f>
        <v/>
      </c>
      <c r="F231" s="1672" t="str">
        <f>IF('Pnj APBDES'!F250="","",'Pnj APBDES'!F250)</f>
        <v/>
      </c>
      <c r="G231" s="1672" t="str">
        <f>IF('Pnj APBDES'!G250="","",'Pnj APBDES'!G250)</f>
        <v/>
      </c>
      <c r="H231" s="1674" t="str">
        <f>IF('Pnj APBDES'!H250="","",'Pnj APBDES'!H250)</f>
        <v>Kepemudaan dan Olah Raga</v>
      </c>
      <c r="I231" s="1675">
        <f>'Pnj APBDES'!K250</f>
        <v>1200000</v>
      </c>
      <c r="J231" s="1650" t="str">
        <f>IF('Pnj APBDES'!N250="","",'Pnj APBDES'!N250)</f>
        <v/>
      </c>
      <c r="K231" s="1619">
        <f>RKA!K183</f>
        <v>100000</v>
      </c>
      <c r="L231" s="1619">
        <f>RKA!L183</f>
        <v>100000</v>
      </c>
      <c r="M231" s="1619">
        <f>RKA!M183</f>
        <v>100000</v>
      </c>
      <c r="N231" s="1619">
        <f>RKA!N183</f>
        <v>100000</v>
      </c>
      <c r="O231" s="1619">
        <f>RKA!O183</f>
        <v>100000</v>
      </c>
      <c r="P231" s="1619">
        <f>RKA!P183</f>
        <v>100000</v>
      </c>
      <c r="Q231" s="1619">
        <f>RKA!Q183</f>
        <v>100000</v>
      </c>
      <c r="R231" s="1619">
        <f>RKA!R183</f>
        <v>100000</v>
      </c>
      <c r="S231" s="1619">
        <f>RKA!S183</f>
        <v>100000</v>
      </c>
      <c r="T231" s="1619">
        <f>RKA!T183</f>
        <v>100000</v>
      </c>
      <c r="U231" s="1619">
        <f>RKA!U183</f>
        <v>100000</v>
      </c>
      <c r="V231" s="1619">
        <f>RKA!V183</f>
        <v>100000</v>
      </c>
      <c r="W231" s="1619">
        <f t="shared" si="28"/>
        <v>1200000</v>
      </c>
    </row>
    <row r="232" spans="1:23">
      <c r="A232" s="1699">
        <f>IF('Pnj APBDES'!A251="","",'Pnj APBDES'!A251)</f>
        <v>3</v>
      </c>
      <c r="B232" s="1677">
        <f>IF('Pnj APBDES'!B251="","",'Pnj APBDES'!B251)</f>
        <v>3</v>
      </c>
      <c r="C232" s="1687" t="str">
        <f>IF('Pnj APBDES'!C251="","",'Pnj APBDES'!C251)</f>
        <v>06</v>
      </c>
      <c r="D232" s="1676">
        <f>IF('Pnj APBDES'!D251="","",'Pnj APBDES'!D251)</f>
        <v>5</v>
      </c>
      <c r="E232" s="1676" t="str">
        <f>IF('Pnj APBDES'!E251="","",'Pnj APBDES'!E251)</f>
        <v/>
      </c>
      <c r="F232" s="1676" t="str">
        <f>IF('Pnj APBDES'!F251="","",'Pnj APBDES'!F251)</f>
        <v/>
      </c>
      <c r="G232" s="1676" t="str">
        <f>IF('Pnj APBDES'!G251="","",'Pnj APBDES'!G251)</f>
        <v/>
      </c>
      <c r="H232" s="1712" t="str">
        <f>IF('Pnj APBDES'!H251="","",'Pnj APBDES'!H251)</f>
        <v>Pembinaan Karang Taruna/Klub Kepemudaan/Klub Olah raga</v>
      </c>
      <c r="I232" s="1679">
        <f>'Pnj APBDES'!K251</f>
        <v>1200000</v>
      </c>
      <c r="J232" s="1650" t="str">
        <f>IF('Pnj APBDES'!N251="","",'Pnj APBDES'!N251)</f>
        <v/>
      </c>
      <c r="K232" s="1619">
        <f>RKA!K184</f>
        <v>100000</v>
      </c>
      <c r="L232" s="1619">
        <f>RKA!L184</f>
        <v>100000</v>
      </c>
      <c r="M232" s="1619">
        <f>RKA!M184</f>
        <v>100000</v>
      </c>
      <c r="N232" s="1619">
        <f>RKA!N184</f>
        <v>100000</v>
      </c>
      <c r="O232" s="1619">
        <f>RKA!O184</f>
        <v>100000</v>
      </c>
      <c r="P232" s="1619">
        <f>RKA!P184</f>
        <v>100000</v>
      </c>
      <c r="Q232" s="1619">
        <f>RKA!Q184</f>
        <v>100000</v>
      </c>
      <c r="R232" s="1619">
        <f>RKA!R184</f>
        <v>100000</v>
      </c>
      <c r="S232" s="1619">
        <f>RKA!S184</f>
        <v>100000</v>
      </c>
      <c r="T232" s="1619">
        <f>RKA!T184</f>
        <v>100000</v>
      </c>
      <c r="U232" s="1619">
        <f>RKA!U184</f>
        <v>100000</v>
      </c>
      <c r="V232" s="1619">
        <f>RKA!V184</f>
        <v>100000</v>
      </c>
      <c r="W232" s="1619">
        <f t="shared" si="28"/>
        <v>1200000</v>
      </c>
    </row>
    <row r="233" spans="1:23">
      <c r="A233" s="1699">
        <f>IF('Pnj APBDES'!A252="","",'Pnj APBDES'!A252)</f>
        <v>3</v>
      </c>
      <c r="B233" s="1677">
        <f>IF('Pnj APBDES'!B252="","",'Pnj APBDES'!B252)</f>
        <v>3</v>
      </c>
      <c r="C233" s="1687" t="str">
        <f>IF('Pnj APBDES'!C252="","",'Pnj APBDES'!C252)</f>
        <v>06</v>
      </c>
      <c r="D233" s="1676">
        <f>IF('Pnj APBDES'!D252="","",'Pnj APBDES'!D252)</f>
        <v>5</v>
      </c>
      <c r="E233" s="1676">
        <f>IF('Pnj APBDES'!E252="","",'Pnj APBDES'!E252)</f>
        <v>2</v>
      </c>
      <c r="F233" s="1676" t="str">
        <f>IF('Pnj APBDES'!F252="","",'Pnj APBDES'!F252)</f>
        <v/>
      </c>
      <c r="G233" s="1676" t="str">
        <f>IF('Pnj APBDES'!G252="","",'Pnj APBDES'!G252)</f>
        <v/>
      </c>
      <c r="H233" s="1678" t="str">
        <f>IF('Pnj APBDES'!H252="","",'Pnj APBDES'!H252)</f>
        <v>Belanja Barang dan Jasa</v>
      </c>
      <c r="I233" s="1679">
        <f>'Pnj APBDES'!K252</f>
        <v>1200000</v>
      </c>
      <c r="J233" s="1650" t="str">
        <f>IF('Pnj APBDES'!N252="","",'Pnj APBDES'!N252)</f>
        <v/>
      </c>
      <c r="K233" s="1619">
        <f>RKA!K185</f>
        <v>100000</v>
      </c>
      <c r="L233" s="1619">
        <f>RKA!L185</f>
        <v>100000</v>
      </c>
      <c r="M233" s="1619">
        <f>RKA!M185</f>
        <v>100000</v>
      </c>
      <c r="N233" s="1619">
        <f>RKA!N185</f>
        <v>100000</v>
      </c>
      <c r="O233" s="1619">
        <f>RKA!O185</f>
        <v>100000</v>
      </c>
      <c r="P233" s="1619">
        <f>RKA!P185</f>
        <v>100000</v>
      </c>
      <c r="Q233" s="1619">
        <f>RKA!Q185</f>
        <v>100000</v>
      </c>
      <c r="R233" s="1619">
        <f>RKA!R185</f>
        <v>100000</v>
      </c>
      <c r="S233" s="1619">
        <f>RKA!S185</f>
        <v>100000</v>
      </c>
      <c r="T233" s="1619">
        <f>RKA!T185</f>
        <v>100000</v>
      </c>
      <c r="U233" s="1619">
        <f>RKA!U185</f>
        <v>100000</v>
      </c>
      <c r="V233" s="1619">
        <f>RKA!V185</f>
        <v>100000</v>
      </c>
      <c r="W233" s="1619">
        <f t="shared" si="28"/>
        <v>1200000</v>
      </c>
    </row>
    <row r="234" spans="1:23">
      <c r="A234" s="1699">
        <f>IF('Pnj APBDES'!A253="","",'Pnj APBDES'!A253)</f>
        <v>3</v>
      </c>
      <c r="B234" s="1677">
        <f>IF('Pnj APBDES'!B253="","",'Pnj APBDES'!B253)</f>
        <v>3</v>
      </c>
      <c r="C234" s="1687" t="str">
        <f>IF('Pnj APBDES'!C253="","",'Pnj APBDES'!C253)</f>
        <v>06</v>
      </c>
      <c r="D234" s="1676">
        <f>IF('Pnj APBDES'!D253="","",'Pnj APBDES'!D253)</f>
        <v>5</v>
      </c>
      <c r="E234" s="1676">
        <f>IF('Pnj APBDES'!E253="","",'Pnj APBDES'!E253)</f>
        <v>2</v>
      </c>
      <c r="F234" s="1676">
        <f>IF('Pnj APBDES'!F253="","",'Pnj APBDES'!F253)</f>
        <v>2</v>
      </c>
      <c r="G234" s="1676" t="str">
        <f>IF('Pnj APBDES'!G253="","",'Pnj APBDES'!G253)</f>
        <v/>
      </c>
      <c r="H234" s="1678" t="str">
        <f>IF('Pnj APBDES'!H253="","",'Pnj APBDES'!H253)</f>
        <v>Belanja Jasa Honorarium</v>
      </c>
      <c r="I234" s="1679">
        <f>'Pnj APBDES'!K253</f>
        <v>1200000</v>
      </c>
      <c r="J234" s="1650" t="str">
        <f>IF('Pnj APBDES'!N253="","",'Pnj APBDES'!N253)</f>
        <v/>
      </c>
      <c r="K234" s="1619">
        <f>RKA!K186</f>
        <v>100000</v>
      </c>
      <c r="L234" s="1619">
        <f>RKA!L186</f>
        <v>100000</v>
      </c>
      <c r="M234" s="1619">
        <f>RKA!M186</f>
        <v>100000</v>
      </c>
      <c r="N234" s="1619">
        <f>RKA!N186</f>
        <v>100000</v>
      </c>
      <c r="O234" s="1619">
        <f>RKA!O186</f>
        <v>100000</v>
      </c>
      <c r="P234" s="1619">
        <f>RKA!P186</f>
        <v>100000</v>
      </c>
      <c r="Q234" s="1619">
        <f>RKA!Q186</f>
        <v>100000</v>
      </c>
      <c r="R234" s="1619">
        <f>RKA!R186</f>
        <v>100000</v>
      </c>
      <c r="S234" s="1619">
        <f>RKA!S186</f>
        <v>100000</v>
      </c>
      <c r="T234" s="1619">
        <f>RKA!T186</f>
        <v>100000</v>
      </c>
      <c r="U234" s="1619">
        <f>RKA!U186</f>
        <v>100000</v>
      </c>
      <c r="V234" s="1619">
        <f>RKA!V186</f>
        <v>100000</v>
      </c>
      <c r="W234" s="1619">
        <f t="shared" si="28"/>
        <v>1200000</v>
      </c>
    </row>
    <row r="235" spans="1:23">
      <c r="A235" s="1699">
        <f>IF('Pnj APBDES'!A254="","",'Pnj APBDES'!A254)</f>
        <v>3</v>
      </c>
      <c r="B235" s="1677">
        <f>IF('Pnj APBDES'!B254="","",'Pnj APBDES'!B254)</f>
        <v>3</v>
      </c>
      <c r="C235" s="1687" t="str">
        <f>IF('Pnj APBDES'!C254="","",'Pnj APBDES'!C254)</f>
        <v>06</v>
      </c>
      <c r="D235" s="1676">
        <f>IF('Pnj APBDES'!D254="","",'Pnj APBDES'!D254)</f>
        <v>5</v>
      </c>
      <c r="E235" s="1676">
        <f>IF('Pnj APBDES'!E254="","",'Pnj APBDES'!E254)</f>
        <v>2</v>
      </c>
      <c r="F235" s="1676">
        <f>IF('Pnj APBDES'!F254="","",'Pnj APBDES'!F254)</f>
        <v>2</v>
      </c>
      <c r="G235" s="1676">
        <f>IF('Pnj APBDES'!G254="","",'Pnj APBDES'!G254)</f>
        <v>5</v>
      </c>
      <c r="H235" s="1678" t="str">
        <f>IF('Pnj APBDES'!H254="","",'Pnj APBDES'!H254)</f>
        <v>Belanja Jasa Honorarium Petugas</v>
      </c>
      <c r="I235" s="1679">
        <f>'Pnj APBDES'!K254</f>
        <v>1200000</v>
      </c>
      <c r="J235" s="1650" t="str">
        <f>IF('Pnj APBDES'!N254="","",'Pnj APBDES'!N254)</f>
        <v>ADD</v>
      </c>
      <c r="K235" s="1619">
        <f>RKA!K187</f>
        <v>100000</v>
      </c>
      <c r="L235" s="1619">
        <f>RKA!L187</f>
        <v>100000</v>
      </c>
      <c r="M235" s="1619">
        <f>RKA!M187</f>
        <v>100000</v>
      </c>
      <c r="N235" s="1619">
        <f>RKA!N187</f>
        <v>100000</v>
      </c>
      <c r="O235" s="1619">
        <f>RKA!O187</f>
        <v>100000</v>
      </c>
      <c r="P235" s="1619">
        <f>RKA!P187</f>
        <v>100000</v>
      </c>
      <c r="Q235" s="1619">
        <f>RKA!Q187</f>
        <v>100000</v>
      </c>
      <c r="R235" s="1619">
        <f>RKA!R187</f>
        <v>100000</v>
      </c>
      <c r="S235" s="1619">
        <f>RKA!S187</f>
        <v>100000</v>
      </c>
      <c r="T235" s="1619">
        <f>RKA!T187</f>
        <v>100000</v>
      </c>
      <c r="U235" s="1619">
        <f>RKA!U187</f>
        <v>100000</v>
      </c>
      <c r="V235" s="1619">
        <f>RKA!V187</f>
        <v>100000</v>
      </c>
      <c r="W235" s="1619">
        <f t="shared" si="28"/>
        <v>1200000</v>
      </c>
    </row>
    <row r="236" spans="1:23">
      <c r="A236" s="1700">
        <f>IF('Pnj APBDES'!A260="","",'Pnj APBDES'!A260)</f>
        <v>3</v>
      </c>
      <c r="B236" s="1673">
        <f>IF('Pnj APBDES'!B260="","",'Pnj APBDES'!B260)</f>
        <v>4</v>
      </c>
      <c r="C236" s="1691" t="str">
        <f>IF('Pnj APBDES'!C260="","",'Pnj APBDES'!C260)</f>
        <v/>
      </c>
      <c r="D236" s="1672" t="str">
        <f>IF('Pnj APBDES'!D260="","",'Pnj APBDES'!D260)</f>
        <v/>
      </c>
      <c r="E236" s="1672" t="str">
        <f>IF('Pnj APBDES'!E260="","",'Pnj APBDES'!E260)</f>
        <v/>
      </c>
      <c r="F236" s="1672" t="str">
        <f>IF('Pnj APBDES'!F260="","",'Pnj APBDES'!F260)</f>
        <v/>
      </c>
      <c r="G236" s="1672" t="str">
        <f>IF('Pnj APBDES'!G260="","",'Pnj APBDES'!G260)</f>
        <v/>
      </c>
      <c r="H236" s="1693" t="str">
        <f>IF('Pnj APBDES'!H260="","",'Pnj APBDES'!H260)</f>
        <v>Kelembagaan Masyarakat</v>
      </c>
      <c r="I236" s="1675">
        <f>'Pnj APBDES'!K260</f>
        <v>2400000</v>
      </c>
      <c r="J236" s="1650" t="str">
        <f>IF('Pnj APBDES'!N260="","",'Pnj APBDES'!N260)</f>
        <v/>
      </c>
      <c r="K236" s="1619" t="e">
        <f>RKA!K188</f>
        <v>#REF!</v>
      </c>
      <c r="L236" s="1619" t="e">
        <f>RKA!L188</f>
        <v>#REF!</v>
      </c>
      <c r="M236" s="1619" t="e">
        <f>RKA!M188</f>
        <v>#REF!</v>
      </c>
      <c r="N236" s="1619" t="e">
        <f>RKA!N188</f>
        <v>#REF!</v>
      </c>
      <c r="O236" s="1619" t="e">
        <f>RKA!O188</f>
        <v>#REF!</v>
      </c>
      <c r="P236" s="1619" t="e">
        <f>RKA!P188</f>
        <v>#REF!</v>
      </c>
      <c r="Q236" s="1619" t="e">
        <f>RKA!Q188</f>
        <v>#REF!</v>
      </c>
      <c r="R236" s="1619" t="e">
        <f>RKA!R188</f>
        <v>#REF!</v>
      </c>
      <c r="S236" s="1619" t="e">
        <f>RKA!S188</f>
        <v>#REF!</v>
      </c>
      <c r="T236" s="1619" t="e">
        <f>RKA!T188</f>
        <v>#REF!</v>
      </c>
      <c r="U236" s="1619" t="e">
        <f>RKA!U188</f>
        <v>#REF!</v>
      </c>
      <c r="V236" s="1619" t="e">
        <f>RKA!V188</f>
        <v>#REF!</v>
      </c>
      <c r="W236" s="1619" t="e">
        <f t="shared" si="28"/>
        <v>#REF!</v>
      </c>
    </row>
    <row r="237" spans="1:23">
      <c r="A237" s="1699">
        <f>IF('Pnj APBDES'!A261="","",'Pnj APBDES'!A261)</f>
        <v>3</v>
      </c>
      <c r="B237" s="1677">
        <f>IF('Pnj APBDES'!B261="","",'Pnj APBDES'!B261)</f>
        <v>4</v>
      </c>
      <c r="C237" s="1687" t="str">
        <f>IF('Pnj APBDES'!C261="","",'Pnj APBDES'!C261)</f>
        <v>01</v>
      </c>
      <c r="D237" s="1676">
        <f>IF('Pnj APBDES'!D261="","",'Pnj APBDES'!D261)</f>
        <v>5</v>
      </c>
      <c r="E237" s="1676" t="str">
        <f>IF('Pnj APBDES'!E261="","",'Pnj APBDES'!E261)</f>
        <v/>
      </c>
      <c r="F237" s="1676" t="str">
        <f>IF('Pnj APBDES'!F261="","",'Pnj APBDES'!F261)</f>
        <v/>
      </c>
      <c r="G237" s="1676" t="str">
        <f>IF('Pnj APBDES'!G261="","",'Pnj APBDES'!G261)</f>
        <v/>
      </c>
      <c r="H237" s="1712" t="str">
        <f>IF('Pnj APBDES'!H261="","",'Pnj APBDES'!H261)</f>
        <v>Pembinaan Lembaga Adat</v>
      </c>
      <c r="I237" s="1679">
        <f>'Pnj APBDES'!K261</f>
        <v>2400000</v>
      </c>
      <c r="J237" s="1650" t="str">
        <f>IF('Pnj APBDES'!N261="","",'Pnj APBDES'!N261)</f>
        <v/>
      </c>
      <c r="K237" s="1619">
        <f>RKA!K189</f>
        <v>200000</v>
      </c>
      <c r="L237" s="1619">
        <f>RKA!L189</f>
        <v>200000</v>
      </c>
      <c r="M237" s="1619">
        <f>RKA!M189</f>
        <v>200000</v>
      </c>
      <c r="N237" s="1619">
        <f>RKA!N189</f>
        <v>200000</v>
      </c>
      <c r="O237" s="1619">
        <f>RKA!O189</f>
        <v>200000</v>
      </c>
      <c r="P237" s="1619">
        <f>RKA!P189</f>
        <v>200000</v>
      </c>
      <c r="Q237" s="1619">
        <f>RKA!Q189</f>
        <v>200000</v>
      </c>
      <c r="R237" s="1619">
        <f>RKA!R189</f>
        <v>200000</v>
      </c>
      <c r="S237" s="1619">
        <f>RKA!S189</f>
        <v>200000</v>
      </c>
      <c r="T237" s="1619">
        <f>RKA!T189</f>
        <v>200000</v>
      </c>
      <c r="U237" s="1619">
        <f>RKA!U189</f>
        <v>200000</v>
      </c>
      <c r="V237" s="1619">
        <f>RKA!V189</f>
        <v>200000</v>
      </c>
      <c r="W237" s="1619">
        <f t="shared" si="28"/>
        <v>2400000</v>
      </c>
    </row>
    <row r="238" spans="1:23">
      <c r="A238" s="1699">
        <f>IF('Pnj APBDES'!A262="","",'Pnj APBDES'!A262)</f>
        <v>3</v>
      </c>
      <c r="B238" s="1677">
        <f>IF('Pnj APBDES'!B262="","",'Pnj APBDES'!B262)</f>
        <v>4</v>
      </c>
      <c r="C238" s="1687" t="str">
        <f>IF('Pnj APBDES'!C262="","",'Pnj APBDES'!C262)</f>
        <v>01</v>
      </c>
      <c r="D238" s="1676">
        <f>IF('Pnj APBDES'!D262="","",'Pnj APBDES'!D262)</f>
        <v>5</v>
      </c>
      <c r="E238" s="1676">
        <f>IF('Pnj APBDES'!E262="","",'Pnj APBDES'!E262)</f>
        <v>2</v>
      </c>
      <c r="F238" s="1676" t="str">
        <f>IF('Pnj APBDES'!F262="","",'Pnj APBDES'!F262)</f>
        <v/>
      </c>
      <c r="G238" s="1676" t="str">
        <f>IF('Pnj APBDES'!G262="","",'Pnj APBDES'!G262)</f>
        <v/>
      </c>
      <c r="H238" s="1678" t="str">
        <f>IF('Pnj APBDES'!H262="","",'Pnj APBDES'!H262)</f>
        <v>Belanja Barang dan Jasa</v>
      </c>
      <c r="I238" s="1679">
        <f>'Pnj APBDES'!K262</f>
        <v>2400000</v>
      </c>
      <c r="J238" s="1650" t="str">
        <f>IF('Pnj APBDES'!N262="","",'Pnj APBDES'!N262)</f>
        <v/>
      </c>
      <c r="K238" s="1619">
        <f>RKA!K190</f>
        <v>200000</v>
      </c>
      <c r="L238" s="1619">
        <f>RKA!L190</f>
        <v>200000</v>
      </c>
      <c r="M238" s="1619">
        <f>RKA!M190</f>
        <v>200000</v>
      </c>
      <c r="N238" s="1619">
        <f>RKA!N190</f>
        <v>200000</v>
      </c>
      <c r="O238" s="1619">
        <f>RKA!O190</f>
        <v>200000</v>
      </c>
      <c r="P238" s="1619">
        <f>RKA!P190</f>
        <v>200000</v>
      </c>
      <c r="Q238" s="1619">
        <f>RKA!Q190</f>
        <v>200000</v>
      </c>
      <c r="R238" s="1619">
        <f>RKA!R190</f>
        <v>200000</v>
      </c>
      <c r="S238" s="1619">
        <f>RKA!S190</f>
        <v>200000</v>
      </c>
      <c r="T238" s="1619">
        <f>RKA!T190</f>
        <v>200000</v>
      </c>
      <c r="U238" s="1619">
        <f>RKA!U190</f>
        <v>200000</v>
      </c>
      <c r="V238" s="1619">
        <f>RKA!V190</f>
        <v>200000</v>
      </c>
      <c r="W238" s="1619">
        <f t="shared" si="28"/>
        <v>2400000</v>
      </c>
    </row>
    <row r="239" spans="1:23">
      <c r="A239" s="1699">
        <f>IF('Pnj APBDES'!A263="","",'Pnj APBDES'!A263)</f>
        <v>3</v>
      </c>
      <c r="B239" s="1677">
        <f>IF('Pnj APBDES'!B263="","",'Pnj APBDES'!B263)</f>
        <v>4</v>
      </c>
      <c r="C239" s="1687" t="str">
        <f>IF('Pnj APBDES'!C263="","",'Pnj APBDES'!C263)</f>
        <v>01</v>
      </c>
      <c r="D239" s="1676">
        <f>IF('Pnj APBDES'!D263="","",'Pnj APBDES'!D263)</f>
        <v>5</v>
      </c>
      <c r="E239" s="1676">
        <f>IF('Pnj APBDES'!E263="","",'Pnj APBDES'!E263)</f>
        <v>2</v>
      </c>
      <c r="F239" s="1676">
        <f>IF('Pnj APBDES'!F263="","",'Pnj APBDES'!F263)</f>
        <v>2</v>
      </c>
      <c r="G239" s="1676" t="str">
        <f>IF('Pnj APBDES'!G263="","",'Pnj APBDES'!G263)</f>
        <v/>
      </c>
      <c r="H239" s="1678" t="str">
        <f>IF('Pnj APBDES'!H263="","",'Pnj APBDES'!H263)</f>
        <v>Belanja Jasa Honorarium</v>
      </c>
      <c r="I239" s="1679">
        <f>'Pnj APBDES'!K263</f>
        <v>2400000</v>
      </c>
      <c r="J239" s="1650" t="str">
        <f>IF('Pnj APBDES'!N263="","",'Pnj APBDES'!N263)</f>
        <v/>
      </c>
      <c r="K239" s="1619">
        <f>RKA!K191</f>
        <v>200000</v>
      </c>
      <c r="L239" s="1619">
        <f>RKA!L191</f>
        <v>200000</v>
      </c>
      <c r="M239" s="1619">
        <f>RKA!M191</f>
        <v>200000</v>
      </c>
      <c r="N239" s="1619">
        <f>RKA!N191</f>
        <v>200000</v>
      </c>
      <c r="O239" s="1619">
        <f>RKA!O191</f>
        <v>200000</v>
      </c>
      <c r="P239" s="1619">
        <f>RKA!P191</f>
        <v>200000</v>
      </c>
      <c r="Q239" s="1619">
        <f>RKA!Q191</f>
        <v>200000</v>
      </c>
      <c r="R239" s="1619">
        <f>RKA!R191</f>
        <v>200000</v>
      </c>
      <c r="S239" s="1619">
        <f>RKA!S191</f>
        <v>200000</v>
      </c>
      <c r="T239" s="1619">
        <f>RKA!T191</f>
        <v>200000</v>
      </c>
      <c r="U239" s="1619">
        <f>RKA!U191</f>
        <v>200000</v>
      </c>
      <c r="V239" s="1619">
        <f>RKA!V191</f>
        <v>200000</v>
      </c>
      <c r="W239" s="1619">
        <f t="shared" si="28"/>
        <v>2400000</v>
      </c>
    </row>
    <row r="240" spans="1:23">
      <c r="A240" s="1699">
        <f>IF('Pnj APBDES'!A264="","",'Pnj APBDES'!A264)</f>
        <v>3</v>
      </c>
      <c r="B240" s="1677">
        <f>IF('Pnj APBDES'!B264="","",'Pnj APBDES'!B264)</f>
        <v>4</v>
      </c>
      <c r="C240" s="1687" t="str">
        <f>IF('Pnj APBDES'!C264="","",'Pnj APBDES'!C264)</f>
        <v>01</v>
      </c>
      <c r="D240" s="1676">
        <f>IF('Pnj APBDES'!D264="","",'Pnj APBDES'!D264)</f>
        <v>5</v>
      </c>
      <c r="E240" s="1676">
        <f>IF('Pnj APBDES'!E264="","",'Pnj APBDES'!E264)</f>
        <v>2</v>
      </c>
      <c r="F240" s="1676">
        <f>IF('Pnj APBDES'!F264="","",'Pnj APBDES'!F264)</f>
        <v>2</v>
      </c>
      <c r="G240" s="1676">
        <f>IF('Pnj APBDES'!G264="","",'Pnj APBDES'!G264)</f>
        <v>5</v>
      </c>
      <c r="H240" s="1678" t="str">
        <f>IF('Pnj APBDES'!H264="","",'Pnj APBDES'!H264)</f>
        <v>Belanja Jasa Honorarium Petugas</v>
      </c>
      <c r="I240" s="1679">
        <f>'Pnj APBDES'!K264</f>
        <v>2400000</v>
      </c>
      <c r="J240" s="1650" t="str">
        <f>IF('Pnj APBDES'!N264="","",'Pnj APBDES'!N264)</f>
        <v>BPP</v>
      </c>
      <c r="K240" s="1619">
        <f>RKA!K192</f>
        <v>200000</v>
      </c>
      <c r="L240" s="1619">
        <f>RKA!L192</f>
        <v>200000</v>
      </c>
      <c r="M240" s="1619">
        <f>RKA!M192</f>
        <v>200000</v>
      </c>
      <c r="N240" s="1619">
        <f>RKA!N192</f>
        <v>200000</v>
      </c>
      <c r="O240" s="1619">
        <f>RKA!O192</f>
        <v>200000</v>
      </c>
      <c r="P240" s="1619">
        <f>RKA!P192</f>
        <v>200000</v>
      </c>
      <c r="Q240" s="1619">
        <f>RKA!Q192</f>
        <v>200000</v>
      </c>
      <c r="R240" s="1619">
        <f>RKA!R192</f>
        <v>200000</v>
      </c>
      <c r="S240" s="1619">
        <f>RKA!S192</f>
        <v>200000</v>
      </c>
      <c r="T240" s="1619">
        <f>RKA!T192</f>
        <v>200000</v>
      </c>
      <c r="U240" s="1619">
        <f>RKA!U192</f>
        <v>200000</v>
      </c>
      <c r="V240" s="1619">
        <f>RKA!V192</f>
        <v>200000</v>
      </c>
      <c r="W240" s="1619">
        <f t="shared" si="28"/>
        <v>2400000</v>
      </c>
    </row>
    <row r="241" spans="1:23">
      <c r="A241" s="1700">
        <f>IF('Pnj APBDES'!A265="","",'Pnj APBDES'!A265)</f>
        <v>3</v>
      </c>
      <c r="B241" s="1673">
        <f>IF('Pnj APBDES'!B265="","",'Pnj APBDES'!B265)</f>
        <v>4</v>
      </c>
      <c r="C241" s="1691" t="str">
        <f>IF('Pnj APBDES'!C265="","",'Pnj APBDES'!C265)</f>
        <v>02</v>
      </c>
      <c r="D241" s="1672">
        <f>IF('Pnj APBDES'!D265="","",'Pnj APBDES'!D265)</f>
        <v>5</v>
      </c>
      <c r="E241" s="1672" t="str">
        <f>IF('Pnj APBDES'!E265="","",'Pnj APBDES'!E265)</f>
        <v/>
      </c>
      <c r="F241" s="1672" t="str">
        <f>IF('Pnj APBDES'!F265="","",'Pnj APBDES'!F265)</f>
        <v/>
      </c>
      <c r="G241" s="1672" t="str">
        <f>IF('Pnj APBDES'!G265="","",'Pnj APBDES'!G265)</f>
        <v/>
      </c>
      <c r="H241" s="1693" t="str">
        <f>IF('Pnj APBDES'!H265="","",'Pnj APBDES'!H265)</f>
        <v>Pembinaan LKMD/LPM/LPMD</v>
      </c>
      <c r="I241" s="1675">
        <f>'Pnj APBDES'!K265</f>
        <v>3900000</v>
      </c>
      <c r="J241" s="1650" t="str">
        <f>IF('Pnj APBDES'!N265="","",'Pnj APBDES'!N265)</f>
        <v/>
      </c>
      <c r="K241" s="1619">
        <f>RKA!K193</f>
        <v>325000</v>
      </c>
      <c r="L241" s="1619">
        <f>RKA!L193</f>
        <v>325000</v>
      </c>
      <c r="M241" s="1619">
        <f>RKA!M193</f>
        <v>325000</v>
      </c>
      <c r="N241" s="1619">
        <f>RKA!N193</f>
        <v>325000</v>
      </c>
      <c r="O241" s="1619">
        <f>RKA!O193</f>
        <v>325000</v>
      </c>
      <c r="P241" s="1619">
        <f>RKA!P193</f>
        <v>325000</v>
      </c>
      <c r="Q241" s="1619">
        <f>RKA!Q193</f>
        <v>325000</v>
      </c>
      <c r="R241" s="1619">
        <f>RKA!R193</f>
        <v>325000</v>
      </c>
      <c r="S241" s="1619">
        <f>RKA!S193</f>
        <v>325000</v>
      </c>
      <c r="T241" s="1619">
        <f>RKA!T193</f>
        <v>325000</v>
      </c>
      <c r="U241" s="1619">
        <f>RKA!U193</f>
        <v>325000</v>
      </c>
      <c r="V241" s="1619">
        <f>RKA!V193</f>
        <v>325000</v>
      </c>
      <c r="W241" s="1619">
        <f t="shared" si="28"/>
        <v>3900000</v>
      </c>
    </row>
    <row r="242" spans="1:23">
      <c r="A242" s="1699">
        <f>IF('Pnj APBDES'!A266="","",'Pnj APBDES'!A266)</f>
        <v>3</v>
      </c>
      <c r="B242" s="1677">
        <f>IF('Pnj APBDES'!B266="","",'Pnj APBDES'!B266)</f>
        <v>4</v>
      </c>
      <c r="C242" s="1687" t="str">
        <f>IF('Pnj APBDES'!C266="","",'Pnj APBDES'!C266)</f>
        <v>02</v>
      </c>
      <c r="D242" s="1676">
        <f>IF('Pnj APBDES'!D266="","",'Pnj APBDES'!D266)</f>
        <v>5</v>
      </c>
      <c r="E242" s="1676">
        <f>IF('Pnj APBDES'!E266="","",'Pnj APBDES'!E266)</f>
        <v>2</v>
      </c>
      <c r="F242" s="1676" t="str">
        <f>IF('Pnj APBDES'!F266="","",'Pnj APBDES'!F266)</f>
        <v/>
      </c>
      <c r="G242" s="1676" t="str">
        <f>IF('Pnj APBDES'!G266="","",'Pnj APBDES'!G266)</f>
        <v/>
      </c>
      <c r="H242" s="1678" t="str">
        <f>IF('Pnj APBDES'!H266="","",'Pnj APBDES'!H266)</f>
        <v>Belanja Barang dan Jasa</v>
      </c>
      <c r="I242" s="1679">
        <f>'Pnj APBDES'!K266</f>
        <v>3900000</v>
      </c>
      <c r="J242" s="1650" t="str">
        <f>IF('Pnj APBDES'!N266="","",'Pnj APBDES'!N266)</f>
        <v/>
      </c>
      <c r="K242" s="1619">
        <f>RKA!K194</f>
        <v>325000</v>
      </c>
      <c r="L242" s="1619">
        <f>RKA!L194</f>
        <v>325000</v>
      </c>
      <c r="M242" s="1619">
        <f>RKA!M194</f>
        <v>325000</v>
      </c>
      <c r="N242" s="1619">
        <f>RKA!N194</f>
        <v>325000</v>
      </c>
      <c r="O242" s="1619">
        <f>RKA!O194</f>
        <v>325000</v>
      </c>
      <c r="P242" s="1619">
        <f>RKA!P194</f>
        <v>325000</v>
      </c>
      <c r="Q242" s="1619">
        <f>RKA!Q194</f>
        <v>325000</v>
      </c>
      <c r="R242" s="1619">
        <f>RKA!R194</f>
        <v>325000</v>
      </c>
      <c r="S242" s="1619">
        <f>RKA!S194</f>
        <v>325000</v>
      </c>
      <c r="T242" s="1619">
        <f>RKA!T194</f>
        <v>325000</v>
      </c>
      <c r="U242" s="1619">
        <f>RKA!U194</f>
        <v>325000</v>
      </c>
      <c r="V242" s="1619">
        <f>RKA!V194</f>
        <v>325000</v>
      </c>
      <c r="W242" s="1619">
        <f t="shared" si="28"/>
        <v>3900000</v>
      </c>
    </row>
    <row r="243" spans="1:23">
      <c r="A243" s="1699">
        <f>IF('Pnj APBDES'!A267="","",'Pnj APBDES'!A267)</f>
        <v>3</v>
      </c>
      <c r="B243" s="1677">
        <f>IF('Pnj APBDES'!B267="","",'Pnj APBDES'!B267)</f>
        <v>4</v>
      </c>
      <c r="C243" s="1687" t="str">
        <f>IF('Pnj APBDES'!C267="","",'Pnj APBDES'!C267)</f>
        <v>02</v>
      </c>
      <c r="D243" s="1676">
        <f>IF('Pnj APBDES'!D267="","",'Pnj APBDES'!D267)</f>
        <v>5</v>
      </c>
      <c r="E243" s="1676">
        <f>IF('Pnj APBDES'!E267="","",'Pnj APBDES'!E267)</f>
        <v>2</v>
      </c>
      <c r="F243" s="1676">
        <f>IF('Pnj APBDES'!F267="","",'Pnj APBDES'!F267)</f>
        <v>2</v>
      </c>
      <c r="G243" s="1676" t="str">
        <f>IF('Pnj APBDES'!G267="","",'Pnj APBDES'!G267)</f>
        <v/>
      </c>
      <c r="H243" s="1678" t="str">
        <f>IF('Pnj APBDES'!H267="","",'Pnj APBDES'!H267)</f>
        <v>Belanja Jasa Honorarium</v>
      </c>
      <c r="I243" s="1679">
        <f>'Pnj APBDES'!K267</f>
        <v>3900000</v>
      </c>
      <c r="J243" s="1650" t="str">
        <f>IF('Pnj APBDES'!N267="","",'Pnj APBDES'!N267)</f>
        <v/>
      </c>
      <c r="K243" s="1619">
        <f>RKA!K195</f>
        <v>325000</v>
      </c>
      <c r="L243" s="1619">
        <f>RKA!L195</f>
        <v>325000</v>
      </c>
      <c r="M243" s="1619">
        <f>RKA!M195</f>
        <v>325000</v>
      </c>
      <c r="N243" s="1619">
        <f>RKA!N195</f>
        <v>325000</v>
      </c>
      <c r="O243" s="1619">
        <f>RKA!O195</f>
        <v>325000</v>
      </c>
      <c r="P243" s="1619">
        <f>RKA!P195</f>
        <v>325000</v>
      </c>
      <c r="Q243" s="1619">
        <f>RKA!Q195</f>
        <v>325000</v>
      </c>
      <c r="R243" s="1619">
        <f>RKA!R195</f>
        <v>325000</v>
      </c>
      <c r="S243" s="1619">
        <f>RKA!S195</f>
        <v>325000</v>
      </c>
      <c r="T243" s="1619">
        <f>RKA!T195</f>
        <v>325000</v>
      </c>
      <c r="U243" s="1619">
        <f>RKA!U195</f>
        <v>325000</v>
      </c>
      <c r="V243" s="1619">
        <f>RKA!V195</f>
        <v>325000</v>
      </c>
      <c r="W243" s="1619">
        <f t="shared" si="28"/>
        <v>3900000</v>
      </c>
    </row>
    <row r="244" spans="1:23">
      <c r="A244" s="1699">
        <f>IF('Pnj APBDES'!A268="","",'Pnj APBDES'!A268)</f>
        <v>3</v>
      </c>
      <c r="B244" s="1677">
        <f>IF('Pnj APBDES'!B268="","",'Pnj APBDES'!B268)</f>
        <v>4</v>
      </c>
      <c r="C244" s="1687" t="str">
        <f>IF('Pnj APBDES'!C268="","",'Pnj APBDES'!C268)</f>
        <v>02</v>
      </c>
      <c r="D244" s="1676">
        <f>IF('Pnj APBDES'!D268="","",'Pnj APBDES'!D268)</f>
        <v>5</v>
      </c>
      <c r="E244" s="1676">
        <f>IF('Pnj APBDES'!E268="","",'Pnj APBDES'!E268)</f>
        <v>2</v>
      </c>
      <c r="F244" s="1676">
        <f>IF('Pnj APBDES'!F268="","",'Pnj APBDES'!F268)</f>
        <v>2</v>
      </c>
      <c r="G244" s="1676">
        <f>IF('Pnj APBDES'!G268="","",'Pnj APBDES'!G268)</f>
        <v>5</v>
      </c>
      <c r="H244" s="1678" t="str">
        <f>IF('Pnj APBDES'!H268="","",'Pnj APBDES'!H268)</f>
        <v>Belanja Jasa Honorarium Petugas</v>
      </c>
      <c r="I244" s="1679">
        <f>'Pnj APBDES'!K268</f>
        <v>3900000</v>
      </c>
      <c r="J244" s="1650" t="str">
        <f>IF('Pnj APBDES'!N268="","",'Pnj APBDES'!N268)</f>
        <v>ADD</v>
      </c>
      <c r="K244" s="1619">
        <f>RKA!K196</f>
        <v>325000</v>
      </c>
      <c r="L244" s="1619">
        <f>RKA!L196</f>
        <v>325000</v>
      </c>
      <c r="M244" s="1619">
        <f>RKA!M196</f>
        <v>325000</v>
      </c>
      <c r="N244" s="1619">
        <f>RKA!N196</f>
        <v>325000</v>
      </c>
      <c r="O244" s="1619">
        <f>RKA!O196</f>
        <v>325000</v>
      </c>
      <c r="P244" s="1619">
        <f>RKA!P196</f>
        <v>325000</v>
      </c>
      <c r="Q244" s="1619">
        <f>RKA!Q196</f>
        <v>325000</v>
      </c>
      <c r="R244" s="1619">
        <f>RKA!R196</f>
        <v>325000</v>
      </c>
      <c r="S244" s="1619">
        <f>RKA!S196</f>
        <v>325000</v>
      </c>
      <c r="T244" s="1619">
        <f>RKA!T196</f>
        <v>325000</v>
      </c>
      <c r="U244" s="1619">
        <f>RKA!U196</f>
        <v>325000</v>
      </c>
      <c r="V244" s="1619">
        <f>RKA!V196</f>
        <v>325000</v>
      </c>
      <c r="W244" s="1619">
        <f t="shared" si="28"/>
        <v>3900000</v>
      </c>
    </row>
    <row r="245" spans="1:23">
      <c r="A245" s="1700">
        <f>IF('Pnj APBDES'!A269="","",'Pnj APBDES'!A269)</f>
        <v>3</v>
      </c>
      <c r="B245" s="1673">
        <f>IF('Pnj APBDES'!B269="","",'Pnj APBDES'!B269)</f>
        <v>4</v>
      </c>
      <c r="C245" s="1691" t="str">
        <f>IF('Pnj APBDES'!C269="","",'Pnj APBDES'!C269)</f>
        <v>03</v>
      </c>
      <c r="D245" s="1672" t="str">
        <f>IF('Pnj APBDES'!D269="","",'Pnj APBDES'!D269)</f>
        <v/>
      </c>
      <c r="E245" s="1672" t="str">
        <f>IF('Pnj APBDES'!E269="","",'Pnj APBDES'!E269)</f>
        <v/>
      </c>
      <c r="F245" s="1672" t="str">
        <f>IF('Pnj APBDES'!F269="","",'Pnj APBDES'!F269)</f>
        <v/>
      </c>
      <c r="G245" s="1672" t="str">
        <f>IF('Pnj APBDES'!G269="","",'Pnj APBDES'!G269)</f>
        <v/>
      </c>
      <c r="H245" s="1693" t="str">
        <f>IF('Pnj APBDES'!H269="","",'Pnj APBDES'!H269)</f>
        <v>Pembinaan PKK</v>
      </c>
      <c r="I245" s="1675">
        <f>'Pnj APBDES'!K269</f>
        <v>17485000</v>
      </c>
      <c r="J245" s="1650" t="str">
        <f>IF('Pnj APBDES'!N269="","",'Pnj APBDES'!N269)</f>
        <v/>
      </c>
      <c r="K245" s="1619">
        <f>RKA!K197</f>
        <v>920000</v>
      </c>
      <c r="L245" s="1619">
        <f>RKA!L197</f>
        <v>920000</v>
      </c>
      <c r="M245" s="1619">
        <f>RKA!M197</f>
        <v>1720000</v>
      </c>
      <c r="N245" s="1619">
        <f>RKA!N197</f>
        <v>1470000</v>
      </c>
      <c r="O245" s="1619">
        <f>RKA!O197</f>
        <v>1360000</v>
      </c>
      <c r="P245" s="1619">
        <f>RKA!P197</f>
        <v>920000</v>
      </c>
      <c r="Q245" s="1619">
        <f>RKA!Q197</f>
        <v>1420000</v>
      </c>
      <c r="R245" s="1619">
        <f>RKA!R197</f>
        <v>920000</v>
      </c>
      <c r="S245" s="1619">
        <f>RKA!S197</f>
        <v>920000</v>
      </c>
      <c r="T245" s="1619">
        <f>RKA!T197</f>
        <v>1340000</v>
      </c>
      <c r="U245" s="1619">
        <f>RKA!U197</f>
        <v>920000</v>
      </c>
      <c r="V245" s="1619">
        <f>RKA!V197</f>
        <v>920000</v>
      </c>
      <c r="W245" s="1619">
        <f t="shared" si="28"/>
        <v>13750000</v>
      </c>
    </row>
    <row r="246" spans="1:23">
      <c r="A246" s="1699">
        <f>IF('Pnj APBDES'!A270="","",'Pnj APBDES'!A270)</f>
        <v>3</v>
      </c>
      <c r="B246" s="1677">
        <f>IF('Pnj APBDES'!B270="","",'Pnj APBDES'!B270)</f>
        <v>4</v>
      </c>
      <c r="C246" s="1687" t="str">
        <f>IF('Pnj APBDES'!C270="","",'Pnj APBDES'!C270)</f>
        <v>03</v>
      </c>
      <c r="D246" s="1676">
        <f>IF('Pnj APBDES'!D270="","",'Pnj APBDES'!D270)</f>
        <v>5</v>
      </c>
      <c r="E246" s="1676">
        <f>IF('Pnj APBDES'!E270="","",'Pnj APBDES'!E270)</f>
        <v>2</v>
      </c>
      <c r="F246" s="1676" t="str">
        <f>IF('Pnj APBDES'!F270="","",'Pnj APBDES'!F270)</f>
        <v/>
      </c>
      <c r="G246" s="1676" t="str">
        <f>IF('Pnj APBDES'!G270="","",'Pnj APBDES'!G270)</f>
        <v/>
      </c>
      <c r="H246" s="1678" t="str">
        <f>IF('Pnj APBDES'!H270="","",'Pnj APBDES'!H270)</f>
        <v>Belanja Barang dan Jasa</v>
      </c>
      <c r="I246" s="1679">
        <f>'Pnj APBDES'!K270</f>
        <v>17485000</v>
      </c>
      <c r="J246" s="1650" t="str">
        <f>IF('Pnj APBDES'!N270="","",'Pnj APBDES'!N270)</f>
        <v/>
      </c>
      <c r="K246" s="1619">
        <f>RKA!K198</f>
        <v>920000</v>
      </c>
      <c r="L246" s="1619">
        <f>RKA!L198</f>
        <v>920000</v>
      </c>
      <c r="M246" s="1619">
        <f>RKA!M198</f>
        <v>1720000</v>
      </c>
      <c r="N246" s="1619">
        <f>RKA!N198</f>
        <v>1470000</v>
      </c>
      <c r="O246" s="1619">
        <f>RKA!O198</f>
        <v>1360000</v>
      </c>
      <c r="P246" s="1619">
        <f>RKA!P198</f>
        <v>920000</v>
      </c>
      <c r="Q246" s="1619">
        <f>RKA!Q198</f>
        <v>1420000</v>
      </c>
      <c r="R246" s="1619">
        <f>RKA!R198</f>
        <v>920000</v>
      </c>
      <c r="S246" s="1619">
        <f>RKA!S198</f>
        <v>920000</v>
      </c>
      <c r="T246" s="1619">
        <f>RKA!T198</f>
        <v>1340000</v>
      </c>
      <c r="U246" s="1619">
        <f>RKA!U198</f>
        <v>920000</v>
      </c>
      <c r="V246" s="1619">
        <f>RKA!V198</f>
        <v>920000</v>
      </c>
      <c r="W246" s="1619">
        <f t="shared" si="28"/>
        <v>13750000</v>
      </c>
    </row>
    <row r="247" spans="1:23">
      <c r="A247" s="1699">
        <f>IF('Pnj APBDES'!A271="","",'Pnj APBDES'!A271)</f>
        <v>3</v>
      </c>
      <c r="B247" s="1677">
        <f>IF('Pnj APBDES'!B271="","",'Pnj APBDES'!B271)</f>
        <v>4</v>
      </c>
      <c r="C247" s="1687" t="str">
        <f>IF('Pnj APBDES'!C271="","",'Pnj APBDES'!C271)</f>
        <v>03</v>
      </c>
      <c r="D247" s="1676">
        <f>IF('Pnj APBDES'!D271="","",'Pnj APBDES'!D271)</f>
        <v>5</v>
      </c>
      <c r="E247" s="1676">
        <f>IF('Pnj APBDES'!E271="","",'Pnj APBDES'!E271)</f>
        <v>2</v>
      </c>
      <c r="F247" s="1676">
        <f>IF('Pnj APBDES'!F271="","",'Pnj APBDES'!F271)</f>
        <v>1</v>
      </c>
      <c r="G247" s="1676" t="str">
        <f>IF('Pnj APBDES'!G271="","",'Pnj APBDES'!G271)</f>
        <v/>
      </c>
      <c r="H247" s="1678" t="str">
        <f>IF('Pnj APBDES'!H271="","",'Pnj APBDES'!H271)</f>
        <v>Belanja Barang Perlengkapan Kantor</v>
      </c>
      <c r="I247" s="1679">
        <f>'Pnj APBDES'!K271</f>
        <v>4610000</v>
      </c>
      <c r="J247" s="1650" t="str">
        <f>IF('Pnj APBDES'!N271="","",'Pnj APBDES'!N271)</f>
        <v/>
      </c>
      <c r="K247" s="1619">
        <f>RKA!K199</f>
        <v>0</v>
      </c>
      <c r="L247" s="1619">
        <f>RKA!L199</f>
        <v>0</v>
      </c>
      <c r="M247" s="1619">
        <f>RKA!M199</f>
        <v>300000</v>
      </c>
      <c r="N247" s="1619">
        <f>RKA!N199</f>
        <v>400000</v>
      </c>
      <c r="O247" s="1619">
        <f>RKA!O199</f>
        <v>440000</v>
      </c>
      <c r="P247" s="1619">
        <f>RKA!P199</f>
        <v>0</v>
      </c>
      <c r="Q247" s="1619">
        <f>RKA!Q199</f>
        <v>300000</v>
      </c>
      <c r="R247" s="1619">
        <f>RKA!R199</f>
        <v>0</v>
      </c>
      <c r="S247" s="1619">
        <f>RKA!S199</f>
        <v>0</v>
      </c>
      <c r="T247" s="1619">
        <f>RKA!T199</f>
        <v>310000</v>
      </c>
      <c r="U247" s="1619">
        <f>RKA!U199</f>
        <v>0</v>
      </c>
      <c r="V247" s="1619">
        <f>RKA!V199</f>
        <v>0</v>
      </c>
      <c r="W247" s="1619">
        <f t="shared" si="28"/>
        <v>1750000</v>
      </c>
    </row>
    <row r="248" spans="1:23">
      <c r="A248" s="1699">
        <f>IF('Pnj APBDES'!A272="","",'Pnj APBDES'!A272)</f>
        <v>3</v>
      </c>
      <c r="B248" s="1677">
        <f>IF('Pnj APBDES'!B272="","",'Pnj APBDES'!B272)</f>
        <v>4</v>
      </c>
      <c r="C248" s="1687" t="str">
        <f>IF('Pnj APBDES'!C272="","",'Pnj APBDES'!C272)</f>
        <v>03</v>
      </c>
      <c r="D248" s="1676">
        <f>IF('Pnj APBDES'!D272="","",'Pnj APBDES'!D272)</f>
        <v>5</v>
      </c>
      <c r="E248" s="1676">
        <f>IF('Pnj APBDES'!E272="","",'Pnj APBDES'!E272)</f>
        <v>2</v>
      </c>
      <c r="F248" s="1676">
        <f>IF('Pnj APBDES'!F272="","",'Pnj APBDES'!F272)</f>
        <v>1</v>
      </c>
      <c r="G248" s="1676">
        <f>IF('Pnj APBDES'!G272="","",'Pnj APBDES'!G272)</f>
        <v>1</v>
      </c>
      <c r="H248" s="1678" t="str">
        <f>IF('Pnj APBDES'!H272="","",'Pnj APBDES'!H272)</f>
        <v>Belanja perlengkapan alat tulis kantor dan benda pos</v>
      </c>
      <c r="I248" s="1679">
        <f>'Pnj APBDES'!K272</f>
        <v>1600000</v>
      </c>
      <c r="J248" s="1650" t="str">
        <f>IF('Pnj APBDES'!N272="","",'Pnj APBDES'!N272)</f>
        <v>ADD</v>
      </c>
      <c r="K248" s="1619">
        <f>RKA!K200</f>
        <v>0</v>
      </c>
      <c r="L248" s="1619">
        <f>RKA!L200</f>
        <v>0</v>
      </c>
      <c r="M248" s="1619">
        <f>RKA!M200</f>
        <v>0</v>
      </c>
      <c r="N248" s="1619">
        <f>RKA!N200</f>
        <v>0</v>
      </c>
      <c r="O248" s="1619">
        <f>RKA!O200</f>
        <v>300000</v>
      </c>
      <c r="P248" s="1619">
        <f>RKA!P200</f>
        <v>0</v>
      </c>
      <c r="Q248" s="1619">
        <f>RKA!Q200</f>
        <v>0</v>
      </c>
      <c r="R248" s="1619">
        <f>RKA!R200</f>
        <v>0</v>
      </c>
      <c r="S248" s="1619">
        <f>RKA!S200</f>
        <v>0</v>
      </c>
      <c r="T248" s="1619">
        <f>RKA!T200</f>
        <v>0</v>
      </c>
      <c r="U248" s="1619">
        <f>RKA!U200</f>
        <v>0</v>
      </c>
      <c r="V248" s="1619">
        <f>RKA!V200</f>
        <v>0</v>
      </c>
      <c r="W248" s="1619">
        <f t="shared" si="28"/>
        <v>300000</v>
      </c>
    </row>
    <row r="249" spans="1:23">
      <c r="A249" s="1699">
        <f>IF('Pnj APBDES'!A273="","",'Pnj APBDES'!A273)</f>
        <v>3</v>
      </c>
      <c r="B249" s="1677">
        <f>IF('Pnj APBDES'!B273="","",'Pnj APBDES'!B273)</f>
        <v>4</v>
      </c>
      <c r="C249" s="1687" t="str">
        <f>IF('Pnj APBDES'!C273="","",'Pnj APBDES'!C273)</f>
        <v>03</v>
      </c>
      <c r="D249" s="1676">
        <f>IF('Pnj APBDES'!D273="","",'Pnj APBDES'!D273)</f>
        <v>5</v>
      </c>
      <c r="E249" s="1676">
        <f>IF('Pnj APBDES'!E273="","",'Pnj APBDES'!E273)</f>
        <v>2</v>
      </c>
      <c r="F249" s="1676">
        <f>IF('Pnj APBDES'!F273="","",'Pnj APBDES'!F273)</f>
        <v>1</v>
      </c>
      <c r="G249" s="1676">
        <f>IF('Pnj APBDES'!G273="","",'Pnj APBDES'!G273)</f>
        <v>5</v>
      </c>
      <c r="H249" s="1678" t="str">
        <f>IF('Pnj APBDES'!H273="","",'Pnj APBDES'!H273)</f>
        <v>Belanja Cetak dan penggadaan</v>
      </c>
      <c r="I249" s="1679">
        <f>'Pnj APBDES'!K273</f>
        <v>140000</v>
      </c>
      <c r="J249" s="1650" t="str">
        <f>IF('Pnj APBDES'!N273="","",'Pnj APBDES'!N273)</f>
        <v>ADD</v>
      </c>
      <c r="K249" s="1619">
        <f>RKA!K201</f>
        <v>0</v>
      </c>
      <c r="L249" s="1619">
        <f>RKA!L201</f>
        <v>0</v>
      </c>
      <c r="M249" s="1619">
        <f>RKA!M201</f>
        <v>0</v>
      </c>
      <c r="N249" s="1619">
        <f>RKA!N201</f>
        <v>0</v>
      </c>
      <c r="O249" s="1619">
        <f>RKA!O201</f>
        <v>140000</v>
      </c>
      <c r="P249" s="1619">
        <f>RKA!P201</f>
        <v>0</v>
      </c>
      <c r="Q249" s="1619">
        <f>RKA!Q201</f>
        <v>0</v>
      </c>
      <c r="R249" s="1619">
        <f>RKA!R201</f>
        <v>0</v>
      </c>
      <c r="S249" s="1619">
        <f>RKA!S201</f>
        <v>0</v>
      </c>
      <c r="T249" s="1619">
        <f>RKA!T201</f>
        <v>0</v>
      </c>
      <c r="U249" s="1619">
        <f>RKA!U201</f>
        <v>0</v>
      </c>
      <c r="V249" s="1619">
        <f>RKA!V201</f>
        <v>0</v>
      </c>
      <c r="W249" s="1619">
        <f t="shared" si="28"/>
        <v>140000</v>
      </c>
    </row>
    <row r="250" spans="1:23">
      <c r="A250" s="1699">
        <f>IF('Pnj APBDES'!A274="","",'Pnj APBDES'!A274)</f>
        <v>3</v>
      </c>
      <c r="B250" s="1677">
        <f>IF('Pnj APBDES'!B274="","",'Pnj APBDES'!B274)</f>
        <v>4</v>
      </c>
      <c r="C250" s="1687" t="str">
        <f>IF('Pnj APBDES'!C274="","",'Pnj APBDES'!C274)</f>
        <v>03</v>
      </c>
      <c r="D250" s="1676">
        <f>IF('Pnj APBDES'!D274="","",'Pnj APBDES'!D274)</f>
        <v>5</v>
      </c>
      <c r="E250" s="1676">
        <f>IF('Pnj APBDES'!E274="","",'Pnj APBDES'!E274)</f>
        <v>2</v>
      </c>
      <c r="F250" s="1676">
        <f>IF('Pnj APBDES'!F274="","",'Pnj APBDES'!F274)</f>
        <v>1</v>
      </c>
      <c r="G250" s="1676">
        <f>IF('Pnj APBDES'!G274="","",'Pnj APBDES'!G274)</f>
        <v>6</v>
      </c>
      <c r="H250" s="1678" t="str">
        <f>IF('Pnj APBDES'!H274="","",'Pnj APBDES'!H274)</f>
        <v>Belanja barang konsumsi</v>
      </c>
      <c r="I250" s="1679">
        <f>'Pnj APBDES'!K274</f>
        <v>1670000</v>
      </c>
      <c r="J250" s="1650" t="str">
        <f>IF('Pnj APBDES'!N274="","",'Pnj APBDES'!N274)</f>
        <v>ADD</v>
      </c>
      <c r="K250" s="1619">
        <f>RKA!K202</f>
        <v>0</v>
      </c>
      <c r="L250" s="1619">
        <f>RKA!L202</f>
        <v>0</v>
      </c>
      <c r="M250" s="1619">
        <f>RKA!M202</f>
        <v>300000</v>
      </c>
      <c r="N250" s="1619">
        <f>RKA!N202</f>
        <v>0</v>
      </c>
      <c r="O250" s="1619">
        <f>RKA!O202</f>
        <v>0</v>
      </c>
      <c r="P250" s="1619">
        <f>RKA!P202</f>
        <v>0</v>
      </c>
      <c r="Q250" s="1619">
        <f>RKA!Q202</f>
        <v>300000</v>
      </c>
      <c r="R250" s="1619">
        <f>RKA!R202</f>
        <v>0</v>
      </c>
      <c r="S250" s="1619">
        <f>RKA!S202</f>
        <v>0</v>
      </c>
      <c r="T250" s="1619">
        <f>RKA!T202</f>
        <v>310000</v>
      </c>
      <c r="U250" s="1619">
        <f>RKA!U202</f>
        <v>0</v>
      </c>
      <c r="V250" s="1619">
        <f>RKA!V202</f>
        <v>0</v>
      </c>
      <c r="W250" s="1619">
        <f t="shared" si="28"/>
        <v>910000</v>
      </c>
    </row>
    <row r="251" spans="1:23">
      <c r="A251" s="1699">
        <f>IF('Pnj APBDES'!A275="","",'Pnj APBDES'!A275)</f>
        <v>3</v>
      </c>
      <c r="B251" s="1677">
        <f>IF('Pnj APBDES'!B275="","",'Pnj APBDES'!B275)</f>
        <v>4</v>
      </c>
      <c r="C251" s="1687" t="str">
        <f>IF('Pnj APBDES'!C275="","",'Pnj APBDES'!C275)</f>
        <v>03</v>
      </c>
      <c r="D251" s="1676">
        <f>IF('Pnj APBDES'!D275="","",'Pnj APBDES'!D275)</f>
        <v>5</v>
      </c>
      <c r="E251" s="1676">
        <f>IF('Pnj APBDES'!E275="","",'Pnj APBDES'!E275)</f>
        <v>2</v>
      </c>
      <c r="F251" s="1676">
        <f>IF('Pnj APBDES'!F275="","",'Pnj APBDES'!F275)</f>
        <v>1</v>
      </c>
      <c r="G251" s="1676">
        <f>IF('Pnj APBDES'!G275="","",'Pnj APBDES'!G275)</f>
        <v>90</v>
      </c>
      <c r="H251" s="1678" t="str">
        <f>IF('Pnj APBDES'!H275="","",'Pnj APBDES'!H275)</f>
        <v>Belanja perlengkapan barang lainya</v>
      </c>
      <c r="I251" s="1679">
        <f>'Pnj APBDES'!K275</f>
        <v>1200000</v>
      </c>
      <c r="J251" s="1650" t="str">
        <f>IF('Pnj APBDES'!N275="","",'Pnj APBDES'!N275)</f>
        <v>ADD</v>
      </c>
      <c r="K251" s="1619">
        <f>RKA!K203</f>
        <v>0</v>
      </c>
      <c r="L251" s="1619">
        <f>RKA!L203</f>
        <v>0</v>
      </c>
      <c r="M251" s="1619">
        <f>RKA!M203</f>
        <v>0</v>
      </c>
      <c r="N251" s="1619">
        <f>RKA!N203</f>
        <v>400000</v>
      </c>
      <c r="O251" s="1619">
        <f>RKA!O203</f>
        <v>0</v>
      </c>
      <c r="P251" s="1619">
        <f>RKA!P203</f>
        <v>0</v>
      </c>
      <c r="Q251" s="1619">
        <f>RKA!Q203</f>
        <v>0</v>
      </c>
      <c r="R251" s="1619">
        <f>RKA!R203</f>
        <v>0</v>
      </c>
      <c r="S251" s="1619">
        <f>RKA!S203</f>
        <v>0</v>
      </c>
      <c r="T251" s="1619">
        <f>RKA!T203</f>
        <v>0</v>
      </c>
      <c r="U251" s="1619">
        <f>RKA!U203</f>
        <v>0</v>
      </c>
      <c r="V251" s="1619">
        <f>RKA!V203</f>
        <v>0</v>
      </c>
      <c r="W251" s="1619">
        <f t="shared" si="28"/>
        <v>400000</v>
      </c>
    </row>
    <row r="252" spans="1:23">
      <c r="A252" s="1699">
        <f>IF('Pnj APBDES'!A276="","",'Pnj APBDES'!A276)</f>
        <v>3</v>
      </c>
      <c r="B252" s="1677">
        <f>IF('Pnj APBDES'!B276="","",'Pnj APBDES'!B276)</f>
        <v>4</v>
      </c>
      <c r="C252" s="1687" t="str">
        <f>IF('Pnj APBDES'!C276="","",'Pnj APBDES'!C276)</f>
        <v>03</v>
      </c>
      <c r="D252" s="1676">
        <f>IF('Pnj APBDES'!D276="","",'Pnj APBDES'!D276)</f>
        <v>5</v>
      </c>
      <c r="E252" s="1676">
        <f>IF('Pnj APBDES'!E276="","",'Pnj APBDES'!E276)</f>
        <v>2</v>
      </c>
      <c r="F252" s="1676">
        <f>IF('Pnj APBDES'!F276="","",'Pnj APBDES'!F276)</f>
        <v>2</v>
      </c>
      <c r="G252" s="1676" t="str">
        <f>IF('Pnj APBDES'!G276="","",'Pnj APBDES'!G276)</f>
        <v/>
      </c>
      <c r="H252" s="1678" t="str">
        <f>IF('Pnj APBDES'!H276="","",'Pnj APBDES'!H276)</f>
        <v>Belanja Jasa Honorarium</v>
      </c>
      <c r="I252" s="1679">
        <f>'Pnj APBDES'!K276</f>
        <v>11340000</v>
      </c>
      <c r="J252" s="1650" t="str">
        <f>IF('Pnj APBDES'!N276="","",'Pnj APBDES'!N276)</f>
        <v/>
      </c>
      <c r="K252" s="1619">
        <f>RKA!K204</f>
        <v>920000</v>
      </c>
      <c r="L252" s="1619">
        <f>RKA!L204</f>
        <v>920000</v>
      </c>
      <c r="M252" s="1619">
        <f>RKA!M204</f>
        <v>1220000</v>
      </c>
      <c r="N252" s="1619">
        <f>RKA!N204</f>
        <v>920000</v>
      </c>
      <c r="O252" s="1619">
        <f>RKA!O204</f>
        <v>920000</v>
      </c>
      <c r="P252" s="1619">
        <f>RKA!P204</f>
        <v>920000</v>
      </c>
      <c r="Q252" s="1619">
        <f>RKA!Q204</f>
        <v>920000</v>
      </c>
      <c r="R252" s="1619">
        <f>RKA!R204</f>
        <v>920000</v>
      </c>
      <c r="S252" s="1619">
        <f>RKA!S204</f>
        <v>920000</v>
      </c>
      <c r="T252" s="1619">
        <f>RKA!T204</f>
        <v>920000</v>
      </c>
      <c r="U252" s="1619">
        <f>RKA!U204</f>
        <v>920000</v>
      </c>
      <c r="V252" s="1619">
        <f>RKA!V204</f>
        <v>920000</v>
      </c>
      <c r="W252" s="1619">
        <f t="shared" si="28"/>
        <v>11340000</v>
      </c>
    </row>
    <row r="253" spans="1:23">
      <c r="A253" s="1699">
        <f>IF('Pnj APBDES'!A277="","",'Pnj APBDES'!A277)</f>
        <v>3</v>
      </c>
      <c r="B253" s="1677">
        <f>IF('Pnj APBDES'!B277="","",'Pnj APBDES'!B277)</f>
        <v>4</v>
      </c>
      <c r="C253" s="1687" t="str">
        <f>IF('Pnj APBDES'!C277="","",'Pnj APBDES'!C277)</f>
        <v>03</v>
      </c>
      <c r="D253" s="1676">
        <f>IF('Pnj APBDES'!D277="","",'Pnj APBDES'!D277)</f>
        <v>5</v>
      </c>
      <c r="E253" s="1676">
        <f>IF('Pnj APBDES'!E277="","",'Pnj APBDES'!E277)</f>
        <v>2</v>
      </c>
      <c r="F253" s="1676">
        <f>IF('Pnj APBDES'!F277="","",'Pnj APBDES'!F277)</f>
        <v>2</v>
      </c>
      <c r="G253" s="1676">
        <f>IF('Pnj APBDES'!G277="","",'Pnj APBDES'!G277)</f>
        <v>4</v>
      </c>
      <c r="H253" s="1678" t="str">
        <f>IF('Pnj APBDES'!H277="","",'Pnj APBDES'!H277)</f>
        <v>Belanja jasa honorarium profesi</v>
      </c>
      <c r="I253" s="1679">
        <f>'Pnj APBDES'!K277</f>
        <v>300000</v>
      </c>
      <c r="J253" s="1650" t="str">
        <f>IF('Pnj APBDES'!N277="","",'Pnj APBDES'!N277)</f>
        <v>ADD</v>
      </c>
      <c r="K253" s="1619">
        <f>RKA!K205</f>
        <v>0</v>
      </c>
      <c r="L253" s="1619">
        <f>RKA!L205</f>
        <v>0</v>
      </c>
      <c r="M253" s="1619">
        <f>RKA!M205</f>
        <v>300000</v>
      </c>
      <c r="N253" s="1619">
        <f>RKA!N205</f>
        <v>0</v>
      </c>
      <c r="O253" s="1619">
        <f>RKA!O205</f>
        <v>0</v>
      </c>
      <c r="P253" s="1619">
        <f>RKA!P205</f>
        <v>0</v>
      </c>
      <c r="Q253" s="1619">
        <f>RKA!Q205</f>
        <v>0</v>
      </c>
      <c r="R253" s="1619">
        <f>RKA!R205</f>
        <v>0</v>
      </c>
      <c r="S253" s="1619">
        <f>RKA!S205</f>
        <v>0</v>
      </c>
      <c r="T253" s="1619">
        <f>RKA!T205</f>
        <v>0</v>
      </c>
      <c r="U253" s="1619">
        <f>RKA!U205</f>
        <v>0</v>
      </c>
      <c r="V253" s="1619">
        <f>RKA!V205</f>
        <v>0</v>
      </c>
      <c r="W253" s="1619">
        <f t="shared" si="28"/>
        <v>300000</v>
      </c>
    </row>
    <row r="254" spans="1:23">
      <c r="A254" s="1699">
        <f>IF('Pnj APBDES'!A278="","",'Pnj APBDES'!A278)</f>
        <v>3</v>
      </c>
      <c r="B254" s="1677">
        <f>IF('Pnj APBDES'!B278="","",'Pnj APBDES'!B278)</f>
        <v>4</v>
      </c>
      <c r="C254" s="1687" t="str">
        <f>IF('Pnj APBDES'!C278="","",'Pnj APBDES'!C278)</f>
        <v>03</v>
      </c>
      <c r="D254" s="1676">
        <f>IF('Pnj APBDES'!D278="","",'Pnj APBDES'!D278)</f>
        <v>5</v>
      </c>
      <c r="E254" s="1676">
        <f>IF('Pnj APBDES'!E278="","",'Pnj APBDES'!E278)</f>
        <v>2</v>
      </c>
      <c r="F254" s="1676">
        <f>IF('Pnj APBDES'!F278="","",'Pnj APBDES'!F278)</f>
        <v>2</v>
      </c>
      <c r="G254" s="1676">
        <f>IF('Pnj APBDES'!G278="","",'Pnj APBDES'!G278)</f>
        <v>5</v>
      </c>
      <c r="H254" s="1678" t="str">
        <f>IF('Pnj APBDES'!H278="","",'Pnj APBDES'!H278)</f>
        <v>Belanja Jasa Honorarium Petugas</v>
      </c>
      <c r="I254" s="1679">
        <f>'Pnj APBDES'!K278</f>
        <v>11040000</v>
      </c>
      <c r="J254" s="1650" t="str">
        <f>IF('Pnj APBDES'!N278="","",'Pnj APBDES'!N278)</f>
        <v>ADD</v>
      </c>
      <c r="K254" s="1619">
        <f>RKA!K206</f>
        <v>920000</v>
      </c>
      <c r="L254" s="1619">
        <f>RKA!L206</f>
        <v>920000</v>
      </c>
      <c r="M254" s="1619">
        <f>RKA!M206</f>
        <v>920000</v>
      </c>
      <c r="N254" s="1619">
        <f>RKA!N206</f>
        <v>920000</v>
      </c>
      <c r="O254" s="1619">
        <f>RKA!O206</f>
        <v>920000</v>
      </c>
      <c r="P254" s="1619">
        <f>RKA!P206</f>
        <v>920000</v>
      </c>
      <c r="Q254" s="1619">
        <f>RKA!Q206</f>
        <v>920000</v>
      </c>
      <c r="R254" s="1619">
        <f>RKA!R206</f>
        <v>920000</v>
      </c>
      <c r="S254" s="1619">
        <f>RKA!S206</f>
        <v>920000</v>
      </c>
      <c r="T254" s="1619">
        <f>RKA!T206</f>
        <v>920000</v>
      </c>
      <c r="U254" s="1619">
        <f>RKA!U206</f>
        <v>920000</v>
      </c>
      <c r="V254" s="1619">
        <f>RKA!V206</f>
        <v>920000</v>
      </c>
      <c r="W254" s="1619">
        <f t="shared" si="28"/>
        <v>11040000</v>
      </c>
    </row>
    <row r="255" spans="1:23">
      <c r="A255" s="1699">
        <f>IF('Pnj APBDES'!A279="","",'Pnj APBDES'!A279)</f>
        <v>3</v>
      </c>
      <c r="B255" s="1677">
        <f>IF('Pnj APBDES'!B279="","",'Pnj APBDES'!B279)</f>
        <v>4</v>
      </c>
      <c r="C255" s="1687" t="str">
        <f>IF('Pnj APBDES'!C279="","",'Pnj APBDES'!C279)</f>
        <v>03</v>
      </c>
      <c r="D255" s="1676">
        <f>IF('Pnj APBDES'!D279="","",'Pnj APBDES'!D279)</f>
        <v>5</v>
      </c>
      <c r="E255" s="1676">
        <f>IF('Pnj APBDES'!E279="","",'Pnj APBDES'!E279)</f>
        <v>2</v>
      </c>
      <c r="F255" s="1676">
        <f>IF('Pnj APBDES'!F279="","",'Pnj APBDES'!F279)</f>
        <v>3</v>
      </c>
      <c r="G255" s="1676" t="str">
        <f>IF('Pnj APBDES'!G279="","",'Pnj APBDES'!G279)</f>
        <v/>
      </c>
      <c r="H255" s="1713" t="str">
        <f>IF('Pnj APBDES'!H279="","",'Pnj APBDES'!H279)</f>
        <v>Belanja Perjalana Dinas</v>
      </c>
      <c r="I255" s="1679">
        <f>'Pnj APBDES'!K279</f>
        <v>510000</v>
      </c>
      <c r="J255" s="1650" t="str">
        <f>IF('Pnj APBDES'!N279="","",'Pnj APBDES'!N279)</f>
        <v/>
      </c>
      <c r="K255" s="1619">
        <f>RKA!K207</f>
        <v>0</v>
      </c>
      <c r="L255" s="1619">
        <f>RKA!L207</f>
        <v>0</v>
      </c>
      <c r="M255" s="1619">
        <f>RKA!M207</f>
        <v>200000</v>
      </c>
      <c r="N255" s="1619">
        <f>RKA!N207</f>
        <v>0</v>
      </c>
      <c r="O255" s="1619">
        <f>RKA!O207</f>
        <v>0</v>
      </c>
      <c r="P255" s="1619">
        <f>RKA!P207</f>
        <v>0</v>
      </c>
      <c r="Q255" s="1619">
        <f>RKA!Q207</f>
        <v>200000</v>
      </c>
      <c r="R255" s="1619">
        <f>RKA!R207</f>
        <v>0</v>
      </c>
      <c r="S255" s="1619">
        <f>RKA!S207</f>
        <v>0</v>
      </c>
      <c r="T255" s="1619">
        <f>RKA!T207</f>
        <v>110000</v>
      </c>
      <c r="U255" s="1619">
        <f>RKA!U207</f>
        <v>0</v>
      </c>
      <c r="V255" s="1619">
        <f>RKA!V207</f>
        <v>0</v>
      </c>
      <c r="W255" s="1619">
        <f t="shared" si="28"/>
        <v>510000</v>
      </c>
    </row>
    <row r="256" spans="1:23">
      <c r="A256" s="1699">
        <f>IF('Pnj APBDES'!A280="","",'Pnj APBDES'!A280)</f>
        <v>3</v>
      </c>
      <c r="B256" s="1677">
        <f>IF('Pnj APBDES'!B280="","",'Pnj APBDES'!B280)</f>
        <v>4</v>
      </c>
      <c r="C256" s="1687" t="str">
        <f>IF('Pnj APBDES'!C280="","",'Pnj APBDES'!C280)</f>
        <v>03</v>
      </c>
      <c r="D256" s="1676">
        <f>IF('Pnj APBDES'!D280="","",'Pnj APBDES'!D280)</f>
        <v>5</v>
      </c>
      <c r="E256" s="1676">
        <f>IF('Pnj APBDES'!E280="","",'Pnj APBDES'!E280)</f>
        <v>2</v>
      </c>
      <c r="F256" s="1676">
        <f>IF('Pnj APBDES'!F280="","",'Pnj APBDES'!F280)</f>
        <v>3</v>
      </c>
      <c r="G256" s="1676">
        <f>IF('Pnj APBDES'!G280="","",'Pnj APBDES'!G280)</f>
        <v>1</v>
      </c>
      <c r="H256" s="1713" t="str">
        <f>IF('Pnj APBDES'!H280="","",'Pnj APBDES'!H280)</f>
        <v>Belanja Perjalana Dinas Dalam Kabupaten/Kota</v>
      </c>
      <c r="I256" s="1679">
        <f>'Pnj APBDES'!K280</f>
        <v>510000</v>
      </c>
      <c r="J256" s="1650" t="str">
        <f>IF('Pnj APBDES'!N280="","",'Pnj APBDES'!N280)</f>
        <v>ADD</v>
      </c>
      <c r="K256" s="1619">
        <f>RKA!K208</f>
        <v>0</v>
      </c>
      <c r="L256" s="1619">
        <f>RKA!L208</f>
        <v>0</v>
      </c>
      <c r="M256" s="1619">
        <f>RKA!M208</f>
        <v>200000</v>
      </c>
      <c r="N256" s="1619">
        <f>RKA!N208</f>
        <v>0</v>
      </c>
      <c r="O256" s="1619">
        <f>RKA!O208</f>
        <v>0</v>
      </c>
      <c r="P256" s="1619">
        <f>RKA!P208</f>
        <v>0</v>
      </c>
      <c r="Q256" s="1619">
        <f>RKA!Q208</f>
        <v>200000</v>
      </c>
      <c r="R256" s="1619">
        <f>RKA!R208</f>
        <v>0</v>
      </c>
      <c r="S256" s="1619">
        <f>RKA!S208</f>
        <v>0</v>
      </c>
      <c r="T256" s="1619">
        <f>RKA!T208</f>
        <v>110000</v>
      </c>
      <c r="U256" s="1619">
        <f>RKA!U208</f>
        <v>0</v>
      </c>
      <c r="V256" s="1619">
        <f>RKA!V208</f>
        <v>0</v>
      </c>
      <c r="W256" s="1619">
        <f t="shared" si="28"/>
        <v>510000</v>
      </c>
    </row>
    <row r="257" spans="1:23">
      <c r="A257" s="1699">
        <f>IF('Pnj APBDES'!A281="","",'Pnj APBDES'!A281)</f>
        <v>3</v>
      </c>
      <c r="B257" s="1677">
        <f>IF('Pnj APBDES'!B281="","",'Pnj APBDES'!B281)</f>
        <v>4</v>
      </c>
      <c r="C257" s="1687" t="str">
        <f>IF('Pnj APBDES'!C281="","",'Pnj APBDES'!C281)</f>
        <v>03</v>
      </c>
      <c r="D257" s="1676">
        <f>IF('Pnj APBDES'!D281="","",'Pnj APBDES'!D281)</f>
        <v>5</v>
      </c>
      <c r="E257" s="1676">
        <f>IF('Pnj APBDES'!E281="","",'Pnj APBDES'!E281)</f>
        <v>2</v>
      </c>
      <c r="F257" s="1676">
        <f>IF('Pnj APBDES'!F281="","",'Pnj APBDES'!F281)</f>
        <v>4</v>
      </c>
      <c r="G257" s="1676" t="str">
        <f>IF('Pnj APBDES'!G281="","",'Pnj APBDES'!G281)</f>
        <v/>
      </c>
      <c r="H257" s="1713" t="str">
        <f>IF('Pnj APBDES'!H281="","",'Pnj APBDES'!H281)</f>
        <v>Belanja Jasa Sewa</v>
      </c>
      <c r="I257" s="1679">
        <f>'Pnj APBDES'!K281</f>
        <v>150000</v>
      </c>
      <c r="J257" s="1650" t="str">
        <f>IF('Pnj APBDES'!N281="","",'Pnj APBDES'!N281)</f>
        <v/>
      </c>
      <c r="K257" s="1619">
        <f>RKA!K209</f>
        <v>0</v>
      </c>
      <c r="L257" s="1619">
        <f>RKA!L209</f>
        <v>0</v>
      </c>
      <c r="M257" s="1619">
        <f>RKA!M209</f>
        <v>0</v>
      </c>
      <c r="N257" s="1619">
        <f>RKA!N209</f>
        <v>150000</v>
      </c>
      <c r="O257" s="1619">
        <f>RKA!O209</f>
        <v>0</v>
      </c>
      <c r="P257" s="1619">
        <f>RKA!P209</f>
        <v>0</v>
      </c>
      <c r="Q257" s="1619">
        <f>RKA!Q209</f>
        <v>0</v>
      </c>
      <c r="R257" s="1619">
        <f>RKA!R209</f>
        <v>0</v>
      </c>
      <c r="S257" s="1619">
        <f>RKA!S209</f>
        <v>0</v>
      </c>
      <c r="T257" s="1619">
        <f>RKA!T209</f>
        <v>0</v>
      </c>
      <c r="U257" s="1619">
        <f>RKA!U209</f>
        <v>0</v>
      </c>
      <c r="V257" s="1619">
        <f>RKA!V209</f>
        <v>0</v>
      </c>
      <c r="W257" s="1619">
        <f t="shared" ref="W257:W317" si="29">SUM(K257:V257)</f>
        <v>150000</v>
      </c>
    </row>
    <row r="258" spans="1:23">
      <c r="A258" s="1699">
        <f>IF('Pnj APBDES'!A282="","",'Pnj APBDES'!A282)</f>
        <v>3</v>
      </c>
      <c r="B258" s="1677">
        <f>IF('Pnj APBDES'!B282="","",'Pnj APBDES'!B282)</f>
        <v>4</v>
      </c>
      <c r="C258" s="1687" t="str">
        <f>IF('Pnj APBDES'!C282="","",'Pnj APBDES'!C282)</f>
        <v>03</v>
      </c>
      <c r="D258" s="1676">
        <f>IF('Pnj APBDES'!D282="","",'Pnj APBDES'!D282)</f>
        <v>5</v>
      </c>
      <c r="E258" s="1676">
        <f>IF('Pnj APBDES'!E282="","",'Pnj APBDES'!E282)</f>
        <v>2</v>
      </c>
      <c r="F258" s="1676">
        <f>IF('Pnj APBDES'!F282="","",'Pnj APBDES'!F282)</f>
        <v>4</v>
      </c>
      <c r="G258" s="1676">
        <f>IF('Pnj APBDES'!G282="","",'Pnj APBDES'!G282)</f>
        <v>2</v>
      </c>
      <c r="H258" s="1713" t="str">
        <f>IF('Pnj APBDES'!H282="","",'Pnj APBDES'!H282)</f>
        <v>Belanja Jasa Sewa Peralatan/Perlengkapan</v>
      </c>
      <c r="I258" s="1679">
        <f>'Pnj APBDES'!K282</f>
        <v>150000</v>
      </c>
      <c r="J258" s="1650" t="str">
        <f>IF('Pnj APBDES'!N282="","",'Pnj APBDES'!N282)</f>
        <v>ADD</v>
      </c>
      <c r="K258" s="1619">
        <f>RKA!K210</f>
        <v>0</v>
      </c>
      <c r="L258" s="1619">
        <f>RKA!L210</f>
        <v>0</v>
      </c>
      <c r="M258" s="1619">
        <f>RKA!M210</f>
        <v>0</v>
      </c>
      <c r="N258" s="1619">
        <f>RKA!N210</f>
        <v>150000</v>
      </c>
      <c r="O258" s="1619">
        <f>RKA!O210</f>
        <v>0</v>
      </c>
      <c r="P258" s="1619">
        <f>RKA!P210</f>
        <v>0</v>
      </c>
      <c r="Q258" s="1619">
        <f>RKA!Q210</f>
        <v>0</v>
      </c>
      <c r="R258" s="1619">
        <f>RKA!R210</f>
        <v>0</v>
      </c>
      <c r="S258" s="1619">
        <f>RKA!S210</f>
        <v>0</v>
      </c>
      <c r="T258" s="1619">
        <f>RKA!T210</f>
        <v>0</v>
      </c>
      <c r="U258" s="1619">
        <f>RKA!U210</f>
        <v>0</v>
      </c>
      <c r="V258" s="1619">
        <f>RKA!V210</f>
        <v>0</v>
      </c>
      <c r="W258" s="1619">
        <f t="shared" si="29"/>
        <v>150000</v>
      </c>
    </row>
    <row r="259" spans="1:23">
      <c r="A259" s="1699" t="e">
        <f>IF('Pnj APBDES'!#REF!="","",'Pnj APBDES'!#REF!)</f>
        <v>#REF!</v>
      </c>
      <c r="B259" s="1677" t="e">
        <f>IF('Pnj APBDES'!#REF!="","",'Pnj APBDES'!#REF!)</f>
        <v>#REF!</v>
      </c>
      <c r="C259" s="1687" t="e">
        <f>IF('Pnj APBDES'!#REF!="","",'Pnj APBDES'!#REF!)</f>
        <v>#REF!</v>
      </c>
      <c r="D259" s="1676" t="e">
        <f>IF('Pnj APBDES'!#REF!="","",'Pnj APBDES'!#REF!)</f>
        <v>#REF!</v>
      </c>
      <c r="E259" s="1676" t="e">
        <f>IF('Pnj APBDES'!#REF!="","",'Pnj APBDES'!#REF!)</f>
        <v>#REF!</v>
      </c>
      <c r="F259" s="1676" t="e">
        <f>IF('Pnj APBDES'!#REF!="","",'Pnj APBDES'!#REF!)</f>
        <v>#REF!</v>
      </c>
      <c r="G259" s="1676" t="e">
        <f>IF('Pnj APBDES'!#REF!="","",'Pnj APBDES'!#REF!)</f>
        <v>#REF!</v>
      </c>
      <c r="H259" s="1713" t="e">
        <f>IF('Pnj APBDES'!#REF!="","",'Pnj APBDES'!#REF!)</f>
        <v>#REF!</v>
      </c>
      <c r="I259" s="1679" t="e">
        <f>'Pnj APBDES'!#REF!</f>
        <v>#REF!</v>
      </c>
      <c r="J259" s="1650" t="e">
        <f>IF('Pnj APBDES'!#REF!="","",'Pnj APBDES'!#REF!)</f>
        <v>#REF!</v>
      </c>
      <c r="K259" s="1619">
        <f>RKA!K211</f>
        <v>0</v>
      </c>
      <c r="L259" s="1619">
        <f>RKA!L211</f>
        <v>0</v>
      </c>
      <c r="M259" s="1619">
        <f>RKA!M211</f>
        <v>0</v>
      </c>
      <c r="N259" s="1619">
        <f>RKA!N211</f>
        <v>0</v>
      </c>
      <c r="O259" s="1619">
        <f>RKA!O211</f>
        <v>0</v>
      </c>
      <c r="P259" s="1619">
        <f>RKA!P211</f>
        <v>0</v>
      </c>
      <c r="Q259" s="1619">
        <f>RKA!Q211</f>
        <v>0</v>
      </c>
      <c r="R259" s="1619">
        <f>RKA!R211</f>
        <v>0</v>
      </c>
      <c r="S259" s="1619">
        <f>RKA!S211</f>
        <v>0</v>
      </c>
      <c r="T259" s="1619">
        <f>RKA!T211</f>
        <v>0</v>
      </c>
      <c r="U259" s="1619">
        <f>RKA!U211</f>
        <v>0</v>
      </c>
      <c r="V259" s="1619">
        <f>RKA!V211</f>
        <v>0</v>
      </c>
      <c r="W259" s="1619">
        <f t="shared" si="29"/>
        <v>0</v>
      </c>
    </row>
    <row r="260" spans="1:23">
      <c r="A260" s="1700" t="e">
        <f>IF('Pnj APBDES'!#REF!="","",'Pnj APBDES'!#REF!)</f>
        <v>#REF!</v>
      </c>
      <c r="B260" s="1673" t="e">
        <f>IF('Pnj APBDES'!#REF!="","",'Pnj APBDES'!#REF!)</f>
        <v>#REF!</v>
      </c>
      <c r="C260" s="1691" t="e">
        <f>IF('Pnj APBDES'!#REF!="","",'Pnj APBDES'!#REF!)</f>
        <v>#REF!</v>
      </c>
      <c r="D260" s="1672" t="e">
        <f>IF('Pnj APBDES'!#REF!="","",'Pnj APBDES'!#REF!)</f>
        <v>#REF!</v>
      </c>
      <c r="E260" s="1672" t="e">
        <f>IF('Pnj APBDES'!#REF!="","",'Pnj APBDES'!#REF!)</f>
        <v>#REF!</v>
      </c>
      <c r="F260" s="1672" t="e">
        <f>IF('Pnj APBDES'!#REF!="","",'Pnj APBDES'!#REF!)</f>
        <v>#REF!</v>
      </c>
      <c r="G260" s="1672" t="e">
        <f>IF('Pnj APBDES'!#REF!="","",'Pnj APBDES'!#REF!)</f>
        <v>#REF!</v>
      </c>
      <c r="H260" s="1714" t="e">
        <f>IF('Pnj APBDES'!#REF!="","",'Pnj APBDES'!#REF!)</f>
        <v>#REF!</v>
      </c>
      <c r="I260" s="1675" t="e">
        <f>'Pnj APBDES'!#REF!</f>
        <v>#REF!</v>
      </c>
      <c r="J260" s="1650" t="e">
        <f>IF('Pnj APBDES'!#REF!="","",'Pnj APBDES'!#REF!)</f>
        <v>#REF!</v>
      </c>
      <c r="K260" s="1619" t="e">
        <f>RKA!K212</f>
        <v>#REF!</v>
      </c>
      <c r="L260" s="1619" t="e">
        <f>RKA!L212</f>
        <v>#REF!</v>
      </c>
      <c r="M260" s="1619" t="e">
        <f>RKA!M212</f>
        <v>#REF!</v>
      </c>
      <c r="N260" s="1619" t="e">
        <f>RKA!N212</f>
        <v>#REF!</v>
      </c>
      <c r="O260" s="1619" t="e">
        <f>RKA!O212</f>
        <v>#REF!</v>
      </c>
      <c r="P260" s="1619" t="e">
        <f>RKA!P212</f>
        <v>#REF!</v>
      </c>
      <c r="Q260" s="1619" t="e">
        <f>RKA!Q212</f>
        <v>#REF!</v>
      </c>
      <c r="R260" s="1619" t="e">
        <f>RKA!R212</f>
        <v>#REF!</v>
      </c>
      <c r="S260" s="1619" t="e">
        <f>RKA!S212</f>
        <v>#REF!</v>
      </c>
      <c r="T260" s="1619" t="e">
        <f>RKA!T212</f>
        <v>#REF!</v>
      </c>
      <c r="U260" s="1619" t="e">
        <f>RKA!U212</f>
        <v>#REF!</v>
      </c>
      <c r="V260" s="1619" t="e">
        <f>RKA!V212</f>
        <v>#REF!</v>
      </c>
      <c r="W260" s="1619" t="e">
        <f t="shared" si="29"/>
        <v>#REF!</v>
      </c>
    </row>
    <row r="261" spans="1:23">
      <c r="A261" s="1699" t="e">
        <f>IF('Pnj APBDES'!#REF!="","",'Pnj APBDES'!#REF!)</f>
        <v>#REF!</v>
      </c>
      <c r="B261" s="1677" t="e">
        <f>IF('Pnj APBDES'!#REF!="","",'Pnj APBDES'!#REF!)</f>
        <v>#REF!</v>
      </c>
      <c r="C261" s="1687" t="e">
        <f>IF('Pnj APBDES'!#REF!="","",'Pnj APBDES'!#REF!)</f>
        <v>#REF!</v>
      </c>
      <c r="D261" s="1676" t="e">
        <f>IF('Pnj APBDES'!#REF!="","",'Pnj APBDES'!#REF!)</f>
        <v>#REF!</v>
      </c>
      <c r="E261" s="1676" t="e">
        <f>IF('Pnj APBDES'!#REF!="","",'Pnj APBDES'!#REF!)</f>
        <v>#REF!</v>
      </c>
      <c r="F261" s="1676" t="e">
        <f>IF('Pnj APBDES'!#REF!="","",'Pnj APBDES'!#REF!)</f>
        <v>#REF!</v>
      </c>
      <c r="G261" s="1676" t="e">
        <f>IF('Pnj APBDES'!#REF!="","",'Pnj APBDES'!#REF!)</f>
        <v>#REF!</v>
      </c>
      <c r="H261" s="1678" t="e">
        <f>IF('Pnj APBDES'!#REF!="","",'Pnj APBDES'!#REF!)</f>
        <v>#REF!</v>
      </c>
      <c r="I261" s="1679" t="e">
        <f>'Pnj APBDES'!#REF!</f>
        <v>#REF!</v>
      </c>
      <c r="J261" s="1650" t="e">
        <f>IF('Pnj APBDES'!#REF!="","",'Pnj APBDES'!#REF!)</f>
        <v>#REF!</v>
      </c>
      <c r="K261" s="1619" t="e">
        <f>RKA!K213</f>
        <v>#REF!</v>
      </c>
      <c r="L261" s="1619" t="e">
        <f>RKA!L213</f>
        <v>#REF!</v>
      </c>
      <c r="M261" s="1619" t="e">
        <f>RKA!M213</f>
        <v>#REF!</v>
      </c>
      <c r="N261" s="1619" t="e">
        <f>RKA!N213</f>
        <v>#REF!</v>
      </c>
      <c r="O261" s="1619" t="e">
        <f>RKA!O213</f>
        <v>#REF!</v>
      </c>
      <c r="P261" s="1619" t="e">
        <f>RKA!P213</f>
        <v>#REF!</v>
      </c>
      <c r="Q261" s="1619" t="e">
        <f>RKA!Q213</f>
        <v>#REF!</v>
      </c>
      <c r="R261" s="1619" t="e">
        <f>RKA!R213</f>
        <v>#REF!</v>
      </c>
      <c r="S261" s="1619" t="e">
        <f>RKA!S213</f>
        <v>#REF!</v>
      </c>
      <c r="T261" s="1619" t="e">
        <f>RKA!T213</f>
        <v>#REF!</v>
      </c>
      <c r="U261" s="1619" t="e">
        <f>RKA!U213</f>
        <v>#REF!</v>
      </c>
      <c r="V261" s="1619" t="e">
        <f>RKA!V213</f>
        <v>#REF!</v>
      </c>
      <c r="W261" s="1619" t="e">
        <f t="shared" si="29"/>
        <v>#REF!</v>
      </c>
    </row>
    <row r="262" spans="1:23">
      <c r="A262" s="1699" t="e">
        <f>IF('Pnj APBDES'!#REF!="","",'Pnj APBDES'!#REF!)</f>
        <v>#REF!</v>
      </c>
      <c r="B262" s="1677" t="e">
        <f>IF('Pnj APBDES'!#REF!="","",'Pnj APBDES'!#REF!)</f>
        <v>#REF!</v>
      </c>
      <c r="C262" s="1687" t="e">
        <f>IF('Pnj APBDES'!#REF!="","",'Pnj APBDES'!#REF!)</f>
        <v>#REF!</v>
      </c>
      <c r="D262" s="1676" t="e">
        <f>IF('Pnj APBDES'!#REF!="","",'Pnj APBDES'!#REF!)</f>
        <v>#REF!</v>
      </c>
      <c r="E262" s="1676" t="e">
        <f>IF('Pnj APBDES'!#REF!="","",'Pnj APBDES'!#REF!)</f>
        <v>#REF!</v>
      </c>
      <c r="F262" s="1676" t="e">
        <f>IF('Pnj APBDES'!#REF!="","",'Pnj APBDES'!#REF!)</f>
        <v>#REF!</v>
      </c>
      <c r="G262" s="1676" t="e">
        <f>IF('Pnj APBDES'!#REF!="","",'Pnj APBDES'!#REF!)</f>
        <v>#REF!</v>
      </c>
      <c r="H262" s="1678" t="e">
        <f>IF('Pnj APBDES'!#REF!="","",'Pnj APBDES'!#REF!)</f>
        <v>#REF!</v>
      </c>
      <c r="I262" s="1679" t="e">
        <f>'Pnj APBDES'!#REF!</f>
        <v>#REF!</v>
      </c>
      <c r="J262" s="1650" t="e">
        <f>IF('Pnj APBDES'!#REF!="","",'Pnj APBDES'!#REF!)</f>
        <v>#REF!</v>
      </c>
      <c r="K262" s="1619" t="e">
        <f>RKA!K214</f>
        <v>#REF!</v>
      </c>
      <c r="L262" s="1619" t="e">
        <f>RKA!L214</f>
        <v>#REF!</v>
      </c>
      <c r="M262" s="1619" t="e">
        <f>RKA!M214</f>
        <v>#REF!</v>
      </c>
      <c r="N262" s="1619" t="e">
        <f>RKA!N214</f>
        <v>#REF!</v>
      </c>
      <c r="O262" s="1619" t="e">
        <f>RKA!O214</f>
        <v>#REF!</v>
      </c>
      <c r="P262" s="1619" t="e">
        <f>RKA!P214</f>
        <v>#REF!</v>
      </c>
      <c r="Q262" s="1619" t="e">
        <f>RKA!Q214</f>
        <v>#REF!</v>
      </c>
      <c r="R262" s="1619" t="e">
        <f>RKA!R214</f>
        <v>#REF!</v>
      </c>
      <c r="S262" s="1619" t="e">
        <f>RKA!S214</f>
        <v>#REF!</v>
      </c>
      <c r="T262" s="1619" t="e">
        <f>RKA!T214</f>
        <v>#REF!</v>
      </c>
      <c r="U262" s="1619" t="e">
        <f>RKA!U214</f>
        <v>#REF!</v>
      </c>
      <c r="V262" s="1619" t="e">
        <f>RKA!V214</f>
        <v>#REF!</v>
      </c>
      <c r="W262" s="1619" t="e">
        <f t="shared" si="29"/>
        <v>#REF!</v>
      </c>
    </row>
    <row r="263" spans="1:23">
      <c r="A263" s="1669">
        <f>IF('Pnj APBDES'!A285="","",'Pnj APBDES'!A285)</f>
        <v>4</v>
      </c>
      <c r="B263" s="1697" t="str">
        <f>IF('Pnj APBDES'!B285="","",'Pnj APBDES'!B285)</f>
        <v/>
      </c>
      <c r="C263" s="1697" t="str">
        <f>IF('Pnj APBDES'!C285="","",'Pnj APBDES'!C285)</f>
        <v/>
      </c>
      <c r="D263" s="1698" t="str">
        <f>IF('Pnj APBDES'!D285="","",'Pnj APBDES'!D285)</f>
        <v/>
      </c>
      <c r="E263" s="1669" t="str">
        <f>IF('Pnj APBDES'!E285="","",'Pnj APBDES'!E285)</f>
        <v/>
      </c>
      <c r="F263" s="1669" t="str">
        <f>IF('Pnj APBDES'!F285="","",'Pnj APBDES'!F285)</f>
        <v/>
      </c>
      <c r="G263" s="1669" t="str">
        <f>IF('Pnj APBDES'!G285="","",'Pnj APBDES'!G285)</f>
        <v/>
      </c>
      <c r="H263" s="1670" t="str">
        <f>IF('Pnj APBDES'!H285="","",'Pnj APBDES'!H285)</f>
        <v>PEMBERDAYAAN MASYARAKAT DESA</v>
      </c>
      <c r="I263" s="1671">
        <f>'Pnj APBDES'!K285</f>
        <v>39804564</v>
      </c>
      <c r="J263" s="1650" t="str">
        <f>IF('Pnj APBDES'!N285="","",'Pnj APBDES'!N285)</f>
        <v/>
      </c>
      <c r="K263" s="1619">
        <f>RKA!K215</f>
        <v>0</v>
      </c>
      <c r="L263" s="1619">
        <f>RKA!L215</f>
        <v>0</v>
      </c>
      <c r="M263" s="1619">
        <f>RKA!M215</f>
        <v>0</v>
      </c>
      <c r="N263" s="1619">
        <f>RKA!N215</f>
        <v>5000000</v>
      </c>
      <c r="O263" s="1619">
        <f>RKA!O215</f>
        <v>0</v>
      </c>
      <c r="P263" s="1619">
        <f>RKA!P215</f>
        <v>0</v>
      </c>
      <c r="Q263" s="1619">
        <f>RKA!Q215</f>
        <v>10000000</v>
      </c>
      <c r="R263" s="1619">
        <f>RKA!R215</f>
        <v>20000000</v>
      </c>
      <c r="S263" s="1619">
        <f>RKA!S215</f>
        <v>7204564</v>
      </c>
      <c r="T263" s="1619">
        <f>RKA!T215</f>
        <v>0</v>
      </c>
      <c r="U263" s="1619">
        <f>RKA!U215</f>
        <v>0</v>
      </c>
      <c r="V263" s="1619">
        <f>RKA!V215</f>
        <v>0</v>
      </c>
      <c r="W263" s="1619">
        <f t="shared" si="29"/>
        <v>42204564</v>
      </c>
    </row>
    <row r="264" spans="1:23">
      <c r="A264" s="1672" t="e">
        <f>IF('Pnj APBDES'!#REF!="","",'Pnj APBDES'!#REF!)</f>
        <v>#REF!</v>
      </c>
      <c r="B264" s="1673" t="e">
        <f>IF('Pnj APBDES'!#REF!="","",'Pnj APBDES'!#REF!)</f>
        <v>#REF!</v>
      </c>
      <c r="C264" s="1673" t="e">
        <f>IF('Pnj APBDES'!#REF!="","",'Pnj APBDES'!#REF!)</f>
        <v>#REF!</v>
      </c>
      <c r="D264" s="1676" t="e">
        <f>IF('Pnj APBDES'!#REF!="","",'Pnj APBDES'!#REF!)</f>
        <v>#REF!</v>
      </c>
      <c r="E264" s="1672" t="e">
        <f>IF('Pnj APBDES'!#REF!="","",'Pnj APBDES'!#REF!)</f>
        <v>#REF!</v>
      </c>
      <c r="F264" s="1672" t="e">
        <f>IF('Pnj APBDES'!#REF!="","",'Pnj APBDES'!#REF!)</f>
        <v>#REF!</v>
      </c>
      <c r="G264" s="1672" t="e">
        <f>IF('Pnj APBDES'!#REF!="","",'Pnj APBDES'!#REF!)</f>
        <v>#REF!</v>
      </c>
      <c r="H264" s="1674" t="e">
        <f>IF('Pnj APBDES'!#REF!="","",'Pnj APBDES'!#REF!)</f>
        <v>#REF!</v>
      </c>
      <c r="I264" s="1675" t="e">
        <f>'Pnj APBDES'!#REF!</f>
        <v>#REF!</v>
      </c>
      <c r="J264" s="1650" t="e">
        <f>IF('Pnj APBDES'!#REF!="","",'Pnj APBDES'!#REF!)</f>
        <v>#REF!</v>
      </c>
      <c r="K264" s="1619">
        <f>RKA!K216</f>
        <v>0</v>
      </c>
      <c r="L264" s="1619">
        <f>RKA!L216</f>
        <v>0</v>
      </c>
      <c r="M264" s="1619">
        <f>RKA!M216</f>
        <v>0</v>
      </c>
      <c r="N264" s="1619">
        <f>RKA!N216</f>
        <v>5000000</v>
      </c>
      <c r="O264" s="1619">
        <f>RKA!O216</f>
        <v>0</v>
      </c>
      <c r="P264" s="1619">
        <f>RKA!P216</f>
        <v>0</v>
      </c>
      <c r="Q264" s="1619">
        <f>RKA!Q216</f>
        <v>10000000</v>
      </c>
      <c r="R264" s="1619">
        <f>RKA!R216</f>
        <v>0</v>
      </c>
      <c r="S264" s="1619">
        <f>RKA!S216</f>
        <v>0</v>
      </c>
      <c r="T264" s="1619">
        <f>RKA!T216</f>
        <v>0</v>
      </c>
      <c r="U264" s="1619">
        <f>RKA!U216</f>
        <v>0</v>
      </c>
      <c r="V264" s="1619">
        <f>RKA!V216</f>
        <v>0</v>
      </c>
      <c r="W264" s="1619">
        <f t="shared" si="29"/>
        <v>15000000</v>
      </c>
    </row>
    <row r="265" spans="1:23">
      <c r="A265" s="1700" t="e">
        <f>IF('Pnj APBDES'!#REF!="","",'Pnj APBDES'!#REF!)</f>
        <v>#REF!</v>
      </c>
      <c r="B265" s="1691" t="e">
        <f>IF('Pnj APBDES'!#REF!="","",'Pnj APBDES'!#REF!)</f>
        <v>#REF!</v>
      </c>
      <c r="C265" s="1691" t="e">
        <f>IF('Pnj APBDES'!#REF!="","",'Pnj APBDES'!#REF!)</f>
        <v>#REF!</v>
      </c>
      <c r="D265" s="1672" t="e">
        <f>IF('Pnj APBDES'!#REF!="","",'Pnj APBDES'!#REF!)</f>
        <v>#REF!</v>
      </c>
      <c r="E265" s="1672" t="e">
        <f>IF('Pnj APBDES'!#REF!="","",'Pnj APBDES'!#REF!)</f>
        <v>#REF!</v>
      </c>
      <c r="F265" s="1672" t="e">
        <f>IF('Pnj APBDES'!#REF!="","",'Pnj APBDES'!#REF!)</f>
        <v>#REF!</v>
      </c>
      <c r="G265" s="1672" t="e">
        <f>IF('Pnj APBDES'!#REF!="","",'Pnj APBDES'!#REF!)</f>
        <v>#REF!</v>
      </c>
      <c r="H265" s="1706" t="e">
        <f>IF('Pnj APBDES'!#REF!="","",'Pnj APBDES'!#REF!)</f>
        <v>#REF!</v>
      </c>
      <c r="I265" s="1675" t="e">
        <f>'Pnj APBDES'!#REF!</f>
        <v>#REF!</v>
      </c>
      <c r="J265" s="1650" t="e">
        <f>IF('Pnj APBDES'!#REF!="","",'Pnj APBDES'!#REF!)</f>
        <v>#REF!</v>
      </c>
      <c r="K265" s="1619">
        <f>RKA!K217</f>
        <v>0</v>
      </c>
      <c r="L265" s="1619">
        <f>RKA!L217</f>
        <v>0</v>
      </c>
      <c r="M265" s="1619">
        <f>RKA!M217</f>
        <v>0</v>
      </c>
      <c r="N265" s="1619">
        <f>RKA!N217</f>
        <v>5000000</v>
      </c>
      <c r="O265" s="1619">
        <f>RKA!O217</f>
        <v>0</v>
      </c>
      <c r="P265" s="1619">
        <f>RKA!P217</f>
        <v>0</v>
      </c>
      <c r="Q265" s="1619">
        <f>RKA!Q217</f>
        <v>0</v>
      </c>
      <c r="R265" s="1619">
        <f>RKA!R217</f>
        <v>0</v>
      </c>
      <c r="S265" s="1619">
        <f>RKA!S217</f>
        <v>0</v>
      </c>
      <c r="T265" s="1619">
        <f>RKA!T217</f>
        <v>0</v>
      </c>
      <c r="U265" s="1619">
        <f>RKA!U217</f>
        <v>0</v>
      </c>
      <c r="V265" s="1619">
        <f>RKA!V217</f>
        <v>0</v>
      </c>
      <c r="W265" s="1619">
        <f t="shared" si="29"/>
        <v>5000000</v>
      </c>
    </row>
    <row r="266" spans="1:23">
      <c r="A266" s="1699" t="e">
        <f>IF('Pnj APBDES'!#REF!="","",'Pnj APBDES'!#REF!)</f>
        <v>#REF!</v>
      </c>
      <c r="B266" s="1687" t="e">
        <f>IF('Pnj APBDES'!#REF!="","",'Pnj APBDES'!#REF!)</f>
        <v>#REF!</v>
      </c>
      <c r="C266" s="1687" t="e">
        <f>IF('Pnj APBDES'!#REF!="","",'Pnj APBDES'!#REF!)</f>
        <v>#REF!</v>
      </c>
      <c r="D266" s="1676" t="e">
        <f>IF('Pnj APBDES'!#REF!="","",'Pnj APBDES'!#REF!)</f>
        <v>#REF!</v>
      </c>
      <c r="E266" s="1676" t="e">
        <f>IF('Pnj APBDES'!#REF!="","",'Pnj APBDES'!#REF!)</f>
        <v>#REF!</v>
      </c>
      <c r="F266" s="1676" t="e">
        <f>IF('Pnj APBDES'!#REF!="","",'Pnj APBDES'!#REF!)</f>
        <v>#REF!</v>
      </c>
      <c r="G266" s="1676" t="e">
        <f>IF('Pnj APBDES'!#REF!="","",'Pnj APBDES'!#REF!)</f>
        <v>#REF!</v>
      </c>
      <c r="H266" s="1705" t="e">
        <f>IF('Pnj APBDES'!#REF!="","",'Pnj APBDES'!#REF!)</f>
        <v>#REF!</v>
      </c>
      <c r="I266" s="1679" t="e">
        <f>'Pnj APBDES'!#REF!</f>
        <v>#REF!</v>
      </c>
      <c r="J266" s="1650" t="e">
        <f>IF('Pnj APBDES'!#REF!="","",'Pnj APBDES'!#REF!)</f>
        <v>#REF!</v>
      </c>
      <c r="K266" s="1619">
        <f>RKA!K218</f>
        <v>0</v>
      </c>
      <c r="L266" s="1619">
        <f>RKA!L218</f>
        <v>0</v>
      </c>
      <c r="M266" s="1619">
        <f>RKA!M218</f>
        <v>0</v>
      </c>
      <c r="N266" s="1619">
        <f>RKA!N218</f>
        <v>0</v>
      </c>
      <c r="O266" s="1619">
        <f>RKA!O218</f>
        <v>0</v>
      </c>
      <c r="P266" s="1619">
        <f>RKA!P218</f>
        <v>0</v>
      </c>
      <c r="Q266" s="1619">
        <f>RKA!Q218</f>
        <v>0</v>
      </c>
      <c r="R266" s="1619">
        <f>RKA!R218</f>
        <v>0</v>
      </c>
      <c r="S266" s="1619">
        <f>RKA!S218</f>
        <v>0</v>
      </c>
      <c r="T266" s="1619">
        <f>RKA!T218</f>
        <v>0</v>
      </c>
      <c r="U266" s="1619">
        <f>RKA!U218</f>
        <v>0</v>
      </c>
      <c r="V266" s="1619">
        <f>RKA!V218</f>
        <v>0</v>
      </c>
      <c r="W266" s="1619">
        <f t="shared" si="29"/>
        <v>0</v>
      </c>
    </row>
    <row r="267" spans="1:23">
      <c r="A267" s="1699" t="e">
        <f>IF('Pnj APBDES'!#REF!="","",'Pnj APBDES'!#REF!)</f>
        <v>#REF!</v>
      </c>
      <c r="B267" s="1687" t="e">
        <f>IF('Pnj APBDES'!#REF!="","",'Pnj APBDES'!#REF!)</f>
        <v>#REF!</v>
      </c>
      <c r="C267" s="1687" t="e">
        <f>IF('Pnj APBDES'!#REF!="","",'Pnj APBDES'!#REF!)</f>
        <v>#REF!</v>
      </c>
      <c r="D267" s="1676" t="e">
        <f>IF('Pnj APBDES'!#REF!="","",'Pnj APBDES'!#REF!)</f>
        <v>#REF!</v>
      </c>
      <c r="E267" s="1676" t="e">
        <f>IF('Pnj APBDES'!#REF!="","",'Pnj APBDES'!#REF!)</f>
        <v>#REF!</v>
      </c>
      <c r="F267" s="1676" t="e">
        <f>IF('Pnj APBDES'!#REF!="","",'Pnj APBDES'!#REF!)</f>
        <v>#REF!</v>
      </c>
      <c r="G267" s="1676" t="e">
        <f>IF('Pnj APBDES'!#REF!="","",'Pnj APBDES'!#REF!)</f>
        <v>#REF!</v>
      </c>
      <c r="H267" s="1705" t="e">
        <f>IF('Pnj APBDES'!#REF!="","",'Pnj APBDES'!#REF!)</f>
        <v>#REF!</v>
      </c>
      <c r="I267" s="1679" t="e">
        <f>'Pnj APBDES'!#REF!</f>
        <v>#REF!</v>
      </c>
      <c r="J267" s="1650" t="e">
        <f>IF('Pnj APBDES'!#REF!="","",'Pnj APBDES'!#REF!)</f>
        <v>#REF!</v>
      </c>
      <c r="K267" s="1619">
        <f>RKA!K219</f>
        <v>0</v>
      </c>
      <c r="L267" s="1619">
        <f>RKA!L219</f>
        <v>0</v>
      </c>
      <c r="M267" s="1619">
        <f>RKA!M219</f>
        <v>0</v>
      </c>
      <c r="N267" s="1619">
        <f>RKA!N219</f>
        <v>965000</v>
      </c>
      <c r="O267" s="1619">
        <f>RKA!O219</f>
        <v>0</v>
      </c>
      <c r="P267" s="1619">
        <f>RKA!P219</f>
        <v>0</v>
      </c>
      <c r="Q267" s="1619">
        <f>RKA!Q219</f>
        <v>0</v>
      </c>
      <c r="R267" s="1619">
        <f>RKA!R219</f>
        <v>0</v>
      </c>
      <c r="S267" s="1619">
        <f>RKA!S219</f>
        <v>0</v>
      </c>
      <c r="T267" s="1619">
        <f>RKA!T219</f>
        <v>0</v>
      </c>
      <c r="U267" s="1619">
        <f>RKA!U219</f>
        <v>0</v>
      </c>
      <c r="V267" s="1619">
        <f>RKA!V219</f>
        <v>0</v>
      </c>
      <c r="W267" s="1619">
        <f t="shared" si="29"/>
        <v>965000</v>
      </c>
    </row>
    <row r="268" spans="1:23">
      <c r="A268" s="1699" t="e">
        <f>IF('Pnj APBDES'!#REF!="","",'Pnj APBDES'!#REF!)</f>
        <v>#REF!</v>
      </c>
      <c r="B268" s="1687" t="e">
        <f>IF('Pnj APBDES'!#REF!="","",'Pnj APBDES'!#REF!)</f>
        <v>#REF!</v>
      </c>
      <c r="C268" s="1687" t="e">
        <f>IF('Pnj APBDES'!#REF!="","",'Pnj APBDES'!#REF!)</f>
        <v>#REF!</v>
      </c>
      <c r="D268" s="1676" t="e">
        <f>IF('Pnj APBDES'!#REF!="","",'Pnj APBDES'!#REF!)</f>
        <v>#REF!</v>
      </c>
      <c r="E268" s="1676" t="e">
        <f>IF('Pnj APBDES'!#REF!="","",'Pnj APBDES'!#REF!)</f>
        <v>#REF!</v>
      </c>
      <c r="F268" s="1676" t="e">
        <f>IF('Pnj APBDES'!#REF!="","",'Pnj APBDES'!#REF!)</f>
        <v>#REF!</v>
      </c>
      <c r="G268" s="1676" t="e">
        <f>IF('Pnj APBDES'!#REF!="","",'Pnj APBDES'!#REF!)</f>
        <v>#REF!</v>
      </c>
      <c r="H268" s="1705" t="e">
        <f>IF('Pnj APBDES'!#REF!="","",'Pnj APBDES'!#REF!)</f>
        <v>#REF!</v>
      </c>
      <c r="I268" s="1679" t="e">
        <f>'Pnj APBDES'!#REF!</f>
        <v>#REF!</v>
      </c>
      <c r="J268" s="1650" t="e">
        <f>IF('Pnj APBDES'!#REF!="","",'Pnj APBDES'!#REF!)</f>
        <v>#REF!</v>
      </c>
      <c r="K268" s="1619">
        <f>RKA!K220</f>
        <v>0</v>
      </c>
      <c r="L268" s="1619">
        <f>RKA!L220</f>
        <v>0</v>
      </c>
      <c r="M268" s="1619">
        <f>RKA!M220</f>
        <v>0</v>
      </c>
      <c r="N268" s="1619">
        <f>RKA!N220</f>
        <v>135000</v>
      </c>
      <c r="O268" s="1619">
        <f>RKA!O220</f>
        <v>0</v>
      </c>
      <c r="P268" s="1619">
        <f>RKA!P220</f>
        <v>0</v>
      </c>
      <c r="Q268" s="1619">
        <f>RKA!Q220</f>
        <v>0</v>
      </c>
      <c r="R268" s="1619">
        <f>RKA!R220</f>
        <v>0</v>
      </c>
      <c r="S268" s="1619">
        <f>RKA!S220</f>
        <v>0</v>
      </c>
      <c r="T268" s="1619">
        <f>RKA!T220</f>
        <v>0</v>
      </c>
      <c r="U268" s="1619">
        <f>RKA!U220</f>
        <v>0</v>
      </c>
      <c r="V268" s="1619">
        <f>RKA!V220</f>
        <v>0</v>
      </c>
      <c r="W268" s="1619">
        <f t="shared" si="29"/>
        <v>135000</v>
      </c>
    </row>
    <row r="269" spans="1:23">
      <c r="A269" s="1699" t="e">
        <f>IF('Pnj APBDES'!#REF!="","",'Pnj APBDES'!#REF!)</f>
        <v>#REF!</v>
      </c>
      <c r="B269" s="1687" t="e">
        <f>IF('Pnj APBDES'!#REF!="","",'Pnj APBDES'!#REF!)</f>
        <v>#REF!</v>
      </c>
      <c r="C269" s="1687" t="e">
        <f>IF('Pnj APBDES'!#REF!="","",'Pnj APBDES'!#REF!)</f>
        <v>#REF!</v>
      </c>
      <c r="D269" s="1676" t="e">
        <f>IF('Pnj APBDES'!#REF!="","",'Pnj APBDES'!#REF!)</f>
        <v>#REF!</v>
      </c>
      <c r="E269" s="1676" t="e">
        <f>IF('Pnj APBDES'!#REF!="","",'Pnj APBDES'!#REF!)</f>
        <v>#REF!</v>
      </c>
      <c r="F269" s="1676" t="e">
        <f>IF('Pnj APBDES'!#REF!="","",'Pnj APBDES'!#REF!)</f>
        <v>#REF!</v>
      </c>
      <c r="G269" s="1676" t="e">
        <f>IF('Pnj APBDES'!#REF!="","",'Pnj APBDES'!#REF!)</f>
        <v>#REF!</v>
      </c>
      <c r="H269" s="1705" t="e">
        <f>IF('Pnj APBDES'!#REF!="","",'Pnj APBDES'!#REF!)</f>
        <v>#REF!</v>
      </c>
      <c r="I269" s="1679" t="e">
        <f>'Pnj APBDES'!#REF!</f>
        <v>#REF!</v>
      </c>
      <c r="J269" s="1650" t="e">
        <f>IF('Pnj APBDES'!#REF!="","",'Pnj APBDES'!#REF!)</f>
        <v>#REF!</v>
      </c>
      <c r="K269" s="1619">
        <f>RKA!K221</f>
        <v>0</v>
      </c>
      <c r="L269" s="1619">
        <f>RKA!L221</f>
        <v>0</v>
      </c>
      <c r="M269" s="1619">
        <f>RKA!M221</f>
        <v>0</v>
      </c>
      <c r="N269" s="1619">
        <f>RKA!N221</f>
        <v>400000</v>
      </c>
      <c r="O269" s="1619">
        <f>RKA!O221</f>
        <v>0</v>
      </c>
      <c r="P269" s="1619">
        <f>RKA!P221</f>
        <v>0</v>
      </c>
      <c r="Q269" s="1619">
        <f>RKA!Q221</f>
        <v>0</v>
      </c>
      <c r="R269" s="1619">
        <f>RKA!R221</f>
        <v>0</v>
      </c>
      <c r="S269" s="1619">
        <f>RKA!S221</f>
        <v>0</v>
      </c>
      <c r="T269" s="1619">
        <f>RKA!T221</f>
        <v>0</v>
      </c>
      <c r="U269" s="1619">
        <f>RKA!U221</f>
        <v>0</v>
      </c>
      <c r="V269" s="1619">
        <f>RKA!V221</f>
        <v>0</v>
      </c>
      <c r="W269" s="1619">
        <f t="shared" si="29"/>
        <v>400000</v>
      </c>
    </row>
    <row r="270" spans="1:23">
      <c r="A270" s="1699" t="e">
        <f>IF('Pnj APBDES'!#REF!="","",'Pnj APBDES'!#REF!)</f>
        <v>#REF!</v>
      </c>
      <c r="B270" s="1687" t="e">
        <f>IF('Pnj APBDES'!#REF!="","",'Pnj APBDES'!#REF!)</f>
        <v>#REF!</v>
      </c>
      <c r="C270" s="1687" t="e">
        <f>IF('Pnj APBDES'!#REF!="","",'Pnj APBDES'!#REF!)</f>
        <v>#REF!</v>
      </c>
      <c r="D270" s="1676" t="e">
        <f>IF('Pnj APBDES'!#REF!="","",'Pnj APBDES'!#REF!)</f>
        <v>#REF!</v>
      </c>
      <c r="E270" s="1676" t="e">
        <f>IF('Pnj APBDES'!#REF!="","",'Pnj APBDES'!#REF!)</f>
        <v>#REF!</v>
      </c>
      <c r="F270" s="1676" t="e">
        <f>IF('Pnj APBDES'!#REF!="","",'Pnj APBDES'!#REF!)</f>
        <v>#REF!</v>
      </c>
      <c r="G270" s="1676" t="e">
        <f>IF('Pnj APBDES'!#REF!="","",'Pnj APBDES'!#REF!)</f>
        <v>#REF!</v>
      </c>
      <c r="H270" s="1705" t="e">
        <f>IF('Pnj APBDES'!#REF!="","",'Pnj APBDES'!#REF!)</f>
        <v>#REF!</v>
      </c>
      <c r="I270" s="1679" t="e">
        <f>'Pnj APBDES'!#REF!</f>
        <v>#REF!</v>
      </c>
      <c r="J270" s="1650" t="e">
        <f>IF('Pnj APBDES'!#REF!="","",'Pnj APBDES'!#REF!)</f>
        <v>#REF!</v>
      </c>
      <c r="K270" s="1619">
        <f>RKA!K222</f>
        <v>0</v>
      </c>
      <c r="L270" s="1619">
        <f>RKA!L222</f>
        <v>0</v>
      </c>
      <c r="M270" s="1619">
        <f>RKA!M222</f>
        <v>0</v>
      </c>
      <c r="N270" s="1619">
        <f>RKA!N222</f>
        <v>430000</v>
      </c>
      <c r="O270" s="1619">
        <f>RKA!O222</f>
        <v>0</v>
      </c>
      <c r="P270" s="1619">
        <f>RKA!P222</f>
        <v>0</v>
      </c>
      <c r="Q270" s="1619">
        <f>RKA!Q222</f>
        <v>0</v>
      </c>
      <c r="R270" s="1619">
        <f>RKA!R222</f>
        <v>0</v>
      </c>
      <c r="S270" s="1619">
        <f>RKA!S222</f>
        <v>0</v>
      </c>
      <c r="T270" s="1619">
        <f>RKA!T222</f>
        <v>0</v>
      </c>
      <c r="U270" s="1619">
        <f>RKA!U222</f>
        <v>0</v>
      </c>
      <c r="V270" s="1619">
        <f>RKA!V222</f>
        <v>0</v>
      </c>
      <c r="W270" s="1619">
        <f t="shared" si="29"/>
        <v>430000</v>
      </c>
    </row>
    <row r="271" spans="1:23">
      <c r="A271" s="1699" t="e">
        <f>IF('Pnj APBDES'!#REF!="","",'Pnj APBDES'!#REF!)</f>
        <v>#REF!</v>
      </c>
      <c r="B271" s="1687" t="e">
        <f>IF('Pnj APBDES'!#REF!="","",'Pnj APBDES'!#REF!)</f>
        <v>#REF!</v>
      </c>
      <c r="C271" s="1687" t="e">
        <f>IF('Pnj APBDES'!#REF!="","",'Pnj APBDES'!#REF!)</f>
        <v>#REF!</v>
      </c>
      <c r="D271" s="1676" t="e">
        <f>IF('Pnj APBDES'!#REF!="","",'Pnj APBDES'!#REF!)</f>
        <v>#REF!</v>
      </c>
      <c r="E271" s="1676" t="e">
        <f>IF('Pnj APBDES'!#REF!="","",'Pnj APBDES'!#REF!)</f>
        <v>#REF!</v>
      </c>
      <c r="F271" s="1676" t="e">
        <f>IF('Pnj APBDES'!#REF!="","",'Pnj APBDES'!#REF!)</f>
        <v>#REF!</v>
      </c>
      <c r="G271" s="1676" t="e">
        <f>IF('Pnj APBDES'!#REF!="","",'Pnj APBDES'!#REF!)</f>
        <v>#REF!</v>
      </c>
      <c r="H271" s="1705" t="e">
        <f>IF('Pnj APBDES'!#REF!="","",'Pnj APBDES'!#REF!)</f>
        <v>#REF!</v>
      </c>
      <c r="I271" s="1679" t="e">
        <f>'Pnj APBDES'!#REF!</f>
        <v>#REF!</v>
      </c>
      <c r="J271" s="1650" t="e">
        <f>IF('Pnj APBDES'!#REF!="","",'Pnj APBDES'!#REF!)</f>
        <v>#REF!</v>
      </c>
      <c r="K271" s="1619">
        <f>RKA!K223</f>
        <v>0</v>
      </c>
      <c r="L271" s="1619">
        <f>RKA!L223</f>
        <v>0</v>
      </c>
      <c r="M271" s="1619">
        <f>RKA!M223</f>
        <v>0</v>
      </c>
      <c r="N271" s="1619">
        <f>RKA!N223</f>
        <v>2235000</v>
      </c>
      <c r="O271" s="1619">
        <f>RKA!O223</f>
        <v>0</v>
      </c>
      <c r="P271" s="1619">
        <f>RKA!P223</f>
        <v>0</v>
      </c>
      <c r="Q271" s="1619">
        <f>RKA!Q223</f>
        <v>0</v>
      </c>
      <c r="R271" s="1619">
        <f>RKA!R223</f>
        <v>0</v>
      </c>
      <c r="S271" s="1619">
        <f>RKA!S223</f>
        <v>0</v>
      </c>
      <c r="T271" s="1619">
        <f>RKA!T223</f>
        <v>0</v>
      </c>
      <c r="U271" s="1619">
        <f>RKA!U223</f>
        <v>0</v>
      </c>
      <c r="V271" s="1619">
        <f>RKA!V223</f>
        <v>0</v>
      </c>
      <c r="W271" s="1619">
        <f t="shared" si="29"/>
        <v>2235000</v>
      </c>
    </row>
    <row r="272" spans="1:23">
      <c r="A272" s="1699" t="e">
        <f>IF('Pnj APBDES'!#REF!="","",'Pnj APBDES'!#REF!)</f>
        <v>#REF!</v>
      </c>
      <c r="B272" s="1687" t="e">
        <f>IF('Pnj APBDES'!#REF!="","",'Pnj APBDES'!#REF!)</f>
        <v>#REF!</v>
      </c>
      <c r="C272" s="1687" t="e">
        <f>IF('Pnj APBDES'!#REF!="","",'Pnj APBDES'!#REF!)</f>
        <v>#REF!</v>
      </c>
      <c r="D272" s="1676" t="e">
        <f>IF('Pnj APBDES'!#REF!="","",'Pnj APBDES'!#REF!)</f>
        <v>#REF!</v>
      </c>
      <c r="E272" s="1676" t="e">
        <f>IF('Pnj APBDES'!#REF!="","",'Pnj APBDES'!#REF!)</f>
        <v>#REF!</v>
      </c>
      <c r="F272" s="1676" t="e">
        <f>IF('Pnj APBDES'!#REF!="","",'Pnj APBDES'!#REF!)</f>
        <v>#REF!</v>
      </c>
      <c r="G272" s="1698" t="e">
        <f>IF('Pnj APBDES'!#REF!="","",'Pnj APBDES'!#REF!)</f>
        <v>#REF!</v>
      </c>
      <c r="H272" s="1705" t="e">
        <f>IF('Pnj APBDES'!#REF!="","",'Pnj APBDES'!#REF!)</f>
        <v>#REF!</v>
      </c>
      <c r="I272" s="1679" t="e">
        <f>'Pnj APBDES'!#REF!</f>
        <v>#REF!</v>
      </c>
      <c r="J272" s="1650" t="e">
        <f>IF('Pnj APBDES'!#REF!="","",'Pnj APBDES'!#REF!)</f>
        <v>#REF!</v>
      </c>
      <c r="K272" s="1619">
        <f>RKA!K224</f>
        <v>0</v>
      </c>
      <c r="L272" s="1619">
        <f>RKA!L224</f>
        <v>0</v>
      </c>
      <c r="M272" s="1619">
        <f>RKA!M224</f>
        <v>0</v>
      </c>
      <c r="N272" s="1619">
        <f>RKA!N224</f>
        <v>675000</v>
      </c>
      <c r="O272" s="1619">
        <f>RKA!O224</f>
        <v>0</v>
      </c>
      <c r="P272" s="1619">
        <f>RKA!P224</f>
        <v>0</v>
      </c>
      <c r="Q272" s="1619">
        <f>RKA!Q224</f>
        <v>0</v>
      </c>
      <c r="R272" s="1619">
        <f>RKA!R224</f>
        <v>0</v>
      </c>
      <c r="S272" s="1619">
        <f>RKA!S224</f>
        <v>0</v>
      </c>
      <c r="T272" s="1619">
        <f>RKA!T224</f>
        <v>0</v>
      </c>
      <c r="U272" s="1619">
        <f>RKA!U224</f>
        <v>0</v>
      </c>
      <c r="V272" s="1619">
        <f>RKA!V224</f>
        <v>0</v>
      </c>
      <c r="W272" s="1619">
        <f t="shared" si="29"/>
        <v>675000</v>
      </c>
    </row>
    <row r="273" spans="1:23">
      <c r="A273" s="1715" t="e">
        <f>IF('Pnj APBDES'!#REF!="","",'Pnj APBDES'!#REF!)</f>
        <v>#REF!</v>
      </c>
      <c r="B273" s="1716" t="e">
        <f>IF('Pnj APBDES'!#REF!="","",'Pnj APBDES'!#REF!)</f>
        <v>#REF!</v>
      </c>
      <c r="C273" s="1716" t="e">
        <f>IF('Pnj APBDES'!#REF!="","",'Pnj APBDES'!#REF!)</f>
        <v>#REF!</v>
      </c>
      <c r="D273" s="1698" t="e">
        <f>IF('Pnj APBDES'!#REF!="","",'Pnj APBDES'!#REF!)</f>
        <v>#REF!</v>
      </c>
      <c r="E273" s="1698" t="e">
        <f>IF('Pnj APBDES'!#REF!="","",'Pnj APBDES'!#REF!)</f>
        <v>#REF!</v>
      </c>
      <c r="F273" s="1698" t="e">
        <f>IF('Pnj APBDES'!#REF!="","",'Pnj APBDES'!#REF!)</f>
        <v>#REF!</v>
      </c>
      <c r="G273" s="1698" t="e">
        <f>IF('Pnj APBDES'!#REF!="","",'Pnj APBDES'!#REF!)</f>
        <v>#REF!</v>
      </c>
      <c r="H273" s="1717" t="e">
        <f>IF('Pnj APBDES'!#REF!="","",'Pnj APBDES'!#REF!)</f>
        <v>#REF!</v>
      </c>
      <c r="I273" s="1679" t="e">
        <f>'Pnj APBDES'!#REF!</f>
        <v>#REF!</v>
      </c>
      <c r="J273" s="1650" t="e">
        <f>IF('Pnj APBDES'!#REF!="","",'Pnj APBDES'!#REF!)</f>
        <v>#REF!</v>
      </c>
      <c r="K273" s="1619">
        <f>RKA!K225</f>
        <v>0</v>
      </c>
      <c r="L273" s="1619">
        <f>RKA!L225</f>
        <v>0</v>
      </c>
      <c r="M273" s="1619">
        <f>RKA!M225</f>
        <v>0</v>
      </c>
      <c r="N273" s="1619">
        <f>RKA!N225</f>
        <v>1260000</v>
      </c>
      <c r="O273" s="1619">
        <f>RKA!O225</f>
        <v>0</v>
      </c>
      <c r="P273" s="1619">
        <f>RKA!P225</f>
        <v>0</v>
      </c>
      <c r="Q273" s="1619">
        <f>RKA!Q225</f>
        <v>0</v>
      </c>
      <c r="R273" s="1619">
        <f>RKA!R225</f>
        <v>0</v>
      </c>
      <c r="S273" s="1619">
        <f>RKA!S225</f>
        <v>0</v>
      </c>
      <c r="T273" s="1619">
        <f>RKA!T225</f>
        <v>0</v>
      </c>
      <c r="U273" s="1619">
        <f>RKA!U225</f>
        <v>0</v>
      </c>
      <c r="V273" s="1619">
        <f>RKA!V225</f>
        <v>0</v>
      </c>
      <c r="W273" s="1619">
        <f t="shared" si="29"/>
        <v>1260000</v>
      </c>
    </row>
    <row r="274" spans="1:23">
      <c r="A274" s="1699" t="e">
        <f>IF('Pnj APBDES'!#REF!="","",'Pnj APBDES'!#REF!)</f>
        <v>#REF!</v>
      </c>
      <c r="B274" s="1687" t="e">
        <f>IF('Pnj APBDES'!#REF!="","",'Pnj APBDES'!#REF!)</f>
        <v>#REF!</v>
      </c>
      <c r="C274" s="1687" t="e">
        <f>IF('Pnj APBDES'!#REF!="","",'Pnj APBDES'!#REF!)</f>
        <v>#REF!</v>
      </c>
      <c r="D274" s="1676" t="e">
        <f>IF('Pnj APBDES'!#REF!="","",'Pnj APBDES'!#REF!)</f>
        <v>#REF!</v>
      </c>
      <c r="E274" s="1676" t="e">
        <f>IF('Pnj APBDES'!#REF!="","",'Pnj APBDES'!#REF!)</f>
        <v>#REF!</v>
      </c>
      <c r="F274" s="1676" t="e">
        <f>IF('Pnj APBDES'!#REF!="","",'Pnj APBDES'!#REF!)</f>
        <v>#REF!</v>
      </c>
      <c r="G274" s="1698" t="e">
        <f>IF('Pnj APBDES'!#REF!="","",'Pnj APBDES'!#REF!)</f>
        <v>#REF!</v>
      </c>
      <c r="H274" s="1705" t="e">
        <f>IF('Pnj APBDES'!#REF!="","",'Pnj APBDES'!#REF!)</f>
        <v>#REF!</v>
      </c>
      <c r="I274" s="1679" t="e">
        <f>'Pnj APBDES'!#REF!</f>
        <v>#REF!</v>
      </c>
      <c r="J274" s="1650" t="e">
        <f>IF('Pnj APBDES'!#REF!="","",'Pnj APBDES'!#REF!)</f>
        <v>#REF!</v>
      </c>
      <c r="K274" s="1619">
        <f>RKA!K226</f>
        <v>0</v>
      </c>
      <c r="L274" s="1619">
        <f>RKA!L226</f>
        <v>0</v>
      </c>
      <c r="M274" s="1619">
        <f>RKA!M226</f>
        <v>0</v>
      </c>
      <c r="N274" s="1619">
        <f>RKA!N226</f>
        <v>300000</v>
      </c>
      <c r="O274" s="1619">
        <f>RKA!O226</f>
        <v>0</v>
      </c>
      <c r="P274" s="1619">
        <f>RKA!P226</f>
        <v>0</v>
      </c>
      <c r="Q274" s="1619">
        <f>RKA!Q226</f>
        <v>0</v>
      </c>
      <c r="R274" s="1619">
        <f>RKA!R226</f>
        <v>0</v>
      </c>
      <c r="S274" s="1619">
        <f>RKA!S226</f>
        <v>0</v>
      </c>
      <c r="T274" s="1619">
        <f>RKA!T226</f>
        <v>0</v>
      </c>
      <c r="U274" s="1619">
        <f>RKA!U226</f>
        <v>0</v>
      </c>
      <c r="V274" s="1619">
        <f>RKA!V226</f>
        <v>0</v>
      </c>
      <c r="W274" s="1619">
        <f t="shared" si="29"/>
        <v>300000</v>
      </c>
    </row>
    <row r="275" spans="1:23">
      <c r="A275" s="1699" t="e">
        <f>IF('Pnj APBDES'!#REF!="","",'Pnj APBDES'!#REF!)</f>
        <v>#REF!</v>
      </c>
      <c r="B275" s="1687" t="e">
        <f>IF('Pnj APBDES'!#REF!="","",'Pnj APBDES'!#REF!)</f>
        <v>#REF!</v>
      </c>
      <c r="C275" s="1687" t="e">
        <f>IF('Pnj APBDES'!#REF!="","",'Pnj APBDES'!#REF!)</f>
        <v>#REF!</v>
      </c>
      <c r="D275" s="1676" t="e">
        <f>IF('Pnj APBDES'!#REF!="","",'Pnj APBDES'!#REF!)</f>
        <v>#REF!</v>
      </c>
      <c r="E275" s="1676" t="e">
        <f>IF('Pnj APBDES'!#REF!="","",'Pnj APBDES'!#REF!)</f>
        <v>#REF!</v>
      </c>
      <c r="F275" s="1676" t="e">
        <f>IF('Pnj APBDES'!#REF!="","",'Pnj APBDES'!#REF!)</f>
        <v>#REF!</v>
      </c>
      <c r="G275" s="1676" t="e">
        <f>IF('Pnj APBDES'!#REF!="","",'Pnj APBDES'!#REF!)</f>
        <v>#REF!</v>
      </c>
      <c r="H275" s="1705" t="e">
        <f>IF('Pnj APBDES'!#REF!="","",'Pnj APBDES'!#REF!)</f>
        <v>#REF!</v>
      </c>
      <c r="I275" s="1679" t="e">
        <f>'Pnj APBDES'!#REF!</f>
        <v>#REF!</v>
      </c>
      <c r="J275" s="1650" t="e">
        <f>IF('Pnj APBDES'!#REF!="","",'Pnj APBDES'!#REF!)</f>
        <v>#REF!</v>
      </c>
      <c r="K275" s="1619">
        <f>RKA!K227</f>
        <v>0</v>
      </c>
      <c r="L275" s="1619">
        <f>RKA!L227</f>
        <v>0</v>
      </c>
      <c r="M275" s="1619">
        <f>RKA!M227</f>
        <v>0</v>
      </c>
      <c r="N275" s="1619">
        <f>RKA!N227</f>
        <v>1800000</v>
      </c>
      <c r="O275" s="1619">
        <f>RKA!O227</f>
        <v>0</v>
      </c>
      <c r="P275" s="1619">
        <f>RKA!P227</f>
        <v>0</v>
      </c>
      <c r="Q275" s="1619">
        <f>RKA!Q227</f>
        <v>0</v>
      </c>
      <c r="R275" s="1619">
        <f>RKA!R227</f>
        <v>0</v>
      </c>
      <c r="S275" s="1619">
        <f>RKA!S227</f>
        <v>0</v>
      </c>
      <c r="T275" s="1619">
        <f>RKA!T227</f>
        <v>0</v>
      </c>
      <c r="U275" s="1619">
        <f>RKA!U227</f>
        <v>0</v>
      </c>
      <c r="V275" s="1619">
        <f>RKA!V227</f>
        <v>0</v>
      </c>
      <c r="W275" s="1619">
        <f t="shared" si="29"/>
        <v>1800000</v>
      </c>
    </row>
    <row r="276" spans="1:23">
      <c r="A276" s="1699" t="e">
        <f>IF('Pnj APBDES'!#REF!="","",'Pnj APBDES'!#REF!)</f>
        <v>#REF!</v>
      </c>
      <c r="B276" s="1687" t="e">
        <f>IF('Pnj APBDES'!#REF!="","",'Pnj APBDES'!#REF!)</f>
        <v>#REF!</v>
      </c>
      <c r="C276" s="1687" t="e">
        <f>IF('Pnj APBDES'!#REF!="","",'Pnj APBDES'!#REF!)</f>
        <v>#REF!</v>
      </c>
      <c r="D276" s="1676" t="e">
        <f>IF('Pnj APBDES'!#REF!="","",'Pnj APBDES'!#REF!)</f>
        <v>#REF!</v>
      </c>
      <c r="E276" s="1676" t="e">
        <f>IF('Pnj APBDES'!#REF!="","",'Pnj APBDES'!#REF!)</f>
        <v>#REF!</v>
      </c>
      <c r="F276" s="1676" t="e">
        <f>IF('Pnj APBDES'!#REF!="","",'Pnj APBDES'!#REF!)</f>
        <v>#REF!</v>
      </c>
      <c r="G276" s="1676" t="e">
        <f>IF('Pnj APBDES'!#REF!="","",'Pnj APBDES'!#REF!)</f>
        <v>#REF!</v>
      </c>
      <c r="H276" s="1705" t="e">
        <f>IF('Pnj APBDES'!#REF!="","",'Pnj APBDES'!#REF!)</f>
        <v>#REF!</v>
      </c>
      <c r="I276" s="1679" t="e">
        <f>'Pnj APBDES'!#REF!</f>
        <v>#REF!</v>
      </c>
      <c r="J276" s="1650" t="e">
        <f>IF('Pnj APBDES'!#REF!="","",'Pnj APBDES'!#REF!)</f>
        <v>#REF!</v>
      </c>
      <c r="K276" s="1619">
        <f>RKA!K228</f>
        <v>0</v>
      </c>
      <c r="L276" s="1619">
        <f>RKA!L228</f>
        <v>0</v>
      </c>
      <c r="M276" s="1619">
        <f>RKA!M228</f>
        <v>0</v>
      </c>
      <c r="N276" s="1619">
        <f>RKA!N228</f>
        <v>1800000</v>
      </c>
      <c r="O276" s="1619">
        <f>RKA!O228</f>
        <v>0</v>
      </c>
      <c r="P276" s="1619">
        <f>RKA!P228</f>
        <v>0</v>
      </c>
      <c r="Q276" s="1619">
        <f>RKA!Q228</f>
        <v>0</v>
      </c>
      <c r="R276" s="1619">
        <f>RKA!R228</f>
        <v>0</v>
      </c>
      <c r="S276" s="1619">
        <f>RKA!S228</f>
        <v>0</v>
      </c>
      <c r="T276" s="1619">
        <f>RKA!T228</f>
        <v>0</v>
      </c>
      <c r="U276" s="1619">
        <f>RKA!U228</f>
        <v>0</v>
      </c>
      <c r="V276" s="1619">
        <f>RKA!V228</f>
        <v>0</v>
      </c>
      <c r="W276" s="1619">
        <f t="shared" si="29"/>
        <v>1800000</v>
      </c>
    </row>
    <row r="277" spans="1:23">
      <c r="A277" s="1700" t="e">
        <f>IF('Pnj APBDES'!#REF!="","",'Pnj APBDES'!#REF!)</f>
        <v>#REF!</v>
      </c>
      <c r="B277" s="1691" t="e">
        <f>IF('Pnj APBDES'!#REF!="","",'Pnj APBDES'!#REF!)</f>
        <v>#REF!</v>
      </c>
      <c r="C277" s="1691" t="e">
        <f>IF('Pnj APBDES'!#REF!="","",'Pnj APBDES'!#REF!)</f>
        <v>#REF!</v>
      </c>
      <c r="D277" s="1672" t="e">
        <f>IF('Pnj APBDES'!#REF!="","",'Pnj APBDES'!#REF!)</f>
        <v>#REF!</v>
      </c>
      <c r="E277" s="1672" t="e">
        <f>IF('Pnj APBDES'!#REF!="","",'Pnj APBDES'!#REF!)</f>
        <v>#REF!</v>
      </c>
      <c r="F277" s="1672" t="e">
        <f>IF('Pnj APBDES'!#REF!="","",'Pnj APBDES'!#REF!)</f>
        <v>#REF!</v>
      </c>
      <c r="G277" s="1672" t="e">
        <f>IF('Pnj APBDES'!#REF!="","",'Pnj APBDES'!#REF!)</f>
        <v>#REF!</v>
      </c>
      <c r="H277" s="1706" t="e">
        <f>IF('Pnj APBDES'!#REF!="","",'Pnj APBDES'!#REF!)</f>
        <v>#REF!</v>
      </c>
      <c r="I277" s="1675" t="e">
        <f>'Pnj APBDES'!#REF!</f>
        <v>#REF!</v>
      </c>
      <c r="J277" s="1650" t="e">
        <f>IF('Pnj APBDES'!#REF!="","",'Pnj APBDES'!#REF!)</f>
        <v>#REF!</v>
      </c>
      <c r="K277" s="1619">
        <f>RKA!K229</f>
        <v>0</v>
      </c>
      <c r="L277" s="1619">
        <f>RKA!L229</f>
        <v>0</v>
      </c>
      <c r="M277" s="1619">
        <f>RKA!M229</f>
        <v>0</v>
      </c>
      <c r="N277" s="1619">
        <f>RKA!N229</f>
        <v>0</v>
      </c>
      <c r="O277" s="1619">
        <f>RKA!O229</f>
        <v>0</v>
      </c>
      <c r="P277" s="1619">
        <f>RKA!P229</f>
        <v>0</v>
      </c>
      <c r="Q277" s="1619">
        <f>RKA!Q229</f>
        <v>10000000</v>
      </c>
      <c r="R277" s="1619">
        <f>RKA!R229</f>
        <v>0</v>
      </c>
      <c r="S277" s="1619">
        <f>RKA!S229</f>
        <v>0</v>
      </c>
      <c r="T277" s="1619">
        <f>RKA!T229</f>
        <v>0</v>
      </c>
      <c r="U277" s="1619">
        <f>RKA!U229</f>
        <v>0</v>
      </c>
      <c r="V277" s="1619">
        <f>RKA!V229</f>
        <v>0</v>
      </c>
      <c r="W277" s="1619">
        <f t="shared" si="29"/>
        <v>10000000</v>
      </c>
    </row>
    <row r="278" spans="1:23">
      <c r="A278" s="1699" t="e">
        <f>IF('Pnj APBDES'!#REF!="","",'Pnj APBDES'!#REF!)</f>
        <v>#REF!</v>
      </c>
      <c r="B278" s="1687" t="e">
        <f>IF('Pnj APBDES'!#REF!="","",'Pnj APBDES'!#REF!)</f>
        <v>#REF!</v>
      </c>
      <c r="C278" s="1687" t="e">
        <f>IF('Pnj APBDES'!#REF!="","",'Pnj APBDES'!#REF!)</f>
        <v>#REF!</v>
      </c>
      <c r="D278" s="1676" t="e">
        <f>IF('Pnj APBDES'!#REF!="","",'Pnj APBDES'!#REF!)</f>
        <v>#REF!</v>
      </c>
      <c r="E278" s="1676" t="e">
        <f>IF('Pnj APBDES'!#REF!="","",'Pnj APBDES'!#REF!)</f>
        <v>#REF!</v>
      </c>
      <c r="F278" s="1676" t="e">
        <f>IF('Pnj APBDES'!#REF!="","",'Pnj APBDES'!#REF!)</f>
        <v>#REF!</v>
      </c>
      <c r="G278" s="1676" t="e">
        <f>IF('Pnj APBDES'!#REF!="","",'Pnj APBDES'!#REF!)</f>
        <v>#REF!</v>
      </c>
      <c r="H278" s="1705" t="e">
        <f>IF('Pnj APBDES'!#REF!="","",'Pnj APBDES'!#REF!)</f>
        <v>#REF!</v>
      </c>
      <c r="I278" s="1679" t="e">
        <f>'Pnj APBDES'!#REF!</f>
        <v>#REF!</v>
      </c>
      <c r="J278" s="1650" t="e">
        <f>IF('Pnj APBDES'!#REF!="","",'Pnj APBDES'!#REF!)</f>
        <v>#REF!</v>
      </c>
      <c r="K278" s="1619">
        <f>RKA!K230</f>
        <v>0</v>
      </c>
      <c r="L278" s="1619">
        <f>RKA!L230</f>
        <v>0</v>
      </c>
      <c r="M278" s="1619">
        <f>RKA!M230</f>
        <v>0</v>
      </c>
      <c r="N278" s="1619">
        <f>RKA!N230</f>
        <v>0</v>
      </c>
      <c r="O278" s="1619">
        <f>RKA!O230</f>
        <v>0</v>
      </c>
      <c r="P278" s="1619">
        <f>RKA!P230</f>
        <v>0</v>
      </c>
      <c r="Q278" s="1619">
        <f>RKA!Q230</f>
        <v>0</v>
      </c>
      <c r="R278" s="1619">
        <f>RKA!R230</f>
        <v>0</v>
      </c>
      <c r="S278" s="1619">
        <f>RKA!S230</f>
        <v>0</v>
      </c>
      <c r="T278" s="1619">
        <f>RKA!T230</f>
        <v>0</v>
      </c>
      <c r="U278" s="1619">
        <f>RKA!U230</f>
        <v>0</v>
      </c>
      <c r="V278" s="1619">
        <f>RKA!V230</f>
        <v>0</v>
      </c>
      <c r="W278" s="1619">
        <f t="shared" si="29"/>
        <v>0</v>
      </c>
    </row>
    <row r="279" spans="1:23">
      <c r="A279" s="1699" t="e">
        <f>IF('Pnj APBDES'!#REF!="","",'Pnj APBDES'!#REF!)</f>
        <v>#REF!</v>
      </c>
      <c r="B279" s="1687" t="e">
        <f>IF('Pnj APBDES'!#REF!="","",'Pnj APBDES'!#REF!)</f>
        <v>#REF!</v>
      </c>
      <c r="C279" s="1687" t="e">
        <f>IF('Pnj APBDES'!#REF!="","",'Pnj APBDES'!#REF!)</f>
        <v>#REF!</v>
      </c>
      <c r="D279" s="1676" t="e">
        <f>IF('Pnj APBDES'!#REF!="","",'Pnj APBDES'!#REF!)</f>
        <v>#REF!</v>
      </c>
      <c r="E279" s="1676" t="e">
        <f>IF('Pnj APBDES'!#REF!="","",'Pnj APBDES'!#REF!)</f>
        <v>#REF!</v>
      </c>
      <c r="F279" s="1676" t="e">
        <f>IF('Pnj APBDES'!#REF!="","",'Pnj APBDES'!#REF!)</f>
        <v>#REF!</v>
      </c>
      <c r="G279" s="1676" t="e">
        <f>IF('Pnj APBDES'!#REF!="","",'Pnj APBDES'!#REF!)</f>
        <v>#REF!</v>
      </c>
      <c r="H279" s="1705" t="e">
        <f>IF('Pnj APBDES'!#REF!="","",'Pnj APBDES'!#REF!)</f>
        <v>#REF!</v>
      </c>
      <c r="I279" s="1679" t="e">
        <f>'Pnj APBDES'!#REF!</f>
        <v>#REF!</v>
      </c>
      <c r="J279" s="1650" t="e">
        <f>IF('Pnj APBDES'!#REF!="","",'Pnj APBDES'!#REF!)</f>
        <v>#REF!</v>
      </c>
      <c r="K279" s="1619">
        <f>RKA!K231</f>
        <v>0</v>
      </c>
      <c r="L279" s="1619">
        <f>RKA!L231</f>
        <v>0</v>
      </c>
      <c r="M279" s="1619">
        <f>RKA!M231</f>
        <v>0</v>
      </c>
      <c r="N279" s="1619">
        <f>RKA!N231</f>
        <v>0</v>
      </c>
      <c r="O279" s="1619">
        <f>RKA!O231</f>
        <v>0</v>
      </c>
      <c r="P279" s="1619">
        <f>RKA!P231</f>
        <v>0</v>
      </c>
      <c r="Q279" s="1619">
        <f>RKA!Q231</f>
        <v>4720000</v>
      </c>
      <c r="R279" s="1619">
        <f>RKA!R231</f>
        <v>0</v>
      </c>
      <c r="S279" s="1619">
        <f>RKA!S231</f>
        <v>0</v>
      </c>
      <c r="T279" s="1619">
        <f>RKA!T231</f>
        <v>0</v>
      </c>
      <c r="U279" s="1619">
        <f>RKA!U231</f>
        <v>0</v>
      </c>
      <c r="V279" s="1619">
        <f>RKA!V231</f>
        <v>0</v>
      </c>
      <c r="W279" s="1619">
        <f t="shared" si="29"/>
        <v>4720000</v>
      </c>
    </row>
    <row r="280" spans="1:23">
      <c r="A280" s="1699" t="e">
        <f>IF('Pnj APBDES'!#REF!="","",'Pnj APBDES'!#REF!)</f>
        <v>#REF!</v>
      </c>
      <c r="B280" s="1687" t="e">
        <f>IF('Pnj APBDES'!#REF!="","",'Pnj APBDES'!#REF!)</f>
        <v>#REF!</v>
      </c>
      <c r="C280" s="1687" t="e">
        <f>IF('Pnj APBDES'!#REF!="","",'Pnj APBDES'!#REF!)</f>
        <v>#REF!</v>
      </c>
      <c r="D280" s="1676" t="e">
        <f>IF('Pnj APBDES'!#REF!="","",'Pnj APBDES'!#REF!)</f>
        <v>#REF!</v>
      </c>
      <c r="E280" s="1676" t="e">
        <f>IF('Pnj APBDES'!#REF!="","",'Pnj APBDES'!#REF!)</f>
        <v>#REF!</v>
      </c>
      <c r="F280" s="1676" t="e">
        <f>IF('Pnj APBDES'!#REF!="","",'Pnj APBDES'!#REF!)</f>
        <v>#REF!</v>
      </c>
      <c r="G280" s="1676" t="e">
        <f>IF('Pnj APBDES'!#REF!="","",'Pnj APBDES'!#REF!)</f>
        <v>#REF!</v>
      </c>
      <c r="H280" s="1705" t="e">
        <f>IF('Pnj APBDES'!#REF!="","",'Pnj APBDES'!#REF!)</f>
        <v>#REF!</v>
      </c>
      <c r="I280" s="1679" t="e">
        <f>'Pnj APBDES'!#REF!</f>
        <v>#REF!</v>
      </c>
      <c r="J280" s="1650" t="e">
        <f>IF('Pnj APBDES'!#REF!="","",'Pnj APBDES'!#REF!)</f>
        <v>#REF!</v>
      </c>
      <c r="K280" s="1619">
        <f>RKA!K232</f>
        <v>0</v>
      </c>
      <c r="L280" s="1619">
        <f>RKA!L232</f>
        <v>0</v>
      </c>
      <c r="M280" s="1619">
        <f>RKA!M232</f>
        <v>0</v>
      </c>
      <c r="N280" s="1619">
        <f>RKA!N232</f>
        <v>0</v>
      </c>
      <c r="O280" s="1619">
        <f>RKA!O232</f>
        <v>0</v>
      </c>
      <c r="P280" s="1619">
        <f>RKA!P232</f>
        <v>0</v>
      </c>
      <c r="Q280" s="1619">
        <f>RKA!Q232</f>
        <v>520000</v>
      </c>
      <c r="R280" s="1619">
        <f>RKA!R232</f>
        <v>0</v>
      </c>
      <c r="S280" s="1619">
        <f>RKA!S232</f>
        <v>0</v>
      </c>
      <c r="T280" s="1619">
        <f>RKA!T232</f>
        <v>0</v>
      </c>
      <c r="U280" s="1619">
        <f>RKA!U232</f>
        <v>0</v>
      </c>
      <c r="V280" s="1619">
        <f>RKA!V232</f>
        <v>0</v>
      </c>
      <c r="W280" s="1619">
        <f t="shared" si="29"/>
        <v>520000</v>
      </c>
    </row>
    <row r="281" spans="1:23">
      <c r="A281" s="1699" t="e">
        <f>IF('Pnj APBDES'!#REF!="","",'Pnj APBDES'!#REF!)</f>
        <v>#REF!</v>
      </c>
      <c r="B281" s="1687" t="e">
        <f>IF('Pnj APBDES'!#REF!="","",'Pnj APBDES'!#REF!)</f>
        <v>#REF!</v>
      </c>
      <c r="C281" s="1687" t="e">
        <f>IF('Pnj APBDES'!#REF!="","",'Pnj APBDES'!#REF!)</f>
        <v>#REF!</v>
      </c>
      <c r="D281" s="1676" t="e">
        <f>IF('Pnj APBDES'!#REF!="","",'Pnj APBDES'!#REF!)</f>
        <v>#REF!</v>
      </c>
      <c r="E281" s="1676" t="e">
        <f>IF('Pnj APBDES'!#REF!="","",'Pnj APBDES'!#REF!)</f>
        <v>#REF!</v>
      </c>
      <c r="F281" s="1676" t="e">
        <f>IF('Pnj APBDES'!#REF!="","",'Pnj APBDES'!#REF!)</f>
        <v>#REF!</v>
      </c>
      <c r="G281" s="1676" t="e">
        <f>IF('Pnj APBDES'!#REF!="","",'Pnj APBDES'!#REF!)</f>
        <v>#REF!</v>
      </c>
      <c r="H281" s="1705" t="e">
        <f>IF('Pnj APBDES'!#REF!="","",'Pnj APBDES'!#REF!)</f>
        <v>#REF!</v>
      </c>
      <c r="I281" s="1679" t="e">
        <f>'Pnj APBDES'!#REF!</f>
        <v>#REF!</v>
      </c>
      <c r="J281" s="1650" t="e">
        <f>IF('Pnj APBDES'!#REF!="","",'Pnj APBDES'!#REF!)</f>
        <v>#REF!</v>
      </c>
      <c r="K281" s="1619">
        <f>RKA!K233</f>
        <v>0</v>
      </c>
      <c r="L281" s="1619">
        <f>RKA!L233</f>
        <v>0</v>
      </c>
      <c r="M281" s="1619">
        <f>RKA!M233</f>
        <v>0</v>
      </c>
      <c r="N281" s="1619">
        <f>RKA!N233</f>
        <v>0</v>
      </c>
      <c r="O281" s="1619">
        <f>RKA!O233</f>
        <v>0</v>
      </c>
      <c r="P281" s="1619">
        <f>RKA!P233</f>
        <v>0</v>
      </c>
      <c r="Q281" s="1619">
        <f>RKA!Q233</f>
        <v>510000</v>
      </c>
      <c r="R281" s="1619">
        <f>RKA!R233</f>
        <v>0</v>
      </c>
      <c r="S281" s="1619">
        <f>RKA!S233</f>
        <v>0</v>
      </c>
      <c r="T281" s="1619">
        <f>RKA!T233</f>
        <v>0</v>
      </c>
      <c r="U281" s="1619">
        <f>RKA!U233</f>
        <v>0</v>
      </c>
      <c r="V281" s="1619">
        <f>RKA!V233</f>
        <v>0</v>
      </c>
      <c r="W281" s="1619">
        <f t="shared" si="29"/>
        <v>510000</v>
      </c>
    </row>
    <row r="282" spans="1:23">
      <c r="A282" s="1699" t="e">
        <f>IF('Pnj APBDES'!#REF!="","",'Pnj APBDES'!#REF!)</f>
        <v>#REF!</v>
      </c>
      <c r="B282" s="1687" t="e">
        <f>IF('Pnj APBDES'!#REF!="","",'Pnj APBDES'!#REF!)</f>
        <v>#REF!</v>
      </c>
      <c r="C282" s="1687" t="e">
        <f>IF('Pnj APBDES'!#REF!="","",'Pnj APBDES'!#REF!)</f>
        <v>#REF!</v>
      </c>
      <c r="D282" s="1676" t="e">
        <f>IF('Pnj APBDES'!#REF!="","",'Pnj APBDES'!#REF!)</f>
        <v>#REF!</v>
      </c>
      <c r="E282" s="1676" t="e">
        <f>IF('Pnj APBDES'!#REF!="","",'Pnj APBDES'!#REF!)</f>
        <v>#REF!</v>
      </c>
      <c r="F282" s="1676" t="e">
        <f>IF('Pnj APBDES'!#REF!="","",'Pnj APBDES'!#REF!)</f>
        <v>#REF!</v>
      </c>
      <c r="G282" s="1676" t="e">
        <f>IF('Pnj APBDES'!#REF!="","",'Pnj APBDES'!#REF!)</f>
        <v>#REF!</v>
      </c>
      <c r="H282" s="1705" t="e">
        <f>IF('Pnj APBDES'!#REF!="","",'Pnj APBDES'!#REF!)</f>
        <v>#REF!</v>
      </c>
      <c r="I282" s="1679" t="e">
        <f>'Pnj APBDES'!#REF!</f>
        <v>#REF!</v>
      </c>
      <c r="J282" s="1650" t="e">
        <f>IF('Pnj APBDES'!#REF!="","",'Pnj APBDES'!#REF!)</f>
        <v>#REF!</v>
      </c>
      <c r="K282" s="1619">
        <f>RKA!K234</f>
        <v>0</v>
      </c>
      <c r="L282" s="1619">
        <f>RKA!L234</f>
        <v>0</v>
      </c>
      <c r="M282" s="1619">
        <f>RKA!M234</f>
        <v>0</v>
      </c>
      <c r="N282" s="1619">
        <f>RKA!N234</f>
        <v>0</v>
      </c>
      <c r="O282" s="1619">
        <f>RKA!O234</f>
        <v>0</v>
      </c>
      <c r="P282" s="1619">
        <f>RKA!P234</f>
        <v>0</v>
      </c>
      <c r="Q282" s="1619">
        <f>RKA!Q234</f>
        <v>890000</v>
      </c>
      <c r="R282" s="1619">
        <f>RKA!R234</f>
        <v>0</v>
      </c>
      <c r="S282" s="1619">
        <f>RKA!S234</f>
        <v>0</v>
      </c>
      <c r="T282" s="1619">
        <f>RKA!T234</f>
        <v>0</v>
      </c>
      <c r="U282" s="1619">
        <f>RKA!U234</f>
        <v>0</v>
      </c>
      <c r="V282" s="1619">
        <f>RKA!V234</f>
        <v>0</v>
      </c>
      <c r="W282" s="1619">
        <f t="shared" si="29"/>
        <v>890000</v>
      </c>
    </row>
    <row r="283" spans="1:23">
      <c r="A283" s="1699" t="e">
        <f>IF('Pnj APBDES'!#REF!="","",'Pnj APBDES'!#REF!)</f>
        <v>#REF!</v>
      </c>
      <c r="B283" s="1687" t="e">
        <f>IF('Pnj APBDES'!#REF!="","",'Pnj APBDES'!#REF!)</f>
        <v>#REF!</v>
      </c>
      <c r="C283" s="1687" t="e">
        <f>IF('Pnj APBDES'!#REF!="","",'Pnj APBDES'!#REF!)</f>
        <v>#REF!</v>
      </c>
      <c r="D283" s="1676" t="e">
        <f>IF('Pnj APBDES'!#REF!="","",'Pnj APBDES'!#REF!)</f>
        <v>#REF!</v>
      </c>
      <c r="E283" s="1676" t="e">
        <f>IF('Pnj APBDES'!#REF!="","",'Pnj APBDES'!#REF!)</f>
        <v>#REF!</v>
      </c>
      <c r="F283" s="1676" t="e">
        <f>IF('Pnj APBDES'!#REF!="","",'Pnj APBDES'!#REF!)</f>
        <v>#REF!</v>
      </c>
      <c r="G283" s="1676" t="e">
        <f>IF('Pnj APBDES'!#REF!="","",'Pnj APBDES'!#REF!)</f>
        <v>#REF!</v>
      </c>
      <c r="H283" s="1705" t="e">
        <f>IF('Pnj APBDES'!#REF!="","",'Pnj APBDES'!#REF!)</f>
        <v>#REF!</v>
      </c>
      <c r="I283" s="1679" t="e">
        <f>'Pnj APBDES'!#REF!</f>
        <v>#REF!</v>
      </c>
      <c r="J283" s="1650" t="e">
        <f>IF('Pnj APBDES'!#REF!="","",'Pnj APBDES'!#REF!)</f>
        <v>#REF!</v>
      </c>
      <c r="K283" s="1619">
        <f>RKA!K235</f>
        <v>0</v>
      </c>
      <c r="L283" s="1619">
        <f>RKA!L235</f>
        <v>0</v>
      </c>
      <c r="M283" s="1619">
        <f>RKA!M235</f>
        <v>0</v>
      </c>
      <c r="N283" s="1619">
        <f>RKA!N235</f>
        <v>0</v>
      </c>
      <c r="O283" s="1619">
        <f>RKA!O235</f>
        <v>0</v>
      </c>
      <c r="P283" s="1619">
        <f>RKA!P235</f>
        <v>0</v>
      </c>
      <c r="Q283" s="1619">
        <f>RKA!Q235</f>
        <v>2800000</v>
      </c>
      <c r="R283" s="1619">
        <f>RKA!R235</f>
        <v>0</v>
      </c>
      <c r="S283" s="1619">
        <f>RKA!S235</f>
        <v>0</v>
      </c>
      <c r="T283" s="1619">
        <f>RKA!T235</f>
        <v>0</v>
      </c>
      <c r="U283" s="1619">
        <f>RKA!U235</f>
        <v>0</v>
      </c>
      <c r="V283" s="1619">
        <f>RKA!V235</f>
        <v>0</v>
      </c>
      <c r="W283" s="1619">
        <f t="shared" si="29"/>
        <v>2800000</v>
      </c>
    </row>
    <row r="284" spans="1:23">
      <c r="A284" s="1699" t="e">
        <f>IF('Pnj APBDES'!#REF!="","",'Pnj APBDES'!#REF!)</f>
        <v>#REF!</v>
      </c>
      <c r="B284" s="1687" t="e">
        <f>IF('Pnj APBDES'!#REF!="","",'Pnj APBDES'!#REF!)</f>
        <v>#REF!</v>
      </c>
      <c r="C284" s="1687" t="e">
        <f>IF('Pnj APBDES'!#REF!="","",'Pnj APBDES'!#REF!)</f>
        <v>#REF!</v>
      </c>
      <c r="D284" s="1676" t="e">
        <f>IF('Pnj APBDES'!#REF!="","",'Pnj APBDES'!#REF!)</f>
        <v>#REF!</v>
      </c>
      <c r="E284" s="1676" t="e">
        <f>IF('Pnj APBDES'!#REF!="","",'Pnj APBDES'!#REF!)</f>
        <v>#REF!</v>
      </c>
      <c r="F284" s="1676" t="e">
        <f>IF('Pnj APBDES'!#REF!="","",'Pnj APBDES'!#REF!)</f>
        <v>#REF!</v>
      </c>
      <c r="G284" s="1676" t="e">
        <f>IF('Pnj APBDES'!#REF!="","",'Pnj APBDES'!#REF!)</f>
        <v>#REF!</v>
      </c>
      <c r="H284" s="1705" t="e">
        <f>IF('Pnj APBDES'!#REF!="","",'Pnj APBDES'!#REF!)</f>
        <v>#REF!</v>
      </c>
      <c r="I284" s="1679" t="e">
        <f>'Pnj APBDES'!#REF!</f>
        <v>#REF!</v>
      </c>
      <c r="J284" s="1650" t="e">
        <f>IF('Pnj APBDES'!#REF!="","",'Pnj APBDES'!#REF!)</f>
        <v>#REF!</v>
      </c>
      <c r="K284" s="1619">
        <f>RKA!K236</f>
        <v>0</v>
      </c>
      <c r="L284" s="1619">
        <f>RKA!L236</f>
        <v>0</v>
      </c>
      <c r="M284" s="1619">
        <f>RKA!M236</f>
        <v>0</v>
      </c>
      <c r="N284" s="1619">
        <f>RKA!N236</f>
        <v>0</v>
      </c>
      <c r="O284" s="1619">
        <f>RKA!O236</f>
        <v>0</v>
      </c>
      <c r="P284" s="1619">
        <f>RKA!P236</f>
        <v>0</v>
      </c>
      <c r="Q284" s="1619">
        <f>RKA!Q236</f>
        <v>5280000</v>
      </c>
      <c r="R284" s="1619">
        <f>RKA!R236</f>
        <v>0</v>
      </c>
      <c r="S284" s="1619">
        <f>RKA!S236</f>
        <v>0</v>
      </c>
      <c r="T284" s="1619">
        <f>RKA!T236</f>
        <v>0</v>
      </c>
      <c r="U284" s="1619">
        <f>RKA!U236</f>
        <v>0</v>
      </c>
      <c r="V284" s="1619">
        <f>RKA!V236</f>
        <v>0</v>
      </c>
      <c r="W284" s="1619">
        <f t="shared" si="29"/>
        <v>5280000</v>
      </c>
    </row>
    <row r="285" spans="1:23">
      <c r="A285" s="1699" t="e">
        <f>IF('Pnj APBDES'!#REF!="","",'Pnj APBDES'!#REF!)</f>
        <v>#REF!</v>
      </c>
      <c r="B285" s="1687" t="e">
        <f>IF('Pnj APBDES'!#REF!="","",'Pnj APBDES'!#REF!)</f>
        <v>#REF!</v>
      </c>
      <c r="C285" s="1687" t="e">
        <f>IF('Pnj APBDES'!#REF!="","",'Pnj APBDES'!#REF!)</f>
        <v>#REF!</v>
      </c>
      <c r="D285" s="1676" t="e">
        <f>IF('Pnj APBDES'!#REF!="","",'Pnj APBDES'!#REF!)</f>
        <v>#REF!</v>
      </c>
      <c r="E285" s="1676" t="e">
        <f>IF('Pnj APBDES'!#REF!="","",'Pnj APBDES'!#REF!)</f>
        <v>#REF!</v>
      </c>
      <c r="F285" s="1676" t="e">
        <f>IF('Pnj APBDES'!#REF!="","",'Pnj APBDES'!#REF!)</f>
        <v>#REF!</v>
      </c>
      <c r="G285" s="1698" t="e">
        <f>IF('Pnj APBDES'!#REF!="","",'Pnj APBDES'!#REF!)</f>
        <v>#REF!</v>
      </c>
      <c r="H285" s="1705" t="e">
        <f>IF('Pnj APBDES'!#REF!="","",'Pnj APBDES'!#REF!)</f>
        <v>#REF!</v>
      </c>
      <c r="I285" s="1679" t="e">
        <f>'Pnj APBDES'!#REF!</f>
        <v>#REF!</v>
      </c>
      <c r="J285" s="1650" t="e">
        <f>IF('Pnj APBDES'!#REF!="","",'Pnj APBDES'!#REF!)</f>
        <v>#REF!</v>
      </c>
      <c r="K285" s="1619">
        <f>RKA!K237</f>
        <v>0</v>
      </c>
      <c r="L285" s="1619">
        <f>RKA!L237</f>
        <v>0</v>
      </c>
      <c r="M285" s="1619">
        <f>RKA!M237</f>
        <v>0</v>
      </c>
      <c r="N285" s="1619">
        <f>RKA!N237</f>
        <v>0</v>
      </c>
      <c r="O285" s="1619">
        <f>RKA!O237</f>
        <v>0</v>
      </c>
      <c r="P285" s="1619">
        <f>RKA!P237</f>
        <v>0</v>
      </c>
      <c r="Q285" s="1619">
        <f>RKA!Q237</f>
        <v>675000</v>
      </c>
      <c r="R285" s="1619">
        <f>RKA!R237</f>
        <v>0</v>
      </c>
      <c r="S285" s="1619">
        <f>RKA!S237</f>
        <v>0</v>
      </c>
      <c r="T285" s="1619">
        <f>RKA!T237</f>
        <v>0</v>
      </c>
      <c r="U285" s="1619">
        <f>RKA!U237</f>
        <v>0</v>
      </c>
      <c r="V285" s="1619">
        <f>RKA!V237</f>
        <v>0</v>
      </c>
      <c r="W285" s="1619">
        <f t="shared" si="29"/>
        <v>675000</v>
      </c>
    </row>
    <row r="286" spans="1:23">
      <c r="A286" s="1715" t="e">
        <f>IF('Pnj APBDES'!#REF!="","",'Pnj APBDES'!#REF!)</f>
        <v>#REF!</v>
      </c>
      <c r="B286" s="1716" t="e">
        <f>IF('Pnj APBDES'!#REF!="","",'Pnj APBDES'!#REF!)</f>
        <v>#REF!</v>
      </c>
      <c r="C286" s="1716" t="e">
        <f>IF('Pnj APBDES'!#REF!="","",'Pnj APBDES'!#REF!)</f>
        <v>#REF!</v>
      </c>
      <c r="D286" s="1698" t="e">
        <f>IF('Pnj APBDES'!#REF!="","",'Pnj APBDES'!#REF!)</f>
        <v>#REF!</v>
      </c>
      <c r="E286" s="1698" t="e">
        <f>IF('Pnj APBDES'!#REF!="","",'Pnj APBDES'!#REF!)</f>
        <v>#REF!</v>
      </c>
      <c r="F286" s="1698" t="e">
        <f>IF('Pnj APBDES'!#REF!="","",'Pnj APBDES'!#REF!)</f>
        <v>#REF!</v>
      </c>
      <c r="G286" s="1698" t="e">
        <f>IF('Pnj APBDES'!#REF!="","",'Pnj APBDES'!#REF!)</f>
        <v>#REF!</v>
      </c>
      <c r="H286" s="1717" t="e">
        <f>IF('Pnj APBDES'!#REF!="","",'Pnj APBDES'!#REF!)</f>
        <v>#REF!</v>
      </c>
      <c r="I286" s="1679" t="e">
        <f>'Pnj APBDES'!#REF!</f>
        <v>#REF!</v>
      </c>
      <c r="J286" s="1650" t="e">
        <f>IF('Pnj APBDES'!#REF!="","",'Pnj APBDES'!#REF!)</f>
        <v>#REF!</v>
      </c>
      <c r="K286" s="1619">
        <f>RKA!K238</f>
        <v>0</v>
      </c>
      <c r="L286" s="1619">
        <f>RKA!L238</f>
        <v>0</v>
      </c>
      <c r="M286" s="1619">
        <f>RKA!M238</f>
        <v>0</v>
      </c>
      <c r="N286" s="1619">
        <f>RKA!N238</f>
        <v>0</v>
      </c>
      <c r="O286" s="1619">
        <f>RKA!O238</f>
        <v>0</v>
      </c>
      <c r="P286" s="1619">
        <f>RKA!P238</f>
        <v>0</v>
      </c>
      <c r="Q286" s="1619">
        <f>RKA!Q238</f>
        <v>2205000</v>
      </c>
      <c r="R286" s="1619">
        <f>RKA!R238</f>
        <v>0</v>
      </c>
      <c r="S286" s="1619">
        <f>RKA!S238</f>
        <v>0</v>
      </c>
      <c r="T286" s="1619">
        <f>RKA!T238</f>
        <v>0</v>
      </c>
      <c r="U286" s="1619">
        <f>RKA!U238</f>
        <v>0</v>
      </c>
      <c r="V286" s="1619">
        <f>RKA!V238</f>
        <v>0</v>
      </c>
      <c r="W286" s="1619">
        <f t="shared" si="29"/>
        <v>2205000</v>
      </c>
    </row>
    <row r="287" spans="1:23">
      <c r="A287" s="1699" t="e">
        <f>IF('Pnj APBDES'!#REF!="","",'Pnj APBDES'!#REF!)</f>
        <v>#REF!</v>
      </c>
      <c r="B287" s="1687" t="e">
        <f>IF('Pnj APBDES'!#REF!="","",'Pnj APBDES'!#REF!)</f>
        <v>#REF!</v>
      </c>
      <c r="C287" s="1687" t="e">
        <f>IF('Pnj APBDES'!#REF!="","",'Pnj APBDES'!#REF!)</f>
        <v>#REF!</v>
      </c>
      <c r="D287" s="1676" t="e">
        <f>IF('Pnj APBDES'!#REF!="","",'Pnj APBDES'!#REF!)</f>
        <v>#REF!</v>
      </c>
      <c r="E287" s="1676" t="e">
        <f>IF('Pnj APBDES'!#REF!="","",'Pnj APBDES'!#REF!)</f>
        <v>#REF!</v>
      </c>
      <c r="F287" s="1676" t="e">
        <f>IF('Pnj APBDES'!#REF!="","",'Pnj APBDES'!#REF!)</f>
        <v>#REF!</v>
      </c>
      <c r="G287" s="1698" t="e">
        <f>IF('Pnj APBDES'!#REF!="","",'Pnj APBDES'!#REF!)</f>
        <v>#REF!</v>
      </c>
      <c r="H287" s="1705" t="e">
        <f>IF('Pnj APBDES'!#REF!="","",'Pnj APBDES'!#REF!)</f>
        <v>#REF!</v>
      </c>
      <c r="I287" s="1679" t="e">
        <f>'Pnj APBDES'!#REF!</f>
        <v>#REF!</v>
      </c>
      <c r="J287" s="1650" t="e">
        <f>IF('Pnj APBDES'!#REF!="","",'Pnj APBDES'!#REF!)</f>
        <v>#REF!</v>
      </c>
      <c r="K287" s="1619">
        <f>RKA!K239</f>
        <v>0</v>
      </c>
      <c r="L287" s="1619">
        <f>RKA!L239</f>
        <v>0</v>
      </c>
      <c r="M287" s="1619">
        <f>RKA!M239</f>
        <v>0</v>
      </c>
      <c r="N287" s="1619">
        <f>RKA!N239</f>
        <v>0</v>
      </c>
      <c r="O287" s="1619">
        <f>RKA!O239</f>
        <v>0</v>
      </c>
      <c r="P287" s="1619">
        <f>RKA!P239</f>
        <v>0</v>
      </c>
      <c r="Q287" s="1619">
        <f>RKA!Q239</f>
        <v>2400000</v>
      </c>
      <c r="R287" s="1619">
        <f>RKA!R239</f>
        <v>0</v>
      </c>
      <c r="S287" s="1619">
        <f>RKA!S239</f>
        <v>0</v>
      </c>
      <c r="T287" s="1619">
        <f>RKA!T239</f>
        <v>0</v>
      </c>
      <c r="U287" s="1619">
        <f>RKA!U239</f>
        <v>0</v>
      </c>
      <c r="V287" s="1619">
        <f>RKA!V239</f>
        <v>0</v>
      </c>
      <c r="W287" s="1619">
        <f t="shared" si="29"/>
        <v>2400000</v>
      </c>
    </row>
    <row r="288" spans="1:23">
      <c r="A288" s="1700" t="e">
        <f>IF('Pnj APBDES'!#REF!="","",'Pnj APBDES'!#REF!)</f>
        <v>#REF!</v>
      </c>
      <c r="B288" s="1691" t="e">
        <f>IF('Pnj APBDES'!#REF!="","",'Pnj APBDES'!#REF!)</f>
        <v>#REF!</v>
      </c>
      <c r="C288" s="1691" t="e">
        <f>IF('Pnj APBDES'!#REF!="","",'Pnj APBDES'!#REF!)</f>
        <v>#REF!</v>
      </c>
      <c r="D288" s="1672" t="e">
        <f>IF('Pnj APBDES'!#REF!="","",'Pnj APBDES'!#REF!)</f>
        <v>#REF!</v>
      </c>
      <c r="E288" s="1672" t="e">
        <f>IF('Pnj APBDES'!#REF!="","",'Pnj APBDES'!#REF!)</f>
        <v>#REF!</v>
      </c>
      <c r="F288" s="1672" t="e">
        <f>IF('Pnj APBDES'!#REF!="","",'Pnj APBDES'!#REF!)</f>
        <v>#REF!</v>
      </c>
      <c r="G288" s="1672" t="e">
        <f>IF('Pnj APBDES'!#REF!="","",'Pnj APBDES'!#REF!)</f>
        <v>#REF!</v>
      </c>
      <c r="H288" s="1706" t="e">
        <f>IF('Pnj APBDES'!#REF!="","",'Pnj APBDES'!#REF!)</f>
        <v>#REF!</v>
      </c>
      <c r="I288" s="1675" t="e">
        <f>'Pnj APBDES'!#REF!</f>
        <v>#REF!</v>
      </c>
      <c r="J288" s="1650" t="e">
        <f>IF('Pnj APBDES'!#REF!="","",'Pnj APBDES'!#REF!)</f>
        <v>#REF!</v>
      </c>
      <c r="K288" s="1619">
        <f>RKA!K240</f>
        <v>0</v>
      </c>
      <c r="L288" s="1619">
        <f>RKA!L240</f>
        <v>0</v>
      </c>
      <c r="M288" s="1619">
        <f>RKA!M240</f>
        <v>0</v>
      </c>
      <c r="N288" s="1619">
        <f>RKA!N240</f>
        <v>0</v>
      </c>
      <c r="O288" s="1619">
        <f>RKA!O240</f>
        <v>0</v>
      </c>
      <c r="P288" s="1619">
        <f>RKA!P240</f>
        <v>0</v>
      </c>
      <c r="Q288" s="1619">
        <f>RKA!Q240</f>
        <v>0</v>
      </c>
      <c r="R288" s="1619">
        <f>RKA!R240</f>
        <v>0</v>
      </c>
      <c r="S288" s="1619">
        <f>RKA!S240</f>
        <v>7204564</v>
      </c>
      <c r="T288" s="1619">
        <f>RKA!T240</f>
        <v>0</v>
      </c>
      <c r="U288" s="1619">
        <f>RKA!U240</f>
        <v>0</v>
      </c>
      <c r="V288" s="1619">
        <f>RKA!V240</f>
        <v>0</v>
      </c>
      <c r="W288" s="1619">
        <f t="shared" si="29"/>
        <v>7204564</v>
      </c>
    </row>
    <row r="289" spans="1:23">
      <c r="A289" s="1699" t="e">
        <f>IF('Pnj APBDES'!#REF!="","",'Pnj APBDES'!#REF!)</f>
        <v>#REF!</v>
      </c>
      <c r="B289" s="1687" t="e">
        <f>IF('Pnj APBDES'!#REF!="","",'Pnj APBDES'!#REF!)</f>
        <v>#REF!</v>
      </c>
      <c r="C289" s="1687" t="e">
        <f>IF('Pnj APBDES'!#REF!="","",'Pnj APBDES'!#REF!)</f>
        <v>#REF!</v>
      </c>
      <c r="D289" s="1676" t="e">
        <f>IF('Pnj APBDES'!#REF!="","",'Pnj APBDES'!#REF!)</f>
        <v>#REF!</v>
      </c>
      <c r="E289" s="1676" t="e">
        <f>IF('Pnj APBDES'!#REF!="","",'Pnj APBDES'!#REF!)</f>
        <v>#REF!</v>
      </c>
      <c r="F289" s="1676" t="e">
        <f>IF('Pnj APBDES'!#REF!="","",'Pnj APBDES'!#REF!)</f>
        <v>#REF!</v>
      </c>
      <c r="G289" s="1676" t="e">
        <f>IF('Pnj APBDES'!#REF!="","",'Pnj APBDES'!#REF!)</f>
        <v>#REF!</v>
      </c>
      <c r="H289" s="1705" t="e">
        <f>IF('Pnj APBDES'!#REF!="","",'Pnj APBDES'!#REF!)</f>
        <v>#REF!</v>
      </c>
      <c r="I289" s="1679" t="e">
        <f>'Pnj APBDES'!#REF!</f>
        <v>#REF!</v>
      </c>
      <c r="J289" s="1650" t="e">
        <f>IF('Pnj APBDES'!#REF!="","",'Pnj APBDES'!#REF!)</f>
        <v>#REF!</v>
      </c>
      <c r="K289" s="1619">
        <f>RKA!K241</f>
        <v>0</v>
      </c>
      <c r="L289" s="1619">
        <f>RKA!L241</f>
        <v>0</v>
      </c>
      <c r="M289" s="1619">
        <f>RKA!M241</f>
        <v>0</v>
      </c>
      <c r="N289" s="1619">
        <f>RKA!N241</f>
        <v>0</v>
      </c>
      <c r="O289" s="1619">
        <f>RKA!O241</f>
        <v>0</v>
      </c>
      <c r="P289" s="1619">
        <f>RKA!P241</f>
        <v>0</v>
      </c>
      <c r="Q289" s="1619">
        <f>RKA!Q241</f>
        <v>0</v>
      </c>
      <c r="R289" s="1619">
        <f>RKA!R241</f>
        <v>0</v>
      </c>
      <c r="S289" s="1619">
        <f>RKA!S241</f>
        <v>0</v>
      </c>
      <c r="T289" s="1619">
        <f>RKA!T241</f>
        <v>0</v>
      </c>
      <c r="U289" s="1619">
        <f>RKA!U241</f>
        <v>0</v>
      </c>
      <c r="V289" s="1619">
        <f>RKA!V241</f>
        <v>0</v>
      </c>
      <c r="W289" s="1619">
        <f t="shared" si="29"/>
        <v>0</v>
      </c>
    </row>
    <row r="290" spans="1:23">
      <c r="A290" s="1699" t="e">
        <f>IF('Pnj APBDES'!#REF!="","",'Pnj APBDES'!#REF!)</f>
        <v>#REF!</v>
      </c>
      <c r="B290" s="1687" t="e">
        <f>IF('Pnj APBDES'!#REF!="","",'Pnj APBDES'!#REF!)</f>
        <v>#REF!</v>
      </c>
      <c r="C290" s="1687" t="e">
        <f>IF('Pnj APBDES'!#REF!="","",'Pnj APBDES'!#REF!)</f>
        <v>#REF!</v>
      </c>
      <c r="D290" s="1676" t="e">
        <f>IF('Pnj APBDES'!#REF!="","",'Pnj APBDES'!#REF!)</f>
        <v>#REF!</v>
      </c>
      <c r="E290" s="1676" t="e">
        <f>IF('Pnj APBDES'!#REF!="","",'Pnj APBDES'!#REF!)</f>
        <v>#REF!</v>
      </c>
      <c r="F290" s="1676" t="e">
        <f>IF('Pnj APBDES'!#REF!="","",'Pnj APBDES'!#REF!)</f>
        <v>#REF!</v>
      </c>
      <c r="G290" s="1676" t="e">
        <f>IF('Pnj APBDES'!#REF!="","",'Pnj APBDES'!#REF!)</f>
        <v>#REF!</v>
      </c>
      <c r="H290" s="1705" t="e">
        <f>IF('Pnj APBDES'!#REF!="","",'Pnj APBDES'!#REF!)</f>
        <v>#REF!</v>
      </c>
      <c r="I290" s="1679" t="e">
        <f>'Pnj APBDES'!#REF!</f>
        <v>#REF!</v>
      </c>
      <c r="J290" s="1650" t="e">
        <f>IF('Pnj APBDES'!#REF!="","",'Pnj APBDES'!#REF!)</f>
        <v>#REF!</v>
      </c>
      <c r="K290" s="1619">
        <f>RKA!K242</f>
        <v>0</v>
      </c>
      <c r="L290" s="1619">
        <f>RKA!L242</f>
        <v>0</v>
      </c>
      <c r="M290" s="1619">
        <f>RKA!M242</f>
        <v>0</v>
      </c>
      <c r="N290" s="1619">
        <f>RKA!N242</f>
        <v>0</v>
      </c>
      <c r="O290" s="1619">
        <f>RKA!O242</f>
        <v>0</v>
      </c>
      <c r="P290" s="1619">
        <f>RKA!P242</f>
        <v>0</v>
      </c>
      <c r="Q290" s="1619">
        <f>RKA!Q242</f>
        <v>0</v>
      </c>
      <c r="R290" s="1619">
        <f>RKA!R242</f>
        <v>0</v>
      </c>
      <c r="S290" s="1619">
        <f>RKA!S242</f>
        <v>4444564</v>
      </c>
      <c r="T290" s="1619">
        <f>RKA!T242</f>
        <v>0</v>
      </c>
      <c r="U290" s="1619">
        <f>RKA!U242</f>
        <v>0</v>
      </c>
      <c r="V290" s="1619">
        <f>RKA!V242</f>
        <v>0</v>
      </c>
      <c r="W290" s="1619">
        <f t="shared" si="29"/>
        <v>4444564</v>
      </c>
    </row>
    <row r="291" spans="1:23">
      <c r="A291" s="1699" t="e">
        <f>IF('Pnj APBDES'!#REF!="","",'Pnj APBDES'!#REF!)</f>
        <v>#REF!</v>
      </c>
      <c r="B291" s="1687" t="e">
        <f>IF('Pnj APBDES'!#REF!="","",'Pnj APBDES'!#REF!)</f>
        <v>#REF!</v>
      </c>
      <c r="C291" s="1687" t="e">
        <f>IF('Pnj APBDES'!#REF!="","",'Pnj APBDES'!#REF!)</f>
        <v>#REF!</v>
      </c>
      <c r="D291" s="1676" t="e">
        <f>IF('Pnj APBDES'!#REF!="","",'Pnj APBDES'!#REF!)</f>
        <v>#REF!</v>
      </c>
      <c r="E291" s="1676" t="e">
        <f>IF('Pnj APBDES'!#REF!="","",'Pnj APBDES'!#REF!)</f>
        <v>#REF!</v>
      </c>
      <c r="F291" s="1676" t="e">
        <f>IF('Pnj APBDES'!#REF!="","",'Pnj APBDES'!#REF!)</f>
        <v>#REF!</v>
      </c>
      <c r="G291" s="1676" t="e">
        <f>IF('Pnj APBDES'!#REF!="","",'Pnj APBDES'!#REF!)</f>
        <v>#REF!</v>
      </c>
      <c r="H291" s="1705" t="e">
        <f>IF('Pnj APBDES'!#REF!="","",'Pnj APBDES'!#REF!)</f>
        <v>#REF!</v>
      </c>
      <c r="I291" s="1679" t="e">
        <f>'Pnj APBDES'!#REF!</f>
        <v>#REF!</v>
      </c>
      <c r="J291" s="1650" t="e">
        <f>IF('Pnj APBDES'!#REF!="","",'Pnj APBDES'!#REF!)</f>
        <v>#REF!</v>
      </c>
      <c r="K291" s="1619">
        <f>RKA!K243</f>
        <v>0</v>
      </c>
      <c r="L291" s="1619">
        <f>RKA!L243</f>
        <v>0</v>
      </c>
      <c r="M291" s="1619">
        <f>RKA!M243</f>
        <v>0</v>
      </c>
      <c r="N291" s="1619">
        <f>RKA!N243</f>
        <v>0</v>
      </c>
      <c r="O291" s="1619">
        <f>RKA!O243</f>
        <v>0</v>
      </c>
      <c r="P291" s="1619">
        <f>RKA!P243</f>
        <v>0</v>
      </c>
      <c r="Q291" s="1619">
        <f>RKA!Q243</f>
        <v>0</v>
      </c>
      <c r="R291" s="1619">
        <f>RKA!R243</f>
        <v>0</v>
      </c>
      <c r="S291" s="1619">
        <f>RKA!S243</f>
        <v>600000</v>
      </c>
      <c r="T291" s="1619">
        <f>RKA!T243</f>
        <v>0</v>
      </c>
      <c r="U291" s="1619">
        <f>RKA!U243</f>
        <v>0</v>
      </c>
      <c r="V291" s="1619">
        <f>RKA!V243</f>
        <v>0</v>
      </c>
      <c r="W291" s="1619">
        <f t="shared" si="29"/>
        <v>600000</v>
      </c>
    </row>
    <row r="292" spans="1:23">
      <c r="A292" s="1699" t="e">
        <f>IF('Pnj APBDES'!#REF!="","",'Pnj APBDES'!#REF!)</f>
        <v>#REF!</v>
      </c>
      <c r="B292" s="1687" t="e">
        <f>IF('Pnj APBDES'!#REF!="","",'Pnj APBDES'!#REF!)</f>
        <v>#REF!</v>
      </c>
      <c r="C292" s="1687" t="e">
        <f>IF('Pnj APBDES'!#REF!="","",'Pnj APBDES'!#REF!)</f>
        <v>#REF!</v>
      </c>
      <c r="D292" s="1676" t="e">
        <f>IF('Pnj APBDES'!#REF!="","",'Pnj APBDES'!#REF!)</f>
        <v>#REF!</v>
      </c>
      <c r="E292" s="1676" t="e">
        <f>IF('Pnj APBDES'!#REF!="","",'Pnj APBDES'!#REF!)</f>
        <v>#REF!</v>
      </c>
      <c r="F292" s="1676" t="e">
        <f>IF('Pnj APBDES'!#REF!="","",'Pnj APBDES'!#REF!)</f>
        <v>#REF!</v>
      </c>
      <c r="G292" s="1676" t="e">
        <f>IF('Pnj APBDES'!#REF!="","",'Pnj APBDES'!#REF!)</f>
        <v>#REF!</v>
      </c>
      <c r="H292" s="1705" t="e">
        <f>IF('Pnj APBDES'!#REF!="","",'Pnj APBDES'!#REF!)</f>
        <v>#REF!</v>
      </c>
      <c r="I292" s="1679" t="e">
        <f>'Pnj APBDES'!#REF!</f>
        <v>#REF!</v>
      </c>
      <c r="J292" s="1650" t="e">
        <f>IF('Pnj APBDES'!#REF!="","",'Pnj APBDES'!#REF!)</f>
        <v>#REF!</v>
      </c>
      <c r="K292" s="1619">
        <f>RKA!K244</f>
        <v>0</v>
      </c>
      <c r="L292" s="1619">
        <f>RKA!L244</f>
        <v>0</v>
      </c>
      <c r="M292" s="1619">
        <f>RKA!M244</f>
        <v>0</v>
      </c>
      <c r="N292" s="1619">
        <f>RKA!N244</f>
        <v>0</v>
      </c>
      <c r="O292" s="1619">
        <f>RKA!O244</f>
        <v>0</v>
      </c>
      <c r="P292" s="1619">
        <f>RKA!P244</f>
        <v>0</v>
      </c>
      <c r="Q292" s="1619">
        <f>RKA!Q244</f>
        <v>0</v>
      </c>
      <c r="R292" s="1619">
        <f>RKA!R244</f>
        <v>0</v>
      </c>
      <c r="S292" s="1619">
        <f>RKA!S244</f>
        <v>1019564</v>
      </c>
      <c r="T292" s="1619">
        <f>RKA!T244</f>
        <v>0</v>
      </c>
      <c r="U292" s="1619">
        <f>RKA!U244</f>
        <v>0</v>
      </c>
      <c r="V292" s="1619">
        <f>RKA!V244</f>
        <v>0</v>
      </c>
      <c r="W292" s="1619">
        <f t="shared" si="29"/>
        <v>1019564</v>
      </c>
    </row>
    <row r="293" spans="1:23">
      <c r="A293" s="1699" t="e">
        <f>IF('Pnj APBDES'!#REF!="","",'Pnj APBDES'!#REF!)</f>
        <v>#REF!</v>
      </c>
      <c r="B293" s="1687" t="e">
        <f>IF('Pnj APBDES'!#REF!="","",'Pnj APBDES'!#REF!)</f>
        <v>#REF!</v>
      </c>
      <c r="C293" s="1687" t="e">
        <f>IF('Pnj APBDES'!#REF!="","",'Pnj APBDES'!#REF!)</f>
        <v>#REF!</v>
      </c>
      <c r="D293" s="1676" t="e">
        <f>IF('Pnj APBDES'!#REF!="","",'Pnj APBDES'!#REF!)</f>
        <v>#REF!</v>
      </c>
      <c r="E293" s="1676" t="e">
        <f>IF('Pnj APBDES'!#REF!="","",'Pnj APBDES'!#REF!)</f>
        <v>#REF!</v>
      </c>
      <c r="F293" s="1676" t="e">
        <f>IF('Pnj APBDES'!#REF!="","",'Pnj APBDES'!#REF!)</f>
        <v>#REF!</v>
      </c>
      <c r="G293" s="1676" t="e">
        <f>IF('Pnj APBDES'!#REF!="","",'Pnj APBDES'!#REF!)</f>
        <v>#REF!</v>
      </c>
      <c r="H293" s="1705" t="e">
        <f>IF('Pnj APBDES'!#REF!="","",'Pnj APBDES'!#REF!)</f>
        <v>#REF!</v>
      </c>
      <c r="I293" s="1679" t="e">
        <f>'Pnj APBDES'!#REF!</f>
        <v>#REF!</v>
      </c>
      <c r="J293" s="1650" t="e">
        <f>IF('Pnj APBDES'!#REF!="","",'Pnj APBDES'!#REF!)</f>
        <v>#REF!</v>
      </c>
      <c r="K293" s="1619">
        <f>RKA!K245</f>
        <v>0</v>
      </c>
      <c r="L293" s="1619">
        <f>RKA!L245</f>
        <v>0</v>
      </c>
      <c r="M293" s="1619">
        <f>RKA!M245</f>
        <v>0</v>
      </c>
      <c r="N293" s="1619">
        <f>RKA!N245</f>
        <v>0</v>
      </c>
      <c r="O293" s="1619">
        <f>RKA!O245</f>
        <v>0</v>
      </c>
      <c r="P293" s="1619">
        <f>RKA!P245</f>
        <v>0</v>
      </c>
      <c r="Q293" s="1619">
        <f>RKA!Q245</f>
        <v>0</v>
      </c>
      <c r="R293" s="1619">
        <f>RKA!R245</f>
        <v>0</v>
      </c>
      <c r="S293" s="1619">
        <f>RKA!S245</f>
        <v>875000</v>
      </c>
      <c r="T293" s="1619">
        <f>RKA!T245</f>
        <v>0</v>
      </c>
      <c r="U293" s="1619">
        <f>RKA!U245</f>
        <v>0</v>
      </c>
      <c r="V293" s="1619">
        <f>RKA!V245</f>
        <v>0</v>
      </c>
      <c r="W293" s="1619">
        <f t="shared" si="29"/>
        <v>875000</v>
      </c>
    </row>
    <row r="294" spans="1:23">
      <c r="A294" s="1699" t="e">
        <f>IF('Pnj APBDES'!#REF!="","",'Pnj APBDES'!#REF!)</f>
        <v>#REF!</v>
      </c>
      <c r="B294" s="1687" t="e">
        <f>IF('Pnj APBDES'!#REF!="","",'Pnj APBDES'!#REF!)</f>
        <v>#REF!</v>
      </c>
      <c r="C294" s="1687" t="e">
        <f>IF('Pnj APBDES'!#REF!="","",'Pnj APBDES'!#REF!)</f>
        <v>#REF!</v>
      </c>
      <c r="D294" s="1676" t="e">
        <f>IF('Pnj APBDES'!#REF!="","",'Pnj APBDES'!#REF!)</f>
        <v>#REF!</v>
      </c>
      <c r="E294" s="1676" t="e">
        <f>IF('Pnj APBDES'!#REF!="","",'Pnj APBDES'!#REF!)</f>
        <v>#REF!</v>
      </c>
      <c r="F294" s="1676" t="e">
        <f>IF('Pnj APBDES'!#REF!="","",'Pnj APBDES'!#REF!)</f>
        <v>#REF!</v>
      </c>
      <c r="G294" s="1676" t="e">
        <f>IF('Pnj APBDES'!#REF!="","",'Pnj APBDES'!#REF!)</f>
        <v>#REF!</v>
      </c>
      <c r="H294" s="1705" t="e">
        <f>IF('Pnj APBDES'!#REF!="","",'Pnj APBDES'!#REF!)</f>
        <v>#REF!</v>
      </c>
      <c r="I294" s="1679" t="e">
        <f>'Pnj APBDES'!#REF!</f>
        <v>#REF!</v>
      </c>
      <c r="J294" s="1650" t="e">
        <f>IF('Pnj APBDES'!#REF!="","",'Pnj APBDES'!#REF!)</f>
        <v>#REF!</v>
      </c>
      <c r="K294" s="1619">
        <f>RKA!K246</f>
        <v>0</v>
      </c>
      <c r="L294" s="1619">
        <f>RKA!L246</f>
        <v>0</v>
      </c>
      <c r="M294" s="1619">
        <f>RKA!M246</f>
        <v>0</v>
      </c>
      <c r="N294" s="1619">
        <f>RKA!N246</f>
        <v>0</v>
      </c>
      <c r="O294" s="1619">
        <f>RKA!O246</f>
        <v>0</v>
      </c>
      <c r="P294" s="1619">
        <f>RKA!P246</f>
        <v>0</v>
      </c>
      <c r="Q294" s="1619">
        <f>RKA!Q246</f>
        <v>0</v>
      </c>
      <c r="R294" s="1619">
        <f>RKA!R246</f>
        <v>0</v>
      </c>
      <c r="S294" s="1619">
        <f>RKA!S246</f>
        <v>1950000</v>
      </c>
      <c r="T294" s="1619">
        <f>RKA!T246</f>
        <v>0</v>
      </c>
      <c r="U294" s="1619">
        <f>RKA!U246</f>
        <v>0</v>
      </c>
      <c r="V294" s="1619">
        <f>RKA!V246</f>
        <v>0</v>
      </c>
      <c r="W294" s="1619">
        <f t="shared" si="29"/>
        <v>1950000</v>
      </c>
    </row>
    <row r="295" spans="1:23">
      <c r="A295" s="1699" t="e">
        <f>IF('Pnj APBDES'!#REF!="","",'Pnj APBDES'!#REF!)</f>
        <v>#REF!</v>
      </c>
      <c r="B295" s="1687" t="e">
        <f>IF('Pnj APBDES'!#REF!="","",'Pnj APBDES'!#REF!)</f>
        <v>#REF!</v>
      </c>
      <c r="C295" s="1687" t="e">
        <f>IF('Pnj APBDES'!#REF!="","",'Pnj APBDES'!#REF!)</f>
        <v>#REF!</v>
      </c>
      <c r="D295" s="1676" t="e">
        <f>IF('Pnj APBDES'!#REF!="","",'Pnj APBDES'!#REF!)</f>
        <v>#REF!</v>
      </c>
      <c r="E295" s="1676" t="e">
        <f>IF('Pnj APBDES'!#REF!="","",'Pnj APBDES'!#REF!)</f>
        <v>#REF!</v>
      </c>
      <c r="F295" s="1676" t="e">
        <f>IF('Pnj APBDES'!#REF!="","",'Pnj APBDES'!#REF!)</f>
        <v>#REF!</v>
      </c>
      <c r="G295" s="1676" t="e">
        <f>IF('Pnj APBDES'!#REF!="","",'Pnj APBDES'!#REF!)</f>
        <v>#REF!</v>
      </c>
      <c r="H295" s="1705" t="e">
        <f>IF('Pnj APBDES'!#REF!="","",'Pnj APBDES'!#REF!)</f>
        <v>#REF!</v>
      </c>
      <c r="I295" s="1679" t="e">
        <f>'Pnj APBDES'!#REF!</f>
        <v>#REF!</v>
      </c>
      <c r="J295" s="1650" t="e">
        <f>IF('Pnj APBDES'!#REF!="","",'Pnj APBDES'!#REF!)</f>
        <v>#REF!</v>
      </c>
      <c r="K295" s="1619">
        <f>RKA!K247</f>
        <v>0</v>
      </c>
      <c r="L295" s="1619">
        <f>RKA!L247</f>
        <v>0</v>
      </c>
      <c r="M295" s="1619">
        <f>RKA!M247</f>
        <v>0</v>
      </c>
      <c r="N295" s="1619">
        <f>RKA!N247</f>
        <v>0</v>
      </c>
      <c r="O295" s="1619">
        <f>RKA!O247</f>
        <v>0</v>
      </c>
      <c r="P295" s="1619">
        <f>RKA!P247</f>
        <v>0</v>
      </c>
      <c r="Q295" s="1619">
        <f>RKA!Q247</f>
        <v>0</v>
      </c>
      <c r="R295" s="1619">
        <f>RKA!R247</f>
        <v>0</v>
      </c>
      <c r="S295" s="1619">
        <f>RKA!S247</f>
        <v>2760000</v>
      </c>
      <c r="T295" s="1619">
        <f>RKA!T247</f>
        <v>0</v>
      </c>
      <c r="U295" s="1619">
        <f>RKA!U247</f>
        <v>0</v>
      </c>
      <c r="V295" s="1619">
        <f>RKA!V247</f>
        <v>0</v>
      </c>
      <c r="W295" s="1619">
        <f t="shared" si="29"/>
        <v>2760000</v>
      </c>
    </row>
    <row r="296" spans="1:23">
      <c r="A296" s="1699" t="e">
        <f>IF('Pnj APBDES'!#REF!="","",'Pnj APBDES'!#REF!)</f>
        <v>#REF!</v>
      </c>
      <c r="B296" s="1687" t="e">
        <f>IF('Pnj APBDES'!#REF!="","",'Pnj APBDES'!#REF!)</f>
        <v>#REF!</v>
      </c>
      <c r="C296" s="1687" t="e">
        <f>IF('Pnj APBDES'!#REF!="","",'Pnj APBDES'!#REF!)</f>
        <v>#REF!</v>
      </c>
      <c r="D296" s="1676" t="e">
        <f>IF('Pnj APBDES'!#REF!="","",'Pnj APBDES'!#REF!)</f>
        <v>#REF!</v>
      </c>
      <c r="E296" s="1676" t="e">
        <f>IF('Pnj APBDES'!#REF!="","",'Pnj APBDES'!#REF!)</f>
        <v>#REF!</v>
      </c>
      <c r="F296" s="1676" t="e">
        <f>IF('Pnj APBDES'!#REF!="","",'Pnj APBDES'!#REF!)</f>
        <v>#REF!</v>
      </c>
      <c r="G296" s="1698" t="e">
        <f>IF('Pnj APBDES'!#REF!="","",'Pnj APBDES'!#REF!)</f>
        <v>#REF!</v>
      </c>
      <c r="H296" s="1705" t="e">
        <f>IF('Pnj APBDES'!#REF!="","",'Pnj APBDES'!#REF!)</f>
        <v>#REF!</v>
      </c>
      <c r="I296" s="1679" t="e">
        <f>'Pnj APBDES'!#REF!</f>
        <v>#REF!</v>
      </c>
      <c r="J296" s="1650" t="e">
        <f>IF('Pnj APBDES'!#REF!="","",'Pnj APBDES'!#REF!)</f>
        <v>#REF!</v>
      </c>
      <c r="K296" s="1619">
        <f>RKA!K248</f>
        <v>0</v>
      </c>
      <c r="L296" s="1619">
        <f>RKA!L248</f>
        <v>0</v>
      </c>
      <c r="M296" s="1619">
        <f>RKA!M248</f>
        <v>0</v>
      </c>
      <c r="N296" s="1619">
        <f>RKA!N248</f>
        <v>0</v>
      </c>
      <c r="O296" s="1619">
        <f>RKA!O248</f>
        <v>0</v>
      </c>
      <c r="P296" s="1619">
        <f>RKA!P248</f>
        <v>0</v>
      </c>
      <c r="Q296" s="1619">
        <f>RKA!Q248</f>
        <v>0</v>
      </c>
      <c r="R296" s="1619">
        <f>RKA!R248</f>
        <v>0</v>
      </c>
      <c r="S296" s="1619">
        <f>RKA!S248</f>
        <v>0</v>
      </c>
      <c r="T296" s="1619">
        <f>RKA!T248</f>
        <v>0</v>
      </c>
      <c r="U296" s="1619">
        <f>RKA!U248</f>
        <v>0</v>
      </c>
      <c r="V296" s="1619">
        <f>RKA!V248</f>
        <v>0</v>
      </c>
      <c r="W296" s="1619">
        <f t="shared" si="29"/>
        <v>0</v>
      </c>
    </row>
    <row r="297" spans="1:23">
      <c r="A297" s="1715" t="e">
        <f>IF('Pnj APBDES'!#REF!="","",'Pnj APBDES'!#REF!)</f>
        <v>#REF!</v>
      </c>
      <c r="B297" s="1716" t="e">
        <f>IF('Pnj APBDES'!#REF!="","",'Pnj APBDES'!#REF!)</f>
        <v>#REF!</v>
      </c>
      <c r="C297" s="1716" t="e">
        <f>IF('Pnj APBDES'!#REF!="","",'Pnj APBDES'!#REF!)</f>
        <v>#REF!</v>
      </c>
      <c r="D297" s="1698" t="e">
        <f>IF('Pnj APBDES'!#REF!="","",'Pnj APBDES'!#REF!)</f>
        <v>#REF!</v>
      </c>
      <c r="E297" s="1698" t="e">
        <f>IF('Pnj APBDES'!#REF!="","",'Pnj APBDES'!#REF!)</f>
        <v>#REF!</v>
      </c>
      <c r="F297" s="1698" t="e">
        <f>IF('Pnj APBDES'!#REF!="","",'Pnj APBDES'!#REF!)</f>
        <v>#REF!</v>
      </c>
      <c r="G297" s="1698" t="e">
        <f>IF('Pnj APBDES'!#REF!="","",'Pnj APBDES'!#REF!)</f>
        <v>#REF!</v>
      </c>
      <c r="H297" s="1717" t="e">
        <f>IF('Pnj APBDES'!#REF!="","",'Pnj APBDES'!#REF!)</f>
        <v>#REF!</v>
      </c>
      <c r="I297" s="1679" t="e">
        <f>'Pnj APBDES'!#REF!</f>
        <v>#REF!</v>
      </c>
      <c r="J297" s="1650" t="e">
        <f>IF('Pnj APBDES'!#REF!="","",'Pnj APBDES'!#REF!)</f>
        <v>#REF!</v>
      </c>
      <c r="K297" s="1619">
        <f>RKA!K249</f>
        <v>0</v>
      </c>
      <c r="L297" s="1619">
        <f>RKA!L249</f>
        <v>0</v>
      </c>
      <c r="M297" s="1619">
        <f>RKA!M249</f>
        <v>0</v>
      </c>
      <c r="N297" s="1619">
        <f>RKA!N249</f>
        <v>0</v>
      </c>
      <c r="O297" s="1619">
        <f>RKA!O249</f>
        <v>0</v>
      </c>
      <c r="P297" s="1619">
        <f>RKA!P249</f>
        <v>0</v>
      </c>
      <c r="Q297" s="1619">
        <f>RKA!Q249</f>
        <v>0</v>
      </c>
      <c r="R297" s="1619">
        <f>RKA!R249</f>
        <v>0</v>
      </c>
      <c r="S297" s="1619">
        <f>RKA!S249</f>
        <v>1260000</v>
      </c>
      <c r="T297" s="1619">
        <f>RKA!T249</f>
        <v>0</v>
      </c>
      <c r="U297" s="1619">
        <f>RKA!U249</f>
        <v>0</v>
      </c>
      <c r="V297" s="1619">
        <f>RKA!V249</f>
        <v>0</v>
      </c>
      <c r="W297" s="1619">
        <f t="shared" si="29"/>
        <v>1260000</v>
      </c>
    </row>
    <row r="298" spans="1:23">
      <c r="A298" s="1699" t="e">
        <f>IF('Pnj APBDES'!#REF!="","",'Pnj APBDES'!#REF!)</f>
        <v>#REF!</v>
      </c>
      <c r="B298" s="1687" t="e">
        <f>IF('Pnj APBDES'!#REF!="","",'Pnj APBDES'!#REF!)</f>
        <v>#REF!</v>
      </c>
      <c r="C298" s="1687" t="e">
        <f>IF('Pnj APBDES'!#REF!="","",'Pnj APBDES'!#REF!)</f>
        <v>#REF!</v>
      </c>
      <c r="D298" s="1676" t="e">
        <f>IF('Pnj APBDES'!#REF!="","",'Pnj APBDES'!#REF!)</f>
        <v>#REF!</v>
      </c>
      <c r="E298" s="1676" t="e">
        <f>IF('Pnj APBDES'!#REF!="","",'Pnj APBDES'!#REF!)</f>
        <v>#REF!</v>
      </c>
      <c r="F298" s="1676" t="e">
        <f>IF('Pnj APBDES'!#REF!="","",'Pnj APBDES'!#REF!)</f>
        <v>#REF!</v>
      </c>
      <c r="G298" s="1698" t="e">
        <f>IF('Pnj APBDES'!#REF!="","",'Pnj APBDES'!#REF!)</f>
        <v>#REF!</v>
      </c>
      <c r="H298" s="1705" t="e">
        <f>IF('Pnj APBDES'!#REF!="","",'Pnj APBDES'!#REF!)</f>
        <v>#REF!</v>
      </c>
      <c r="I298" s="1679" t="e">
        <f>'Pnj APBDES'!#REF!</f>
        <v>#REF!</v>
      </c>
      <c r="J298" s="1650" t="e">
        <f>IF('Pnj APBDES'!#REF!="","",'Pnj APBDES'!#REF!)</f>
        <v>#REF!</v>
      </c>
      <c r="K298" s="1619">
        <f>RKA!K250</f>
        <v>0</v>
      </c>
      <c r="L298" s="1619">
        <f>RKA!L250</f>
        <v>0</v>
      </c>
      <c r="M298" s="1619">
        <f>RKA!M250</f>
        <v>0</v>
      </c>
      <c r="N298" s="1619">
        <f>RKA!N250</f>
        <v>0</v>
      </c>
      <c r="O298" s="1619">
        <f>RKA!O250</f>
        <v>0</v>
      </c>
      <c r="P298" s="1619">
        <f>RKA!P250</f>
        <v>0</v>
      </c>
      <c r="Q298" s="1619">
        <f>RKA!Q250</f>
        <v>0</v>
      </c>
      <c r="R298" s="1619">
        <f>RKA!R250</f>
        <v>0</v>
      </c>
      <c r="S298" s="1619">
        <f>RKA!S250</f>
        <v>1500000</v>
      </c>
      <c r="T298" s="1619">
        <f>RKA!T250</f>
        <v>0</v>
      </c>
      <c r="U298" s="1619">
        <f>RKA!U250</f>
        <v>0</v>
      </c>
      <c r="V298" s="1619">
        <f>RKA!V250</f>
        <v>0</v>
      </c>
      <c r="W298" s="1619">
        <f t="shared" si="29"/>
        <v>1500000</v>
      </c>
    </row>
    <row r="299" spans="1:23">
      <c r="A299" s="1672">
        <f>IF('Pnj APBDES'!A286="","",'Pnj APBDES'!A286)</f>
        <v>4</v>
      </c>
      <c r="B299" s="1673">
        <f>IF('Pnj APBDES'!B286="","",'Pnj APBDES'!B286)</f>
        <v>4</v>
      </c>
      <c r="C299" s="1673" t="str">
        <f>IF('Pnj APBDES'!C286="","",'Pnj APBDES'!C286)</f>
        <v/>
      </c>
      <c r="D299" s="1672" t="str">
        <f>IF('Pnj APBDES'!D286="","",'Pnj APBDES'!D286)</f>
        <v/>
      </c>
      <c r="E299" s="1672" t="str">
        <f>IF('Pnj APBDES'!E286="","",'Pnj APBDES'!E286)</f>
        <v/>
      </c>
      <c r="F299" s="1672" t="str">
        <f>IF('Pnj APBDES'!F286="","",'Pnj APBDES'!F286)</f>
        <v/>
      </c>
      <c r="G299" s="1672" t="str">
        <f>IF('Pnj APBDES'!G286="","",'Pnj APBDES'!G286)</f>
        <v/>
      </c>
      <c r="H299" s="1706" t="str">
        <f>IF('Pnj APBDES'!H286="","",'Pnj APBDES'!H286)</f>
        <v>Kelautan dan perikanan</v>
      </c>
      <c r="I299" s="1675">
        <f>'Pnj APBDES'!K286</f>
        <v>17600000</v>
      </c>
      <c r="J299" s="1650" t="str">
        <f>IF('Pnj APBDES'!N286="","",'Pnj APBDES'!N286)</f>
        <v/>
      </c>
      <c r="K299" s="1619">
        <f>RKA!K251</f>
        <v>0</v>
      </c>
      <c r="L299" s="1619">
        <f>RKA!L251</f>
        <v>0</v>
      </c>
      <c r="M299" s="1619">
        <f>RKA!M251</f>
        <v>0</v>
      </c>
      <c r="N299" s="1619">
        <f>RKA!N251</f>
        <v>0</v>
      </c>
      <c r="O299" s="1619">
        <f>RKA!O251</f>
        <v>0</v>
      </c>
      <c r="P299" s="1619">
        <f>RKA!P251</f>
        <v>0</v>
      </c>
      <c r="Q299" s="1619">
        <f>RKA!Q251</f>
        <v>0</v>
      </c>
      <c r="R299" s="1619">
        <f>RKA!R251</f>
        <v>20000000</v>
      </c>
      <c r="S299" s="1619">
        <f>RKA!S251</f>
        <v>0</v>
      </c>
      <c r="T299" s="1619">
        <f>RKA!T251</f>
        <v>0</v>
      </c>
      <c r="U299" s="1619">
        <f>RKA!U251</f>
        <v>0</v>
      </c>
      <c r="V299" s="1619">
        <f>RKA!V251</f>
        <v>0</v>
      </c>
      <c r="W299" s="1619">
        <f t="shared" si="29"/>
        <v>20000000</v>
      </c>
    </row>
    <row r="300" spans="1:23">
      <c r="A300" s="1672">
        <f>IF('Pnj APBDES'!A287="","",'Pnj APBDES'!A287)</f>
        <v>4</v>
      </c>
      <c r="B300" s="1673">
        <f>IF('Pnj APBDES'!B287="","",'Pnj APBDES'!B287)</f>
        <v>4</v>
      </c>
      <c r="C300" s="1673" t="str">
        <f>IF('Pnj APBDES'!C287="","",'Pnj APBDES'!C287)</f>
        <v>01</v>
      </c>
      <c r="D300" s="1672">
        <f>IF('Pnj APBDES'!D287="","",'Pnj APBDES'!D287)</f>
        <v>5</v>
      </c>
      <c r="E300" s="1672" t="str">
        <f>IF('Pnj APBDES'!E287="","",'Pnj APBDES'!E287)</f>
        <v/>
      </c>
      <c r="F300" s="1672" t="str">
        <f>IF('Pnj APBDES'!F287="","",'Pnj APBDES'!F287)</f>
        <v/>
      </c>
      <c r="G300" s="1672" t="str">
        <f>IF('Pnj APBDES'!G287="","",'Pnj APBDES'!G287)</f>
        <v/>
      </c>
      <c r="H300" s="1706" t="str">
        <f>IF('Pnj APBDES'!H287="","",'Pnj APBDES'!H287)</f>
        <v>Bimtek/Pelatihan/Pengenalan TTG Untuk Perikanan Darat/Nelayan</v>
      </c>
      <c r="I300" s="1675">
        <f>'Pnj APBDES'!K287</f>
        <v>17600000</v>
      </c>
      <c r="J300" s="1650" t="str">
        <f>IF('Pnj APBDES'!N287="","",'Pnj APBDES'!N287)</f>
        <v/>
      </c>
      <c r="K300" s="1619">
        <f>RKA!K252</f>
        <v>0</v>
      </c>
      <c r="L300" s="1619">
        <f>RKA!L252</f>
        <v>0</v>
      </c>
      <c r="M300" s="1619">
        <f>RKA!M252</f>
        <v>0</v>
      </c>
      <c r="N300" s="1619">
        <f>RKA!N252</f>
        <v>0</v>
      </c>
      <c r="O300" s="1619">
        <f>RKA!O252</f>
        <v>0</v>
      </c>
      <c r="P300" s="1619">
        <f>RKA!P252</f>
        <v>0</v>
      </c>
      <c r="Q300" s="1619">
        <f>RKA!Q252</f>
        <v>0</v>
      </c>
      <c r="R300" s="1619">
        <f>RKA!R252</f>
        <v>20000000</v>
      </c>
      <c r="S300" s="1619">
        <f>RKA!S252</f>
        <v>0</v>
      </c>
      <c r="T300" s="1619">
        <f>RKA!T252</f>
        <v>0</v>
      </c>
      <c r="U300" s="1619">
        <f>RKA!U252</f>
        <v>0</v>
      </c>
      <c r="V300" s="1619">
        <f>RKA!V252</f>
        <v>0</v>
      </c>
      <c r="W300" s="1619">
        <f t="shared" si="29"/>
        <v>20000000</v>
      </c>
    </row>
    <row r="301" spans="1:23">
      <c r="A301" s="1699">
        <f>IF('Pnj APBDES'!A288="","",'Pnj APBDES'!A288)</f>
        <v>4</v>
      </c>
      <c r="B301" s="1677">
        <f>IF('Pnj APBDES'!B288="","",'Pnj APBDES'!B288)</f>
        <v>4</v>
      </c>
      <c r="C301" s="1677" t="str">
        <f>IF('Pnj APBDES'!C288="","",'Pnj APBDES'!C288)</f>
        <v>01</v>
      </c>
      <c r="D301" s="1676">
        <f>IF('Pnj APBDES'!D288="","",'Pnj APBDES'!D288)</f>
        <v>5</v>
      </c>
      <c r="E301" s="1676">
        <f>IF('Pnj APBDES'!E288="","",'Pnj APBDES'!E288)</f>
        <v>2</v>
      </c>
      <c r="F301" s="1676" t="str">
        <f>IF('Pnj APBDES'!F288="","",'Pnj APBDES'!F288)</f>
        <v/>
      </c>
      <c r="G301" s="1676" t="str">
        <f>IF('Pnj APBDES'!G288="","",'Pnj APBDES'!G288)</f>
        <v/>
      </c>
      <c r="H301" s="1678" t="str">
        <f>IF('Pnj APBDES'!H288="","",'Pnj APBDES'!H288)</f>
        <v>Belanja Barang dan Jasa</v>
      </c>
      <c r="I301" s="1679">
        <f>'Pnj APBDES'!K288</f>
        <v>17600000</v>
      </c>
      <c r="J301" s="1650" t="str">
        <f>IF('Pnj APBDES'!N288="","",'Pnj APBDES'!N288)</f>
        <v>BPP</v>
      </c>
      <c r="K301" s="1619">
        <f>RKA!K253</f>
        <v>0</v>
      </c>
      <c r="L301" s="1619">
        <f>RKA!L253</f>
        <v>0</v>
      </c>
      <c r="M301" s="1619">
        <f>RKA!M253</f>
        <v>0</v>
      </c>
      <c r="N301" s="1619">
        <f>RKA!N253</f>
        <v>0</v>
      </c>
      <c r="O301" s="1619">
        <f>RKA!O253</f>
        <v>0</v>
      </c>
      <c r="P301" s="1619">
        <f>RKA!P253</f>
        <v>0</v>
      </c>
      <c r="Q301" s="1619">
        <f>RKA!Q253</f>
        <v>0</v>
      </c>
      <c r="R301" s="1619">
        <f>RKA!R253</f>
        <v>20000000</v>
      </c>
      <c r="S301" s="1619">
        <f>RKA!S253</f>
        <v>0</v>
      </c>
      <c r="T301" s="1619">
        <f>RKA!T253</f>
        <v>0</v>
      </c>
      <c r="U301" s="1619">
        <f>RKA!U253</f>
        <v>0</v>
      </c>
      <c r="V301" s="1619">
        <f>RKA!V253</f>
        <v>0</v>
      </c>
      <c r="W301" s="1619">
        <f t="shared" si="29"/>
        <v>20000000</v>
      </c>
    </row>
    <row r="302" spans="1:23">
      <c r="A302" s="1699">
        <f>IF('Pnj APBDES'!A289="","",'Pnj APBDES'!A289)</f>
        <v>4</v>
      </c>
      <c r="B302" s="1677">
        <f>IF('Pnj APBDES'!B289="","",'Pnj APBDES'!B289)</f>
        <v>4</v>
      </c>
      <c r="C302" s="1677" t="str">
        <f>IF('Pnj APBDES'!C289="","",'Pnj APBDES'!C289)</f>
        <v>01</v>
      </c>
      <c r="D302" s="1676">
        <f>IF('Pnj APBDES'!D289="","",'Pnj APBDES'!D289)</f>
        <v>5</v>
      </c>
      <c r="E302" s="1676">
        <f>IF('Pnj APBDES'!E289="","",'Pnj APBDES'!E289)</f>
        <v>2</v>
      </c>
      <c r="F302" s="1676">
        <f>IF('Pnj APBDES'!F289="","",'Pnj APBDES'!F289)</f>
        <v>1</v>
      </c>
      <c r="G302" s="1676" t="str">
        <f>IF('Pnj APBDES'!G289="","",'Pnj APBDES'!G289)</f>
        <v/>
      </c>
      <c r="H302" s="1678" t="str">
        <f>IF('Pnj APBDES'!H289="","",'Pnj APBDES'!H289)</f>
        <v>Belanja Barang Perlengkapan Kantor</v>
      </c>
      <c r="I302" s="1679">
        <f>'Pnj APBDES'!K289</f>
        <v>6820000</v>
      </c>
      <c r="J302" s="1650" t="str">
        <f>IF('Pnj APBDES'!N289="","",'Pnj APBDES'!N289)</f>
        <v/>
      </c>
      <c r="K302" s="1619">
        <f>RKA!K254</f>
        <v>0</v>
      </c>
      <c r="L302" s="1619">
        <f>RKA!L254</f>
        <v>0</v>
      </c>
      <c r="M302" s="1619">
        <f>RKA!M254</f>
        <v>0</v>
      </c>
      <c r="N302" s="1619">
        <f>RKA!N254</f>
        <v>0</v>
      </c>
      <c r="O302" s="1619">
        <f>RKA!O254</f>
        <v>0</v>
      </c>
      <c r="P302" s="1619">
        <f>RKA!P254</f>
        <v>0</v>
      </c>
      <c r="Q302" s="1619">
        <f>RKA!Q254</f>
        <v>0</v>
      </c>
      <c r="R302" s="1619">
        <f>RKA!R254</f>
        <v>11300000</v>
      </c>
      <c r="S302" s="1619">
        <f>RKA!S254</f>
        <v>0</v>
      </c>
      <c r="T302" s="1619">
        <f>RKA!T254</f>
        <v>0</v>
      </c>
      <c r="U302" s="1619">
        <f>RKA!U254</f>
        <v>0</v>
      </c>
      <c r="V302" s="1619">
        <f>RKA!V254</f>
        <v>0</v>
      </c>
      <c r="W302" s="1619">
        <f t="shared" si="29"/>
        <v>11300000</v>
      </c>
    </row>
    <row r="303" spans="1:23">
      <c r="A303" s="1699">
        <f>IF('Pnj APBDES'!A290="","",'Pnj APBDES'!A290)</f>
        <v>4</v>
      </c>
      <c r="B303" s="1677">
        <f>IF('Pnj APBDES'!B290="","",'Pnj APBDES'!B290)</f>
        <v>4</v>
      </c>
      <c r="C303" s="1677" t="str">
        <f>IF('Pnj APBDES'!C290="","",'Pnj APBDES'!C290)</f>
        <v>01</v>
      </c>
      <c r="D303" s="1676">
        <f>IF('Pnj APBDES'!D290="","",'Pnj APBDES'!D290)</f>
        <v>5</v>
      </c>
      <c r="E303" s="1676">
        <f>IF('Pnj APBDES'!E290="","",'Pnj APBDES'!E290)</f>
        <v>2</v>
      </c>
      <c r="F303" s="1676">
        <f>IF('Pnj APBDES'!F290="","",'Pnj APBDES'!F290)</f>
        <v>1</v>
      </c>
      <c r="G303" s="1676">
        <f>IF('Pnj APBDES'!G290="","",'Pnj APBDES'!G290)</f>
        <v>1</v>
      </c>
      <c r="H303" s="1718" t="str">
        <f>IF('Pnj APBDES'!H290="","",'Pnj APBDES'!H290)</f>
        <v>Belanja Perlengkapan Alat Tulis Kantor - Belanja Barang Pakai Habis</v>
      </c>
      <c r="I303" s="1679">
        <f>'Pnj APBDES'!K290</f>
        <v>1053000</v>
      </c>
      <c r="J303" s="1650" t="str">
        <f>IF('Pnj APBDES'!N290="","",'Pnj APBDES'!N290)</f>
        <v/>
      </c>
      <c r="K303" s="1619">
        <f>RKA!K255</f>
        <v>0</v>
      </c>
      <c r="L303" s="1619">
        <f>RKA!L255</f>
        <v>0</v>
      </c>
      <c r="M303" s="1619">
        <f>RKA!M255</f>
        <v>0</v>
      </c>
      <c r="N303" s="1619">
        <f>RKA!N255</f>
        <v>0</v>
      </c>
      <c r="O303" s="1619">
        <f>RKA!O255</f>
        <v>0</v>
      </c>
      <c r="P303" s="1619">
        <f>RKA!P255</f>
        <v>0</v>
      </c>
      <c r="Q303" s="1619">
        <f>RKA!Q255</f>
        <v>0</v>
      </c>
      <c r="R303" s="1619">
        <f>RKA!R255</f>
        <v>2307000</v>
      </c>
      <c r="S303" s="1619">
        <f>RKA!S255</f>
        <v>0</v>
      </c>
      <c r="T303" s="1619">
        <f>RKA!T255</f>
        <v>0</v>
      </c>
      <c r="U303" s="1619">
        <f>RKA!U255</f>
        <v>0</v>
      </c>
      <c r="V303" s="1619">
        <f>RKA!V255</f>
        <v>0</v>
      </c>
      <c r="W303" s="1619">
        <f t="shared" si="29"/>
        <v>2307000</v>
      </c>
    </row>
    <row r="304" spans="1:23" ht="24">
      <c r="A304" s="1699">
        <f>IF('Pnj APBDES'!A291="","",'Pnj APBDES'!A291)</f>
        <v>4</v>
      </c>
      <c r="B304" s="1677">
        <f>IF('Pnj APBDES'!B291="","",'Pnj APBDES'!B291)</f>
        <v>4</v>
      </c>
      <c r="C304" s="1677" t="str">
        <f>IF('Pnj APBDES'!C291="","",'Pnj APBDES'!C291)</f>
        <v>01</v>
      </c>
      <c r="D304" s="1676">
        <f>IF('Pnj APBDES'!D291="","",'Pnj APBDES'!D291)</f>
        <v>5</v>
      </c>
      <c r="E304" s="1676">
        <f>IF('Pnj APBDES'!E291="","",'Pnj APBDES'!E291)</f>
        <v>2</v>
      </c>
      <c r="F304" s="1676">
        <f>IF('Pnj APBDES'!F291="","",'Pnj APBDES'!F291)</f>
        <v>1</v>
      </c>
      <c r="G304" s="1676">
        <f>IF('Pnj APBDES'!G291="","",'Pnj APBDES'!G291)</f>
        <v>3</v>
      </c>
      <c r="H304" s="1678" t="str">
        <f>IF('Pnj APBDES'!H291="","",'Pnj APBDES'!H291)</f>
        <v>Belanja Perlengkapan Cetak/Penggandaan - Belanja Barang Cetak dan Penggandaan</v>
      </c>
      <c r="I304" s="1679">
        <f>'Pnj APBDES'!K291</f>
        <v>683000</v>
      </c>
      <c r="J304" s="1650" t="str">
        <f>IF('Pnj APBDES'!N291="","",'Pnj APBDES'!N291)</f>
        <v/>
      </c>
      <c r="K304" s="1619">
        <f>RKA!K256</f>
        <v>0</v>
      </c>
      <c r="L304" s="1619">
        <f>RKA!L256</f>
        <v>0</v>
      </c>
      <c r="M304" s="1619">
        <f>RKA!M256</f>
        <v>0</v>
      </c>
      <c r="N304" s="1619">
        <f>RKA!N256</f>
        <v>0</v>
      </c>
      <c r="O304" s="1619">
        <f>RKA!O256</f>
        <v>0</v>
      </c>
      <c r="P304" s="1619">
        <f>RKA!P256</f>
        <v>0</v>
      </c>
      <c r="Q304" s="1619">
        <f>RKA!Q256</f>
        <v>0</v>
      </c>
      <c r="R304" s="1619">
        <f>RKA!R256</f>
        <v>653000</v>
      </c>
      <c r="S304" s="1619">
        <f>RKA!S256</f>
        <v>0</v>
      </c>
      <c r="T304" s="1619">
        <f>RKA!T256</f>
        <v>0</v>
      </c>
      <c r="U304" s="1619">
        <f>RKA!U256</f>
        <v>0</v>
      </c>
      <c r="V304" s="1619">
        <f>RKA!V256</f>
        <v>0</v>
      </c>
      <c r="W304" s="1619">
        <f t="shared" si="29"/>
        <v>653000</v>
      </c>
    </row>
    <row r="305" spans="1:25" ht="24">
      <c r="A305" s="1699">
        <f>IF('Pnj APBDES'!A292="","",'Pnj APBDES'!A292)</f>
        <v>4</v>
      </c>
      <c r="B305" s="1677">
        <f>IF('Pnj APBDES'!B292="","",'Pnj APBDES'!B292)</f>
        <v>4</v>
      </c>
      <c r="C305" s="1677" t="str">
        <f>IF('Pnj APBDES'!C292="","",'Pnj APBDES'!C292)</f>
        <v>01</v>
      </c>
      <c r="D305" s="1676">
        <f>IF('Pnj APBDES'!D292="","",'Pnj APBDES'!D292)</f>
        <v>5</v>
      </c>
      <c r="E305" s="1676">
        <f>IF('Pnj APBDES'!E292="","",'Pnj APBDES'!E292)</f>
        <v>2</v>
      </c>
      <c r="F305" s="1676">
        <f>IF('Pnj APBDES'!F292="","",'Pnj APBDES'!F292)</f>
        <v>1</v>
      </c>
      <c r="G305" s="1676">
        <f>IF('Pnj APBDES'!G292="","",'Pnj APBDES'!G292)</f>
        <v>4</v>
      </c>
      <c r="H305" s="1678" t="str">
        <f>IF('Pnj APBDES'!H292="","",'Pnj APBDES'!H292)</f>
        <v>Belanja Perlengkapan Barang Konsumsi (Makan/minum) - Belanja Barang Konsumsi</v>
      </c>
      <c r="I305" s="1679">
        <f>'Pnj APBDES'!K292</f>
        <v>2604000</v>
      </c>
      <c r="J305" s="1650" t="str">
        <f>IF('Pnj APBDES'!N292="","",'Pnj APBDES'!N292)</f>
        <v/>
      </c>
      <c r="K305" s="1619">
        <f>RKA!K257</f>
        <v>0</v>
      </c>
      <c r="L305" s="1619">
        <f>RKA!L257</f>
        <v>0</v>
      </c>
      <c r="M305" s="1619">
        <f>RKA!M257</f>
        <v>0</v>
      </c>
      <c r="N305" s="1619">
        <f>RKA!N257</f>
        <v>0</v>
      </c>
      <c r="O305" s="1619">
        <f>RKA!O257</f>
        <v>0</v>
      </c>
      <c r="P305" s="1619">
        <f>RKA!P257</f>
        <v>0</v>
      </c>
      <c r="Q305" s="1619">
        <f>RKA!Q257</f>
        <v>0</v>
      </c>
      <c r="R305" s="1619">
        <f>RKA!R257</f>
        <v>2840000</v>
      </c>
      <c r="S305" s="1619">
        <f>RKA!S257</f>
        <v>0</v>
      </c>
      <c r="T305" s="1619">
        <f>RKA!T257</f>
        <v>0</v>
      </c>
      <c r="U305" s="1619">
        <f>RKA!U257</f>
        <v>0</v>
      </c>
      <c r="V305" s="1619">
        <f>RKA!V257</f>
        <v>0</v>
      </c>
      <c r="W305" s="1619">
        <f t="shared" si="29"/>
        <v>2840000</v>
      </c>
    </row>
    <row r="306" spans="1:25">
      <c r="A306" s="1699">
        <f>IF('Pnj APBDES'!A293="","",'Pnj APBDES'!A293)</f>
        <v>4</v>
      </c>
      <c r="B306" s="1677">
        <f>IF('Pnj APBDES'!B293="","",'Pnj APBDES'!B293)</f>
        <v>4</v>
      </c>
      <c r="C306" s="1677" t="str">
        <f>IF('Pnj APBDES'!C293="","",'Pnj APBDES'!C293)</f>
        <v>01</v>
      </c>
      <c r="D306" s="1676">
        <f>IF('Pnj APBDES'!D293="","",'Pnj APBDES'!D293)</f>
        <v>5</v>
      </c>
      <c r="E306" s="1676">
        <f>IF('Pnj APBDES'!E293="","",'Pnj APBDES'!E293)</f>
        <v>2</v>
      </c>
      <c r="F306" s="1676">
        <f>IF('Pnj APBDES'!F293="","",'Pnj APBDES'!F293)</f>
        <v>1</v>
      </c>
      <c r="G306" s="1676">
        <f>IF('Pnj APBDES'!G293="","",'Pnj APBDES'!G293)</f>
        <v>5</v>
      </c>
      <c r="H306" s="1678" t="str">
        <f>IF('Pnj APBDES'!H293="","",'Pnj APBDES'!H293)</f>
        <v>Belanja Pakaian Seragam</v>
      </c>
      <c r="I306" s="1679">
        <f>'Pnj APBDES'!K293</f>
        <v>2480000</v>
      </c>
      <c r="J306" s="1650" t="str">
        <f>IF('Pnj APBDES'!N293="","",'Pnj APBDES'!N293)</f>
        <v/>
      </c>
      <c r="K306" s="1619">
        <f>RKA!K258</f>
        <v>0</v>
      </c>
      <c r="L306" s="1619">
        <f>RKA!L258</f>
        <v>0</v>
      </c>
      <c r="M306" s="1619">
        <f>RKA!M258</f>
        <v>0</v>
      </c>
      <c r="N306" s="1619">
        <f>RKA!N258</f>
        <v>0</v>
      </c>
      <c r="O306" s="1619">
        <f>RKA!O258</f>
        <v>0</v>
      </c>
      <c r="P306" s="1619">
        <f>RKA!P258</f>
        <v>0</v>
      </c>
      <c r="Q306" s="1619">
        <f>RKA!Q258</f>
        <v>0</v>
      </c>
      <c r="R306" s="1619">
        <f>RKA!R258</f>
        <v>5500000</v>
      </c>
      <c r="S306" s="1619">
        <f>RKA!S258</f>
        <v>0</v>
      </c>
      <c r="T306" s="1619">
        <f>RKA!T258</f>
        <v>0</v>
      </c>
      <c r="U306" s="1619">
        <f>RKA!U258</f>
        <v>0</v>
      </c>
      <c r="V306" s="1619">
        <f>RKA!V258</f>
        <v>0</v>
      </c>
      <c r="W306" s="1619">
        <f t="shared" si="29"/>
        <v>5500000</v>
      </c>
    </row>
    <row r="307" spans="1:25">
      <c r="A307" s="1699">
        <f>IF('Pnj APBDES'!A294="","",'Pnj APBDES'!A294)</f>
        <v>4</v>
      </c>
      <c r="B307" s="1677">
        <f>IF('Pnj APBDES'!B294="","",'Pnj APBDES'!B294)</f>
        <v>4</v>
      </c>
      <c r="C307" s="1677" t="str">
        <f>IF('Pnj APBDES'!C294="","",'Pnj APBDES'!C294)</f>
        <v>01</v>
      </c>
      <c r="D307" s="1676">
        <f>IF('Pnj APBDES'!D294="","",'Pnj APBDES'!D294)</f>
        <v>5</v>
      </c>
      <c r="E307" s="1676">
        <f>IF('Pnj APBDES'!E294="","",'Pnj APBDES'!E294)</f>
        <v>2</v>
      </c>
      <c r="F307" s="1676">
        <f>IF('Pnj APBDES'!F294="","",'Pnj APBDES'!F294)</f>
        <v>1</v>
      </c>
      <c r="G307" s="1676">
        <f>IF('Pnj APBDES'!G294="","",'Pnj APBDES'!G294)</f>
        <v>9</v>
      </c>
      <c r="H307" s="1678" t="str">
        <f>IF('Pnj APBDES'!H294="","",'Pnj APBDES'!H294)</f>
        <v>Belanja Barang Perlengkapan Kantor Lainnya</v>
      </c>
      <c r="I307" s="1679">
        <f>'Pnj APBDES'!K294</f>
        <v>0</v>
      </c>
      <c r="J307" s="1650" t="str">
        <f>IF('Pnj APBDES'!N294="","",'Pnj APBDES'!N294)</f>
        <v/>
      </c>
      <c r="K307" s="1619">
        <f>RKA!K259</f>
        <v>0</v>
      </c>
      <c r="L307" s="1619">
        <f>RKA!L259</f>
        <v>0</v>
      </c>
      <c r="M307" s="1619">
        <f>RKA!M259</f>
        <v>0</v>
      </c>
      <c r="N307" s="1619">
        <f>RKA!N259</f>
        <v>0</v>
      </c>
      <c r="O307" s="1619">
        <f>RKA!O259</f>
        <v>0</v>
      </c>
      <c r="P307" s="1619">
        <f>RKA!P259</f>
        <v>0</v>
      </c>
      <c r="Q307" s="1619">
        <f>RKA!Q259</f>
        <v>0</v>
      </c>
      <c r="R307" s="1619">
        <f>RKA!R259</f>
        <v>0</v>
      </c>
      <c r="S307" s="1619">
        <f>RKA!S259</f>
        <v>0</v>
      </c>
      <c r="T307" s="1619">
        <f>RKA!T259</f>
        <v>0</v>
      </c>
      <c r="U307" s="1619">
        <f>RKA!U259</f>
        <v>0</v>
      </c>
      <c r="V307" s="1619">
        <f>RKA!V259</f>
        <v>0</v>
      </c>
      <c r="W307" s="1619">
        <f t="shared" si="29"/>
        <v>0</v>
      </c>
    </row>
    <row r="308" spans="1:25">
      <c r="A308" s="1699">
        <f>IF('Pnj APBDES'!A295="","",'Pnj APBDES'!A295)</f>
        <v>4</v>
      </c>
      <c r="B308" s="1677">
        <f>IF('Pnj APBDES'!B295="","",'Pnj APBDES'!B295)</f>
        <v>4</v>
      </c>
      <c r="C308" s="1677" t="str">
        <f>IF('Pnj APBDES'!C295="","",'Pnj APBDES'!C295)</f>
        <v>01</v>
      </c>
      <c r="D308" s="1676">
        <f>IF('Pnj APBDES'!D295="","",'Pnj APBDES'!D295)</f>
        <v>5</v>
      </c>
      <c r="E308" s="1676">
        <f>IF('Pnj APBDES'!E295="","",'Pnj APBDES'!E295)</f>
        <v>2</v>
      </c>
      <c r="F308" s="1676">
        <f>IF('Pnj APBDES'!F295="","",'Pnj APBDES'!F295)</f>
        <v>2</v>
      </c>
      <c r="G308" s="1676" t="str">
        <f>IF('Pnj APBDES'!G295="","",'Pnj APBDES'!G295)</f>
        <v/>
      </c>
      <c r="H308" s="1678" t="str">
        <f>IF('Pnj APBDES'!H295="","",'Pnj APBDES'!H295)</f>
        <v>Belanja Jasa Honorarium</v>
      </c>
      <c r="I308" s="1679">
        <f>'Pnj APBDES'!K295</f>
        <v>8520000</v>
      </c>
      <c r="J308" s="1650" t="str">
        <f>IF('Pnj APBDES'!N295="","",'Pnj APBDES'!N295)</f>
        <v/>
      </c>
      <c r="K308" s="1619">
        <f>RKA!K260</f>
        <v>0</v>
      </c>
      <c r="L308" s="1619">
        <f>RKA!L260</f>
        <v>0</v>
      </c>
      <c r="M308" s="1619">
        <f>RKA!M260</f>
        <v>0</v>
      </c>
      <c r="N308" s="1619">
        <f>RKA!N260</f>
        <v>0</v>
      </c>
      <c r="O308" s="1619">
        <f>RKA!O260</f>
        <v>0</v>
      </c>
      <c r="P308" s="1619">
        <f>RKA!P260</f>
        <v>0</v>
      </c>
      <c r="Q308" s="1619">
        <f>RKA!Q260</f>
        <v>0</v>
      </c>
      <c r="R308" s="1619">
        <f>RKA!R260</f>
        <v>8300000</v>
      </c>
      <c r="S308" s="1619">
        <f>RKA!S260</f>
        <v>0</v>
      </c>
      <c r="T308" s="1619">
        <f>RKA!T260</f>
        <v>0</v>
      </c>
      <c r="U308" s="1619">
        <f>RKA!U260</f>
        <v>0</v>
      </c>
      <c r="V308" s="1619">
        <f>RKA!V260</f>
        <v>0</v>
      </c>
      <c r="W308" s="1619">
        <f t="shared" si="29"/>
        <v>8300000</v>
      </c>
    </row>
    <row r="309" spans="1:25">
      <c r="A309" s="1699">
        <f>IF('Pnj APBDES'!A296="","",'Pnj APBDES'!A296)</f>
        <v>4</v>
      </c>
      <c r="B309" s="1677">
        <f>IF('Pnj APBDES'!B296="","",'Pnj APBDES'!B296)</f>
        <v>4</v>
      </c>
      <c r="C309" s="1677" t="str">
        <f>IF('Pnj APBDES'!C296="","",'Pnj APBDES'!C296)</f>
        <v>01</v>
      </c>
      <c r="D309" s="1676">
        <f>IF('Pnj APBDES'!D296="","",'Pnj APBDES'!D296)</f>
        <v>5</v>
      </c>
      <c r="E309" s="1676">
        <f>IF('Pnj APBDES'!E296="","",'Pnj APBDES'!E296)</f>
        <v>2</v>
      </c>
      <c r="F309" s="1676">
        <f>IF('Pnj APBDES'!F296="","",'Pnj APBDES'!F296)</f>
        <v>2</v>
      </c>
      <c r="G309" s="1676">
        <f>IF('Pnj APBDES'!G296="","",'Pnj APBDES'!G296)</f>
        <v>1</v>
      </c>
      <c r="H309" s="1678" t="str">
        <f>IF('Pnj APBDES'!H296="","",'Pnj APBDES'!H296)</f>
        <v>Belanja Jasa Honorarium Tim yang Melaksanakan Kegiatan</v>
      </c>
      <c r="I309" s="1679">
        <f>'Pnj APBDES'!K296</f>
        <v>1540000</v>
      </c>
      <c r="J309" s="1650" t="str">
        <f>IF('Pnj APBDES'!N296="","",'Pnj APBDES'!N296)</f>
        <v/>
      </c>
      <c r="K309" s="1619">
        <f>RKA!K261</f>
        <v>0</v>
      </c>
      <c r="L309" s="1619">
        <f>RKA!L261</f>
        <v>0</v>
      </c>
      <c r="M309" s="1619">
        <f>RKA!M261</f>
        <v>0</v>
      </c>
      <c r="N309" s="1619">
        <f>RKA!N261</f>
        <v>0</v>
      </c>
      <c r="O309" s="1619">
        <f>RKA!O261</f>
        <v>0</v>
      </c>
      <c r="P309" s="1619">
        <f>RKA!P261</f>
        <v>0</v>
      </c>
      <c r="Q309" s="1619">
        <f>RKA!Q261</f>
        <v>0</v>
      </c>
      <c r="R309" s="1619">
        <f>RKA!R261</f>
        <v>700000</v>
      </c>
      <c r="S309" s="1619">
        <f>RKA!S261</f>
        <v>0</v>
      </c>
      <c r="T309" s="1619">
        <f>RKA!T261</f>
        <v>0</v>
      </c>
      <c r="U309" s="1619">
        <f>RKA!U261</f>
        <v>0</v>
      </c>
      <c r="V309" s="1619">
        <f>RKA!V261</f>
        <v>0</v>
      </c>
      <c r="W309" s="1619">
        <f t="shared" si="29"/>
        <v>700000</v>
      </c>
    </row>
    <row r="310" spans="1:25">
      <c r="A310" s="1699">
        <f>IF('Pnj APBDES'!A297="","",'Pnj APBDES'!A297)</f>
        <v>4</v>
      </c>
      <c r="B310" s="1677">
        <f>IF('Pnj APBDES'!B297="","",'Pnj APBDES'!B297)</f>
        <v>4</v>
      </c>
      <c r="C310" s="1677" t="str">
        <f>IF('Pnj APBDES'!C297="","",'Pnj APBDES'!C297)</f>
        <v>01</v>
      </c>
      <c r="D310" s="1676">
        <f>IF('Pnj APBDES'!D297="","",'Pnj APBDES'!D297)</f>
        <v>5</v>
      </c>
      <c r="E310" s="1676">
        <f>IF('Pnj APBDES'!E297="","",'Pnj APBDES'!E297)</f>
        <v>2</v>
      </c>
      <c r="F310" s="1676">
        <f>IF('Pnj APBDES'!F297="","",'Pnj APBDES'!F297)</f>
        <v>2</v>
      </c>
      <c r="G310" s="1676">
        <f>IF('Pnj APBDES'!G297="","",'Pnj APBDES'!G297)</f>
        <v>4</v>
      </c>
      <c r="H310" s="1678" t="str">
        <f>IF('Pnj APBDES'!H297="","",'Pnj APBDES'!H297)</f>
        <v>Belanja Jasa Honorarium Ahli/Profesi/Konsultan</v>
      </c>
      <c r="I310" s="1679">
        <f>'Pnj APBDES'!K297</f>
        <v>4900000</v>
      </c>
      <c r="J310" s="1650" t="str">
        <f>IF('Pnj APBDES'!N297="","",'Pnj APBDES'!N297)</f>
        <v/>
      </c>
      <c r="K310" s="1619">
        <f>RKA!K262</f>
        <v>0</v>
      </c>
      <c r="L310" s="1619">
        <f>RKA!L262</f>
        <v>0</v>
      </c>
      <c r="M310" s="1619">
        <f>RKA!M262</f>
        <v>0</v>
      </c>
      <c r="N310" s="1619">
        <f>RKA!N262</f>
        <v>0</v>
      </c>
      <c r="O310" s="1619">
        <f>RKA!O262</f>
        <v>0</v>
      </c>
      <c r="P310" s="1619">
        <f>RKA!P262</f>
        <v>0</v>
      </c>
      <c r="Q310" s="1619">
        <f>RKA!Q262</f>
        <v>0</v>
      </c>
      <c r="R310" s="1619">
        <f>RKA!R262</f>
        <v>5200000</v>
      </c>
      <c r="S310" s="1619">
        <f>RKA!S262</f>
        <v>0</v>
      </c>
      <c r="T310" s="1619">
        <f>RKA!T262</f>
        <v>0</v>
      </c>
      <c r="U310" s="1619">
        <f>RKA!U262</f>
        <v>0</v>
      </c>
      <c r="V310" s="1619">
        <f>RKA!V262</f>
        <v>0</v>
      </c>
      <c r="W310" s="1619">
        <f t="shared" si="29"/>
        <v>5200000</v>
      </c>
    </row>
    <row r="311" spans="1:25">
      <c r="A311" s="1699">
        <f>IF('Pnj APBDES'!A298="","",'Pnj APBDES'!A298)</f>
        <v>4</v>
      </c>
      <c r="B311" s="1677">
        <f>IF('Pnj APBDES'!B298="","",'Pnj APBDES'!B298)</f>
        <v>4</v>
      </c>
      <c r="C311" s="1677" t="str">
        <f>IF('Pnj APBDES'!C298="","",'Pnj APBDES'!C298)</f>
        <v>01</v>
      </c>
      <c r="D311" s="1676">
        <f>IF('Pnj APBDES'!D298="","",'Pnj APBDES'!D298)</f>
        <v>5</v>
      </c>
      <c r="E311" s="1676">
        <f>IF('Pnj APBDES'!E298="","",'Pnj APBDES'!E298)</f>
        <v>2</v>
      </c>
      <c r="F311" s="1676">
        <f>IF('Pnj APBDES'!F298="","",'Pnj APBDES'!F298)</f>
        <v>2</v>
      </c>
      <c r="G311" s="1676">
        <f>IF('Pnj APBDES'!G298="","",'Pnj APBDES'!G298)</f>
        <v>9</v>
      </c>
      <c r="H311" s="1678" t="str">
        <f>IF('Pnj APBDES'!H298="","",'Pnj APBDES'!H298)</f>
        <v>Belanja Jasa Honorarium Lainnya</v>
      </c>
      <c r="I311" s="1679">
        <f>'Pnj APBDES'!K298</f>
        <v>2080000</v>
      </c>
      <c r="J311" s="1650" t="str">
        <f>IF('Pnj APBDES'!N298="","",'Pnj APBDES'!N298)</f>
        <v/>
      </c>
      <c r="K311" s="1619">
        <f>RKA!K263</f>
        <v>0</v>
      </c>
      <c r="L311" s="1619">
        <f>RKA!L263</f>
        <v>0</v>
      </c>
      <c r="M311" s="1619">
        <f>RKA!M263</f>
        <v>0</v>
      </c>
      <c r="N311" s="1619">
        <f>RKA!N263</f>
        <v>0</v>
      </c>
      <c r="O311" s="1619">
        <f>RKA!O263</f>
        <v>0</v>
      </c>
      <c r="P311" s="1619">
        <f>RKA!P263</f>
        <v>0</v>
      </c>
      <c r="Q311" s="1619">
        <f>RKA!Q263</f>
        <v>0</v>
      </c>
      <c r="R311" s="1619">
        <f>RKA!R263</f>
        <v>2400000</v>
      </c>
      <c r="S311" s="1619">
        <f>RKA!S263</f>
        <v>0</v>
      </c>
      <c r="T311" s="1619">
        <f>RKA!T263</f>
        <v>0</v>
      </c>
      <c r="U311" s="1619">
        <f>RKA!U263</f>
        <v>0</v>
      </c>
      <c r="V311" s="1619">
        <f>RKA!V263</f>
        <v>0</v>
      </c>
      <c r="W311" s="1619">
        <f t="shared" si="29"/>
        <v>2400000</v>
      </c>
    </row>
    <row r="312" spans="1:25">
      <c r="A312" s="1699">
        <f>IF('Pnj APBDES'!A299="","",'Pnj APBDES'!A299)</f>
        <v>4</v>
      </c>
      <c r="B312" s="1687">
        <f>IF('Pnj APBDES'!B299="","",'Pnj APBDES'!B299)</f>
        <v>4</v>
      </c>
      <c r="C312" s="1687" t="str">
        <f>IF('Pnj APBDES'!C299="","",'Pnj APBDES'!C299)</f>
        <v>01</v>
      </c>
      <c r="D312" s="1676">
        <f>IF('Pnj APBDES'!D299="","",'Pnj APBDES'!D299)</f>
        <v>5</v>
      </c>
      <c r="E312" s="1676">
        <f>IF('Pnj APBDES'!E299="","",'Pnj APBDES'!E299)</f>
        <v>2</v>
      </c>
      <c r="F312" s="1676">
        <f>IF('Pnj APBDES'!F299="","",'Pnj APBDES'!F299)</f>
        <v>4</v>
      </c>
      <c r="G312" s="1676" t="str">
        <f>IF('Pnj APBDES'!G299="","",'Pnj APBDES'!G299)</f>
        <v/>
      </c>
      <c r="H312" s="1678" t="str">
        <f>IF('Pnj APBDES'!H299="","",'Pnj APBDES'!H299)</f>
        <v>Belanja jasa dan sewa</v>
      </c>
      <c r="I312" s="1679">
        <f>'Pnj APBDES'!K299</f>
        <v>2260000</v>
      </c>
      <c r="J312" s="1650" t="str">
        <f>IF('Pnj APBDES'!N299="","",'Pnj APBDES'!N299)</f>
        <v/>
      </c>
      <c r="K312" s="1619">
        <f>RKA!K264</f>
        <v>0</v>
      </c>
      <c r="L312" s="1619">
        <f>RKA!L264</f>
        <v>0</v>
      </c>
      <c r="M312" s="1619">
        <f>RKA!M264</f>
        <v>0</v>
      </c>
      <c r="N312" s="1619">
        <f>RKA!N264</f>
        <v>0</v>
      </c>
      <c r="O312" s="1619">
        <f>RKA!O264</f>
        <v>0</v>
      </c>
      <c r="P312" s="1619">
        <f>RKA!P264</f>
        <v>0</v>
      </c>
      <c r="Q312" s="1619">
        <f>RKA!Q264</f>
        <v>0</v>
      </c>
      <c r="R312" s="1619">
        <f>RKA!R264</f>
        <v>400000</v>
      </c>
      <c r="S312" s="1619">
        <f>RKA!S264</f>
        <v>0</v>
      </c>
      <c r="T312" s="1619">
        <f>RKA!T264</f>
        <v>0</v>
      </c>
      <c r="U312" s="1619">
        <f>RKA!U264</f>
        <v>0</v>
      </c>
      <c r="V312" s="1619">
        <f>RKA!V264</f>
        <v>0</v>
      </c>
      <c r="W312" s="1619">
        <f t="shared" si="29"/>
        <v>400000</v>
      </c>
    </row>
    <row r="313" spans="1:25">
      <c r="A313" s="1699">
        <f>IF('Pnj APBDES'!A300="","",'Pnj APBDES'!A300)</f>
        <v>4</v>
      </c>
      <c r="B313" s="1687">
        <f>IF('Pnj APBDES'!B300="","",'Pnj APBDES'!B300)</f>
        <v>4</v>
      </c>
      <c r="C313" s="1677" t="str">
        <f>IF('Pnj APBDES'!C300="","",'Pnj APBDES'!C300)</f>
        <v>01</v>
      </c>
      <c r="D313" s="1676">
        <f>IF('Pnj APBDES'!D300="","",'Pnj APBDES'!D300)</f>
        <v>5</v>
      </c>
      <c r="E313" s="1676">
        <f>IF('Pnj APBDES'!E300="","",'Pnj APBDES'!E300)</f>
        <v>2</v>
      </c>
      <c r="F313" s="1676">
        <f>IF('Pnj APBDES'!F300="","",'Pnj APBDES'!F300)</f>
        <v>4</v>
      </c>
      <c r="G313" s="1676">
        <f>IF('Pnj APBDES'!G300="","",'Pnj APBDES'!G300)</f>
        <v>2</v>
      </c>
      <c r="H313" s="1678" t="str">
        <f>IF('Pnj APBDES'!H300="","",'Pnj APBDES'!H300)</f>
        <v>Belanja jasa sewa peralatan/perlengkapan</v>
      </c>
      <c r="I313" s="1679">
        <f>'Pnj APBDES'!K300</f>
        <v>2260000</v>
      </c>
      <c r="J313" s="1650" t="str">
        <f>IF('Pnj APBDES'!N300="","",'Pnj APBDES'!N300)</f>
        <v/>
      </c>
      <c r="K313" s="1619">
        <f>RKA!K265</f>
        <v>0</v>
      </c>
      <c r="L313" s="1619">
        <f>RKA!L265</f>
        <v>0</v>
      </c>
      <c r="M313" s="1619">
        <f>RKA!M265</f>
        <v>0</v>
      </c>
      <c r="N313" s="1619">
        <f>RKA!N265</f>
        <v>0</v>
      </c>
      <c r="O313" s="1619">
        <f>RKA!O265</f>
        <v>0</v>
      </c>
      <c r="P313" s="1619">
        <f>RKA!P265</f>
        <v>0</v>
      </c>
      <c r="Q313" s="1619">
        <f>RKA!Q265</f>
        <v>0</v>
      </c>
      <c r="R313" s="1619">
        <f>RKA!R265</f>
        <v>400000</v>
      </c>
      <c r="S313" s="1619">
        <f>RKA!S265</f>
        <v>0</v>
      </c>
      <c r="T313" s="1619">
        <f>RKA!T265</f>
        <v>0</v>
      </c>
      <c r="U313" s="1619">
        <f>RKA!U265</f>
        <v>0</v>
      </c>
      <c r="V313" s="1619">
        <f>RKA!V265</f>
        <v>0</v>
      </c>
      <c r="W313" s="1619">
        <f t="shared" si="29"/>
        <v>400000</v>
      </c>
    </row>
    <row r="314" spans="1:25">
      <c r="A314" s="1669">
        <f>IF('Pnj APBDES'!A306="","",'Pnj APBDES'!A306)</f>
        <v>5</v>
      </c>
      <c r="B314" s="1697" t="str">
        <f>IF('Pnj APBDES'!B306="","",'Pnj APBDES'!B306)</f>
        <v/>
      </c>
      <c r="C314" s="1697" t="str">
        <f>IF('Pnj APBDES'!C306="","",'Pnj APBDES'!C306)</f>
        <v/>
      </c>
      <c r="D314" s="1669" t="str">
        <f>IF('Pnj APBDES'!D306="","",'Pnj APBDES'!D306)</f>
        <v/>
      </c>
      <c r="E314" s="1669" t="str">
        <f>IF('Pnj APBDES'!E306="","",'Pnj APBDES'!E306)</f>
        <v/>
      </c>
      <c r="F314" s="1669" t="str">
        <f>IF('Pnj APBDES'!F306="","",'Pnj APBDES'!F306)</f>
        <v/>
      </c>
      <c r="G314" s="1669" t="str">
        <f>IF('Pnj APBDES'!G306="","",'Pnj APBDES'!G306)</f>
        <v/>
      </c>
      <c r="H314" s="1670" t="str">
        <f>IF('Pnj APBDES'!H306="","",'Pnj APBDES'!H306)</f>
        <v>PENANGGULANGAN BENCANA, KEADAAN DARURAT DAN MENDESAK</v>
      </c>
      <c r="I314" s="1671">
        <f>'Pnj APBDES'!K306</f>
        <v>0</v>
      </c>
      <c r="J314" s="1650" t="str">
        <f>IF('Pnj APBDES'!N306="","",'Pnj APBDES'!N306)</f>
        <v/>
      </c>
      <c r="K314" s="1619">
        <f>RKA!K266</f>
        <v>0</v>
      </c>
      <c r="L314" s="1619">
        <f>RKA!L266</f>
        <v>0</v>
      </c>
      <c r="M314" s="1619">
        <f>RKA!M266</f>
        <v>0</v>
      </c>
      <c r="N314" s="1619">
        <f>RKA!N266</f>
        <v>0</v>
      </c>
      <c r="O314" s="1619">
        <f>RKA!O266</f>
        <v>0</v>
      </c>
      <c r="P314" s="1619">
        <f>RKA!P266</f>
        <v>0</v>
      </c>
      <c r="Q314" s="1619">
        <f>RKA!Q266</f>
        <v>0</v>
      </c>
      <c r="R314" s="1619">
        <f>RKA!R266</f>
        <v>0</v>
      </c>
      <c r="S314" s="1619">
        <f>RKA!S266</f>
        <v>0</v>
      </c>
      <c r="T314" s="1619">
        <f>RKA!T266</f>
        <v>0</v>
      </c>
      <c r="U314" s="1619">
        <f>RKA!U266</f>
        <v>0</v>
      </c>
      <c r="V314" s="1619">
        <f>RKA!V266</f>
        <v>0</v>
      </c>
      <c r="W314" s="1619">
        <f t="shared" si="29"/>
        <v>0</v>
      </c>
    </row>
    <row r="315" spans="1:25">
      <c r="A315" s="1672">
        <f>IF('Pnj APBDES'!A307="","",'Pnj APBDES'!A307)</f>
        <v>5</v>
      </c>
      <c r="B315" s="1673">
        <f>IF('Pnj APBDES'!B307="","",'Pnj APBDES'!B307)</f>
        <v>1</v>
      </c>
      <c r="C315" s="1672" t="str">
        <f>IF('Pnj APBDES'!C307="","",'Pnj APBDES'!C307)</f>
        <v/>
      </c>
      <c r="D315" s="1672" t="str">
        <f>IF('Pnj APBDES'!D307="","",'Pnj APBDES'!D307)</f>
        <v/>
      </c>
      <c r="E315" s="1672" t="str">
        <f>IF('Pnj APBDES'!E307="","",'Pnj APBDES'!E307)</f>
        <v/>
      </c>
      <c r="F315" s="1672" t="str">
        <f>IF('Pnj APBDES'!F307="","",'Pnj APBDES'!F307)</f>
        <v/>
      </c>
      <c r="G315" s="1672" t="str">
        <f>IF('Pnj APBDES'!G307="","",'Pnj APBDES'!G307)</f>
        <v/>
      </c>
      <c r="H315" s="1674" t="str">
        <f>IF('Pnj APBDES'!H307="","",'Pnj APBDES'!H307)</f>
        <v>Penanggulangan Bencana</v>
      </c>
      <c r="I315" s="1675">
        <f>'Pnj APBDES'!K307</f>
        <v>0</v>
      </c>
      <c r="J315" s="1650" t="str">
        <f>IF('Pnj APBDES'!N307="","",'Pnj APBDES'!N307)</f>
        <v>BPP</v>
      </c>
      <c r="K315" s="1619">
        <f>RKA!K267</f>
        <v>0</v>
      </c>
      <c r="L315" s="1619">
        <f>RKA!L267</f>
        <v>0</v>
      </c>
      <c r="M315" s="1619">
        <f>RKA!M267</f>
        <v>0</v>
      </c>
      <c r="N315" s="1619">
        <f>RKA!N267</f>
        <v>0</v>
      </c>
      <c r="O315" s="1619">
        <f>RKA!O267</f>
        <v>0</v>
      </c>
      <c r="P315" s="1619">
        <f>RKA!P267</f>
        <v>0</v>
      </c>
      <c r="Q315" s="1619">
        <f>RKA!Q267</f>
        <v>0</v>
      </c>
      <c r="R315" s="1619">
        <f>RKA!R267</f>
        <v>0</v>
      </c>
      <c r="S315" s="1619">
        <f>RKA!S267</f>
        <v>0</v>
      </c>
      <c r="T315" s="1619">
        <f>RKA!T267</f>
        <v>0</v>
      </c>
      <c r="U315" s="1619">
        <f>RKA!U267</f>
        <v>0</v>
      </c>
      <c r="V315" s="1619">
        <f>RKA!V267</f>
        <v>0</v>
      </c>
      <c r="W315" s="1619">
        <f t="shared" si="29"/>
        <v>0</v>
      </c>
    </row>
    <row r="316" spans="1:25">
      <c r="A316" s="1672">
        <f>IF('Pnj APBDES'!A309="","",'Pnj APBDES'!A309)</f>
        <v>5</v>
      </c>
      <c r="B316" s="1673">
        <f>IF('Pnj APBDES'!B309="","",'Pnj APBDES'!B309)</f>
        <v>2</v>
      </c>
      <c r="C316" s="1672" t="str">
        <f>IF('Pnj APBDES'!C309="","",'Pnj APBDES'!C309)</f>
        <v/>
      </c>
      <c r="D316" s="1672" t="str">
        <f>IF('Pnj APBDES'!D309="","",'Pnj APBDES'!D309)</f>
        <v/>
      </c>
      <c r="E316" s="1672" t="str">
        <f>IF('Pnj APBDES'!E309="","",'Pnj APBDES'!E309)</f>
        <v/>
      </c>
      <c r="F316" s="1672" t="str">
        <f>IF('Pnj APBDES'!F309="","",'Pnj APBDES'!F309)</f>
        <v/>
      </c>
      <c r="G316" s="1672" t="str">
        <f>IF('Pnj APBDES'!G309="","",'Pnj APBDES'!G309)</f>
        <v/>
      </c>
      <c r="H316" s="1674" t="str">
        <f>IF('Pnj APBDES'!H309="","",'Pnj APBDES'!H309)</f>
        <v>Keadaan Mendesak Desa</v>
      </c>
      <c r="I316" s="1675">
        <f>'Pnj APBDES'!K309</f>
        <v>0</v>
      </c>
      <c r="J316" s="1650" t="str">
        <f>IF('Pnj APBDES'!N309="","",'Pnj APBDES'!N309)</f>
        <v>DD</v>
      </c>
      <c r="K316" s="1619">
        <f>RKA!K268</f>
        <v>0</v>
      </c>
      <c r="L316" s="1619">
        <f>RKA!L268</f>
        <v>0</v>
      </c>
      <c r="M316" s="1619">
        <f>RKA!M268</f>
        <v>0</v>
      </c>
      <c r="N316" s="1619">
        <f>RKA!N268</f>
        <v>0</v>
      </c>
      <c r="O316" s="1619">
        <f>RKA!O268</f>
        <v>0</v>
      </c>
      <c r="P316" s="1619">
        <f>RKA!P268</f>
        <v>0</v>
      </c>
      <c r="Q316" s="1619">
        <f>RKA!Q268</f>
        <v>0</v>
      </c>
      <c r="R316" s="1619">
        <f>RKA!R268</f>
        <v>0</v>
      </c>
      <c r="S316" s="1619">
        <f>RKA!S268</f>
        <v>0</v>
      </c>
      <c r="T316" s="1619">
        <f>RKA!T268</f>
        <v>0</v>
      </c>
      <c r="U316" s="1619">
        <f>RKA!U268</f>
        <v>0</v>
      </c>
      <c r="V316" s="1619">
        <f>RKA!V268</f>
        <v>0</v>
      </c>
      <c r="W316" s="1619">
        <f t="shared" si="29"/>
        <v>0</v>
      </c>
    </row>
    <row r="317" spans="1:25">
      <c r="A317" s="1672" t="e">
        <f>IF('Pnj APBDES'!#REF!="","",'Pnj APBDES'!#REF!)</f>
        <v>#REF!</v>
      </c>
      <c r="B317" s="1672" t="e">
        <f>IF('Pnj APBDES'!#REF!="","",'Pnj APBDES'!#REF!)</f>
        <v>#REF!</v>
      </c>
      <c r="C317" s="1672" t="e">
        <f>IF('Pnj APBDES'!#REF!="","",'Pnj APBDES'!#REF!)</f>
        <v>#REF!</v>
      </c>
      <c r="D317" s="1672" t="e">
        <f>IF('Pnj APBDES'!#REF!="","",'Pnj APBDES'!#REF!)</f>
        <v>#REF!</v>
      </c>
      <c r="E317" s="1672" t="e">
        <f>IF('Pnj APBDES'!#REF!="","",'Pnj APBDES'!#REF!)</f>
        <v>#REF!</v>
      </c>
      <c r="F317" s="1672" t="e">
        <f>IF('Pnj APBDES'!#REF!="","",'Pnj APBDES'!#REF!)</f>
        <v>#REF!</v>
      </c>
      <c r="G317" s="1672" t="e">
        <f>IF('Pnj APBDES'!#REF!="","",'Pnj APBDES'!#REF!)</f>
        <v>#REF!</v>
      </c>
      <c r="H317" s="1674" t="e">
        <f>IF('Pnj APBDES'!#REF!="","",'Pnj APBDES'!#REF!)</f>
        <v>#REF!</v>
      </c>
      <c r="I317" s="1675" t="e">
        <f>'Pnj APBDES'!#REF!</f>
        <v>#REF!</v>
      </c>
      <c r="J317" s="1650" t="e">
        <f>IF('Pnj APBDES'!#REF!="","",'Pnj APBDES'!#REF!)</f>
        <v>#REF!</v>
      </c>
      <c r="K317" s="1619">
        <f>RKA!K269</f>
        <v>0</v>
      </c>
      <c r="L317" s="1619">
        <f>RKA!L269</f>
        <v>0</v>
      </c>
      <c r="M317" s="1619">
        <f>RKA!M269</f>
        <v>0</v>
      </c>
      <c r="N317" s="1619">
        <f>RKA!N269</f>
        <v>0</v>
      </c>
      <c r="O317" s="1619">
        <f>RKA!O269</f>
        <v>0</v>
      </c>
      <c r="P317" s="1619">
        <f>RKA!P269</f>
        <v>0</v>
      </c>
      <c r="Q317" s="1619">
        <f>RKA!Q269</f>
        <v>0</v>
      </c>
      <c r="R317" s="1619">
        <f>RKA!R269</f>
        <v>0</v>
      </c>
      <c r="S317" s="1619">
        <f>RKA!S269</f>
        <v>0</v>
      </c>
      <c r="T317" s="1619">
        <f>RKA!T269</f>
        <v>0</v>
      </c>
      <c r="U317" s="1619">
        <f>RKA!U269</f>
        <v>0</v>
      </c>
      <c r="V317" s="1619">
        <f>RKA!V269</f>
        <v>0</v>
      </c>
      <c r="W317" s="1619">
        <f t="shared" si="29"/>
        <v>0</v>
      </c>
    </row>
    <row r="318" spans="1:25">
      <c r="A318" s="1605"/>
      <c r="B318" s="1606"/>
      <c r="C318" s="1607"/>
      <c r="D318" s="1605"/>
      <c r="E318" s="1606"/>
      <c r="F318" s="1606"/>
      <c r="G318" s="1621"/>
      <c r="H318" s="1622" t="s">
        <v>10</v>
      </c>
      <c r="I318" s="1675">
        <f>'Pnj APBDES'!K311</f>
        <v>1536094000</v>
      </c>
      <c r="J318" s="1624"/>
      <c r="K318" s="1620" t="e">
        <f>K64+K166+K206+K263</f>
        <v>#REF!</v>
      </c>
      <c r="L318" s="1620" t="e">
        <f t="shared" ref="L318:V318" si="30">L64+L166+L206+L263</f>
        <v>#REF!</v>
      </c>
      <c r="M318" s="1620" t="e">
        <f t="shared" si="30"/>
        <v>#REF!</v>
      </c>
      <c r="N318" s="1620" t="e">
        <f t="shared" si="30"/>
        <v>#REF!</v>
      </c>
      <c r="O318" s="1620" t="e">
        <f t="shared" si="30"/>
        <v>#REF!</v>
      </c>
      <c r="P318" s="1620" t="e">
        <f t="shared" si="30"/>
        <v>#REF!</v>
      </c>
      <c r="Q318" s="1620" t="e">
        <f t="shared" si="30"/>
        <v>#REF!</v>
      </c>
      <c r="R318" s="1620" t="e">
        <f t="shared" si="30"/>
        <v>#REF!</v>
      </c>
      <c r="S318" s="1620" t="e">
        <f t="shared" si="30"/>
        <v>#REF!</v>
      </c>
      <c r="T318" s="1620" t="e">
        <f t="shared" si="30"/>
        <v>#REF!</v>
      </c>
      <c r="U318" s="1620" t="e">
        <f t="shared" si="30"/>
        <v>#REF!</v>
      </c>
      <c r="V318" s="1620" t="e">
        <f t="shared" si="30"/>
        <v>#REF!</v>
      </c>
      <c r="W318" s="1620" t="e">
        <f>SUM(K318:V318)</f>
        <v>#REF!</v>
      </c>
      <c r="Y318" s="1578" t="e">
        <f t="shared" ref="Y318:Y337" si="31">I318-W318</f>
        <v>#REF!</v>
      </c>
    </row>
    <row r="319" spans="1:25">
      <c r="A319" s="1605"/>
      <c r="B319" s="1606"/>
      <c r="C319" s="1607"/>
      <c r="D319" s="1605"/>
      <c r="E319" s="1606"/>
      <c r="F319" s="1606"/>
      <c r="G319" s="1621"/>
      <c r="H319" s="1622" t="s">
        <v>698</v>
      </c>
      <c r="I319" s="1624">
        <f>'Pnj APBDES'!K312</f>
        <v>0</v>
      </c>
      <c r="J319" s="1624"/>
      <c r="K319" s="1620" t="e">
        <f>K318-K339</f>
        <v>#REF!</v>
      </c>
      <c r="L319" s="1620" t="e">
        <f t="shared" ref="L319:V319" si="32">L318-L339</f>
        <v>#REF!</v>
      </c>
      <c r="M319" s="1620" t="e">
        <f t="shared" si="32"/>
        <v>#REF!</v>
      </c>
      <c r="N319" s="1620" t="e">
        <f t="shared" si="32"/>
        <v>#REF!</v>
      </c>
      <c r="O319" s="1620" t="e">
        <f t="shared" si="32"/>
        <v>#REF!</v>
      </c>
      <c r="P319" s="1620" t="e">
        <f t="shared" si="32"/>
        <v>#REF!</v>
      </c>
      <c r="Q319" s="1620" t="e">
        <f t="shared" si="32"/>
        <v>#REF!</v>
      </c>
      <c r="R319" s="1620" t="e">
        <f t="shared" si="32"/>
        <v>#REF!</v>
      </c>
      <c r="S319" s="1620" t="e">
        <f t="shared" si="32"/>
        <v>#REF!</v>
      </c>
      <c r="T319" s="1620" t="e">
        <f t="shared" si="32"/>
        <v>#REF!</v>
      </c>
      <c r="U319" s="1620" t="e">
        <f t="shared" si="32"/>
        <v>#REF!</v>
      </c>
      <c r="V319" s="1620" t="e">
        <f t="shared" si="32"/>
        <v>#REF!</v>
      </c>
      <c r="W319" s="1620" t="e">
        <f>SUM(K319:V319)</f>
        <v>#REF!</v>
      </c>
      <c r="Y319" s="1578" t="e">
        <f t="shared" si="31"/>
        <v>#REF!</v>
      </c>
    </row>
    <row r="320" spans="1:25">
      <c r="A320" s="1605"/>
      <c r="B320" s="1606"/>
      <c r="C320" s="1607"/>
      <c r="D320" s="1605"/>
      <c r="E320" s="1606"/>
      <c r="F320" s="1606"/>
      <c r="G320" s="1621"/>
      <c r="H320" s="1622"/>
      <c r="I320" s="1624"/>
      <c r="J320" s="1624"/>
      <c r="K320" s="1620"/>
      <c r="L320" s="1620"/>
      <c r="M320" s="1620"/>
      <c r="N320" s="1620"/>
      <c r="O320" s="1620"/>
      <c r="P320" s="1620"/>
      <c r="Q320" s="1620"/>
      <c r="R320" s="1620"/>
      <c r="S320" s="1620"/>
      <c r="T320" s="1620"/>
      <c r="U320" s="1620"/>
      <c r="V320" s="1620"/>
      <c r="W320" s="1620">
        <f t="shared" ref="W320:W338" si="33">SUM(K320:V320)</f>
        <v>0</v>
      </c>
      <c r="Y320" s="1578">
        <f t="shared" si="31"/>
        <v>0</v>
      </c>
    </row>
    <row r="321" spans="1:25">
      <c r="A321" s="1605" t="str">
        <f>IF('Pnj APBDES'!A314="","",'Pnj APBDES'!A314)</f>
        <v/>
      </c>
      <c r="B321" s="1605" t="str">
        <f>IF('Pnj APBDES'!B314="","",'Pnj APBDES'!B314)</f>
        <v/>
      </c>
      <c r="C321" s="1605" t="str">
        <f>IF('Pnj APBDES'!C314="","",'Pnj APBDES'!C314)</f>
        <v/>
      </c>
      <c r="D321" s="1605">
        <f>IF('Pnj APBDES'!D314="","",'Pnj APBDES'!D314)</f>
        <v>6</v>
      </c>
      <c r="E321" s="1605" t="str">
        <f>IF('Pnj APBDES'!E314="","",'Pnj APBDES'!E314)</f>
        <v/>
      </c>
      <c r="F321" s="1605" t="str">
        <f>IF('Pnj APBDES'!F314="","",'Pnj APBDES'!F314)</f>
        <v/>
      </c>
      <c r="G321" s="1605" t="str">
        <f>IF('Pnj APBDES'!G314="","",'Pnj APBDES'!G314)</f>
        <v/>
      </c>
      <c r="H321" s="1622" t="s">
        <v>11</v>
      </c>
      <c r="I321" s="1624">
        <f>'Pnj APBDES'!K314</f>
        <v>149845905.84</v>
      </c>
      <c r="J321" s="1624" t="str">
        <f>IF('Pnj APBDES'!N314="","",'Pnj APBDES'!N314)</f>
        <v/>
      </c>
      <c r="K321" s="1620">
        <f>RKA!K273</f>
        <v>0</v>
      </c>
      <c r="L321" s="1620">
        <f>RKA!L273</f>
        <v>0</v>
      </c>
      <c r="M321" s="1620">
        <f>RKA!M273</f>
        <v>0</v>
      </c>
      <c r="N321" s="1620">
        <f>RKA!N273</f>
        <v>0</v>
      </c>
      <c r="O321" s="1620">
        <f>RKA!O273</f>
        <v>0</v>
      </c>
      <c r="P321" s="1620">
        <f>RKA!P273</f>
        <v>0</v>
      </c>
      <c r="Q321" s="1620">
        <f>RKA!Q273</f>
        <v>0</v>
      </c>
      <c r="R321" s="1620">
        <f>RKA!R273</f>
        <v>0</v>
      </c>
      <c r="S321" s="1620">
        <f>RKA!S273</f>
        <v>0</v>
      </c>
      <c r="T321" s="1620">
        <f>RKA!T273</f>
        <v>20500000</v>
      </c>
      <c r="U321" s="1620">
        <f>RKA!U273</f>
        <v>0</v>
      </c>
      <c r="V321" s="1620">
        <f>RKA!V273</f>
        <v>0</v>
      </c>
      <c r="W321" s="1620">
        <f t="shared" si="33"/>
        <v>20500000</v>
      </c>
      <c r="Y321" s="1578">
        <f t="shared" si="31"/>
        <v>129345905.84</v>
      </c>
    </row>
    <row r="322" spans="1:25">
      <c r="A322" s="1605" t="str">
        <f>IF('Pnj APBDES'!A315="","",'Pnj APBDES'!A315)</f>
        <v/>
      </c>
      <c r="B322" s="1605" t="str">
        <f>IF('Pnj APBDES'!B315="","",'Pnj APBDES'!B315)</f>
        <v/>
      </c>
      <c r="C322" s="1605" t="str">
        <f>IF('Pnj APBDES'!C315="","",'Pnj APBDES'!C315)</f>
        <v/>
      </c>
      <c r="D322" s="1605">
        <f>IF('Pnj APBDES'!D315="","",'Pnj APBDES'!D315)</f>
        <v>6</v>
      </c>
      <c r="E322" s="1605">
        <f>IF('Pnj APBDES'!E315="","",'Pnj APBDES'!E315)</f>
        <v>1</v>
      </c>
      <c r="F322" s="1605" t="str">
        <f>IF('Pnj APBDES'!F315="","",'Pnj APBDES'!F315)</f>
        <v/>
      </c>
      <c r="G322" s="1605" t="str">
        <f>IF('Pnj APBDES'!G315="","",'Pnj APBDES'!G315)</f>
        <v/>
      </c>
      <c r="H322" s="1622" t="s">
        <v>16</v>
      </c>
      <c r="I322" s="1624">
        <f>'Pnj APBDES'!K315</f>
        <v>149845905.84</v>
      </c>
      <c r="J322" s="1624" t="str">
        <f>IF('Pnj APBDES'!N315="","",'Pnj APBDES'!N315)</f>
        <v/>
      </c>
      <c r="K322" s="1620">
        <f>RKA!K274</f>
        <v>0</v>
      </c>
      <c r="L322" s="1620">
        <f>RKA!L274</f>
        <v>0</v>
      </c>
      <c r="M322" s="1620">
        <f>RKA!M274</f>
        <v>0</v>
      </c>
      <c r="N322" s="1620">
        <f>RKA!N274</f>
        <v>0</v>
      </c>
      <c r="O322" s="1620">
        <f>RKA!O274</f>
        <v>0</v>
      </c>
      <c r="P322" s="1620">
        <f>RKA!P274</f>
        <v>0</v>
      </c>
      <c r="Q322" s="1620">
        <f>RKA!Q274</f>
        <v>0</v>
      </c>
      <c r="R322" s="1620">
        <f>RKA!R274</f>
        <v>0</v>
      </c>
      <c r="S322" s="1620">
        <f>RKA!S274</f>
        <v>0</v>
      </c>
      <c r="T322" s="1620">
        <f>RKA!T274</f>
        <v>60500000</v>
      </c>
      <c r="U322" s="1620">
        <f>RKA!U274</f>
        <v>0</v>
      </c>
      <c r="V322" s="1620">
        <f>RKA!V274</f>
        <v>0</v>
      </c>
      <c r="W322" s="1620">
        <f t="shared" si="33"/>
        <v>60500000</v>
      </c>
      <c r="Y322" s="1578">
        <f t="shared" si="31"/>
        <v>89345905.840000004</v>
      </c>
    </row>
    <row r="323" spans="1:25">
      <c r="A323" s="1605" t="str">
        <f>IF('Pnj APBDES'!A316="","",'Pnj APBDES'!A316)</f>
        <v/>
      </c>
      <c r="B323" s="1605" t="str">
        <f>IF('Pnj APBDES'!B316="","",'Pnj APBDES'!B316)</f>
        <v/>
      </c>
      <c r="C323" s="1605" t="str">
        <f>IF('Pnj APBDES'!C316="","",'Pnj APBDES'!C316)</f>
        <v/>
      </c>
      <c r="D323" s="1605">
        <f>IF('Pnj APBDES'!D316="","",'Pnj APBDES'!D316)</f>
        <v>6</v>
      </c>
      <c r="E323" s="1605">
        <f>IF('Pnj APBDES'!E316="","",'Pnj APBDES'!E316)</f>
        <v>1</v>
      </c>
      <c r="F323" s="1605">
        <f>IF('Pnj APBDES'!F316="","",'Pnj APBDES'!F316)</f>
        <v>1</v>
      </c>
      <c r="G323" s="1605" t="str">
        <f>IF('Pnj APBDES'!G316="","",'Pnj APBDES'!G316)</f>
        <v/>
      </c>
      <c r="H323" s="1622" t="s">
        <v>756</v>
      </c>
      <c r="I323" s="1624">
        <f>'Pnj APBDES'!K316</f>
        <v>149845905.84</v>
      </c>
      <c r="J323" s="1624" t="str">
        <f>IF('Pnj APBDES'!N316="","",'Pnj APBDES'!N316)</f>
        <v/>
      </c>
      <c r="K323" s="1620">
        <f>RKA!K275</f>
        <v>0</v>
      </c>
      <c r="L323" s="1620">
        <f>RKA!L275</f>
        <v>0</v>
      </c>
      <c r="M323" s="1620">
        <f>RKA!M275</f>
        <v>0</v>
      </c>
      <c r="N323" s="1620">
        <f>RKA!N275</f>
        <v>0</v>
      </c>
      <c r="O323" s="1620">
        <f>RKA!O275</f>
        <v>0</v>
      </c>
      <c r="P323" s="1620">
        <f>RKA!P275</f>
        <v>0</v>
      </c>
      <c r="Q323" s="1620">
        <f>RKA!Q275</f>
        <v>0</v>
      </c>
      <c r="R323" s="1620">
        <f>RKA!R275</f>
        <v>0</v>
      </c>
      <c r="S323" s="1620">
        <f>RKA!S275</f>
        <v>0</v>
      </c>
      <c r="T323" s="1620">
        <f>RKA!T275</f>
        <v>60500000</v>
      </c>
      <c r="U323" s="1620">
        <f>RKA!U275</f>
        <v>0</v>
      </c>
      <c r="V323" s="1620">
        <f>RKA!V275</f>
        <v>0</v>
      </c>
      <c r="W323" s="1620">
        <f t="shared" si="33"/>
        <v>60500000</v>
      </c>
      <c r="Y323" s="1578">
        <f t="shared" si="31"/>
        <v>89345905.840000004</v>
      </c>
    </row>
    <row r="324" spans="1:25">
      <c r="A324" s="1605" t="str">
        <f>IF('Pnj APBDES'!A317="","",'Pnj APBDES'!A317)</f>
        <v/>
      </c>
      <c r="B324" s="1605" t="str">
        <f>IF('Pnj APBDES'!B317="","",'Pnj APBDES'!B317)</f>
        <v/>
      </c>
      <c r="C324" s="1605" t="str">
        <f>IF('Pnj APBDES'!C317="","",'Pnj APBDES'!C317)</f>
        <v/>
      </c>
      <c r="D324" s="1605">
        <f>IF('Pnj APBDES'!D317="","",'Pnj APBDES'!D317)</f>
        <v>6</v>
      </c>
      <c r="E324" s="1605">
        <f>IF('Pnj APBDES'!E317="","",'Pnj APBDES'!E317)</f>
        <v>1</v>
      </c>
      <c r="F324" s="1605">
        <f>IF('Pnj APBDES'!F317="","",'Pnj APBDES'!F317)</f>
        <v>1</v>
      </c>
      <c r="G324" s="1605">
        <f>IF('Pnj APBDES'!G317="","",'Pnj APBDES'!G317)</f>
        <v>1</v>
      </c>
      <c r="H324" s="1622" t="s">
        <v>756</v>
      </c>
      <c r="I324" s="1624">
        <f>'Pnj APBDES'!K317</f>
        <v>149845905.84</v>
      </c>
      <c r="J324" s="1624" t="str">
        <f>IF('Pnj APBDES'!N317="","",'Pnj APBDES'!N317)</f>
        <v/>
      </c>
      <c r="K324" s="1620">
        <f>RKA!K276</f>
        <v>0</v>
      </c>
      <c r="L324" s="1620">
        <f>RKA!L276</f>
        <v>0</v>
      </c>
      <c r="M324" s="1620">
        <f>RKA!M276</f>
        <v>0</v>
      </c>
      <c r="N324" s="1620">
        <f>RKA!N276</f>
        <v>0</v>
      </c>
      <c r="O324" s="1620">
        <f>RKA!O276</f>
        <v>0</v>
      </c>
      <c r="P324" s="1620">
        <f>RKA!P276</f>
        <v>0</v>
      </c>
      <c r="Q324" s="1620">
        <f>RKA!Q276</f>
        <v>0</v>
      </c>
      <c r="R324" s="1620">
        <f>RKA!R276</f>
        <v>0</v>
      </c>
      <c r="S324" s="1620">
        <f>RKA!S276</f>
        <v>0</v>
      </c>
      <c r="T324" s="1620">
        <f>RKA!T276</f>
        <v>60500000</v>
      </c>
      <c r="U324" s="1620">
        <f>RKA!U276</f>
        <v>0</v>
      </c>
      <c r="V324" s="1620">
        <f>RKA!V276</f>
        <v>0</v>
      </c>
      <c r="W324" s="1620">
        <f t="shared" si="33"/>
        <v>60500000</v>
      </c>
      <c r="Y324" s="1578">
        <f t="shared" si="31"/>
        <v>89345905.840000004</v>
      </c>
    </row>
    <row r="325" spans="1:25">
      <c r="A325" s="1605" t="str">
        <f>IF('Pnj APBDES'!A318="","",'Pnj APBDES'!A318)</f>
        <v/>
      </c>
      <c r="B325" s="1605" t="str">
        <f>IF('Pnj APBDES'!B318="","",'Pnj APBDES'!B318)</f>
        <v/>
      </c>
      <c r="C325" s="1605" t="str">
        <f>IF('Pnj APBDES'!C318="","",'Pnj APBDES'!C318)</f>
        <v/>
      </c>
      <c r="D325" s="1605">
        <f>IF('Pnj APBDES'!D318="","",'Pnj APBDES'!D318)</f>
        <v>6</v>
      </c>
      <c r="E325" s="1605">
        <f>IF('Pnj APBDES'!E318="","",'Pnj APBDES'!E318)</f>
        <v>1</v>
      </c>
      <c r="F325" s="1605">
        <f>IF('Pnj APBDES'!F318="","",'Pnj APBDES'!F318)</f>
        <v>2</v>
      </c>
      <c r="G325" s="1605" t="str">
        <f>IF('Pnj APBDES'!G318="","",'Pnj APBDES'!G318)</f>
        <v/>
      </c>
      <c r="H325" s="1622" t="s">
        <v>17</v>
      </c>
      <c r="I325" s="1624">
        <f>'Pnj APBDES'!K318</f>
        <v>0</v>
      </c>
      <c r="J325" s="1624" t="str">
        <f>IF('Pnj APBDES'!N318="","",'Pnj APBDES'!N318)</f>
        <v/>
      </c>
      <c r="K325" s="1620">
        <f>RKA!K277</f>
        <v>0</v>
      </c>
      <c r="L325" s="1620">
        <f>RKA!L277</f>
        <v>0</v>
      </c>
      <c r="M325" s="1620">
        <f>RKA!M277</f>
        <v>0</v>
      </c>
      <c r="N325" s="1620">
        <f>RKA!N277</f>
        <v>0</v>
      </c>
      <c r="O325" s="1620">
        <f>RKA!O277</f>
        <v>0</v>
      </c>
      <c r="P325" s="1620">
        <f>RKA!P277</f>
        <v>0</v>
      </c>
      <c r="Q325" s="1620">
        <f>RKA!Q277</f>
        <v>0</v>
      </c>
      <c r="R325" s="1620">
        <f>RKA!R277</f>
        <v>0</v>
      </c>
      <c r="S325" s="1620">
        <f>RKA!S277</f>
        <v>0</v>
      </c>
      <c r="T325" s="1620">
        <f>RKA!T277</f>
        <v>0</v>
      </c>
      <c r="U325" s="1620">
        <f>RKA!U277</f>
        <v>0</v>
      </c>
      <c r="V325" s="1620">
        <f>RKA!V277</f>
        <v>0</v>
      </c>
      <c r="W325" s="1620">
        <f t="shared" si="33"/>
        <v>0</v>
      </c>
      <c r="Y325" s="1578">
        <f t="shared" si="31"/>
        <v>0</v>
      </c>
    </row>
    <row r="326" spans="1:25">
      <c r="A326" s="1605" t="str">
        <f>IF('Pnj APBDES'!A319="","",'Pnj APBDES'!A319)</f>
        <v/>
      </c>
      <c r="B326" s="1605" t="str">
        <f>IF('Pnj APBDES'!B319="","",'Pnj APBDES'!B319)</f>
        <v/>
      </c>
      <c r="C326" s="1605" t="str">
        <f>IF('Pnj APBDES'!C319="","",'Pnj APBDES'!C319)</f>
        <v/>
      </c>
      <c r="D326" s="1605">
        <f>IF('Pnj APBDES'!D319="","",'Pnj APBDES'!D319)</f>
        <v>6</v>
      </c>
      <c r="E326" s="1605">
        <f>IF('Pnj APBDES'!E319="","",'Pnj APBDES'!E319)</f>
        <v>1</v>
      </c>
      <c r="F326" s="1605">
        <f>IF('Pnj APBDES'!F319="","",'Pnj APBDES'!F319)</f>
        <v>2</v>
      </c>
      <c r="G326" s="1605">
        <f>IF('Pnj APBDES'!G319="","",'Pnj APBDES'!G319)</f>
        <v>1</v>
      </c>
      <c r="H326" s="1622" t="s">
        <v>17</v>
      </c>
      <c r="I326" s="1624">
        <f>'Pnj APBDES'!K319</f>
        <v>0</v>
      </c>
      <c r="J326" s="1624" t="str">
        <f>IF('Pnj APBDES'!N319="","",'Pnj APBDES'!N319)</f>
        <v/>
      </c>
      <c r="K326" s="1620">
        <f>RKA!K278</f>
        <v>0</v>
      </c>
      <c r="L326" s="1620">
        <f>RKA!L278</f>
        <v>0</v>
      </c>
      <c r="M326" s="1620">
        <f>RKA!M278</f>
        <v>0</v>
      </c>
      <c r="N326" s="1620">
        <f>RKA!N278</f>
        <v>0</v>
      </c>
      <c r="O326" s="1620">
        <f>RKA!O278</f>
        <v>0</v>
      </c>
      <c r="P326" s="1620">
        <f>RKA!P278</f>
        <v>0</v>
      </c>
      <c r="Q326" s="1620">
        <f>RKA!Q278</f>
        <v>0</v>
      </c>
      <c r="R326" s="1620">
        <f>RKA!R278</f>
        <v>0</v>
      </c>
      <c r="S326" s="1620">
        <f>RKA!S278</f>
        <v>0</v>
      </c>
      <c r="T326" s="1620">
        <f>RKA!T278</f>
        <v>0</v>
      </c>
      <c r="U326" s="1620">
        <f>RKA!U278</f>
        <v>0</v>
      </c>
      <c r="V326" s="1620">
        <f>RKA!V278</f>
        <v>0</v>
      </c>
      <c r="W326" s="1620">
        <f t="shared" si="33"/>
        <v>0</v>
      </c>
      <c r="Y326" s="1578">
        <f t="shared" si="31"/>
        <v>0</v>
      </c>
    </row>
    <row r="327" spans="1:25">
      <c r="A327" s="1605" t="str">
        <f>IF('Pnj APBDES'!A320="","",'Pnj APBDES'!A320)</f>
        <v/>
      </c>
      <c r="B327" s="1605" t="str">
        <f>IF('Pnj APBDES'!B320="","",'Pnj APBDES'!B320)</f>
        <v/>
      </c>
      <c r="C327" s="1605" t="str">
        <f>IF('Pnj APBDES'!C320="","",'Pnj APBDES'!C320)</f>
        <v/>
      </c>
      <c r="D327" s="1605">
        <f>IF('Pnj APBDES'!D320="","",'Pnj APBDES'!D320)</f>
        <v>6</v>
      </c>
      <c r="E327" s="1605">
        <f>IF('Pnj APBDES'!E320="","",'Pnj APBDES'!E320)</f>
        <v>1</v>
      </c>
      <c r="F327" s="1605">
        <f>IF('Pnj APBDES'!F320="","",'Pnj APBDES'!F320)</f>
        <v>3</v>
      </c>
      <c r="G327" s="1605" t="str">
        <f>IF('Pnj APBDES'!G320="","",'Pnj APBDES'!G320)</f>
        <v/>
      </c>
      <c r="H327" s="1622" t="s">
        <v>757</v>
      </c>
      <c r="I327" s="1624">
        <f>'Pnj APBDES'!K320</f>
        <v>0</v>
      </c>
      <c r="J327" s="1624" t="str">
        <f>IF('Pnj APBDES'!N320="","",'Pnj APBDES'!N320)</f>
        <v/>
      </c>
      <c r="K327" s="1620">
        <f>RKA!K279</f>
        <v>0</v>
      </c>
      <c r="L327" s="1620">
        <f>RKA!L279</f>
        <v>0</v>
      </c>
      <c r="M327" s="1620">
        <f>RKA!M279</f>
        <v>0</v>
      </c>
      <c r="N327" s="1620">
        <f>RKA!N279</f>
        <v>0</v>
      </c>
      <c r="O327" s="1620">
        <f>RKA!O279</f>
        <v>0</v>
      </c>
      <c r="P327" s="1620">
        <f>RKA!P279</f>
        <v>0</v>
      </c>
      <c r="Q327" s="1620">
        <f>RKA!Q279</f>
        <v>0</v>
      </c>
      <c r="R327" s="1620">
        <f>RKA!R279</f>
        <v>0</v>
      </c>
      <c r="S327" s="1620">
        <f>RKA!S279</f>
        <v>0</v>
      </c>
      <c r="T327" s="1620">
        <f>RKA!T279</f>
        <v>0</v>
      </c>
      <c r="U327" s="1620">
        <f>RKA!U279</f>
        <v>0</v>
      </c>
      <c r="V327" s="1620">
        <f>RKA!V279</f>
        <v>0</v>
      </c>
      <c r="W327" s="1620">
        <f t="shared" si="33"/>
        <v>0</v>
      </c>
      <c r="Y327" s="1578">
        <f t="shared" si="31"/>
        <v>0</v>
      </c>
    </row>
    <row r="328" spans="1:25">
      <c r="A328" s="1605" t="str">
        <f>IF('Pnj APBDES'!A321="","",'Pnj APBDES'!A321)</f>
        <v/>
      </c>
      <c r="B328" s="1605" t="str">
        <f>IF('Pnj APBDES'!B321="","",'Pnj APBDES'!B321)</f>
        <v/>
      </c>
      <c r="C328" s="1605" t="str">
        <f>IF('Pnj APBDES'!C321="","",'Pnj APBDES'!C321)</f>
        <v/>
      </c>
      <c r="D328" s="1605">
        <f>IF('Pnj APBDES'!D321="","",'Pnj APBDES'!D321)</f>
        <v>6</v>
      </c>
      <c r="E328" s="1605">
        <f>IF('Pnj APBDES'!E321="","",'Pnj APBDES'!E321)</f>
        <v>1</v>
      </c>
      <c r="F328" s="1605">
        <f>IF('Pnj APBDES'!F321="","",'Pnj APBDES'!F321)</f>
        <v>3</v>
      </c>
      <c r="G328" s="1605">
        <f>IF('Pnj APBDES'!G321="","",'Pnj APBDES'!G321)</f>
        <v>1</v>
      </c>
      <c r="H328" s="1622" t="s">
        <v>757</v>
      </c>
      <c r="I328" s="1624">
        <f>'Pnj APBDES'!K321</f>
        <v>0</v>
      </c>
      <c r="J328" s="1624" t="str">
        <f>IF('Pnj APBDES'!N321="","",'Pnj APBDES'!N321)</f>
        <v/>
      </c>
      <c r="K328" s="1620">
        <f>RKA!K280</f>
        <v>0</v>
      </c>
      <c r="L328" s="1620">
        <f>RKA!L280</f>
        <v>0</v>
      </c>
      <c r="M328" s="1620">
        <f>RKA!M280</f>
        <v>0</v>
      </c>
      <c r="N328" s="1620">
        <f>RKA!N280</f>
        <v>0</v>
      </c>
      <c r="O328" s="1620">
        <f>RKA!O280</f>
        <v>0</v>
      </c>
      <c r="P328" s="1620">
        <f>RKA!P280</f>
        <v>0</v>
      </c>
      <c r="Q328" s="1620">
        <f>RKA!Q280</f>
        <v>0</v>
      </c>
      <c r="R328" s="1620">
        <f>RKA!R280</f>
        <v>0</v>
      </c>
      <c r="S328" s="1620">
        <f>RKA!S280</f>
        <v>0</v>
      </c>
      <c r="T328" s="1620">
        <f>RKA!T280</f>
        <v>0</v>
      </c>
      <c r="U328" s="1620">
        <f>RKA!U280</f>
        <v>0</v>
      </c>
      <c r="V328" s="1620">
        <f>RKA!V280</f>
        <v>0</v>
      </c>
      <c r="W328" s="1620">
        <f t="shared" si="33"/>
        <v>0</v>
      </c>
      <c r="Y328" s="1578">
        <f t="shared" si="31"/>
        <v>0</v>
      </c>
    </row>
    <row r="329" spans="1:25">
      <c r="A329" s="1605" t="str">
        <f>IF('Pnj APBDES'!A322="","",'Pnj APBDES'!A322)</f>
        <v/>
      </c>
      <c r="B329" s="1605" t="str">
        <f>IF('Pnj APBDES'!B322="","",'Pnj APBDES'!B322)</f>
        <v/>
      </c>
      <c r="C329" s="1605" t="str">
        <f>IF('Pnj APBDES'!C322="","",'Pnj APBDES'!C322)</f>
        <v/>
      </c>
      <c r="D329" s="1605">
        <f>IF('Pnj APBDES'!D322="","",'Pnj APBDES'!D322)</f>
        <v>6</v>
      </c>
      <c r="E329" s="1605">
        <f>IF('Pnj APBDES'!E322="","",'Pnj APBDES'!E322)</f>
        <v>1</v>
      </c>
      <c r="F329" s="1605">
        <f>IF('Pnj APBDES'!F322="","",'Pnj APBDES'!F322)</f>
        <v>9</v>
      </c>
      <c r="G329" s="1605" t="str">
        <f>IF('Pnj APBDES'!G322="","",'Pnj APBDES'!G322)</f>
        <v/>
      </c>
      <c r="H329" s="1622" t="s">
        <v>758</v>
      </c>
      <c r="I329" s="1624">
        <f>'Pnj APBDES'!K322</f>
        <v>0</v>
      </c>
      <c r="J329" s="1624" t="str">
        <f>IF('Pnj APBDES'!N322="","",'Pnj APBDES'!N322)</f>
        <v/>
      </c>
      <c r="K329" s="1620">
        <f>RKA!K281</f>
        <v>0</v>
      </c>
      <c r="L329" s="1620">
        <f>RKA!L281</f>
        <v>0</v>
      </c>
      <c r="M329" s="1620">
        <f>RKA!M281</f>
        <v>0</v>
      </c>
      <c r="N329" s="1620">
        <f>RKA!N281</f>
        <v>0</v>
      </c>
      <c r="O329" s="1620">
        <f>RKA!O281</f>
        <v>0</v>
      </c>
      <c r="P329" s="1620">
        <f>RKA!P281</f>
        <v>0</v>
      </c>
      <c r="Q329" s="1620">
        <f>RKA!Q281</f>
        <v>0</v>
      </c>
      <c r="R329" s="1620">
        <f>RKA!R281</f>
        <v>0</v>
      </c>
      <c r="S329" s="1620">
        <f>RKA!S281</f>
        <v>0</v>
      </c>
      <c r="T329" s="1620">
        <f>RKA!T281</f>
        <v>0</v>
      </c>
      <c r="U329" s="1620">
        <f>RKA!U281</f>
        <v>0</v>
      </c>
      <c r="V329" s="1620">
        <f>RKA!V281</f>
        <v>0</v>
      </c>
      <c r="W329" s="1620">
        <f t="shared" si="33"/>
        <v>0</v>
      </c>
      <c r="Y329" s="1578">
        <f t="shared" si="31"/>
        <v>0</v>
      </c>
    </row>
    <row r="330" spans="1:25">
      <c r="A330" s="1605" t="str">
        <f>IF('Pnj APBDES'!A323="","",'Pnj APBDES'!A323)</f>
        <v/>
      </c>
      <c r="B330" s="1605" t="str">
        <f>IF('Pnj APBDES'!B323="","",'Pnj APBDES'!B323)</f>
        <v/>
      </c>
      <c r="C330" s="1605" t="str">
        <f>IF('Pnj APBDES'!C323="","",'Pnj APBDES'!C323)</f>
        <v/>
      </c>
      <c r="D330" s="1605">
        <f>IF('Pnj APBDES'!D323="","",'Pnj APBDES'!D323)</f>
        <v>6</v>
      </c>
      <c r="E330" s="1605">
        <f>IF('Pnj APBDES'!E323="","",'Pnj APBDES'!E323)</f>
        <v>1</v>
      </c>
      <c r="F330" s="1605">
        <f>IF('Pnj APBDES'!F323="","",'Pnj APBDES'!F323)</f>
        <v>9</v>
      </c>
      <c r="G330" s="1605">
        <f>IF('Pnj APBDES'!G323="","",'Pnj APBDES'!G323)</f>
        <v>1</v>
      </c>
      <c r="H330" s="1622" t="s">
        <v>758</v>
      </c>
      <c r="I330" s="1624">
        <f>'Pnj APBDES'!K323</f>
        <v>0</v>
      </c>
      <c r="J330" s="1624" t="str">
        <f>IF('Pnj APBDES'!N323="","",'Pnj APBDES'!N323)</f>
        <v/>
      </c>
      <c r="K330" s="1620">
        <f>RKA!K282</f>
        <v>0</v>
      </c>
      <c r="L330" s="1620">
        <f>RKA!L282</f>
        <v>0</v>
      </c>
      <c r="M330" s="1620">
        <f>RKA!M282</f>
        <v>0</v>
      </c>
      <c r="N330" s="1620">
        <f>RKA!N282</f>
        <v>0</v>
      </c>
      <c r="O330" s="1620">
        <f>RKA!O282</f>
        <v>0</v>
      </c>
      <c r="P330" s="1620">
        <f>RKA!P282</f>
        <v>0</v>
      </c>
      <c r="Q330" s="1620">
        <f>RKA!Q282</f>
        <v>0</v>
      </c>
      <c r="R330" s="1620">
        <f>RKA!R282</f>
        <v>0</v>
      </c>
      <c r="S330" s="1620">
        <f>RKA!S282</f>
        <v>0</v>
      </c>
      <c r="T330" s="1620">
        <f>RKA!T282</f>
        <v>0</v>
      </c>
      <c r="U330" s="1620">
        <f>RKA!U282</f>
        <v>0</v>
      </c>
      <c r="V330" s="1620">
        <f>RKA!V282</f>
        <v>0</v>
      </c>
      <c r="W330" s="1620">
        <f t="shared" si="33"/>
        <v>0</v>
      </c>
      <c r="Y330" s="1578">
        <f t="shared" si="31"/>
        <v>0</v>
      </c>
    </row>
    <row r="331" spans="1:25">
      <c r="A331" s="1605" t="str">
        <f>IF('Pnj APBDES'!A324="","",'Pnj APBDES'!A324)</f>
        <v/>
      </c>
      <c r="B331" s="1605" t="str">
        <f>IF('Pnj APBDES'!B324="","",'Pnj APBDES'!B324)</f>
        <v/>
      </c>
      <c r="C331" s="1605" t="str">
        <f>IF('Pnj APBDES'!C324="","",'Pnj APBDES'!C324)</f>
        <v/>
      </c>
      <c r="D331" s="1605">
        <f>IF('Pnj APBDES'!D324="","",'Pnj APBDES'!D324)</f>
        <v>6</v>
      </c>
      <c r="E331" s="1605">
        <f>IF('Pnj APBDES'!E324="","",'Pnj APBDES'!E324)</f>
        <v>2</v>
      </c>
      <c r="F331" s="1605" t="str">
        <f>IF('Pnj APBDES'!F324="","",'Pnj APBDES'!F324)</f>
        <v/>
      </c>
      <c r="G331" s="1605" t="str">
        <f>IF('Pnj APBDES'!G324="","",'Pnj APBDES'!G324)</f>
        <v/>
      </c>
      <c r="H331" s="1622" t="s">
        <v>18</v>
      </c>
      <c r="I331" s="1624">
        <f>'Pnj APBDES'!K324</f>
        <v>0</v>
      </c>
      <c r="J331" s="1624" t="str">
        <f>IF('Pnj APBDES'!N324="","",'Pnj APBDES'!N324)</f>
        <v/>
      </c>
      <c r="K331" s="1620">
        <f>RKA!K283</f>
        <v>0</v>
      </c>
      <c r="L331" s="1620">
        <f>RKA!L283</f>
        <v>0</v>
      </c>
      <c r="M331" s="1620">
        <f>RKA!M283</f>
        <v>0</v>
      </c>
      <c r="N331" s="1620">
        <f>RKA!N283</f>
        <v>0</v>
      </c>
      <c r="O331" s="1620">
        <f>RKA!O283</f>
        <v>0</v>
      </c>
      <c r="P331" s="1620">
        <f>RKA!P283</f>
        <v>0</v>
      </c>
      <c r="Q331" s="1620">
        <f>RKA!Q283</f>
        <v>0</v>
      </c>
      <c r="R331" s="1620">
        <f>RKA!R283</f>
        <v>0</v>
      </c>
      <c r="S331" s="1620">
        <f>RKA!S283</f>
        <v>0</v>
      </c>
      <c r="T331" s="1620">
        <f>RKA!T283</f>
        <v>40000000</v>
      </c>
      <c r="U331" s="1620">
        <f>RKA!U283</f>
        <v>0</v>
      </c>
      <c r="V331" s="1620">
        <f>RKA!V283</f>
        <v>0</v>
      </c>
      <c r="W331" s="1620">
        <f t="shared" si="33"/>
        <v>40000000</v>
      </c>
      <c r="Y331" s="1578">
        <f t="shared" si="31"/>
        <v>-40000000</v>
      </c>
    </row>
    <row r="332" spans="1:25">
      <c r="A332" s="1605" t="str">
        <f>IF('Pnj APBDES'!A325="","",'Pnj APBDES'!A325)</f>
        <v/>
      </c>
      <c r="B332" s="1605" t="str">
        <f>IF('Pnj APBDES'!B325="","",'Pnj APBDES'!B325)</f>
        <v/>
      </c>
      <c r="C332" s="1605" t="str">
        <f>IF('Pnj APBDES'!C325="","",'Pnj APBDES'!C325)</f>
        <v/>
      </c>
      <c r="D332" s="1605">
        <f>IF('Pnj APBDES'!D325="","",'Pnj APBDES'!D325)</f>
        <v>6</v>
      </c>
      <c r="E332" s="1605">
        <f>IF('Pnj APBDES'!E325="","",'Pnj APBDES'!E325)</f>
        <v>2</v>
      </c>
      <c r="F332" s="1605">
        <f>IF('Pnj APBDES'!F325="","",'Pnj APBDES'!F325)</f>
        <v>1</v>
      </c>
      <c r="G332" s="1605" t="str">
        <f>IF('Pnj APBDES'!G325="","",'Pnj APBDES'!G325)</f>
        <v/>
      </c>
      <c r="H332" s="1622" t="s">
        <v>19</v>
      </c>
      <c r="I332" s="1624">
        <f>'Pnj APBDES'!K325</f>
        <v>0</v>
      </c>
      <c r="J332" s="1624" t="str">
        <f>IF('Pnj APBDES'!N325="","",'Pnj APBDES'!N325)</f>
        <v/>
      </c>
      <c r="K332" s="1620">
        <f>RKA!K284</f>
        <v>0</v>
      </c>
      <c r="L332" s="1620">
        <f>RKA!L284</f>
        <v>0</v>
      </c>
      <c r="M332" s="1620">
        <f>RKA!M284</f>
        <v>0</v>
      </c>
      <c r="N332" s="1620">
        <f>RKA!N284</f>
        <v>0</v>
      </c>
      <c r="O332" s="1620">
        <f>RKA!O284</f>
        <v>0</v>
      </c>
      <c r="P332" s="1620">
        <f>RKA!P284</f>
        <v>0</v>
      </c>
      <c r="Q332" s="1620">
        <f>RKA!Q284</f>
        <v>0</v>
      </c>
      <c r="R332" s="1620">
        <f>RKA!R284</f>
        <v>0</v>
      </c>
      <c r="S332" s="1620">
        <f>RKA!S284</f>
        <v>0</v>
      </c>
      <c r="T332" s="1620">
        <f>RKA!T284</f>
        <v>0</v>
      </c>
      <c r="U332" s="1620">
        <f>RKA!U284</f>
        <v>0</v>
      </c>
      <c r="V332" s="1620">
        <f>RKA!V284</f>
        <v>0</v>
      </c>
      <c r="W332" s="1620">
        <f t="shared" si="33"/>
        <v>0</v>
      </c>
      <c r="Y332" s="1578">
        <f t="shared" si="31"/>
        <v>0</v>
      </c>
    </row>
    <row r="333" spans="1:25">
      <c r="A333" s="1605" t="str">
        <f>IF('Pnj APBDES'!A326="","",'Pnj APBDES'!A326)</f>
        <v/>
      </c>
      <c r="B333" s="1605" t="str">
        <f>IF('Pnj APBDES'!B326="","",'Pnj APBDES'!B326)</f>
        <v/>
      </c>
      <c r="C333" s="1605" t="str">
        <f>IF('Pnj APBDES'!C326="","",'Pnj APBDES'!C326)</f>
        <v/>
      </c>
      <c r="D333" s="1605">
        <f>IF('Pnj APBDES'!D326="","",'Pnj APBDES'!D326)</f>
        <v>6</v>
      </c>
      <c r="E333" s="1605">
        <f>IF('Pnj APBDES'!E326="","",'Pnj APBDES'!E326)</f>
        <v>2</v>
      </c>
      <c r="F333" s="1605">
        <f>IF('Pnj APBDES'!F326="","",'Pnj APBDES'!F326)</f>
        <v>1</v>
      </c>
      <c r="G333" s="1605">
        <f>IF('Pnj APBDES'!G326="","",'Pnj APBDES'!G326)</f>
        <v>1</v>
      </c>
      <c r="H333" s="1622" t="s">
        <v>19</v>
      </c>
      <c r="I333" s="1624">
        <f>'Pnj APBDES'!K326</f>
        <v>0</v>
      </c>
      <c r="J333" s="1624" t="str">
        <f>IF('Pnj APBDES'!N326="","",'Pnj APBDES'!N326)</f>
        <v/>
      </c>
      <c r="K333" s="1620">
        <f>RKA!K285</f>
        <v>0</v>
      </c>
      <c r="L333" s="1620">
        <f>RKA!L285</f>
        <v>0</v>
      </c>
      <c r="M333" s="1620">
        <f>RKA!M285</f>
        <v>0</v>
      </c>
      <c r="N333" s="1620">
        <f>RKA!N285</f>
        <v>0</v>
      </c>
      <c r="O333" s="1620">
        <f>RKA!O285</f>
        <v>0</v>
      </c>
      <c r="P333" s="1620">
        <f>RKA!P285</f>
        <v>0</v>
      </c>
      <c r="Q333" s="1620">
        <f>RKA!Q285</f>
        <v>0</v>
      </c>
      <c r="R333" s="1620">
        <f>RKA!R285</f>
        <v>0</v>
      </c>
      <c r="S333" s="1620">
        <f>RKA!S285</f>
        <v>0</v>
      </c>
      <c r="T333" s="1620">
        <f>RKA!T285</f>
        <v>0</v>
      </c>
      <c r="U333" s="1620">
        <f>RKA!U285</f>
        <v>0</v>
      </c>
      <c r="V333" s="1620">
        <f>RKA!V285</f>
        <v>0</v>
      </c>
      <c r="W333" s="1620">
        <f t="shared" si="33"/>
        <v>0</v>
      </c>
      <c r="Y333" s="1578">
        <f t="shared" si="31"/>
        <v>0</v>
      </c>
    </row>
    <row r="334" spans="1:25">
      <c r="A334" s="1605" t="str">
        <f>IF('Pnj APBDES'!A327="","",'Pnj APBDES'!A327)</f>
        <v/>
      </c>
      <c r="B334" s="1605" t="str">
        <f>IF('Pnj APBDES'!B327="","",'Pnj APBDES'!B327)</f>
        <v/>
      </c>
      <c r="C334" s="1605" t="str">
        <f>IF('Pnj APBDES'!C327="","",'Pnj APBDES'!C327)</f>
        <v/>
      </c>
      <c r="D334" s="1605">
        <f>IF('Pnj APBDES'!D327="","",'Pnj APBDES'!D327)</f>
        <v>6</v>
      </c>
      <c r="E334" s="1605">
        <f>IF('Pnj APBDES'!E327="","",'Pnj APBDES'!E327)</f>
        <v>2</v>
      </c>
      <c r="F334" s="1605">
        <f>IF('Pnj APBDES'!F327="","",'Pnj APBDES'!F327)</f>
        <v>2</v>
      </c>
      <c r="G334" s="1605" t="str">
        <f>IF('Pnj APBDES'!G327="","",'Pnj APBDES'!G327)</f>
        <v/>
      </c>
      <c r="H334" s="1622" t="s">
        <v>20</v>
      </c>
      <c r="I334" s="1624">
        <f>'Pnj APBDES'!K327</f>
        <v>0</v>
      </c>
      <c r="J334" s="1624" t="str">
        <f>IF('Pnj APBDES'!N327="","",'Pnj APBDES'!N327)</f>
        <v/>
      </c>
      <c r="K334" s="1620">
        <f>RKA!K286</f>
        <v>0</v>
      </c>
      <c r="L334" s="1620">
        <f>RKA!L286</f>
        <v>0</v>
      </c>
      <c r="M334" s="1620">
        <f>RKA!M286</f>
        <v>0</v>
      </c>
      <c r="N334" s="1620">
        <f>RKA!N286</f>
        <v>0</v>
      </c>
      <c r="O334" s="1620">
        <f>RKA!O286</f>
        <v>0</v>
      </c>
      <c r="P334" s="1620">
        <f>RKA!P286</f>
        <v>0</v>
      </c>
      <c r="Q334" s="1620">
        <f>RKA!Q286</f>
        <v>0</v>
      </c>
      <c r="R334" s="1620">
        <f>RKA!R286</f>
        <v>0</v>
      </c>
      <c r="S334" s="1620">
        <f>RKA!S286</f>
        <v>0</v>
      </c>
      <c r="T334" s="1620">
        <f>RKA!T286</f>
        <v>40000000</v>
      </c>
      <c r="U334" s="1620">
        <f>RKA!U286</f>
        <v>0</v>
      </c>
      <c r="V334" s="1620">
        <f>RKA!V286</f>
        <v>0</v>
      </c>
      <c r="W334" s="1620">
        <f t="shared" si="33"/>
        <v>40000000</v>
      </c>
      <c r="Y334" s="1578">
        <f t="shared" si="31"/>
        <v>-40000000</v>
      </c>
    </row>
    <row r="335" spans="1:25">
      <c r="A335" s="1605" t="str">
        <f>IF('Pnj APBDES'!A328="","",'Pnj APBDES'!A328)</f>
        <v/>
      </c>
      <c r="B335" s="1605" t="str">
        <f>IF('Pnj APBDES'!B328="","",'Pnj APBDES'!B328)</f>
        <v/>
      </c>
      <c r="C335" s="1605" t="str">
        <f>IF('Pnj APBDES'!C328="","",'Pnj APBDES'!C328)</f>
        <v/>
      </c>
      <c r="D335" s="1605">
        <f>IF('Pnj APBDES'!D328="","",'Pnj APBDES'!D328)</f>
        <v>6</v>
      </c>
      <c r="E335" s="1605">
        <f>IF('Pnj APBDES'!E328="","",'Pnj APBDES'!E328)</f>
        <v>2</v>
      </c>
      <c r="F335" s="1605">
        <f>IF('Pnj APBDES'!F328="","",'Pnj APBDES'!F328)</f>
        <v>2</v>
      </c>
      <c r="G335" s="1605">
        <f>IF('Pnj APBDES'!G328="","",'Pnj APBDES'!G328)</f>
        <v>1</v>
      </c>
      <c r="H335" s="1622" t="s">
        <v>20</v>
      </c>
      <c r="I335" s="1624">
        <f>'Pnj APBDES'!K328</f>
        <v>0</v>
      </c>
      <c r="J335" s="1624" t="str">
        <f>IF('Pnj APBDES'!N328="","",'Pnj APBDES'!N328)</f>
        <v>BPP</v>
      </c>
      <c r="K335" s="1620">
        <f>RKA!K287</f>
        <v>0</v>
      </c>
      <c r="L335" s="1620">
        <f>RKA!L287</f>
        <v>0</v>
      </c>
      <c r="M335" s="1620">
        <f>RKA!M287</f>
        <v>0</v>
      </c>
      <c r="N335" s="1620">
        <f>RKA!N287</f>
        <v>0</v>
      </c>
      <c r="O335" s="1620">
        <f>RKA!O287</f>
        <v>0</v>
      </c>
      <c r="P335" s="1620">
        <f>RKA!P287</f>
        <v>0</v>
      </c>
      <c r="Q335" s="1620">
        <f>RKA!Q287</f>
        <v>0</v>
      </c>
      <c r="R335" s="1620">
        <f>RKA!R287</f>
        <v>0</v>
      </c>
      <c r="S335" s="1620">
        <f>RKA!S287</f>
        <v>0</v>
      </c>
      <c r="T335" s="1620">
        <f>RKA!T287</f>
        <v>40000000</v>
      </c>
      <c r="U335" s="1620">
        <f>RKA!U287</f>
        <v>0</v>
      </c>
      <c r="V335" s="1620">
        <f>RKA!V287</f>
        <v>0</v>
      </c>
      <c r="W335" s="1620">
        <f t="shared" si="33"/>
        <v>40000000</v>
      </c>
      <c r="Y335" s="1578">
        <f t="shared" si="31"/>
        <v>-40000000</v>
      </c>
    </row>
    <row r="336" spans="1:25">
      <c r="A336" s="1605" t="str">
        <f>IF('Pnj APBDES'!A329="","",'Pnj APBDES'!A329)</f>
        <v/>
      </c>
      <c r="B336" s="1605" t="str">
        <f>IF('Pnj APBDES'!B329="","",'Pnj APBDES'!B329)</f>
        <v/>
      </c>
      <c r="C336" s="1605" t="str">
        <f>IF('Pnj APBDES'!C329="","",'Pnj APBDES'!C329)</f>
        <v/>
      </c>
      <c r="D336" s="1605">
        <f>IF('Pnj APBDES'!D329="","",'Pnj APBDES'!D329)</f>
        <v>6</v>
      </c>
      <c r="E336" s="1605">
        <f>IF('Pnj APBDES'!E329="","",'Pnj APBDES'!E329)</f>
        <v>2</v>
      </c>
      <c r="F336" s="1605">
        <f>IF('Pnj APBDES'!F329="","",'Pnj APBDES'!F329)</f>
        <v>3</v>
      </c>
      <c r="G336" s="1605" t="str">
        <f>IF('Pnj APBDES'!G329="","",'Pnj APBDES'!G329)</f>
        <v/>
      </c>
      <c r="H336" s="1622" t="s">
        <v>759</v>
      </c>
      <c r="I336" s="1624">
        <f>'Pnj APBDES'!K329</f>
        <v>0</v>
      </c>
      <c r="J336" s="1624" t="str">
        <f>IF('Pnj APBDES'!N329="","",'Pnj APBDES'!N329)</f>
        <v/>
      </c>
      <c r="K336" s="1620">
        <f>RKA!K288</f>
        <v>0</v>
      </c>
      <c r="L336" s="1620">
        <f>RKA!L288</f>
        <v>0</v>
      </c>
      <c r="M336" s="1620">
        <f>RKA!M288</f>
        <v>0</v>
      </c>
      <c r="N336" s="1620">
        <f>RKA!N288</f>
        <v>0</v>
      </c>
      <c r="O336" s="1620">
        <f>RKA!O288</f>
        <v>0</v>
      </c>
      <c r="P336" s="1620">
        <f>RKA!P288</f>
        <v>0</v>
      </c>
      <c r="Q336" s="1620">
        <f>RKA!Q288</f>
        <v>0</v>
      </c>
      <c r="R336" s="1620">
        <f>RKA!R288</f>
        <v>0</v>
      </c>
      <c r="S336" s="1620">
        <f>RKA!S288</f>
        <v>0</v>
      </c>
      <c r="T336" s="1620">
        <f>RKA!T288</f>
        <v>0</v>
      </c>
      <c r="U336" s="1620">
        <f>RKA!U288</f>
        <v>0</v>
      </c>
      <c r="V336" s="1620">
        <f>RKA!V288</f>
        <v>0</v>
      </c>
      <c r="W336" s="1620">
        <f t="shared" si="33"/>
        <v>0</v>
      </c>
      <c r="Y336" s="1578">
        <f t="shared" si="31"/>
        <v>0</v>
      </c>
    </row>
    <row r="337" spans="1:25">
      <c r="A337" s="1605" t="str">
        <f>IF('Pnj APBDES'!A330="","",'Pnj APBDES'!A330)</f>
        <v/>
      </c>
      <c r="B337" s="1605" t="str">
        <f>IF('Pnj APBDES'!B330="","",'Pnj APBDES'!B330)</f>
        <v/>
      </c>
      <c r="C337" s="1605" t="str">
        <f>IF('Pnj APBDES'!C330="","",'Pnj APBDES'!C330)</f>
        <v/>
      </c>
      <c r="D337" s="1605">
        <f>IF('Pnj APBDES'!D330="","",'Pnj APBDES'!D330)</f>
        <v>6</v>
      </c>
      <c r="E337" s="1605">
        <f>IF('Pnj APBDES'!E330="","",'Pnj APBDES'!E330)</f>
        <v>2</v>
      </c>
      <c r="F337" s="1605">
        <f>IF('Pnj APBDES'!F330="","",'Pnj APBDES'!F330)</f>
        <v>3</v>
      </c>
      <c r="G337" s="1605">
        <f>IF('Pnj APBDES'!G330="","",'Pnj APBDES'!G330)</f>
        <v>1</v>
      </c>
      <c r="H337" s="1622" t="s">
        <v>759</v>
      </c>
      <c r="I337" s="1624">
        <f>'Pnj APBDES'!K330</f>
        <v>0</v>
      </c>
      <c r="J337" s="1624" t="str">
        <f>IF('Pnj APBDES'!N330="","",'Pnj APBDES'!N330)</f>
        <v/>
      </c>
      <c r="K337" s="1620">
        <f>RKA!K289</f>
        <v>0</v>
      </c>
      <c r="L337" s="1620">
        <f>RKA!L289</f>
        <v>0</v>
      </c>
      <c r="M337" s="1620">
        <f>RKA!M289</f>
        <v>0</v>
      </c>
      <c r="N337" s="1620">
        <f>RKA!N289</f>
        <v>0</v>
      </c>
      <c r="O337" s="1620">
        <f>RKA!O289</f>
        <v>0</v>
      </c>
      <c r="P337" s="1620">
        <f>RKA!P289</f>
        <v>0</v>
      </c>
      <c r="Q337" s="1620">
        <f>RKA!Q289</f>
        <v>0</v>
      </c>
      <c r="R337" s="1620">
        <f>RKA!R289</f>
        <v>0</v>
      </c>
      <c r="S337" s="1620">
        <f>RKA!S289</f>
        <v>0</v>
      </c>
      <c r="T337" s="1620">
        <f>RKA!T289</f>
        <v>0</v>
      </c>
      <c r="U337" s="1620">
        <f>RKA!U289</f>
        <v>0</v>
      </c>
      <c r="V337" s="1620">
        <f>RKA!V289</f>
        <v>0</v>
      </c>
      <c r="W337" s="1620">
        <f t="shared" si="33"/>
        <v>0</v>
      </c>
      <c r="Y337" s="1578">
        <f t="shared" si="31"/>
        <v>0</v>
      </c>
    </row>
    <row r="338" spans="1:25">
      <c r="A338" s="1605" t="str">
        <f>IF('Pnj APBDES'!A331="","",'Pnj APBDES'!A331)</f>
        <v/>
      </c>
      <c r="B338" s="1605" t="str">
        <f>IF('Pnj APBDES'!B331="","",'Pnj APBDES'!B331)</f>
        <v/>
      </c>
      <c r="C338" s="1605" t="str">
        <f>IF('Pnj APBDES'!C331="","",'Pnj APBDES'!C331)</f>
        <v/>
      </c>
      <c r="D338" s="1605" t="str">
        <f>IF('Pnj APBDES'!D331="","",'Pnj APBDES'!D331)</f>
        <v/>
      </c>
      <c r="E338" s="1605" t="str">
        <f>IF('Pnj APBDES'!E331="","",'Pnj APBDES'!E331)</f>
        <v/>
      </c>
      <c r="F338" s="1605" t="str">
        <f>IF('Pnj APBDES'!F331="","",'Pnj APBDES'!F331)</f>
        <v/>
      </c>
      <c r="G338" s="1605" t="str">
        <f>IF('Pnj APBDES'!G331="","",'Pnj APBDES'!G331)</f>
        <v/>
      </c>
      <c r="H338" s="1625"/>
      <c r="I338" s="1624">
        <f>'Pnj APBDES'!K331</f>
        <v>0</v>
      </c>
      <c r="J338" s="1624" t="str">
        <f>IF('Pnj APBDES'!N331="","",'Pnj APBDES'!N331)</f>
        <v/>
      </c>
      <c r="K338" s="1626"/>
      <c r="L338" s="1626"/>
      <c r="M338" s="1626"/>
      <c r="N338" s="1626"/>
      <c r="O338" s="1626"/>
      <c r="P338" s="1626"/>
      <c r="Q338" s="1626"/>
      <c r="R338" s="1626"/>
      <c r="S338" s="1626"/>
      <c r="T338" s="1626"/>
      <c r="U338" s="1626"/>
      <c r="V338" s="1627"/>
      <c r="W338" s="1620">
        <f t="shared" si="33"/>
        <v>0</v>
      </c>
    </row>
    <row r="339" spans="1:25">
      <c r="A339" s="3052" t="s">
        <v>320</v>
      </c>
      <c r="B339" s="3053"/>
      <c r="C339" s="3053"/>
      <c r="D339" s="3053"/>
      <c r="E339" s="3053"/>
      <c r="F339" s="3053"/>
      <c r="G339" s="3053"/>
      <c r="H339" s="3054"/>
      <c r="I339" s="1628">
        <f>I318+I321</f>
        <v>1685939905.8399999</v>
      </c>
      <c r="J339" s="1628"/>
      <c r="K339" s="1628" t="e">
        <f t="shared" ref="K339:V339" si="34">K318+K321</f>
        <v>#REF!</v>
      </c>
      <c r="L339" s="1628" t="e">
        <f t="shared" si="34"/>
        <v>#REF!</v>
      </c>
      <c r="M339" s="1628" t="e">
        <f t="shared" si="34"/>
        <v>#REF!</v>
      </c>
      <c r="N339" s="1628" t="e">
        <f t="shared" si="34"/>
        <v>#REF!</v>
      </c>
      <c r="O339" s="1628" t="e">
        <f t="shared" si="34"/>
        <v>#REF!</v>
      </c>
      <c r="P339" s="1628" t="e">
        <f t="shared" si="34"/>
        <v>#REF!</v>
      </c>
      <c r="Q339" s="1628" t="e">
        <f t="shared" si="34"/>
        <v>#REF!</v>
      </c>
      <c r="R339" s="1628" t="e">
        <f t="shared" si="34"/>
        <v>#REF!</v>
      </c>
      <c r="S339" s="1628" t="e">
        <f t="shared" si="34"/>
        <v>#REF!</v>
      </c>
      <c r="T339" s="1628" t="e">
        <f t="shared" si="34"/>
        <v>#REF!</v>
      </c>
      <c r="U339" s="1628" t="e">
        <f t="shared" si="34"/>
        <v>#REF!</v>
      </c>
      <c r="V339" s="1628" t="e">
        <f t="shared" si="34"/>
        <v>#REF!</v>
      </c>
      <c r="W339" s="1628" t="e">
        <f>SUM(K339:V339)</f>
        <v>#REF!</v>
      </c>
      <c r="Y339" s="1578">
        <f>I339-36000000</f>
        <v>1649939905.8399999</v>
      </c>
    </row>
    <row r="340" spans="1:25">
      <c r="A340" s="1719"/>
      <c r="B340" s="1720"/>
      <c r="C340" s="1720"/>
      <c r="D340" s="1720"/>
      <c r="E340" s="1720"/>
      <c r="F340" s="1720"/>
      <c r="G340" s="1721"/>
      <c r="H340" s="1720"/>
      <c r="I340" s="1722"/>
      <c r="J340" s="1629"/>
      <c r="K340" s="1629"/>
      <c r="L340" s="1629"/>
      <c r="M340" s="1629"/>
      <c r="N340" s="1629"/>
      <c r="O340" s="1629"/>
      <c r="P340" s="1629"/>
      <c r="Q340" s="1629"/>
      <c r="R340" s="1629"/>
      <c r="S340" s="1629"/>
      <c r="T340" s="1629"/>
      <c r="U340" s="1629"/>
      <c r="V340" s="1629"/>
      <c r="W340" s="1630"/>
      <c r="X340" s="1631"/>
    </row>
    <row r="341" spans="1:25" s="1634" customFormat="1" ht="14.25" customHeight="1">
      <c r="A341" s="1723"/>
      <c r="B341" s="1724"/>
      <c r="C341" s="1724"/>
      <c r="D341" s="1724"/>
      <c r="E341" s="1724"/>
      <c r="F341" s="1724"/>
      <c r="G341" s="1725"/>
      <c r="H341" s="1724"/>
      <c r="I341" s="1724"/>
      <c r="J341" s="1632"/>
      <c r="K341" s="1632"/>
      <c r="L341" s="1632"/>
      <c r="M341" s="3045" t="s">
        <v>1361</v>
      </c>
      <c r="N341" s="3045"/>
      <c r="O341" s="3045"/>
      <c r="P341" s="1636"/>
      <c r="Q341" s="1632"/>
      <c r="R341" s="1632"/>
      <c r="S341" s="3045" t="s">
        <v>1358</v>
      </c>
      <c r="T341" s="3045"/>
      <c r="U341" s="3045"/>
      <c r="V341" s="3045"/>
      <c r="W341" s="1633"/>
      <c r="Y341" s="1635"/>
    </row>
    <row r="342" spans="1:25" s="1634" customFormat="1" ht="15">
      <c r="A342" s="3043" t="s">
        <v>1359</v>
      </c>
      <c r="B342" s="3044"/>
      <c r="C342" s="3044"/>
      <c r="D342" s="3044"/>
      <c r="E342" s="3044"/>
      <c r="F342" s="3044"/>
      <c r="G342" s="3044"/>
      <c r="H342" s="3044"/>
      <c r="I342" s="1724"/>
      <c r="J342" s="1632"/>
      <c r="K342" s="1632"/>
      <c r="L342" s="1632"/>
      <c r="M342" s="3045" t="s">
        <v>584</v>
      </c>
      <c r="N342" s="3045"/>
      <c r="O342" s="3045"/>
      <c r="P342" s="1636"/>
      <c r="Q342" s="1632"/>
      <c r="R342" s="1632"/>
      <c r="S342" s="3045" t="s">
        <v>1364</v>
      </c>
      <c r="T342" s="3045"/>
      <c r="U342" s="3045"/>
      <c r="V342" s="3045"/>
      <c r="W342" s="1633"/>
      <c r="Y342" s="1635"/>
    </row>
    <row r="343" spans="1:25" s="1634" customFormat="1" ht="15">
      <c r="A343" s="3043" t="s">
        <v>1360</v>
      </c>
      <c r="B343" s="3044"/>
      <c r="C343" s="3044"/>
      <c r="D343" s="3044"/>
      <c r="E343" s="3044"/>
      <c r="F343" s="3044"/>
      <c r="G343" s="3044"/>
      <c r="H343" s="3044"/>
      <c r="I343" s="1726"/>
      <c r="J343" s="1636"/>
      <c r="K343" s="1636"/>
      <c r="L343" s="1636"/>
      <c r="M343" s="1636"/>
      <c r="N343" s="1636"/>
      <c r="O343" s="1636"/>
      <c r="P343" s="1636"/>
      <c r="Q343" s="1636"/>
      <c r="R343" s="1636"/>
      <c r="S343" s="1636"/>
      <c r="T343" s="1636"/>
      <c r="U343" s="1636"/>
      <c r="V343" s="1636"/>
      <c r="W343" s="1637"/>
      <c r="Y343" s="1635"/>
    </row>
    <row r="344" spans="1:25" s="1634" customFormat="1" ht="15" customHeight="1">
      <c r="A344" s="1727"/>
      <c r="B344" s="1726"/>
      <c r="C344" s="1726"/>
      <c r="D344" s="1726"/>
      <c r="E344" s="1726"/>
      <c r="F344" s="1726"/>
      <c r="G344" s="1728"/>
      <c r="H344" s="1726"/>
      <c r="I344" s="1654"/>
      <c r="M344" s="1636"/>
      <c r="N344" s="1636"/>
      <c r="O344" s="1636"/>
      <c r="P344" s="1636"/>
      <c r="Q344" s="1636"/>
      <c r="R344" s="1636"/>
      <c r="S344" s="1636"/>
      <c r="T344" s="1636"/>
      <c r="U344" s="1636"/>
      <c r="V344" s="1636"/>
      <c r="W344" s="1637"/>
      <c r="Y344" s="1635"/>
    </row>
    <row r="345" spans="1:25" s="1634" customFormat="1" ht="15" customHeight="1">
      <c r="A345" s="1727"/>
      <c r="B345" s="1726"/>
      <c r="C345" s="1726"/>
      <c r="D345" s="1726"/>
      <c r="E345" s="1726"/>
      <c r="F345" s="1726"/>
      <c r="G345" s="1728"/>
      <c r="H345" s="1726"/>
      <c r="I345" s="1654"/>
      <c r="M345" s="1636"/>
      <c r="N345" s="1636"/>
      <c r="O345" s="1636"/>
      <c r="P345" s="1636"/>
      <c r="Q345" s="1636"/>
      <c r="R345" s="1636"/>
      <c r="S345" s="1636"/>
      <c r="T345" s="1636"/>
      <c r="U345" s="1636"/>
      <c r="V345" s="1636"/>
      <c r="W345" s="1637"/>
      <c r="Y345" s="1635"/>
    </row>
    <row r="346" spans="1:25" s="1634" customFormat="1" ht="15">
      <c r="A346" s="1727"/>
      <c r="B346" s="1726"/>
      <c r="C346" s="1726"/>
      <c r="D346" s="1726"/>
      <c r="E346" s="1726"/>
      <c r="F346" s="1726"/>
      <c r="G346" s="1728"/>
      <c r="H346" s="1726"/>
      <c r="I346" s="1654"/>
      <c r="M346" s="1632"/>
      <c r="N346" s="1632"/>
      <c r="O346" s="1632"/>
      <c r="P346" s="1632"/>
      <c r="Q346" s="1636"/>
      <c r="R346" s="1636"/>
      <c r="W346" s="1637"/>
      <c r="Y346" s="1635"/>
    </row>
    <row r="347" spans="1:25" s="1634" customFormat="1" ht="15">
      <c r="A347" s="1727"/>
      <c r="B347" s="1726"/>
      <c r="C347" s="1726"/>
      <c r="D347" s="1726"/>
      <c r="E347" s="1726"/>
      <c r="F347" s="1726"/>
      <c r="G347" s="1728"/>
      <c r="H347" s="1726"/>
      <c r="I347" s="1654"/>
      <c r="M347" s="1632"/>
      <c r="N347" s="1632"/>
      <c r="O347" s="1632"/>
      <c r="P347" s="1632"/>
      <c r="Q347" s="1632"/>
      <c r="R347" s="1632"/>
      <c r="S347" s="3045"/>
      <c r="T347" s="3045"/>
      <c r="U347" s="3045"/>
      <c r="V347" s="3045"/>
      <c r="W347" s="1633"/>
      <c r="Y347" s="1635"/>
    </row>
    <row r="348" spans="1:25" s="1634" customFormat="1" ht="17.25">
      <c r="A348" s="3043"/>
      <c r="B348" s="3044"/>
      <c r="C348" s="3044"/>
      <c r="D348" s="3044"/>
      <c r="E348" s="3044"/>
      <c r="F348" s="3044"/>
      <c r="G348" s="3044"/>
      <c r="H348" s="3044"/>
      <c r="I348" s="1654"/>
      <c r="M348" s="3046"/>
      <c r="N348" s="3046"/>
      <c r="O348" s="3046"/>
      <c r="P348" s="1636"/>
      <c r="Q348" s="1636"/>
      <c r="R348" s="1636"/>
      <c r="S348" s="1636"/>
      <c r="T348" s="1636"/>
      <c r="U348" s="1636"/>
      <c r="V348" s="1636"/>
      <c r="W348" s="1637"/>
      <c r="Y348" s="1635"/>
    </row>
    <row r="349" spans="1:25" s="1634" customFormat="1" ht="15">
      <c r="A349" s="1729"/>
      <c r="B349" s="1730"/>
      <c r="C349" s="1730"/>
      <c r="D349" s="1730"/>
      <c r="E349" s="1730"/>
      <c r="F349" s="1730"/>
      <c r="G349" s="1725"/>
      <c r="H349" s="1730"/>
      <c r="I349" s="1654"/>
      <c r="Q349" s="1632"/>
      <c r="R349" s="1632"/>
      <c r="S349" s="1632"/>
      <c r="T349" s="1632"/>
      <c r="U349" s="1632"/>
      <c r="V349" s="1632"/>
      <c r="W349" s="1633"/>
      <c r="Y349" s="1635"/>
    </row>
    <row r="350" spans="1:25" s="1634" customFormat="1" ht="15">
      <c r="A350" s="1729"/>
      <c r="B350" s="1730"/>
      <c r="C350" s="1730"/>
      <c r="D350" s="1730"/>
      <c r="E350" s="1730"/>
      <c r="F350" s="1730"/>
      <c r="G350" s="1725"/>
      <c r="H350" s="1730"/>
      <c r="I350" s="1654"/>
      <c r="Q350" s="1632"/>
      <c r="R350" s="1632"/>
      <c r="S350" s="1632"/>
      <c r="T350" s="1632"/>
      <c r="U350" s="1632"/>
      <c r="V350" s="1632"/>
      <c r="W350" s="1633"/>
      <c r="Y350" s="1635"/>
    </row>
    <row r="351" spans="1:25" s="1634" customFormat="1" ht="15" customHeight="1">
      <c r="A351" s="1731"/>
      <c r="B351" s="1732"/>
      <c r="C351" s="1732"/>
      <c r="D351" s="1733"/>
      <c r="E351" s="1733"/>
      <c r="F351" s="1733"/>
      <c r="G351" s="1734"/>
      <c r="H351" s="1732"/>
      <c r="I351" s="1654"/>
      <c r="Q351" s="1638"/>
      <c r="R351" s="1638"/>
      <c r="S351" s="1638"/>
      <c r="T351" s="1638"/>
      <c r="U351" s="1638"/>
      <c r="V351" s="1638"/>
      <c r="W351" s="1639"/>
      <c r="Y351" s="1635"/>
    </row>
    <row r="352" spans="1:25" s="1634" customFormat="1" ht="15">
      <c r="A352" s="1735"/>
      <c r="B352" s="1736"/>
      <c r="C352" s="1736"/>
      <c r="D352" s="1736"/>
      <c r="E352" s="1736"/>
      <c r="F352" s="1736"/>
      <c r="G352" s="1737"/>
      <c r="H352" s="1736"/>
      <c r="I352" s="1738"/>
      <c r="J352" s="1640"/>
      <c r="K352" s="1640"/>
      <c r="L352" s="1640"/>
      <c r="M352" s="1640"/>
      <c r="N352" s="1640"/>
      <c r="O352" s="1640"/>
      <c r="P352" s="1640"/>
      <c r="Q352" s="1640"/>
      <c r="R352" s="1640"/>
      <c r="S352" s="1640"/>
      <c r="T352" s="1640"/>
      <c r="U352" s="1640"/>
      <c r="V352" s="1640"/>
      <c r="W352" s="1641"/>
      <c r="Y352" s="1635"/>
    </row>
    <row r="370" spans="1:25" s="1576" customFormat="1" ht="13.5" thickBot="1">
      <c r="A370" s="1651"/>
      <c r="B370" s="1651"/>
      <c r="C370" s="1651"/>
      <c r="D370" s="1651"/>
      <c r="E370" s="1651"/>
      <c r="F370" s="1651"/>
      <c r="G370" s="1652"/>
      <c r="H370" s="1651"/>
      <c r="I370" s="1654"/>
      <c r="J370" s="1577"/>
      <c r="K370" s="1577"/>
      <c r="L370" s="1577"/>
      <c r="M370" s="1577"/>
      <c r="N370" s="1577"/>
      <c r="O370" s="1577"/>
      <c r="P370" s="1577"/>
      <c r="Q370" s="1577"/>
      <c r="R370" s="1577"/>
      <c r="S370" s="1577"/>
      <c r="T370" s="1577"/>
      <c r="U370" s="1577"/>
      <c r="V370" s="1577"/>
      <c r="W370" s="1577"/>
      <c r="X370" s="1577"/>
      <c r="Y370" s="1578"/>
    </row>
    <row r="371" spans="1:25" s="1576" customFormat="1">
      <c r="A371" s="1739"/>
      <c r="B371" s="1651"/>
      <c r="C371" s="1651"/>
      <c r="D371" s="1651"/>
      <c r="E371" s="1651"/>
      <c r="F371" s="1651"/>
      <c r="G371" s="1652"/>
      <c r="H371" s="1651"/>
      <c r="I371" s="1654"/>
      <c r="J371" s="1577"/>
      <c r="K371" s="1577"/>
      <c r="L371" s="1577"/>
      <c r="M371" s="1577"/>
      <c r="N371" s="1577"/>
      <c r="O371" s="1577"/>
      <c r="P371" s="1577"/>
      <c r="Q371" s="1577"/>
      <c r="R371" s="1577"/>
      <c r="S371" s="1577"/>
      <c r="T371" s="1577"/>
      <c r="U371" s="1577"/>
      <c r="V371" s="1577"/>
      <c r="W371" s="1577"/>
      <c r="X371" s="1577"/>
      <c r="Y371" s="1578"/>
    </row>
    <row r="372" spans="1:25" s="1576" customFormat="1">
      <c r="A372" s="1730"/>
      <c r="B372" s="1651"/>
      <c r="C372" s="1651"/>
      <c r="D372" s="1651"/>
      <c r="E372" s="1651"/>
      <c r="F372" s="1651"/>
      <c r="G372" s="1652"/>
      <c r="H372" s="1651"/>
      <c r="I372" s="1654"/>
      <c r="J372" s="1577"/>
      <c r="K372" s="1577"/>
      <c r="L372" s="1577"/>
      <c r="M372" s="1577"/>
      <c r="N372" s="1577"/>
      <c r="O372" s="1577"/>
      <c r="P372" s="1577"/>
      <c r="Q372" s="1577"/>
      <c r="R372" s="1577"/>
      <c r="S372" s="1577"/>
      <c r="T372" s="1577"/>
      <c r="U372" s="1577"/>
      <c r="V372" s="1577"/>
      <c r="W372" s="1577"/>
      <c r="X372" s="1577"/>
      <c r="Y372" s="1578"/>
    </row>
    <row r="373" spans="1:25" s="1576" customFormat="1">
      <c r="A373" s="1730"/>
      <c r="B373" s="1651"/>
      <c r="C373" s="1651"/>
      <c r="D373" s="1651"/>
      <c r="E373" s="1651"/>
      <c r="F373" s="1651"/>
      <c r="G373" s="1652"/>
      <c r="H373" s="1651"/>
      <c r="I373" s="1654"/>
      <c r="J373" s="1577"/>
      <c r="K373" s="1577"/>
      <c r="L373" s="1577"/>
      <c r="M373" s="1577"/>
      <c r="N373" s="1577"/>
      <c r="O373" s="1577"/>
      <c r="P373" s="1577"/>
      <c r="Q373" s="1577"/>
      <c r="R373" s="1577"/>
      <c r="S373" s="1577"/>
      <c r="T373" s="1577"/>
      <c r="U373" s="1577"/>
      <c r="V373" s="1577"/>
      <c r="W373" s="1577"/>
      <c r="X373" s="1577"/>
      <c r="Y373" s="1578"/>
    </row>
    <row r="374" spans="1:25" s="1576" customFormat="1">
      <c r="A374" s="1730"/>
      <c r="B374" s="1651"/>
      <c r="C374" s="1651"/>
      <c r="D374" s="1651"/>
      <c r="E374" s="1651"/>
      <c r="F374" s="1651"/>
      <c r="G374" s="1652"/>
      <c r="H374" s="1651"/>
      <c r="I374" s="1654"/>
      <c r="J374" s="1577"/>
      <c r="K374" s="1577"/>
      <c r="L374" s="1577"/>
      <c r="M374" s="1577"/>
      <c r="N374" s="1577"/>
      <c r="O374" s="1577"/>
      <c r="P374" s="1577"/>
      <c r="Q374" s="1577"/>
      <c r="R374" s="1577"/>
      <c r="S374" s="1577"/>
      <c r="T374" s="1577"/>
      <c r="U374" s="1577"/>
      <c r="V374" s="1577"/>
      <c r="W374" s="1577"/>
      <c r="X374" s="1577"/>
      <c r="Y374" s="1578"/>
    </row>
    <row r="375" spans="1:25" s="1576" customFormat="1">
      <c r="A375" s="1730"/>
      <c r="B375" s="1651"/>
      <c r="C375" s="1651"/>
      <c r="D375" s="1651"/>
      <c r="E375" s="1651"/>
      <c r="F375" s="1651"/>
      <c r="G375" s="1652"/>
      <c r="H375" s="1651"/>
      <c r="I375" s="1654"/>
      <c r="J375" s="1577"/>
      <c r="K375" s="1577"/>
      <c r="L375" s="1577"/>
      <c r="M375" s="1577"/>
      <c r="N375" s="1577"/>
      <c r="O375" s="1577"/>
      <c r="P375" s="1577"/>
      <c r="Q375" s="1577"/>
      <c r="R375" s="1577"/>
      <c r="S375" s="1577"/>
      <c r="T375" s="1577"/>
      <c r="U375" s="1577"/>
      <c r="V375" s="1577"/>
      <c r="W375" s="1577"/>
      <c r="X375" s="1577"/>
      <c r="Y375" s="1578"/>
    </row>
    <row r="376" spans="1:25" s="1576" customFormat="1">
      <c r="A376" s="1720"/>
      <c r="B376" s="1651"/>
      <c r="C376" s="1651"/>
      <c r="D376" s="1651"/>
      <c r="E376" s="1651"/>
      <c r="F376" s="1651"/>
      <c r="G376" s="1652"/>
      <c r="H376" s="1651"/>
      <c r="I376" s="1654"/>
      <c r="J376" s="1577"/>
      <c r="K376" s="1577"/>
      <c r="L376" s="1577"/>
      <c r="M376" s="1577"/>
      <c r="N376" s="1577"/>
      <c r="O376" s="1577"/>
      <c r="P376" s="1577"/>
      <c r="Q376" s="1577"/>
      <c r="R376" s="1577"/>
      <c r="S376" s="1577"/>
      <c r="T376" s="1577"/>
      <c r="U376" s="1577"/>
      <c r="V376" s="1577"/>
      <c r="W376" s="1577"/>
      <c r="X376" s="1577"/>
      <c r="Y376" s="1578"/>
    </row>
  </sheetData>
  <customSheetViews>
    <customSheetView guid="{0F09EDAE-127A-4543-88A5-04139BD32AD8}" showPageBreaks="1" printArea="1" view="pageBreakPreview">
      <selection activeCell="H1" sqref="H1"/>
      <pageMargins left="0.53" right="0.28999999999999998" top="0.5" bottom="0.27559055118110237" header="0.31496062992125984" footer="0.31496062992125984"/>
      <pageSetup paperSize="5" scale="60" orientation="landscape" horizontalDpi="4294967293" r:id="rId1"/>
    </customSheetView>
    <customSheetView guid="{C05430D3-5A25-4A4C-823C-7D6EA772E5F0}" showPageBreaks="1" printArea="1" view="pageBreakPreview">
      <selection activeCell="H1" sqref="H1"/>
      <pageMargins left="0.53" right="0.28999999999999998" top="0.5" bottom="0.27559055118110237" header="0.31496062992125984" footer="0.31496062992125984"/>
      <pageSetup paperSize="5" scale="60" orientation="landscape" horizontalDpi="4294967293" r:id="rId2"/>
    </customSheetView>
  </customSheetViews>
  <mergeCells count="23">
    <mergeCell ref="A12:G14"/>
    <mergeCell ref="H12:H14"/>
    <mergeCell ref="I12:J13"/>
    <mergeCell ref="K12:V12"/>
    <mergeCell ref="W12:W14"/>
    <mergeCell ref="A2:W2"/>
    <mergeCell ref="A3:W3"/>
    <mergeCell ref="A4:W4"/>
    <mergeCell ref="A10:W10"/>
    <mergeCell ref="A11:W11"/>
    <mergeCell ref="A15:C15"/>
    <mergeCell ref="D15:G15"/>
    <mergeCell ref="K15:V15"/>
    <mergeCell ref="A339:H339"/>
    <mergeCell ref="S341:V341"/>
    <mergeCell ref="A342:H342"/>
    <mergeCell ref="S342:V342"/>
    <mergeCell ref="M341:O341"/>
    <mergeCell ref="M342:O342"/>
    <mergeCell ref="M348:O348"/>
    <mergeCell ref="A343:H343"/>
    <mergeCell ref="S347:V347"/>
    <mergeCell ref="A348:H348"/>
  </mergeCells>
  <pageMargins left="0.53" right="0.28999999999999998" top="0.5" bottom="0.27559055118110237" header="0.31496062992125984" footer="0.31496062992125984"/>
  <pageSetup paperSize="5" scale="60" orientation="landscape" horizontalDpi="4294967293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00"/>
  </sheetPr>
  <dimension ref="A1:AC89"/>
  <sheetViews>
    <sheetView workbookViewId="0"/>
  </sheetViews>
  <sheetFormatPr defaultColWidth="9.140625" defaultRowHeight="15.75"/>
  <cols>
    <col min="1" max="1" width="4.5703125" style="9" customWidth="1"/>
    <col min="2" max="2" width="23.85546875" style="9" customWidth="1"/>
    <col min="3" max="3" width="6" style="10" customWidth="1"/>
    <col min="4" max="4" width="53.42578125" style="9" customWidth="1"/>
    <col min="5" max="5" width="7.7109375" style="9" customWidth="1"/>
    <col min="6" max="6" width="60.140625" style="9" customWidth="1"/>
    <col min="7" max="7" width="18.5703125" style="9" bestFit="1" customWidth="1"/>
    <col min="8" max="8" width="11.5703125" style="9" customWidth="1"/>
    <col min="9" max="9" width="11" style="9" customWidth="1"/>
    <col min="10" max="10" width="22.7109375" style="9" customWidth="1"/>
    <col min="11" max="13" width="10.7109375" style="9" customWidth="1"/>
    <col min="14" max="14" width="8.5703125" style="9" customWidth="1"/>
    <col min="15" max="15" width="9.7109375" style="9" customWidth="1"/>
    <col min="16" max="16" width="13.7109375" style="9" customWidth="1"/>
    <col min="17" max="17" width="12.85546875" style="9" customWidth="1"/>
    <col min="18" max="18" width="17.5703125" style="9" customWidth="1"/>
    <col min="19" max="19" width="19.85546875" style="9" customWidth="1"/>
    <col min="20" max="20" width="2.140625" style="9" customWidth="1"/>
    <col min="21" max="21" width="2.5703125" style="9" customWidth="1"/>
    <col min="22" max="22" width="23" style="9" bestFit="1" customWidth="1"/>
    <col min="23" max="23" width="21.85546875" style="11" customWidth="1"/>
    <col min="24" max="24" width="25.140625" style="11" customWidth="1"/>
    <col min="25" max="27" width="20.28515625" style="9" customWidth="1"/>
    <col min="28" max="28" width="23" style="9" bestFit="1" customWidth="1"/>
    <col min="29" max="263" width="9.140625" style="9"/>
    <col min="264" max="264" width="4.5703125" style="9" customWidth="1"/>
    <col min="265" max="265" width="21.85546875" style="9" customWidth="1"/>
    <col min="266" max="266" width="22.140625" style="9" customWidth="1"/>
    <col min="267" max="267" width="11.5703125" style="9" customWidth="1"/>
    <col min="268" max="270" width="3.5703125" style="9" customWidth="1"/>
    <col min="271" max="271" width="9.5703125" style="9" customWidth="1"/>
    <col min="272" max="272" width="18.85546875" style="9" customWidth="1"/>
    <col min="273" max="273" width="11.5703125" style="9" customWidth="1"/>
    <col min="274" max="274" width="16.42578125" style="9" customWidth="1"/>
    <col min="275" max="275" width="17.5703125" style="9" customWidth="1"/>
    <col min="276" max="276" width="10.5703125" style="9" customWidth="1"/>
    <col min="277" max="519" width="9.140625" style="9"/>
    <col min="520" max="520" width="4.5703125" style="9" customWidth="1"/>
    <col min="521" max="521" width="21.85546875" style="9" customWidth="1"/>
    <col min="522" max="522" width="22.140625" style="9" customWidth="1"/>
    <col min="523" max="523" width="11.5703125" style="9" customWidth="1"/>
    <col min="524" max="526" width="3.5703125" style="9" customWidth="1"/>
    <col min="527" max="527" width="9.5703125" style="9" customWidth="1"/>
    <col min="528" max="528" width="18.85546875" style="9" customWidth="1"/>
    <col min="529" max="529" width="11.5703125" style="9" customWidth="1"/>
    <col min="530" max="530" width="16.42578125" style="9" customWidth="1"/>
    <col min="531" max="531" width="17.5703125" style="9" customWidth="1"/>
    <col min="532" max="532" width="10.5703125" style="9" customWidth="1"/>
    <col min="533" max="775" width="9.140625" style="9"/>
    <col min="776" max="776" width="4.5703125" style="9" customWidth="1"/>
    <col min="777" max="777" width="21.85546875" style="9" customWidth="1"/>
    <col min="778" max="778" width="22.140625" style="9" customWidth="1"/>
    <col min="779" max="779" width="11.5703125" style="9" customWidth="1"/>
    <col min="780" max="782" width="3.5703125" style="9" customWidth="1"/>
    <col min="783" max="783" width="9.5703125" style="9" customWidth="1"/>
    <col min="784" max="784" width="18.85546875" style="9" customWidth="1"/>
    <col min="785" max="785" width="11.5703125" style="9" customWidth="1"/>
    <col min="786" max="786" width="16.42578125" style="9" customWidth="1"/>
    <col min="787" max="787" width="17.5703125" style="9" customWidth="1"/>
    <col min="788" max="788" width="10.5703125" style="9" customWidth="1"/>
    <col min="789" max="1031" width="9.140625" style="9"/>
    <col min="1032" max="1032" width="4.5703125" style="9" customWidth="1"/>
    <col min="1033" max="1033" width="21.85546875" style="9" customWidth="1"/>
    <col min="1034" max="1034" width="22.140625" style="9" customWidth="1"/>
    <col min="1035" max="1035" width="11.5703125" style="9" customWidth="1"/>
    <col min="1036" max="1038" width="3.5703125" style="9" customWidth="1"/>
    <col min="1039" max="1039" width="9.5703125" style="9" customWidth="1"/>
    <col min="1040" max="1040" width="18.85546875" style="9" customWidth="1"/>
    <col min="1041" max="1041" width="11.5703125" style="9" customWidth="1"/>
    <col min="1042" max="1042" width="16.42578125" style="9" customWidth="1"/>
    <col min="1043" max="1043" width="17.5703125" style="9" customWidth="1"/>
    <col min="1044" max="1044" width="10.5703125" style="9" customWidth="1"/>
    <col min="1045" max="1287" width="9.140625" style="9"/>
    <col min="1288" max="1288" width="4.5703125" style="9" customWidth="1"/>
    <col min="1289" max="1289" width="21.85546875" style="9" customWidth="1"/>
    <col min="1290" max="1290" width="22.140625" style="9" customWidth="1"/>
    <col min="1291" max="1291" width="11.5703125" style="9" customWidth="1"/>
    <col min="1292" max="1294" width="3.5703125" style="9" customWidth="1"/>
    <col min="1295" max="1295" width="9.5703125" style="9" customWidth="1"/>
    <col min="1296" max="1296" width="18.85546875" style="9" customWidth="1"/>
    <col min="1297" max="1297" width="11.5703125" style="9" customWidth="1"/>
    <col min="1298" max="1298" width="16.42578125" style="9" customWidth="1"/>
    <col min="1299" max="1299" width="17.5703125" style="9" customWidth="1"/>
    <col min="1300" max="1300" width="10.5703125" style="9" customWidth="1"/>
    <col min="1301" max="1543" width="9.140625" style="9"/>
    <col min="1544" max="1544" width="4.5703125" style="9" customWidth="1"/>
    <col min="1545" max="1545" width="21.85546875" style="9" customWidth="1"/>
    <col min="1546" max="1546" width="22.140625" style="9" customWidth="1"/>
    <col min="1547" max="1547" width="11.5703125" style="9" customWidth="1"/>
    <col min="1548" max="1550" width="3.5703125" style="9" customWidth="1"/>
    <col min="1551" max="1551" width="9.5703125" style="9" customWidth="1"/>
    <col min="1552" max="1552" width="18.85546875" style="9" customWidth="1"/>
    <col min="1553" max="1553" width="11.5703125" style="9" customWidth="1"/>
    <col min="1554" max="1554" width="16.42578125" style="9" customWidth="1"/>
    <col min="1555" max="1555" width="17.5703125" style="9" customWidth="1"/>
    <col min="1556" max="1556" width="10.5703125" style="9" customWidth="1"/>
    <col min="1557" max="1799" width="9.140625" style="9"/>
    <col min="1800" max="1800" width="4.5703125" style="9" customWidth="1"/>
    <col min="1801" max="1801" width="21.85546875" style="9" customWidth="1"/>
    <col min="1802" max="1802" width="22.140625" style="9" customWidth="1"/>
    <col min="1803" max="1803" width="11.5703125" style="9" customWidth="1"/>
    <col min="1804" max="1806" width="3.5703125" style="9" customWidth="1"/>
    <col min="1807" max="1807" width="9.5703125" style="9" customWidth="1"/>
    <col min="1808" max="1808" width="18.85546875" style="9" customWidth="1"/>
    <col min="1809" max="1809" width="11.5703125" style="9" customWidth="1"/>
    <col min="1810" max="1810" width="16.42578125" style="9" customWidth="1"/>
    <col min="1811" max="1811" width="17.5703125" style="9" customWidth="1"/>
    <col min="1812" max="1812" width="10.5703125" style="9" customWidth="1"/>
    <col min="1813" max="2055" width="9.140625" style="9"/>
    <col min="2056" max="2056" width="4.5703125" style="9" customWidth="1"/>
    <col min="2057" max="2057" width="21.85546875" style="9" customWidth="1"/>
    <col min="2058" max="2058" width="22.140625" style="9" customWidth="1"/>
    <col min="2059" max="2059" width="11.5703125" style="9" customWidth="1"/>
    <col min="2060" max="2062" width="3.5703125" style="9" customWidth="1"/>
    <col min="2063" max="2063" width="9.5703125" style="9" customWidth="1"/>
    <col min="2064" max="2064" width="18.85546875" style="9" customWidth="1"/>
    <col min="2065" max="2065" width="11.5703125" style="9" customWidth="1"/>
    <col min="2066" max="2066" width="16.42578125" style="9" customWidth="1"/>
    <col min="2067" max="2067" width="17.5703125" style="9" customWidth="1"/>
    <col min="2068" max="2068" width="10.5703125" style="9" customWidth="1"/>
    <col min="2069" max="2311" width="9.140625" style="9"/>
    <col min="2312" max="2312" width="4.5703125" style="9" customWidth="1"/>
    <col min="2313" max="2313" width="21.85546875" style="9" customWidth="1"/>
    <col min="2314" max="2314" width="22.140625" style="9" customWidth="1"/>
    <col min="2315" max="2315" width="11.5703125" style="9" customWidth="1"/>
    <col min="2316" max="2318" width="3.5703125" style="9" customWidth="1"/>
    <col min="2319" max="2319" width="9.5703125" style="9" customWidth="1"/>
    <col min="2320" max="2320" width="18.85546875" style="9" customWidth="1"/>
    <col min="2321" max="2321" width="11.5703125" style="9" customWidth="1"/>
    <col min="2322" max="2322" width="16.42578125" style="9" customWidth="1"/>
    <col min="2323" max="2323" width="17.5703125" style="9" customWidth="1"/>
    <col min="2324" max="2324" width="10.5703125" style="9" customWidth="1"/>
    <col min="2325" max="2567" width="9.140625" style="9"/>
    <col min="2568" max="2568" width="4.5703125" style="9" customWidth="1"/>
    <col min="2569" max="2569" width="21.85546875" style="9" customWidth="1"/>
    <col min="2570" max="2570" width="22.140625" style="9" customWidth="1"/>
    <col min="2571" max="2571" width="11.5703125" style="9" customWidth="1"/>
    <col min="2572" max="2574" width="3.5703125" style="9" customWidth="1"/>
    <col min="2575" max="2575" width="9.5703125" style="9" customWidth="1"/>
    <col min="2576" max="2576" width="18.85546875" style="9" customWidth="1"/>
    <col min="2577" max="2577" width="11.5703125" style="9" customWidth="1"/>
    <col min="2578" max="2578" width="16.42578125" style="9" customWidth="1"/>
    <col min="2579" max="2579" width="17.5703125" style="9" customWidth="1"/>
    <col min="2580" max="2580" width="10.5703125" style="9" customWidth="1"/>
    <col min="2581" max="2823" width="9.140625" style="9"/>
    <col min="2824" max="2824" width="4.5703125" style="9" customWidth="1"/>
    <col min="2825" max="2825" width="21.85546875" style="9" customWidth="1"/>
    <col min="2826" max="2826" width="22.140625" style="9" customWidth="1"/>
    <col min="2827" max="2827" width="11.5703125" style="9" customWidth="1"/>
    <col min="2828" max="2830" width="3.5703125" style="9" customWidth="1"/>
    <col min="2831" max="2831" width="9.5703125" style="9" customWidth="1"/>
    <col min="2832" max="2832" width="18.85546875" style="9" customWidth="1"/>
    <col min="2833" max="2833" width="11.5703125" style="9" customWidth="1"/>
    <col min="2834" max="2834" width="16.42578125" style="9" customWidth="1"/>
    <col min="2835" max="2835" width="17.5703125" style="9" customWidth="1"/>
    <col min="2836" max="2836" width="10.5703125" style="9" customWidth="1"/>
    <col min="2837" max="3079" width="9.140625" style="9"/>
    <col min="3080" max="3080" width="4.5703125" style="9" customWidth="1"/>
    <col min="3081" max="3081" width="21.85546875" style="9" customWidth="1"/>
    <col min="3082" max="3082" width="22.140625" style="9" customWidth="1"/>
    <col min="3083" max="3083" width="11.5703125" style="9" customWidth="1"/>
    <col min="3084" max="3086" width="3.5703125" style="9" customWidth="1"/>
    <col min="3087" max="3087" width="9.5703125" style="9" customWidth="1"/>
    <col min="3088" max="3088" width="18.85546875" style="9" customWidth="1"/>
    <col min="3089" max="3089" width="11.5703125" style="9" customWidth="1"/>
    <col min="3090" max="3090" width="16.42578125" style="9" customWidth="1"/>
    <col min="3091" max="3091" width="17.5703125" style="9" customWidth="1"/>
    <col min="3092" max="3092" width="10.5703125" style="9" customWidth="1"/>
    <col min="3093" max="3335" width="9.140625" style="9"/>
    <col min="3336" max="3336" width="4.5703125" style="9" customWidth="1"/>
    <col min="3337" max="3337" width="21.85546875" style="9" customWidth="1"/>
    <col min="3338" max="3338" width="22.140625" style="9" customWidth="1"/>
    <col min="3339" max="3339" width="11.5703125" style="9" customWidth="1"/>
    <col min="3340" max="3342" width="3.5703125" style="9" customWidth="1"/>
    <col min="3343" max="3343" width="9.5703125" style="9" customWidth="1"/>
    <col min="3344" max="3344" width="18.85546875" style="9" customWidth="1"/>
    <col min="3345" max="3345" width="11.5703125" style="9" customWidth="1"/>
    <col min="3346" max="3346" width="16.42578125" style="9" customWidth="1"/>
    <col min="3347" max="3347" width="17.5703125" style="9" customWidth="1"/>
    <col min="3348" max="3348" width="10.5703125" style="9" customWidth="1"/>
    <col min="3349" max="3591" width="9.140625" style="9"/>
    <col min="3592" max="3592" width="4.5703125" style="9" customWidth="1"/>
    <col min="3593" max="3593" width="21.85546875" style="9" customWidth="1"/>
    <col min="3594" max="3594" width="22.140625" style="9" customWidth="1"/>
    <col min="3595" max="3595" width="11.5703125" style="9" customWidth="1"/>
    <col min="3596" max="3598" width="3.5703125" style="9" customWidth="1"/>
    <col min="3599" max="3599" width="9.5703125" style="9" customWidth="1"/>
    <col min="3600" max="3600" width="18.85546875" style="9" customWidth="1"/>
    <col min="3601" max="3601" width="11.5703125" style="9" customWidth="1"/>
    <col min="3602" max="3602" width="16.42578125" style="9" customWidth="1"/>
    <col min="3603" max="3603" width="17.5703125" style="9" customWidth="1"/>
    <col min="3604" max="3604" width="10.5703125" style="9" customWidth="1"/>
    <col min="3605" max="3847" width="9.140625" style="9"/>
    <col min="3848" max="3848" width="4.5703125" style="9" customWidth="1"/>
    <col min="3849" max="3849" width="21.85546875" style="9" customWidth="1"/>
    <col min="3850" max="3850" width="22.140625" style="9" customWidth="1"/>
    <col min="3851" max="3851" width="11.5703125" style="9" customWidth="1"/>
    <col min="3852" max="3854" width="3.5703125" style="9" customWidth="1"/>
    <col min="3855" max="3855" width="9.5703125" style="9" customWidth="1"/>
    <col min="3856" max="3856" width="18.85546875" style="9" customWidth="1"/>
    <col min="3857" max="3857" width="11.5703125" style="9" customWidth="1"/>
    <col min="3858" max="3858" width="16.42578125" style="9" customWidth="1"/>
    <col min="3859" max="3859" width="17.5703125" style="9" customWidth="1"/>
    <col min="3860" max="3860" width="10.5703125" style="9" customWidth="1"/>
    <col min="3861" max="4103" width="9.140625" style="9"/>
    <col min="4104" max="4104" width="4.5703125" style="9" customWidth="1"/>
    <col min="4105" max="4105" width="21.85546875" style="9" customWidth="1"/>
    <col min="4106" max="4106" width="22.140625" style="9" customWidth="1"/>
    <col min="4107" max="4107" width="11.5703125" style="9" customWidth="1"/>
    <col min="4108" max="4110" width="3.5703125" style="9" customWidth="1"/>
    <col min="4111" max="4111" width="9.5703125" style="9" customWidth="1"/>
    <col min="4112" max="4112" width="18.85546875" style="9" customWidth="1"/>
    <col min="4113" max="4113" width="11.5703125" style="9" customWidth="1"/>
    <col min="4114" max="4114" width="16.42578125" style="9" customWidth="1"/>
    <col min="4115" max="4115" width="17.5703125" style="9" customWidth="1"/>
    <col min="4116" max="4116" width="10.5703125" style="9" customWidth="1"/>
    <col min="4117" max="4359" width="9.140625" style="9"/>
    <col min="4360" max="4360" width="4.5703125" style="9" customWidth="1"/>
    <col min="4361" max="4361" width="21.85546875" style="9" customWidth="1"/>
    <col min="4362" max="4362" width="22.140625" style="9" customWidth="1"/>
    <col min="4363" max="4363" width="11.5703125" style="9" customWidth="1"/>
    <col min="4364" max="4366" width="3.5703125" style="9" customWidth="1"/>
    <col min="4367" max="4367" width="9.5703125" style="9" customWidth="1"/>
    <col min="4368" max="4368" width="18.85546875" style="9" customWidth="1"/>
    <col min="4369" max="4369" width="11.5703125" style="9" customWidth="1"/>
    <col min="4370" max="4370" width="16.42578125" style="9" customWidth="1"/>
    <col min="4371" max="4371" width="17.5703125" style="9" customWidth="1"/>
    <col min="4372" max="4372" width="10.5703125" style="9" customWidth="1"/>
    <col min="4373" max="4615" width="9.140625" style="9"/>
    <col min="4616" max="4616" width="4.5703125" style="9" customWidth="1"/>
    <col min="4617" max="4617" width="21.85546875" style="9" customWidth="1"/>
    <col min="4618" max="4618" width="22.140625" style="9" customWidth="1"/>
    <col min="4619" max="4619" width="11.5703125" style="9" customWidth="1"/>
    <col min="4620" max="4622" width="3.5703125" style="9" customWidth="1"/>
    <col min="4623" max="4623" width="9.5703125" style="9" customWidth="1"/>
    <col min="4624" max="4624" width="18.85546875" style="9" customWidth="1"/>
    <col min="4625" max="4625" width="11.5703125" style="9" customWidth="1"/>
    <col min="4626" max="4626" width="16.42578125" style="9" customWidth="1"/>
    <col min="4627" max="4627" width="17.5703125" style="9" customWidth="1"/>
    <col min="4628" max="4628" width="10.5703125" style="9" customWidth="1"/>
    <col min="4629" max="4871" width="9.140625" style="9"/>
    <col min="4872" max="4872" width="4.5703125" style="9" customWidth="1"/>
    <col min="4873" max="4873" width="21.85546875" style="9" customWidth="1"/>
    <col min="4874" max="4874" width="22.140625" style="9" customWidth="1"/>
    <col min="4875" max="4875" width="11.5703125" style="9" customWidth="1"/>
    <col min="4876" max="4878" width="3.5703125" style="9" customWidth="1"/>
    <col min="4879" max="4879" width="9.5703125" style="9" customWidth="1"/>
    <col min="4880" max="4880" width="18.85546875" style="9" customWidth="1"/>
    <col min="4881" max="4881" width="11.5703125" style="9" customWidth="1"/>
    <col min="4882" max="4882" width="16.42578125" style="9" customWidth="1"/>
    <col min="4883" max="4883" width="17.5703125" style="9" customWidth="1"/>
    <col min="4884" max="4884" width="10.5703125" style="9" customWidth="1"/>
    <col min="4885" max="5127" width="9.140625" style="9"/>
    <col min="5128" max="5128" width="4.5703125" style="9" customWidth="1"/>
    <col min="5129" max="5129" width="21.85546875" style="9" customWidth="1"/>
    <col min="5130" max="5130" width="22.140625" style="9" customWidth="1"/>
    <col min="5131" max="5131" width="11.5703125" style="9" customWidth="1"/>
    <col min="5132" max="5134" width="3.5703125" style="9" customWidth="1"/>
    <col min="5135" max="5135" width="9.5703125" style="9" customWidth="1"/>
    <col min="5136" max="5136" width="18.85546875" style="9" customWidth="1"/>
    <col min="5137" max="5137" width="11.5703125" style="9" customWidth="1"/>
    <col min="5138" max="5138" width="16.42578125" style="9" customWidth="1"/>
    <col min="5139" max="5139" width="17.5703125" style="9" customWidth="1"/>
    <col min="5140" max="5140" width="10.5703125" style="9" customWidth="1"/>
    <col min="5141" max="5383" width="9.140625" style="9"/>
    <col min="5384" max="5384" width="4.5703125" style="9" customWidth="1"/>
    <col min="5385" max="5385" width="21.85546875" style="9" customWidth="1"/>
    <col min="5386" max="5386" width="22.140625" style="9" customWidth="1"/>
    <col min="5387" max="5387" width="11.5703125" style="9" customWidth="1"/>
    <col min="5388" max="5390" width="3.5703125" style="9" customWidth="1"/>
    <col min="5391" max="5391" width="9.5703125" style="9" customWidth="1"/>
    <col min="5392" max="5392" width="18.85546875" style="9" customWidth="1"/>
    <col min="5393" max="5393" width="11.5703125" style="9" customWidth="1"/>
    <col min="5394" max="5394" width="16.42578125" style="9" customWidth="1"/>
    <col min="5395" max="5395" width="17.5703125" style="9" customWidth="1"/>
    <col min="5396" max="5396" width="10.5703125" style="9" customWidth="1"/>
    <col min="5397" max="5639" width="9.140625" style="9"/>
    <col min="5640" max="5640" width="4.5703125" style="9" customWidth="1"/>
    <col min="5641" max="5641" width="21.85546875" style="9" customWidth="1"/>
    <col min="5642" max="5642" width="22.140625" style="9" customWidth="1"/>
    <col min="5643" max="5643" width="11.5703125" style="9" customWidth="1"/>
    <col min="5644" max="5646" width="3.5703125" style="9" customWidth="1"/>
    <col min="5647" max="5647" width="9.5703125" style="9" customWidth="1"/>
    <col min="5648" max="5648" width="18.85546875" style="9" customWidth="1"/>
    <col min="5649" max="5649" width="11.5703125" style="9" customWidth="1"/>
    <col min="5650" max="5650" width="16.42578125" style="9" customWidth="1"/>
    <col min="5651" max="5651" width="17.5703125" style="9" customWidth="1"/>
    <col min="5652" max="5652" width="10.5703125" style="9" customWidth="1"/>
    <col min="5653" max="5895" width="9.140625" style="9"/>
    <col min="5896" max="5896" width="4.5703125" style="9" customWidth="1"/>
    <col min="5897" max="5897" width="21.85546875" style="9" customWidth="1"/>
    <col min="5898" max="5898" width="22.140625" style="9" customWidth="1"/>
    <col min="5899" max="5899" width="11.5703125" style="9" customWidth="1"/>
    <col min="5900" max="5902" width="3.5703125" style="9" customWidth="1"/>
    <col min="5903" max="5903" width="9.5703125" style="9" customWidth="1"/>
    <col min="5904" max="5904" width="18.85546875" style="9" customWidth="1"/>
    <col min="5905" max="5905" width="11.5703125" style="9" customWidth="1"/>
    <col min="5906" max="5906" width="16.42578125" style="9" customWidth="1"/>
    <col min="5907" max="5907" width="17.5703125" style="9" customWidth="1"/>
    <col min="5908" max="5908" width="10.5703125" style="9" customWidth="1"/>
    <col min="5909" max="6151" width="9.140625" style="9"/>
    <col min="6152" max="6152" width="4.5703125" style="9" customWidth="1"/>
    <col min="6153" max="6153" width="21.85546875" style="9" customWidth="1"/>
    <col min="6154" max="6154" width="22.140625" style="9" customWidth="1"/>
    <col min="6155" max="6155" width="11.5703125" style="9" customWidth="1"/>
    <col min="6156" max="6158" width="3.5703125" style="9" customWidth="1"/>
    <col min="6159" max="6159" width="9.5703125" style="9" customWidth="1"/>
    <col min="6160" max="6160" width="18.85546875" style="9" customWidth="1"/>
    <col min="6161" max="6161" width="11.5703125" style="9" customWidth="1"/>
    <col min="6162" max="6162" width="16.42578125" style="9" customWidth="1"/>
    <col min="6163" max="6163" width="17.5703125" style="9" customWidth="1"/>
    <col min="6164" max="6164" width="10.5703125" style="9" customWidth="1"/>
    <col min="6165" max="6407" width="9.140625" style="9"/>
    <col min="6408" max="6408" width="4.5703125" style="9" customWidth="1"/>
    <col min="6409" max="6409" width="21.85546875" style="9" customWidth="1"/>
    <col min="6410" max="6410" width="22.140625" style="9" customWidth="1"/>
    <col min="6411" max="6411" width="11.5703125" style="9" customWidth="1"/>
    <col min="6412" max="6414" width="3.5703125" style="9" customWidth="1"/>
    <col min="6415" max="6415" width="9.5703125" style="9" customWidth="1"/>
    <col min="6416" max="6416" width="18.85546875" style="9" customWidth="1"/>
    <col min="6417" max="6417" width="11.5703125" style="9" customWidth="1"/>
    <col min="6418" max="6418" width="16.42578125" style="9" customWidth="1"/>
    <col min="6419" max="6419" width="17.5703125" style="9" customWidth="1"/>
    <col min="6420" max="6420" width="10.5703125" style="9" customWidth="1"/>
    <col min="6421" max="6663" width="9.140625" style="9"/>
    <col min="6664" max="6664" width="4.5703125" style="9" customWidth="1"/>
    <col min="6665" max="6665" width="21.85546875" style="9" customWidth="1"/>
    <col min="6666" max="6666" width="22.140625" style="9" customWidth="1"/>
    <col min="6667" max="6667" width="11.5703125" style="9" customWidth="1"/>
    <col min="6668" max="6670" width="3.5703125" style="9" customWidth="1"/>
    <col min="6671" max="6671" width="9.5703125" style="9" customWidth="1"/>
    <col min="6672" max="6672" width="18.85546875" style="9" customWidth="1"/>
    <col min="6673" max="6673" width="11.5703125" style="9" customWidth="1"/>
    <col min="6674" max="6674" width="16.42578125" style="9" customWidth="1"/>
    <col min="6675" max="6675" width="17.5703125" style="9" customWidth="1"/>
    <col min="6676" max="6676" width="10.5703125" style="9" customWidth="1"/>
    <col min="6677" max="6919" width="9.140625" style="9"/>
    <col min="6920" max="6920" width="4.5703125" style="9" customWidth="1"/>
    <col min="6921" max="6921" width="21.85546875" style="9" customWidth="1"/>
    <col min="6922" max="6922" width="22.140625" style="9" customWidth="1"/>
    <col min="6923" max="6923" width="11.5703125" style="9" customWidth="1"/>
    <col min="6924" max="6926" width="3.5703125" style="9" customWidth="1"/>
    <col min="6927" max="6927" width="9.5703125" style="9" customWidth="1"/>
    <col min="6928" max="6928" width="18.85546875" style="9" customWidth="1"/>
    <col min="6929" max="6929" width="11.5703125" style="9" customWidth="1"/>
    <col min="6930" max="6930" width="16.42578125" style="9" customWidth="1"/>
    <col min="6931" max="6931" width="17.5703125" style="9" customWidth="1"/>
    <col min="6932" max="6932" width="10.5703125" style="9" customWidth="1"/>
    <col min="6933" max="7175" width="9.140625" style="9"/>
    <col min="7176" max="7176" width="4.5703125" style="9" customWidth="1"/>
    <col min="7177" max="7177" width="21.85546875" style="9" customWidth="1"/>
    <col min="7178" max="7178" width="22.140625" style="9" customWidth="1"/>
    <col min="7179" max="7179" width="11.5703125" style="9" customWidth="1"/>
    <col min="7180" max="7182" width="3.5703125" style="9" customWidth="1"/>
    <col min="7183" max="7183" width="9.5703125" style="9" customWidth="1"/>
    <col min="7184" max="7184" width="18.85546875" style="9" customWidth="1"/>
    <col min="7185" max="7185" width="11.5703125" style="9" customWidth="1"/>
    <col min="7186" max="7186" width="16.42578125" style="9" customWidth="1"/>
    <col min="7187" max="7187" width="17.5703125" style="9" customWidth="1"/>
    <col min="7188" max="7188" width="10.5703125" style="9" customWidth="1"/>
    <col min="7189" max="7431" width="9.140625" style="9"/>
    <col min="7432" max="7432" width="4.5703125" style="9" customWidth="1"/>
    <col min="7433" max="7433" width="21.85546875" style="9" customWidth="1"/>
    <col min="7434" max="7434" width="22.140625" style="9" customWidth="1"/>
    <col min="7435" max="7435" width="11.5703125" style="9" customWidth="1"/>
    <col min="7436" max="7438" width="3.5703125" style="9" customWidth="1"/>
    <col min="7439" max="7439" width="9.5703125" style="9" customWidth="1"/>
    <col min="7440" max="7440" width="18.85546875" style="9" customWidth="1"/>
    <col min="7441" max="7441" width="11.5703125" style="9" customWidth="1"/>
    <col min="7442" max="7442" width="16.42578125" style="9" customWidth="1"/>
    <col min="7443" max="7443" width="17.5703125" style="9" customWidth="1"/>
    <col min="7444" max="7444" width="10.5703125" style="9" customWidth="1"/>
    <col min="7445" max="7687" width="9.140625" style="9"/>
    <col min="7688" max="7688" width="4.5703125" style="9" customWidth="1"/>
    <col min="7689" max="7689" width="21.85546875" style="9" customWidth="1"/>
    <col min="7690" max="7690" width="22.140625" style="9" customWidth="1"/>
    <col min="7691" max="7691" width="11.5703125" style="9" customWidth="1"/>
    <col min="7692" max="7694" width="3.5703125" style="9" customWidth="1"/>
    <col min="7695" max="7695" width="9.5703125" style="9" customWidth="1"/>
    <col min="7696" max="7696" width="18.85546875" style="9" customWidth="1"/>
    <col min="7697" max="7697" width="11.5703125" style="9" customWidth="1"/>
    <col min="7698" max="7698" width="16.42578125" style="9" customWidth="1"/>
    <col min="7699" max="7699" width="17.5703125" style="9" customWidth="1"/>
    <col min="7700" max="7700" width="10.5703125" style="9" customWidth="1"/>
    <col min="7701" max="7943" width="9.140625" style="9"/>
    <col min="7944" max="7944" width="4.5703125" style="9" customWidth="1"/>
    <col min="7945" max="7945" width="21.85546875" style="9" customWidth="1"/>
    <col min="7946" max="7946" width="22.140625" style="9" customWidth="1"/>
    <col min="7947" max="7947" width="11.5703125" style="9" customWidth="1"/>
    <col min="7948" max="7950" width="3.5703125" style="9" customWidth="1"/>
    <col min="7951" max="7951" width="9.5703125" style="9" customWidth="1"/>
    <col min="7952" max="7952" width="18.85546875" style="9" customWidth="1"/>
    <col min="7953" max="7953" width="11.5703125" style="9" customWidth="1"/>
    <col min="7954" max="7954" width="16.42578125" style="9" customWidth="1"/>
    <col min="7955" max="7955" width="17.5703125" style="9" customWidth="1"/>
    <col min="7956" max="7956" width="10.5703125" style="9" customWidth="1"/>
    <col min="7957" max="8199" width="9.140625" style="9"/>
    <col min="8200" max="8200" width="4.5703125" style="9" customWidth="1"/>
    <col min="8201" max="8201" width="21.85546875" style="9" customWidth="1"/>
    <col min="8202" max="8202" width="22.140625" style="9" customWidth="1"/>
    <col min="8203" max="8203" width="11.5703125" style="9" customWidth="1"/>
    <col min="8204" max="8206" width="3.5703125" style="9" customWidth="1"/>
    <col min="8207" max="8207" width="9.5703125" style="9" customWidth="1"/>
    <col min="8208" max="8208" width="18.85546875" style="9" customWidth="1"/>
    <col min="8209" max="8209" width="11.5703125" style="9" customWidth="1"/>
    <col min="8210" max="8210" width="16.42578125" style="9" customWidth="1"/>
    <col min="8211" max="8211" width="17.5703125" style="9" customWidth="1"/>
    <col min="8212" max="8212" width="10.5703125" style="9" customWidth="1"/>
    <col min="8213" max="8455" width="9.140625" style="9"/>
    <col min="8456" max="8456" width="4.5703125" style="9" customWidth="1"/>
    <col min="8457" max="8457" width="21.85546875" style="9" customWidth="1"/>
    <col min="8458" max="8458" width="22.140625" style="9" customWidth="1"/>
    <col min="8459" max="8459" width="11.5703125" style="9" customWidth="1"/>
    <col min="8460" max="8462" width="3.5703125" style="9" customWidth="1"/>
    <col min="8463" max="8463" width="9.5703125" style="9" customWidth="1"/>
    <col min="8464" max="8464" width="18.85546875" style="9" customWidth="1"/>
    <col min="8465" max="8465" width="11.5703125" style="9" customWidth="1"/>
    <col min="8466" max="8466" width="16.42578125" style="9" customWidth="1"/>
    <col min="8467" max="8467" width="17.5703125" style="9" customWidth="1"/>
    <col min="8468" max="8468" width="10.5703125" style="9" customWidth="1"/>
    <col min="8469" max="8711" width="9.140625" style="9"/>
    <col min="8712" max="8712" width="4.5703125" style="9" customWidth="1"/>
    <col min="8713" max="8713" width="21.85546875" style="9" customWidth="1"/>
    <col min="8714" max="8714" width="22.140625" style="9" customWidth="1"/>
    <col min="8715" max="8715" width="11.5703125" style="9" customWidth="1"/>
    <col min="8716" max="8718" width="3.5703125" style="9" customWidth="1"/>
    <col min="8719" max="8719" width="9.5703125" style="9" customWidth="1"/>
    <col min="8720" max="8720" width="18.85546875" style="9" customWidth="1"/>
    <col min="8721" max="8721" width="11.5703125" style="9" customWidth="1"/>
    <col min="8722" max="8722" width="16.42578125" style="9" customWidth="1"/>
    <col min="8723" max="8723" width="17.5703125" style="9" customWidth="1"/>
    <col min="8724" max="8724" width="10.5703125" style="9" customWidth="1"/>
    <col min="8725" max="8967" width="9.140625" style="9"/>
    <col min="8968" max="8968" width="4.5703125" style="9" customWidth="1"/>
    <col min="8969" max="8969" width="21.85546875" style="9" customWidth="1"/>
    <col min="8970" max="8970" width="22.140625" style="9" customWidth="1"/>
    <col min="8971" max="8971" width="11.5703125" style="9" customWidth="1"/>
    <col min="8972" max="8974" width="3.5703125" style="9" customWidth="1"/>
    <col min="8975" max="8975" width="9.5703125" style="9" customWidth="1"/>
    <col min="8976" max="8976" width="18.85546875" style="9" customWidth="1"/>
    <col min="8977" max="8977" width="11.5703125" style="9" customWidth="1"/>
    <col min="8978" max="8978" width="16.42578125" style="9" customWidth="1"/>
    <col min="8979" max="8979" width="17.5703125" style="9" customWidth="1"/>
    <col min="8980" max="8980" width="10.5703125" style="9" customWidth="1"/>
    <col min="8981" max="9223" width="9.140625" style="9"/>
    <col min="9224" max="9224" width="4.5703125" style="9" customWidth="1"/>
    <col min="9225" max="9225" width="21.85546875" style="9" customWidth="1"/>
    <col min="9226" max="9226" width="22.140625" style="9" customWidth="1"/>
    <col min="9227" max="9227" width="11.5703125" style="9" customWidth="1"/>
    <col min="9228" max="9230" width="3.5703125" style="9" customWidth="1"/>
    <col min="9231" max="9231" width="9.5703125" style="9" customWidth="1"/>
    <col min="9232" max="9232" width="18.85546875" style="9" customWidth="1"/>
    <col min="9233" max="9233" width="11.5703125" style="9" customWidth="1"/>
    <col min="9234" max="9234" width="16.42578125" style="9" customWidth="1"/>
    <col min="9235" max="9235" width="17.5703125" style="9" customWidth="1"/>
    <col min="9236" max="9236" width="10.5703125" style="9" customWidth="1"/>
    <col min="9237" max="9479" width="9.140625" style="9"/>
    <col min="9480" max="9480" width="4.5703125" style="9" customWidth="1"/>
    <col min="9481" max="9481" width="21.85546875" style="9" customWidth="1"/>
    <col min="9482" max="9482" width="22.140625" style="9" customWidth="1"/>
    <col min="9483" max="9483" width="11.5703125" style="9" customWidth="1"/>
    <col min="9484" max="9486" width="3.5703125" style="9" customWidth="1"/>
    <col min="9487" max="9487" width="9.5703125" style="9" customWidth="1"/>
    <col min="9488" max="9488" width="18.85546875" style="9" customWidth="1"/>
    <col min="9489" max="9489" width="11.5703125" style="9" customWidth="1"/>
    <col min="9490" max="9490" width="16.42578125" style="9" customWidth="1"/>
    <col min="9491" max="9491" width="17.5703125" style="9" customWidth="1"/>
    <col min="9492" max="9492" width="10.5703125" style="9" customWidth="1"/>
    <col min="9493" max="9735" width="9.140625" style="9"/>
    <col min="9736" max="9736" width="4.5703125" style="9" customWidth="1"/>
    <col min="9737" max="9737" width="21.85546875" style="9" customWidth="1"/>
    <col min="9738" max="9738" width="22.140625" style="9" customWidth="1"/>
    <col min="9739" max="9739" width="11.5703125" style="9" customWidth="1"/>
    <col min="9740" max="9742" width="3.5703125" style="9" customWidth="1"/>
    <col min="9743" max="9743" width="9.5703125" style="9" customWidth="1"/>
    <col min="9744" max="9744" width="18.85546875" style="9" customWidth="1"/>
    <col min="9745" max="9745" width="11.5703125" style="9" customWidth="1"/>
    <col min="9746" max="9746" width="16.42578125" style="9" customWidth="1"/>
    <col min="9747" max="9747" width="17.5703125" style="9" customWidth="1"/>
    <col min="9748" max="9748" width="10.5703125" style="9" customWidth="1"/>
    <col min="9749" max="9991" width="9.140625" style="9"/>
    <col min="9992" max="9992" width="4.5703125" style="9" customWidth="1"/>
    <col min="9993" max="9993" width="21.85546875" style="9" customWidth="1"/>
    <col min="9994" max="9994" width="22.140625" style="9" customWidth="1"/>
    <col min="9995" max="9995" width="11.5703125" style="9" customWidth="1"/>
    <col min="9996" max="9998" width="3.5703125" style="9" customWidth="1"/>
    <col min="9999" max="9999" width="9.5703125" style="9" customWidth="1"/>
    <col min="10000" max="10000" width="18.85546875" style="9" customWidth="1"/>
    <col min="10001" max="10001" width="11.5703125" style="9" customWidth="1"/>
    <col min="10002" max="10002" width="16.42578125" style="9" customWidth="1"/>
    <col min="10003" max="10003" width="17.5703125" style="9" customWidth="1"/>
    <col min="10004" max="10004" width="10.5703125" style="9" customWidth="1"/>
    <col min="10005" max="10247" width="9.140625" style="9"/>
    <col min="10248" max="10248" width="4.5703125" style="9" customWidth="1"/>
    <col min="10249" max="10249" width="21.85546875" style="9" customWidth="1"/>
    <col min="10250" max="10250" width="22.140625" style="9" customWidth="1"/>
    <col min="10251" max="10251" width="11.5703125" style="9" customWidth="1"/>
    <col min="10252" max="10254" width="3.5703125" style="9" customWidth="1"/>
    <col min="10255" max="10255" width="9.5703125" style="9" customWidth="1"/>
    <col min="10256" max="10256" width="18.85546875" style="9" customWidth="1"/>
    <col min="10257" max="10257" width="11.5703125" style="9" customWidth="1"/>
    <col min="10258" max="10258" width="16.42578125" style="9" customWidth="1"/>
    <col min="10259" max="10259" width="17.5703125" style="9" customWidth="1"/>
    <col min="10260" max="10260" width="10.5703125" style="9" customWidth="1"/>
    <col min="10261" max="10503" width="9.140625" style="9"/>
    <col min="10504" max="10504" width="4.5703125" style="9" customWidth="1"/>
    <col min="10505" max="10505" width="21.85546875" style="9" customWidth="1"/>
    <col min="10506" max="10506" width="22.140625" style="9" customWidth="1"/>
    <col min="10507" max="10507" width="11.5703125" style="9" customWidth="1"/>
    <col min="10508" max="10510" width="3.5703125" style="9" customWidth="1"/>
    <col min="10511" max="10511" width="9.5703125" style="9" customWidth="1"/>
    <col min="10512" max="10512" width="18.85546875" style="9" customWidth="1"/>
    <col min="10513" max="10513" width="11.5703125" style="9" customWidth="1"/>
    <col min="10514" max="10514" width="16.42578125" style="9" customWidth="1"/>
    <col min="10515" max="10515" width="17.5703125" style="9" customWidth="1"/>
    <col min="10516" max="10516" width="10.5703125" style="9" customWidth="1"/>
    <col min="10517" max="10759" width="9.140625" style="9"/>
    <col min="10760" max="10760" width="4.5703125" style="9" customWidth="1"/>
    <col min="10761" max="10761" width="21.85546875" style="9" customWidth="1"/>
    <col min="10762" max="10762" width="22.140625" style="9" customWidth="1"/>
    <col min="10763" max="10763" width="11.5703125" style="9" customWidth="1"/>
    <col min="10764" max="10766" width="3.5703125" style="9" customWidth="1"/>
    <col min="10767" max="10767" width="9.5703125" style="9" customWidth="1"/>
    <col min="10768" max="10768" width="18.85546875" style="9" customWidth="1"/>
    <col min="10769" max="10769" width="11.5703125" style="9" customWidth="1"/>
    <col min="10770" max="10770" width="16.42578125" style="9" customWidth="1"/>
    <col min="10771" max="10771" width="17.5703125" style="9" customWidth="1"/>
    <col min="10772" max="10772" width="10.5703125" style="9" customWidth="1"/>
    <col min="10773" max="11015" width="9.140625" style="9"/>
    <col min="11016" max="11016" width="4.5703125" style="9" customWidth="1"/>
    <col min="11017" max="11017" width="21.85546875" style="9" customWidth="1"/>
    <col min="11018" max="11018" width="22.140625" style="9" customWidth="1"/>
    <col min="11019" max="11019" width="11.5703125" style="9" customWidth="1"/>
    <col min="11020" max="11022" width="3.5703125" style="9" customWidth="1"/>
    <col min="11023" max="11023" width="9.5703125" style="9" customWidth="1"/>
    <col min="11024" max="11024" width="18.85546875" style="9" customWidth="1"/>
    <col min="11025" max="11025" width="11.5703125" style="9" customWidth="1"/>
    <col min="11026" max="11026" width="16.42578125" style="9" customWidth="1"/>
    <col min="11027" max="11027" width="17.5703125" style="9" customWidth="1"/>
    <col min="11028" max="11028" width="10.5703125" style="9" customWidth="1"/>
    <col min="11029" max="11271" width="9.140625" style="9"/>
    <col min="11272" max="11272" width="4.5703125" style="9" customWidth="1"/>
    <col min="11273" max="11273" width="21.85546875" style="9" customWidth="1"/>
    <col min="11274" max="11274" width="22.140625" style="9" customWidth="1"/>
    <col min="11275" max="11275" width="11.5703125" style="9" customWidth="1"/>
    <col min="11276" max="11278" width="3.5703125" style="9" customWidth="1"/>
    <col min="11279" max="11279" width="9.5703125" style="9" customWidth="1"/>
    <col min="11280" max="11280" width="18.85546875" style="9" customWidth="1"/>
    <col min="11281" max="11281" width="11.5703125" style="9" customWidth="1"/>
    <col min="11282" max="11282" width="16.42578125" style="9" customWidth="1"/>
    <col min="11283" max="11283" width="17.5703125" style="9" customWidth="1"/>
    <col min="11284" max="11284" width="10.5703125" style="9" customWidth="1"/>
    <col min="11285" max="11527" width="9.140625" style="9"/>
    <col min="11528" max="11528" width="4.5703125" style="9" customWidth="1"/>
    <col min="11529" max="11529" width="21.85546875" style="9" customWidth="1"/>
    <col min="11530" max="11530" width="22.140625" style="9" customWidth="1"/>
    <col min="11531" max="11531" width="11.5703125" style="9" customWidth="1"/>
    <col min="11532" max="11534" width="3.5703125" style="9" customWidth="1"/>
    <col min="11535" max="11535" width="9.5703125" style="9" customWidth="1"/>
    <col min="11536" max="11536" width="18.85546875" style="9" customWidth="1"/>
    <col min="11537" max="11537" width="11.5703125" style="9" customWidth="1"/>
    <col min="11538" max="11538" width="16.42578125" style="9" customWidth="1"/>
    <col min="11539" max="11539" width="17.5703125" style="9" customWidth="1"/>
    <col min="11540" max="11540" width="10.5703125" style="9" customWidth="1"/>
    <col min="11541" max="11783" width="9.140625" style="9"/>
    <col min="11784" max="11784" width="4.5703125" style="9" customWidth="1"/>
    <col min="11785" max="11785" width="21.85546875" style="9" customWidth="1"/>
    <col min="11786" max="11786" width="22.140625" style="9" customWidth="1"/>
    <col min="11787" max="11787" width="11.5703125" style="9" customWidth="1"/>
    <col min="11788" max="11790" width="3.5703125" style="9" customWidth="1"/>
    <col min="11791" max="11791" width="9.5703125" style="9" customWidth="1"/>
    <col min="11792" max="11792" width="18.85546875" style="9" customWidth="1"/>
    <col min="11793" max="11793" width="11.5703125" style="9" customWidth="1"/>
    <col min="11794" max="11794" width="16.42578125" style="9" customWidth="1"/>
    <col min="11795" max="11795" width="17.5703125" style="9" customWidth="1"/>
    <col min="11796" max="11796" width="10.5703125" style="9" customWidth="1"/>
    <col min="11797" max="12039" width="9.140625" style="9"/>
    <col min="12040" max="12040" width="4.5703125" style="9" customWidth="1"/>
    <col min="12041" max="12041" width="21.85546875" style="9" customWidth="1"/>
    <col min="12042" max="12042" width="22.140625" style="9" customWidth="1"/>
    <col min="12043" max="12043" width="11.5703125" style="9" customWidth="1"/>
    <col min="12044" max="12046" width="3.5703125" style="9" customWidth="1"/>
    <col min="12047" max="12047" width="9.5703125" style="9" customWidth="1"/>
    <col min="12048" max="12048" width="18.85546875" style="9" customWidth="1"/>
    <col min="12049" max="12049" width="11.5703125" style="9" customWidth="1"/>
    <col min="12050" max="12050" width="16.42578125" style="9" customWidth="1"/>
    <col min="12051" max="12051" width="17.5703125" style="9" customWidth="1"/>
    <col min="12052" max="12052" width="10.5703125" style="9" customWidth="1"/>
    <col min="12053" max="12295" width="9.140625" style="9"/>
    <col min="12296" max="12296" width="4.5703125" style="9" customWidth="1"/>
    <col min="12297" max="12297" width="21.85546875" style="9" customWidth="1"/>
    <col min="12298" max="12298" width="22.140625" style="9" customWidth="1"/>
    <col min="12299" max="12299" width="11.5703125" style="9" customWidth="1"/>
    <col min="12300" max="12302" width="3.5703125" style="9" customWidth="1"/>
    <col min="12303" max="12303" width="9.5703125" style="9" customWidth="1"/>
    <col min="12304" max="12304" width="18.85546875" style="9" customWidth="1"/>
    <col min="12305" max="12305" width="11.5703125" style="9" customWidth="1"/>
    <col min="12306" max="12306" width="16.42578125" style="9" customWidth="1"/>
    <col min="12307" max="12307" width="17.5703125" style="9" customWidth="1"/>
    <col min="12308" max="12308" width="10.5703125" style="9" customWidth="1"/>
    <col min="12309" max="12551" width="9.140625" style="9"/>
    <col min="12552" max="12552" width="4.5703125" style="9" customWidth="1"/>
    <col min="12553" max="12553" width="21.85546875" style="9" customWidth="1"/>
    <col min="12554" max="12554" width="22.140625" style="9" customWidth="1"/>
    <col min="12555" max="12555" width="11.5703125" style="9" customWidth="1"/>
    <col min="12556" max="12558" width="3.5703125" style="9" customWidth="1"/>
    <col min="12559" max="12559" width="9.5703125" style="9" customWidth="1"/>
    <col min="12560" max="12560" width="18.85546875" style="9" customWidth="1"/>
    <col min="12561" max="12561" width="11.5703125" style="9" customWidth="1"/>
    <col min="12562" max="12562" width="16.42578125" style="9" customWidth="1"/>
    <col min="12563" max="12563" width="17.5703125" style="9" customWidth="1"/>
    <col min="12564" max="12564" width="10.5703125" style="9" customWidth="1"/>
    <col min="12565" max="12807" width="9.140625" style="9"/>
    <col min="12808" max="12808" width="4.5703125" style="9" customWidth="1"/>
    <col min="12809" max="12809" width="21.85546875" style="9" customWidth="1"/>
    <col min="12810" max="12810" width="22.140625" style="9" customWidth="1"/>
    <col min="12811" max="12811" width="11.5703125" style="9" customWidth="1"/>
    <col min="12812" max="12814" width="3.5703125" style="9" customWidth="1"/>
    <col min="12815" max="12815" width="9.5703125" style="9" customWidth="1"/>
    <col min="12816" max="12816" width="18.85546875" style="9" customWidth="1"/>
    <col min="12817" max="12817" width="11.5703125" style="9" customWidth="1"/>
    <col min="12818" max="12818" width="16.42578125" style="9" customWidth="1"/>
    <col min="12819" max="12819" width="17.5703125" style="9" customWidth="1"/>
    <col min="12820" max="12820" width="10.5703125" style="9" customWidth="1"/>
    <col min="12821" max="13063" width="9.140625" style="9"/>
    <col min="13064" max="13064" width="4.5703125" style="9" customWidth="1"/>
    <col min="13065" max="13065" width="21.85546875" style="9" customWidth="1"/>
    <col min="13066" max="13066" width="22.140625" style="9" customWidth="1"/>
    <col min="13067" max="13067" width="11.5703125" style="9" customWidth="1"/>
    <col min="13068" max="13070" width="3.5703125" style="9" customWidth="1"/>
    <col min="13071" max="13071" width="9.5703125" style="9" customWidth="1"/>
    <col min="13072" max="13072" width="18.85546875" style="9" customWidth="1"/>
    <col min="13073" max="13073" width="11.5703125" style="9" customWidth="1"/>
    <col min="13074" max="13074" width="16.42578125" style="9" customWidth="1"/>
    <col min="13075" max="13075" width="17.5703125" style="9" customWidth="1"/>
    <col min="13076" max="13076" width="10.5703125" style="9" customWidth="1"/>
    <col min="13077" max="13319" width="9.140625" style="9"/>
    <col min="13320" max="13320" width="4.5703125" style="9" customWidth="1"/>
    <col min="13321" max="13321" width="21.85546875" style="9" customWidth="1"/>
    <col min="13322" max="13322" width="22.140625" style="9" customWidth="1"/>
    <col min="13323" max="13323" width="11.5703125" style="9" customWidth="1"/>
    <col min="13324" max="13326" width="3.5703125" style="9" customWidth="1"/>
    <col min="13327" max="13327" width="9.5703125" style="9" customWidth="1"/>
    <col min="13328" max="13328" width="18.85546875" style="9" customWidth="1"/>
    <col min="13329" max="13329" width="11.5703125" style="9" customWidth="1"/>
    <col min="13330" max="13330" width="16.42578125" style="9" customWidth="1"/>
    <col min="13331" max="13331" width="17.5703125" style="9" customWidth="1"/>
    <col min="13332" max="13332" width="10.5703125" style="9" customWidth="1"/>
    <col min="13333" max="13575" width="9.140625" style="9"/>
    <col min="13576" max="13576" width="4.5703125" style="9" customWidth="1"/>
    <col min="13577" max="13577" width="21.85546875" style="9" customWidth="1"/>
    <col min="13578" max="13578" width="22.140625" style="9" customWidth="1"/>
    <col min="13579" max="13579" width="11.5703125" style="9" customWidth="1"/>
    <col min="13580" max="13582" width="3.5703125" style="9" customWidth="1"/>
    <col min="13583" max="13583" width="9.5703125" style="9" customWidth="1"/>
    <col min="13584" max="13584" width="18.85546875" style="9" customWidth="1"/>
    <col min="13585" max="13585" width="11.5703125" style="9" customWidth="1"/>
    <col min="13586" max="13586" width="16.42578125" style="9" customWidth="1"/>
    <col min="13587" max="13587" width="17.5703125" style="9" customWidth="1"/>
    <col min="13588" max="13588" width="10.5703125" style="9" customWidth="1"/>
    <col min="13589" max="13831" width="9.140625" style="9"/>
    <col min="13832" max="13832" width="4.5703125" style="9" customWidth="1"/>
    <col min="13833" max="13833" width="21.85546875" style="9" customWidth="1"/>
    <col min="13834" max="13834" width="22.140625" style="9" customWidth="1"/>
    <col min="13835" max="13835" width="11.5703125" style="9" customWidth="1"/>
    <col min="13836" max="13838" width="3.5703125" style="9" customWidth="1"/>
    <col min="13839" max="13839" width="9.5703125" style="9" customWidth="1"/>
    <col min="13840" max="13840" width="18.85546875" style="9" customWidth="1"/>
    <col min="13841" max="13841" width="11.5703125" style="9" customWidth="1"/>
    <col min="13842" max="13842" width="16.42578125" style="9" customWidth="1"/>
    <col min="13843" max="13843" width="17.5703125" style="9" customWidth="1"/>
    <col min="13844" max="13844" width="10.5703125" style="9" customWidth="1"/>
    <col min="13845" max="14087" width="9.140625" style="9"/>
    <col min="14088" max="14088" width="4.5703125" style="9" customWidth="1"/>
    <col min="14089" max="14089" width="21.85546875" style="9" customWidth="1"/>
    <col min="14090" max="14090" width="22.140625" style="9" customWidth="1"/>
    <col min="14091" max="14091" width="11.5703125" style="9" customWidth="1"/>
    <col min="14092" max="14094" width="3.5703125" style="9" customWidth="1"/>
    <col min="14095" max="14095" width="9.5703125" style="9" customWidth="1"/>
    <col min="14096" max="14096" width="18.85546875" style="9" customWidth="1"/>
    <col min="14097" max="14097" width="11.5703125" style="9" customWidth="1"/>
    <col min="14098" max="14098" width="16.42578125" style="9" customWidth="1"/>
    <col min="14099" max="14099" width="17.5703125" style="9" customWidth="1"/>
    <col min="14100" max="14100" width="10.5703125" style="9" customWidth="1"/>
    <col min="14101" max="14343" width="9.140625" style="9"/>
    <col min="14344" max="14344" width="4.5703125" style="9" customWidth="1"/>
    <col min="14345" max="14345" width="21.85546875" style="9" customWidth="1"/>
    <col min="14346" max="14346" width="22.140625" style="9" customWidth="1"/>
    <col min="14347" max="14347" width="11.5703125" style="9" customWidth="1"/>
    <col min="14348" max="14350" width="3.5703125" style="9" customWidth="1"/>
    <col min="14351" max="14351" width="9.5703125" style="9" customWidth="1"/>
    <col min="14352" max="14352" width="18.85546875" style="9" customWidth="1"/>
    <col min="14353" max="14353" width="11.5703125" style="9" customWidth="1"/>
    <col min="14354" max="14354" width="16.42578125" style="9" customWidth="1"/>
    <col min="14355" max="14355" width="17.5703125" style="9" customWidth="1"/>
    <col min="14356" max="14356" width="10.5703125" style="9" customWidth="1"/>
    <col min="14357" max="14599" width="9.140625" style="9"/>
    <col min="14600" max="14600" width="4.5703125" style="9" customWidth="1"/>
    <col min="14601" max="14601" width="21.85546875" style="9" customWidth="1"/>
    <col min="14602" max="14602" width="22.140625" style="9" customWidth="1"/>
    <col min="14603" max="14603" width="11.5703125" style="9" customWidth="1"/>
    <col min="14604" max="14606" width="3.5703125" style="9" customWidth="1"/>
    <col min="14607" max="14607" width="9.5703125" style="9" customWidth="1"/>
    <col min="14608" max="14608" width="18.85546875" style="9" customWidth="1"/>
    <col min="14609" max="14609" width="11.5703125" style="9" customWidth="1"/>
    <col min="14610" max="14610" width="16.42578125" style="9" customWidth="1"/>
    <col min="14611" max="14611" width="17.5703125" style="9" customWidth="1"/>
    <col min="14612" max="14612" width="10.5703125" style="9" customWidth="1"/>
    <col min="14613" max="14855" width="9.140625" style="9"/>
    <col min="14856" max="14856" width="4.5703125" style="9" customWidth="1"/>
    <col min="14857" max="14857" width="21.85546875" style="9" customWidth="1"/>
    <col min="14858" max="14858" width="22.140625" style="9" customWidth="1"/>
    <col min="14859" max="14859" width="11.5703125" style="9" customWidth="1"/>
    <col min="14860" max="14862" width="3.5703125" style="9" customWidth="1"/>
    <col min="14863" max="14863" width="9.5703125" style="9" customWidth="1"/>
    <col min="14864" max="14864" width="18.85546875" style="9" customWidth="1"/>
    <col min="14865" max="14865" width="11.5703125" style="9" customWidth="1"/>
    <col min="14866" max="14866" width="16.42578125" style="9" customWidth="1"/>
    <col min="14867" max="14867" width="17.5703125" style="9" customWidth="1"/>
    <col min="14868" max="14868" width="10.5703125" style="9" customWidth="1"/>
    <col min="14869" max="15111" width="9.140625" style="9"/>
    <col min="15112" max="15112" width="4.5703125" style="9" customWidth="1"/>
    <col min="15113" max="15113" width="21.85546875" style="9" customWidth="1"/>
    <col min="15114" max="15114" width="22.140625" style="9" customWidth="1"/>
    <col min="15115" max="15115" width="11.5703125" style="9" customWidth="1"/>
    <col min="15116" max="15118" width="3.5703125" style="9" customWidth="1"/>
    <col min="15119" max="15119" width="9.5703125" style="9" customWidth="1"/>
    <col min="15120" max="15120" width="18.85546875" style="9" customWidth="1"/>
    <col min="15121" max="15121" width="11.5703125" style="9" customWidth="1"/>
    <col min="15122" max="15122" width="16.42578125" style="9" customWidth="1"/>
    <col min="15123" max="15123" width="17.5703125" style="9" customWidth="1"/>
    <col min="15124" max="15124" width="10.5703125" style="9" customWidth="1"/>
    <col min="15125" max="15367" width="9.140625" style="9"/>
    <col min="15368" max="15368" width="4.5703125" style="9" customWidth="1"/>
    <col min="15369" max="15369" width="21.85546875" style="9" customWidth="1"/>
    <col min="15370" max="15370" width="22.140625" style="9" customWidth="1"/>
    <col min="15371" max="15371" width="11.5703125" style="9" customWidth="1"/>
    <col min="15372" max="15374" width="3.5703125" style="9" customWidth="1"/>
    <col min="15375" max="15375" width="9.5703125" style="9" customWidth="1"/>
    <col min="15376" max="15376" width="18.85546875" style="9" customWidth="1"/>
    <col min="15377" max="15377" width="11.5703125" style="9" customWidth="1"/>
    <col min="15378" max="15378" width="16.42578125" style="9" customWidth="1"/>
    <col min="15379" max="15379" width="17.5703125" style="9" customWidth="1"/>
    <col min="15380" max="15380" width="10.5703125" style="9" customWidth="1"/>
    <col min="15381" max="15623" width="9.140625" style="9"/>
    <col min="15624" max="15624" width="4.5703125" style="9" customWidth="1"/>
    <col min="15625" max="15625" width="21.85546875" style="9" customWidth="1"/>
    <col min="15626" max="15626" width="22.140625" style="9" customWidth="1"/>
    <col min="15627" max="15627" width="11.5703125" style="9" customWidth="1"/>
    <col min="15628" max="15630" width="3.5703125" style="9" customWidth="1"/>
    <col min="15631" max="15631" width="9.5703125" style="9" customWidth="1"/>
    <col min="15632" max="15632" width="18.85546875" style="9" customWidth="1"/>
    <col min="15633" max="15633" width="11.5703125" style="9" customWidth="1"/>
    <col min="15634" max="15634" width="16.42578125" style="9" customWidth="1"/>
    <col min="15635" max="15635" width="17.5703125" style="9" customWidth="1"/>
    <col min="15636" max="15636" width="10.5703125" style="9" customWidth="1"/>
    <col min="15637" max="15879" width="9.140625" style="9"/>
    <col min="15880" max="15880" width="4.5703125" style="9" customWidth="1"/>
    <col min="15881" max="15881" width="21.85546875" style="9" customWidth="1"/>
    <col min="15882" max="15882" width="22.140625" style="9" customWidth="1"/>
    <col min="15883" max="15883" width="11.5703125" style="9" customWidth="1"/>
    <col min="15884" max="15886" width="3.5703125" style="9" customWidth="1"/>
    <col min="15887" max="15887" width="9.5703125" style="9" customWidth="1"/>
    <col min="15888" max="15888" width="18.85546875" style="9" customWidth="1"/>
    <col min="15889" max="15889" width="11.5703125" style="9" customWidth="1"/>
    <col min="15890" max="15890" width="16.42578125" style="9" customWidth="1"/>
    <col min="15891" max="15891" width="17.5703125" style="9" customWidth="1"/>
    <col min="15892" max="15892" width="10.5703125" style="9" customWidth="1"/>
    <col min="15893" max="16135" width="9.140625" style="9"/>
    <col min="16136" max="16136" width="4.5703125" style="9" customWidth="1"/>
    <col min="16137" max="16137" width="21.85546875" style="9" customWidth="1"/>
    <col min="16138" max="16138" width="22.140625" style="9" customWidth="1"/>
    <col min="16139" max="16139" width="11.5703125" style="9" customWidth="1"/>
    <col min="16140" max="16142" width="3.5703125" style="9" customWidth="1"/>
    <col min="16143" max="16143" width="9.5703125" style="9" customWidth="1"/>
    <col min="16144" max="16144" width="18.85546875" style="9" customWidth="1"/>
    <col min="16145" max="16145" width="11.5703125" style="9" customWidth="1"/>
    <col min="16146" max="16146" width="16.42578125" style="9" customWidth="1"/>
    <col min="16147" max="16147" width="17.5703125" style="9" customWidth="1"/>
    <col min="16148" max="16148" width="10.5703125" style="9" customWidth="1"/>
    <col min="16149" max="16384" width="9.140625" style="9"/>
  </cols>
  <sheetData>
    <row r="1" spans="1:29" s="4" customFormat="1">
      <c r="C1" s="5"/>
      <c r="D1" s="6"/>
      <c r="E1" s="6"/>
      <c r="F1" s="6"/>
      <c r="G1" s="417" t="s">
        <v>815</v>
      </c>
      <c r="H1" s="417"/>
      <c r="V1" s="884"/>
      <c r="W1" s="885"/>
      <c r="X1" s="886"/>
      <c r="Y1" s="887"/>
      <c r="Z1" s="887"/>
      <c r="AA1" s="887"/>
      <c r="AB1" s="887"/>
    </row>
    <row r="2" spans="1:29">
      <c r="V2" s="884"/>
      <c r="W2" s="885"/>
      <c r="X2" s="884"/>
      <c r="Y2" s="888"/>
      <c r="Z2" s="888"/>
      <c r="AA2" s="888"/>
      <c r="AB2" s="888"/>
    </row>
    <row r="3" spans="1:29" s="7" customFormat="1" ht="18">
      <c r="A3" s="3083" t="s">
        <v>835</v>
      </c>
      <c r="B3" s="3083"/>
      <c r="C3" s="3083"/>
      <c r="D3" s="3083"/>
      <c r="E3" s="3083"/>
      <c r="F3" s="3083"/>
      <c r="G3" s="3083"/>
      <c r="H3" s="3083"/>
      <c r="I3" s="3083"/>
      <c r="J3" s="3083"/>
      <c r="K3" s="3083"/>
      <c r="L3" s="3083"/>
      <c r="M3" s="3083"/>
      <c r="N3" s="3083"/>
      <c r="O3" s="3083"/>
      <c r="P3" s="3083"/>
      <c r="Q3" s="3083"/>
      <c r="R3" s="3083"/>
      <c r="S3" s="3083"/>
      <c r="T3" s="616"/>
      <c r="U3" s="616"/>
      <c r="V3" s="884"/>
      <c r="W3" s="885"/>
      <c r="X3" s="889"/>
      <c r="Y3" s="890"/>
      <c r="Z3" s="890"/>
      <c r="AA3" s="890"/>
      <c r="AB3" s="890"/>
    </row>
    <row r="4" spans="1:29" s="7" customFormat="1" ht="18">
      <c r="A4" s="3083" t="s">
        <v>432</v>
      </c>
      <c r="B4" s="3083"/>
      <c r="C4" s="3083"/>
      <c r="D4" s="3083"/>
      <c r="E4" s="3083"/>
      <c r="F4" s="3083"/>
      <c r="G4" s="3083"/>
      <c r="H4" s="3083"/>
      <c r="I4" s="3083"/>
      <c r="J4" s="3083"/>
      <c r="K4" s="3083"/>
      <c r="L4" s="3083"/>
      <c r="M4" s="3083"/>
      <c r="N4" s="3083"/>
      <c r="O4" s="3083"/>
      <c r="P4" s="3083"/>
      <c r="Q4" s="3083"/>
      <c r="R4" s="3083"/>
      <c r="S4" s="3083"/>
      <c r="T4" s="616"/>
      <c r="U4" s="616"/>
      <c r="V4" s="884"/>
      <c r="W4" s="885"/>
      <c r="X4" s="889"/>
      <c r="Y4" s="890"/>
      <c r="Z4" s="890"/>
      <c r="AA4" s="890"/>
      <c r="AB4" s="890"/>
    </row>
    <row r="5" spans="1:29">
      <c r="A5" s="8" t="s">
        <v>51</v>
      </c>
      <c r="C5" s="10" t="s">
        <v>46</v>
      </c>
      <c r="D5" s="9" t="s">
        <v>882</v>
      </c>
      <c r="V5" s="884"/>
      <c r="W5" s="885"/>
      <c r="X5" s="884"/>
      <c r="Y5" s="888"/>
      <c r="Z5" s="888"/>
      <c r="AA5" s="888"/>
      <c r="AB5" s="888"/>
    </row>
    <row r="6" spans="1:29">
      <c r="A6" s="1" t="s">
        <v>52</v>
      </c>
      <c r="B6" s="12"/>
      <c r="C6" s="10" t="s">
        <v>46</v>
      </c>
      <c r="D6" s="9" t="s">
        <v>203</v>
      </c>
      <c r="V6" s="884"/>
      <c r="W6" s="885"/>
      <c r="X6" s="884"/>
      <c r="Y6" s="888"/>
      <c r="Z6" s="888"/>
      <c r="AA6" s="888"/>
      <c r="AB6" s="888"/>
    </row>
    <row r="7" spans="1:29">
      <c r="A7" s="1" t="s">
        <v>53</v>
      </c>
      <c r="B7" s="12"/>
      <c r="C7" s="10" t="s">
        <v>46</v>
      </c>
      <c r="D7" s="9" t="s">
        <v>54</v>
      </c>
      <c r="M7" s="1"/>
      <c r="V7" s="884"/>
      <c r="W7" s="885"/>
      <c r="X7" s="884"/>
      <c r="Y7" s="888"/>
      <c r="Z7" s="888"/>
      <c r="AA7" s="888"/>
      <c r="AB7" s="888"/>
      <c r="AC7" s="9" t="s">
        <v>21</v>
      </c>
    </row>
    <row r="8" spans="1:29">
      <c r="A8" s="1" t="s">
        <v>55</v>
      </c>
      <c r="B8" s="12"/>
      <c r="C8" s="10" t="s">
        <v>46</v>
      </c>
      <c r="D8" s="9" t="s">
        <v>56</v>
      </c>
      <c r="M8" s="1"/>
      <c r="V8" s="884"/>
      <c r="W8" s="885"/>
      <c r="X8" s="884"/>
      <c r="Y8" s="888"/>
      <c r="Z8" s="888"/>
      <c r="AA8" s="888"/>
      <c r="AB8" s="888"/>
    </row>
    <row r="9" spans="1:29" ht="16.5" thickBot="1">
      <c r="V9" s="884"/>
      <c r="W9" s="884"/>
      <c r="X9" s="884"/>
      <c r="Y9" s="891"/>
      <c r="Z9" s="891"/>
      <c r="AA9" s="891"/>
      <c r="AB9" s="884"/>
    </row>
    <row r="10" spans="1:29" ht="15.75" customHeight="1">
      <c r="A10" s="3084" t="s">
        <v>57</v>
      </c>
      <c r="B10" s="3093" t="s">
        <v>836</v>
      </c>
      <c r="C10" s="3094"/>
      <c r="D10" s="3094"/>
      <c r="E10" s="3094"/>
      <c r="F10" s="3105"/>
      <c r="G10" s="3087" t="s">
        <v>59</v>
      </c>
      <c r="H10" s="3093" t="s">
        <v>60</v>
      </c>
      <c r="I10" s="3090" t="s">
        <v>97</v>
      </c>
      <c r="J10" s="3087" t="s">
        <v>837</v>
      </c>
      <c r="K10" s="3093" t="s">
        <v>838</v>
      </c>
      <c r="L10" s="3094"/>
      <c r="M10" s="3094"/>
      <c r="N10" s="3105"/>
      <c r="O10" s="3093" t="s">
        <v>62</v>
      </c>
      <c r="P10" s="3094"/>
      <c r="Q10" s="3094"/>
      <c r="R10" s="3109" t="s">
        <v>845</v>
      </c>
      <c r="S10" s="3102" t="s">
        <v>846</v>
      </c>
      <c r="T10" s="103"/>
      <c r="U10" s="103"/>
      <c r="V10" s="888"/>
      <c r="W10" s="884"/>
      <c r="X10" s="884"/>
      <c r="Y10" s="884"/>
      <c r="Z10" s="884"/>
      <c r="AA10" s="884"/>
      <c r="AB10" s="884"/>
    </row>
    <row r="11" spans="1:29">
      <c r="A11" s="3085"/>
      <c r="B11" s="3106"/>
      <c r="C11" s="3107"/>
      <c r="D11" s="3107"/>
      <c r="E11" s="3107"/>
      <c r="F11" s="3108"/>
      <c r="G11" s="3088"/>
      <c r="H11" s="3106"/>
      <c r="I11" s="3091"/>
      <c r="J11" s="3088"/>
      <c r="K11" s="3106"/>
      <c r="L11" s="3107"/>
      <c r="M11" s="3107"/>
      <c r="N11" s="3108"/>
      <c r="O11" s="3095"/>
      <c r="P11" s="3096"/>
      <c r="Q11" s="3096"/>
      <c r="R11" s="3110"/>
      <c r="S11" s="3103"/>
      <c r="T11" s="103"/>
      <c r="U11" s="103"/>
      <c r="V11" s="888"/>
      <c r="W11" s="884"/>
      <c r="X11" s="884"/>
      <c r="Y11" s="884"/>
      <c r="Z11" s="884"/>
      <c r="AA11" s="884"/>
      <c r="AB11" s="884"/>
    </row>
    <row r="12" spans="1:29" ht="33" customHeight="1" thickBot="1">
      <c r="A12" s="3086"/>
      <c r="B12" s="661" t="s">
        <v>66</v>
      </c>
      <c r="C12" s="661"/>
      <c r="D12" s="661" t="s">
        <v>830</v>
      </c>
      <c r="E12" s="661"/>
      <c r="F12" s="661" t="s">
        <v>96</v>
      </c>
      <c r="G12" s="3089"/>
      <c r="H12" s="3112"/>
      <c r="I12" s="3092"/>
      <c r="J12" s="3089"/>
      <c r="K12" s="661" t="s">
        <v>31</v>
      </c>
      <c r="L12" s="703" t="s">
        <v>839</v>
      </c>
      <c r="M12" s="703" t="s">
        <v>840</v>
      </c>
      <c r="N12" s="702" t="s">
        <v>841</v>
      </c>
      <c r="O12" s="662" t="s">
        <v>842</v>
      </c>
      <c r="P12" s="662" t="s">
        <v>843</v>
      </c>
      <c r="Q12" s="662" t="s">
        <v>844</v>
      </c>
      <c r="R12" s="3111"/>
      <c r="S12" s="3104"/>
      <c r="T12" s="103"/>
      <c r="U12" s="103"/>
      <c r="V12" s="888"/>
      <c r="W12" s="892"/>
      <c r="X12" s="892"/>
      <c r="Y12" s="893"/>
      <c r="Z12" s="893"/>
      <c r="AA12" s="893"/>
      <c r="AB12" s="888"/>
    </row>
    <row r="13" spans="1:29" s="13" customFormat="1" ht="16.5" thickBot="1">
      <c r="A13" s="663">
        <v>1</v>
      </c>
      <c r="B13" s="664">
        <v>2</v>
      </c>
      <c r="C13" s="663">
        <v>3</v>
      </c>
      <c r="D13" s="664">
        <v>4</v>
      </c>
      <c r="E13" s="663">
        <v>5</v>
      </c>
      <c r="F13" s="664">
        <v>6</v>
      </c>
      <c r="G13" s="663">
        <v>7</v>
      </c>
      <c r="H13" s="665">
        <v>8</v>
      </c>
      <c r="I13" s="663">
        <v>9</v>
      </c>
      <c r="J13" s="664">
        <v>10</v>
      </c>
      <c r="K13" s="663">
        <v>11</v>
      </c>
      <c r="L13" s="664">
        <v>12</v>
      </c>
      <c r="M13" s="663">
        <v>13</v>
      </c>
      <c r="N13" s="664">
        <v>14</v>
      </c>
      <c r="O13" s="663">
        <v>15</v>
      </c>
      <c r="P13" s="664">
        <v>16</v>
      </c>
      <c r="Q13" s="663">
        <v>17</v>
      </c>
      <c r="R13" s="664">
        <v>18</v>
      </c>
      <c r="S13" s="663">
        <v>19</v>
      </c>
      <c r="T13" s="104"/>
      <c r="U13" s="104"/>
      <c r="V13" s="894"/>
      <c r="W13" s="895"/>
      <c r="X13" s="895"/>
      <c r="Y13" s="894"/>
      <c r="Z13" s="894"/>
      <c r="AA13" s="894"/>
      <c r="AB13" s="894"/>
    </row>
    <row r="14" spans="1:29" ht="30.75" customHeight="1">
      <c r="A14" s="594">
        <v>1</v>
      </c>
      <c r="B14" s="597" t="s">
        <v>86</v>
      </c>
      <c r="C14" s="970" t="s">
        <v>115</v>
      </c>
      <c r="D14" s="3097" t="s">
        <v>849</v>
      </c>
      <c r="E14" s="91" t="s">
        <v>115</v>
      </c>
      <c r="F14" s="91" t="s">
        <v>548</v>
      </c>
      <c r="G14" s="92" t="s">
        <v>882</v>
      </c>
      <c r="H14" s="641">
        <v>1</v>
      </c>
      <c r="I14" s="642" t="s">
        <v>164</v>
      </c>
      <c r="J14" s="93">
        <f>'1.1 Siltun Kds'!H23</f>
        <v>43250000</v>
      </c>
      <c r="K14" s="695">
        <f>SUM(L14+M14+N14)</f>
        <v>1</v>
      </c>
      <c r="L14" s="695">
        <v>1</v>
      </c>
      <c r="M14" s="697"/>
      <c r="N14" s="697"/>
      <c r="O14" s="699">
        <v>12</v>
      </c>
      <c r="P14" s="700" t="s">
        <v>870</v>
      </c>
      <c r="Q14" s="700" t="s">
        <v>871</v>
      </c>
      <c r="R14" s="694" t="s">
        <v>369</v>
      </c>
      <c r="S14" s="1055"/>
      <c r="T14" s="105"/>
      <c r="U14" s="105"/>
      <c r="V14" s="888"/>
      <c r="W14" s="884"/>
      <c r="X14" s="884"/>
      <c r="Y14" s="884"/>
      <c r="Z14" s="884"/>
      <c r="AA14" s="884"/>
      <c r="AB14" s="888"/>
    </row>
    <row r="15" spans="1:29" ht="30.75" customHeight="1">
      <c r="A15" s="595"/>
      <c r="B15" s="598"/>
      <c r="C15" s="971"/>
      <c r="D15" s="3098"/>
      <c r="E15" s="88" t="s">
        <v>117</v>
      </c>
      <c r="F15" s="88" t="s">
        <v>547</v>
      </c>
      <c r="G15" s="993" t="s">
        <v>882</v>
      </c>
      <c r="H15" s="643">
        <v>1</v>
      </c>
      <c r="I15" s="229" t="s">
        <v>164</v>
      </c>
      <c r="J15" s="89">
        <f>'1.2 Siltun Prngkt '!G33</f>
        <v>280110000</v>
      </c>
      <c r="K15" s="696">
        <f>SUM(L15:N15)</f>
        <v>10</v>
      </c>
      <c r="L15" s="696">
        <v>8</v>
      </c>
      <c r="M15" s="698">
        <v>2</v>
      </c>
      <c r="N15" s="698"/>
      <c r="O15" s="701">
        <v>12</v>
      </c>
      <c r="P15" s="701" t="s">
        <v>870</v>
      </c>
      <c r="Q15" s="701" t="s">
        <v>871</v>
      </c>
      <c r="R15" s="437" t="s">
        <v>369</v>
      </c>
      <c r="S15" s="1056"/>
      <c r="T15" s="105"/>
      <c r="U15" s="105"/>
      <c r="V15" s="888"/>
      <c r="W15" s="884"/>
      <c r="X15" s="884"/>
      <c r="Y15" s="884"/>
      <c r="Z15" s="884"/>
      <c r="AA15" s="884"/>
      <c r="AB15" s="888"/>
    </row>
    <row r="16" spans="1:29" ht="30.75" customHeight="1">
      <c r="A16" s="595"/>
      <c r="B16" s="598"/>
      <c r="C16" s="971"/>
      <c r="D16" s="88"/>
      <c r="E16" s="88" t="s">
        <v>118</v>
      </c>
      <c r="F16" s="88" t="s">
        <v>546</v>
      </c>
      <c r="G16" s="993" t="s">
        <v>882</v>
      </c>
      <c r="H16" s="643">
        <v>1</v>
      </c>
      <c r="I16" s="229" t="s">
        <v>164</v>
      </c>
      <c r="J16" s="89">
        <f>'1.3 Bpjs '!H24</f>
        <v>29676000</v>
      </c>
      <c r="K16" s="696">
        <f>SUM(L16:N16)</f>
        <v>10</v>
      </c>
      <c r="L16" s="696">
        <v>8</v>
      </c>
      <c r="M16" s="698">
        <v>2</v>
      </c>
      <c r="N16" s="698"/>
      <c r="O16" s="701">
        <v>12</v>
      </c>
      <c r="P16" s="701" t="s">
        <v>870</v>
      </c>
      <c r="Q16" s="701" t="s">
        <v>871</v>
      </c>
      <c r="R16" s="437" t="s">
        <v>369</v>
      </c>
      <c r="S16" s="1056"/>
      <c r="T16" s="105"/>
      <c r="U16" s="105"/>
      <c r="V16" s="888"/>
      <c r="W16" s="884"/>
      <c r="X16" s="884"/>
      <c r="Y16" s="884"/>
      <c r="Z16" s="884"/>
      <c r="AA16" s="884"/>
      <c r="AB16" s="888"/>
    </row>
    <row r="17" spans="1:28" ht="30.75" customHeight="1">
      <c r="A17" s="595"/>
      <c r="B17" s="598"/>
      <c r="C17" s="971"/>
      <c r="D17" s="88"/>
      <c r="E17" s="88" t="s">
        <v>119</v>
      </c>
      <c r="F17" s="88" t="s">
        <v>549</v>
      </c>
      <c r="G17" s="993" t="s">
        <v>882</v>
      </c>
      <c r="H17" s="643">
        <v>1</v>
      </c>
      <c r="I17" s="229" t="s">
        <v>164</v>
      </c>
      <c r="J17" s="89" t="e">
        <f>'1.4 O PEM pkpkd rusak'!#REF!</f>
        <v>#REF!</v>
      </c>
      <c r="K17" s="696">
        <v>10</v>
      </c>
      <c r="L17" s="696">
        <v>8</v>
      </c>
      <c r="M17" s="698">
        <v>2</v>
      </c>
      <c r="N17" s="698"/>
      <c r="O17" s="701">
        <v>12</v>
      </c>
      <c r="P17" s="701" t="s">
        <v>870</v>
      </c>
      <c r="Q17" s="701" t="s">
        <v>871</v>
      </c>
      <c r="R17" s="435" t="s">
        <v>562</v>
      </c>
      <c r="S17" s="1057"/>
      <c r="T17" s="105"/>
      <c r="U17" s="105"/>
      <c r="V17" s="888"/>
      <c r="W17" s="884"/>
      <c r="X17" s="884"/>
      <c r="Y17" s="884"/>
      <c r="Z17" s="884"/>
      <c r="AA17" s="884"/>
      <c r="AB17" s="888"/>
    </row>
    <row r="18" spans="1:28" ht="30.75" customHeight="1">
      <c r="A18" s="595"/>
      <c r="B18" s="598"/>
      <c r="C18" s="971"/>
      <c r="D18" s="88"/>
      <c r="E18" s="88" t="s">
        <v>120</v>
      </c>
      <c r="F18" s="88" t="s">
        <v>545</v>
      </c>
      <c r="G18" s="993" t="s">
        <v>882</v>
      </c>
      <c r="H18" s="643">
        <v>1</v>
      </c>
      <c r="I18" s="229" t="s">
        <v>164</v>
      </c>
      <c r="J18" s="89">
        <f>'1.5 BPD'!D9</f>
        <v>58800000</v>
      </c>
      <c r="K18" s="696">
        <v>7</v>
      </c>
      <c r="L18" s="696">
        <v>6</v>
      </c>
      <c r="M18" s="698">
        <v>1</v>
      </c>
      <c r="N18" s="698"/>
      <c r="O18" s="701">
        <v>12</v>
      </c>
      <c r="P18" s="701" t="s">
        <v>870</v>
      </c>
      <c r="Q18" s="701" t="s">
        <v>871</v>
      </c>
      <c r="R18" s="437" t="s">
        <v>369</v>
      </c>
      <c r="S18" s="1056"/>
      <c r="T18" s="105"/>
      <c r="U18" s="105"/>
      <c r="V18" s="888"/>
      <c r="W18" s="884"/>
      <c r="X18" s="884"/>
      <c r="Y18" s="884"/>
      <c r="Z18" s="884"/>
      <c r="AA18" s="884"/>
      <c r="AB18" s="888"/>
    </row>
    <row r="19" spans="1:28" ht="30.75" customHeight="1">
      <c r="A19" s="595"/>
      <c r="B19" s="598"/>
      <c r="C19" s="1050"/>
      <c r="D19" s="629"/>
      <c r="E19" s="629" t="s">
        <v>134</v>
      </c>
      <c r="F19" s="629" t="s">
        <v>550</v>
      </c>
      <c r="G19" s="1019" t="s">
        <v>882</v>
      </c>
      <c r="H19" s="1020">
        <v>1</v>
      </c>
      <c r="I19" s="1021" t="s">
        <v>164</v>
      </c>
      <c r="J19" s="630">
        <f>'1.6 OP BPD'!D11</f>
        <v>0</v>
      </c>
      <c r="K19" s="1022">
        <v>7</v>
      </c>
      <c r="L19" s="1022">
        <v>6</v>
      </c>
      <c r="M19" s="1023">
        <v>1</v>
      </c>
      <c r="N19" s="1023"/>
      <c r="O19" s="1024">
        <v>12</v>
      </c>
      <c r="P19" s="1024" t="s">
        <v>870</v>
      </c>
      <c r="Q19" s="1024" t="s">
        <v>871</v>
      </c>
      <c r="R19" s="1051" t="s">
        <v>369</v>
      </c>
      <c r="S19" s="1058"/>
      <c r="T19" s="105"/>
      <c r="U19" s="105"/>
      <c r="V19" s="888"/>
      <c r="W19" s="884"/>
      <c r="X19" s="884"/>
      <c r="Y19" s="884"/>
      <c r="Z19" s="884"/>
      <c r="AA19" s="884"/>
      <c r="AB19" s="888"/>
    </row>
    <row r="20" spans="1:28" s="1052" customFormat="1" ht="30.75" customHeight="1">
      <c r="E20" s="637" t="s">
        <v>137</v>
      </c>
      <c r="F20" s="637" t="s">
        <v>551</v>
      </c>
      <c r="G20" s="97" t="s">
        <v>882</v>
      </c>
      <c r="H20" s="647">
        <v>1</v>
      </c>
      <c r="I20" s="648" t="s">
        <v>164</v>
      </c>
      <c r="J20" s="101">
        <f>'1.7 RT'!H33</f>
        <v>76800000</v>
      </c>
      <c r="K20" s="1002">
        <f>L20+M20+N20</f>
        <v>16</v>
      </c>
      <c r="L20" s="1002">
        <v>16</v>
      </c>
      <c r="M20" s="1003"/>
      <c r="N20" s="1003"/>
      <c r="O20" s="1004">
        <v>12</v>
      </c>
      <c r="P20" s="1004" t="s">
        <v>870</v>
      </c>
      <c r="Q20" s="1004" t="s">
        <v>871</v>
      </c>
      <c r="R20" s="1005" t="s">
        <v>369</v>
      </c>
      <c r="S20" s="1059"/>
    </row>
    <row r="21" spans="1:28" ht="30.75" customHeight="1">
      <c r="A21" s="595"/>
      <c r="B21" s="598"/>
      <c r="C21" s="96" t="s">
        <v>117</v>
      </c>
      <c r="D21" s="637" t="s">
        <v>848</v>
      </c>
      <c r="E21" s="637" t="s">
        <v>139</v>
      </c>
      <c r="F21" s="637" t="s">
        <v>544</v>
      </c>
      <c r="G21" s="97" t="s">
        <v>882</v>
      </c>
      <c r="H21" s="647">
        <v>1</v>
      </c>
      <c r="I21" s="648" t="s">
        <v>164</v>
      </c>
      <c r="J21" s="101">
        <f>'1.8 Mdl'!H20</f>
        <v>0</v>
      </c>
      <c r="K21" s="1002">
        <f>SUM(L21+M21)</f>
        <v>10</v>
      </c>
      <c r="L21" s="1002">
        <v>8</v>
      </c>
      <c r="M21" s="1003">
        <v>2</v>
      </c>
      <c r="N21" s="1003"/>
      <c r="O21" s="1004">
        <v>12</v>
      </c>
      <c r="P21" s="1004" t="s">
        <v>870</v>
      </c>
      <c r="Q21" s="1004" t="s">
        <v>871</v>
      </c>
      <c r="R21" s="1005" t="s">
        <v>369</v>
      </c>
      <c r="S21" s="1060"/>
      <c r="T21" s="105"/>
      <c r="U21" s="105"/>
      <c r="V21" s="888"/>
      <c r="W21" s="884"/>
      <c r="X21" s="884"/>
      <c r="Y21" s="884"/>
      <c r="Z21" s="884"/>
      <c r="AA21" s="884"/>
      <c r="AB21" s="888"/>
    </row>
    <row r="22" spans="1:28" ht="30.75" customHeight="1">
      <c r="A22" s="595"/>
      <c r="B22" s="598"/>
      <c r="C22" s="990"/>
      <c r="D22" s="1006"/>
      <c r="E22" s="1006" t="s">
        <v>140</v>
      </c>
      <c r="F22" s="1006" t="s">
        <v>1086</v>
      </c>
      <c r="G22" s="231" t="s">
        <v>882</v>
      </c>
      <c r="H22" s="649">
        <v>1</v>
      </c>
      <c r="I22" s="652" t="s">
        <v>164</v>
      </c>
      <c r="J22" s="230">
        <v>11962000</v>
      </c>
      <c r="K22" s="1007">
        <f>SUM(L22+M22)</f>
        <v>10</v>
      </c>
      <c r="L22" s="1007">
        <v>8</v>
      </c>
      <c r="M22" s="1008">
        <v>2</v>
      </c>
      <c r="N22" s="1008"/>
      <c r="O22" s="1009">
        <v>12</v>
      </c>
      <c r="P22" s="1009" t="s">
        <v>870</v>
      </c>
      <c r="Q22" s="1009" t="s">
        <v>871</v>
      </c>
      <c r="R22" s="1010" t="s">
        <v>369</v>
      </c>
      <c r="S22" s="1061"/>
      <c r="T22" s="105"/>
      <c r="U22" s="105"/>
      <c r="V22" s="888"/>
      <c r="W22" s="884"/>
      <c r="X22" s="884"/>
      <c r="Y22" s="884"/>
      <c r="Z22" s="884"/>
      <c r="AA22" s="884"/>
      <c r="AB22" s="888"/>
    </row>
    <row r="23" spans="1:28" ht="30.75" customHeight="1">
      <c r="A23" s="595"/>
      <c r="B23" s="598"/>
      <c r="C23" s="988" t="s">
        <v>119</v>
      </c>
      <c r="D23" s="1011" t="s">
        <v>605</v>
      </c>
      <c r="E23" s="1011" t="s">
        <v>140</v>
      </c>
      <c r="F23" s="1011" t="s">
        <v>556</v>
      </c>
      <c r="G23" s="1012" t="s">
        <v>882</v>
      </c>
      <c r="H23" s="1013">
        <v>3</v>
      </c>
      <c r="I23" s="1014" t="s">
        <v>173</v>
      </c>
      <c r="J23" s="17">
        <f>'1.13 Profil'!H20</f>
        <v>0</v>
      </c>
      <c r="K23" s="1015">
        <f>SUM(L23+M23+N23)</f>
        <v>4</v>
      </c>
      <c r="L23" s="1015">
        <v>4</v>
      </c>
      <c r="M23" s="1016"/>
      <c r="N23" s="1016"/>
      <c r="O23" s="1017">
        <v>3</v>
      </c>
      <c r="P23" s="1017" t="s">
        <v>870</v>
      </c>
      <c r="Q23" s="1017" t="s">
        <v>874</v>
      </c>
      <c r="R23" s="1018" t="s">
        <v>369</v>
      </c>
      <c r="S23" s="1060"/>
      <c r="T23" s="105"/>
      <c r="U23" s="105"/>
      <c r="V23" s="888"/>
      <c r="W23" s="884"/>
      <c r="X23" s="884"/>
      <c r="Y23" s="884"/>
      <c r="Z23" s="884"/>
      <c r="AA23" s="884"/>
      <c r="AB23" s="888"/>
    </row>
    <row r="24" spans="1:28" ht="30.75" customHeight="1">
      <c r="A24" s="595"/>
      <c r="B24" s="598"/>
      <c r="C24" s="96" t="s">
        <v>120</v>
      </c>
      <c r="D24" s="637" t="s">
        <v>609</v>
      </c>
      <c r="E24" s="637" t="s">
        <v>142</v>
      </c>
      <c r="F24" s="637" t="s">
        <v>557</v>
      </c>
      <c r="G24" s="97" t="s">
        <v>882</v>
      </c>
      <c r="H24" s="647">
        <v>1</v>
      </c>
      <c r="I24" s="648" t="s">
        <v>164</v>
      </c>
      <c r="J24" s="101">
        <f>'1.9 Musdes'!H21</f>
        <v>6500000</v>
      </c>
      <c r="K24" s="1002">
        <f>SUM(L24:N24)</f>
        <v>87</v>
      </c>
      <c r="L24" s="1002">
        <v>60</v>
      </c>
      <c r="M24" s="1003">
        <v>27</v>
      </c>
      <c r="N24" s="1003"/>
      <c r="O24" s="1004">
        <v>12</v>
      </c>
      <c r="P24" s="1004" t="s">
        <v>870</v>
      </c>
      <c r="Q24" s="1004" t="s">
        <v>871</v>
      </c>
      <c r="R24" s="1005" t="s">
        <v>558</v>
      </c>
      <c r="S24" s="1056"/>
      <c r="T24" s="105"/>
      <c r="U24" s="105"/>
      <c r="V24" s="888"/>
      <c r="W24" s="884"/>
      <c r="X24" s="884"/>
      <c r="Y24" s="884"/>
      <c r="Z24" s="884"/>
      <c r="AA24" s="884"/>
      <c r="AB24" s="888"/>
    </row>
    <row r="25" spans="1:28" ht="30.75" customHeight="1">
      <c r="A25" s="595"/>
      <c r="B25"/>
      <c r="C25" s="591"/>
      <c r="D25" s="88"/>
      <c r="E25" s="88" t="s">
        <v>143</v>
      </c>
      <c r="F25" s="88" t="s">
        <v>559</v>
      </c>
      <c r="G25" s="589" t="s">
        <v>882</v>
      </c>
      <c r="H25" s="643">
        <v>3</v>
      </c>
      <c r="I25" s="229" t="s">
        <v>173</v>
      </c>
      <c r="J25" s="89">
        <f>'1.10 Hnr RKP'!H26</f>
        <v>3880000</v>
      </c>
      <c r="K25" s="696">
        <f>SUM(L25:N25)</f>
        <v>11</v>
      </c>
      <c r="L25" s="696">
        <v>6</v>
      </c>
      <c r="M25" s="698">
        <v>5</v>
      </c>
      <c r="N25" s="698"/>
      <c r="O25" s="701">
        <v>3</v>
      </c>
      <c r="P25" s="701" t="s">
        <v>1047</v>
      </c>
      <c r="Q25" s="701" t="s">
        <v>1048</v>
      </c>
      <c r="R25" s="437" t="s">
        <v>558</v>
      </c>
      <c r="S25" s="1056"/>
      <c r="T25" s="105"/>
      <c r="U25" s="105"/>
      <c r="V25" s="888"/>
      <c r="W25" s="884"/>
      <c r="X25" s="884"/>
      <c r="Y25" s="884"/>
      <c r="Z25" s="884"/>
      <c r="AA25" s="884"/>
      <c r="AB25" s="888"/>
    </row>
    <row r="26" spans="1:28" ht="30.75" customHeight="1">
      <c r="A26" s="595"/>
      <c r="B26" s="598"/>
      <c r="C26" s="591"/>
      <c r="D26" s="88"/>
      <c r="E26" s="88" t="s">
        <v>274</v>
      </c>
      <c r="F26" s="88" t="s">
        <v>560</v>
      </c>
      <c r="G26" s="589" t="s">
        <v>882</v>
      </c>
      <c r="H26" s="643">
        <v>1</v>
      </c>
      <c r="I26" s="229" t="s">
        <v>164</v>
      </c>
      <c r="J26" s="89" t="e">
        <f>#REF!</f>
        <v>#REF!</v>
      </c>
      <c r="K26" s="696">
        <f>SUM(L26:N26)</f>
        <v>11</v>
      </c>
      <c r="L26" s="696">
        <v>9</v>
      </c>
      <c r="M26" s="698">
        <v>2</v>
      </c>
      <c r="N26" s="698"/>
      <c r="O26" s="701">
        <v>12</v>
      </c>
      <c r="P26" s="701" t="s">
        <v>870</v>
      </c>
      <c r="Q26" s="701" t="s">
        <v>871</v>
      </c>
      <c r="R26" s="436" t="s">
        <v>562</v>
      </c>
      <c r="S26" s="1062"/>
      <c r="T26" s="105"/>
      <c r="U26" s="105"/>
      <c r="V26" s="888"/>
      <c r="W26" s="884"/>
      <c r="X26" s="884"/>
      <c r="Y26" s="884"/>
      <c r="Z26" s="884"/>
      <c r="AA26" s="884"/>
      <c r="AB26" s="888"/>
    </row>
    <row r="27" spans="1:28" ht="30.75" customHeight="1">
      <c r="A27" s="595"/>
      <c r="B27" s="598"/>
      <c r="C27" s="628"/>
      <c r="D27" s="629"/>
      <c r="E27" s="629" t="s">
        <v>144</v>
      </c>
      <c r="F27" s="629" t="s">
        <v>539</v>
      </c>
      <c r="G27" s="1019" t="s">
        <v>882</v>
      </c>
      <c r="H27" s="1020">
        <v>1</v>
      </c>
      <c r="I27" s="1021" t="s">
        <v>164</v>
      </c>
      <c r="J27" s="630">
        <f>'1.11 Aset'!H23</f>
        <v>2700000</v>
      </c>
      <c r="K27" s="1022">
        <f>SUM(L27:N27)</f>
        <v>2</v>
      </c>
      <c r="L27" s="1022">
        <v>1</v>
      </c>
      <c r="M27" s="1023">
        <v>1</v>
      </c>
      <c r="N27" s="1023"/>
      <c r="O27" s="1024">
        <v>12</v>
      </c>
      <c r="P27" s="1024" t="s">
        <v>870</v>
      </c>
      <c r="Q27" s="1024" t="s">
        <v>871</v>
      </c>
      <c r="R27" s="1025" t="s">
        <v>562</v>
      </c>
      <c r="S27" s="1062"/>
      <c r="T27" s="105"/>
      <c r="U27" s="105"/>
      <c r="V27" s="888"/>
      <c r="W27" s="884"/>
      <c r="X27" s="884"/>
      <c r="Y27" s="884"/>
      <c r="Z27" s="884"/>
      <c r="AA27" s="884"/>
      <c r="AB27" s="888"/>
    </row>
    <row r="28" spans="1:28" ht="30.75" customHeight="1">
      <c r="A28" s="595"/>
      <c r="B28" s="598"/>
      <c r="C28" s="989"/>
      <c r="D28" s="1030"/>
      <c r="E28" s="90" t="s">
        <v>145</v>
      </c>
      <c r="F28" s="911" t="s">
        <v>959</v>
      </c>
      <c r="G28" s="993" t="s">
        <v>882</v>
      </c>
      <c r="H28" s="644">
        <v>1</v>
      </c>
      <c r="I28" s="645" t="s">
        <v>164</v>
      </c>
      <c r="J28" s="630">
        <f>' LOMDES'!I32</f>
        <v>20146000</v>
      </c>
      <c r="K28" s="630"/>
      <c r="L28" s="630"/>
      <c r="M28" s="631"/>
      <c r="N28" s="632"/>
      <c r="O28" s="633"/>
      <c r="P28" s="634" t="s">
        <v>870</v>
      </c>
      <c r="Q28" s="85" t="s">
        <v>960</v>
      </c>
      <c r="R28" s="437" t="s">
        <v>369</v>
      </c>
      <c r="S28" s="1062"/>
      <c r="T28" s="105"/>
      <c r="U28" s="105"/>
      <c r="V28" s="888"/>
      <c r="W28" s="884"/>
      <c r="X28" s="884"/>
      <c r="Y28" s="884"/>
      <c r="Z28" s="884"/>
      <c r="AA28" s="884"/>
      <c r="AB28" s="888"/>
    </row>
    <row r="29" spans="1:28" ht="30.75" customHeight="1">
      <c r="A29" s="595"/>
      <c r="B29" s="598"/>
      <c r="C29" s="994" t="s">
        <v>120</v>
      </c>
      <c r="D29" s="75" t="s">
        <v>621</v>
      </c>
      <c r="E29" s="1030" t="s">
        <v>146</v>
      </c>
      <c r="F29" s="75" t="s">
        <v>530</v>
      </c>
      <c r="G29" s="992" t="s">
        <v>882</v>
      </c>
      <c r="H29" s="646">
        <v>1</v>
      </c>
      <c r="I29" s="226" t="s">
        <v>164</v>
      </c>
      <c r="J29" s="78">
        <f>'1.13 PBB'!H23</f>
        <v>1209000</v>
      </c>
      <c r="K29" s="1026">
        <f>SUM(L29:N29)</f>
        <v>3</v>
      </c>
      <c r="L29" s="1026">
        <v>3</v>
      </c>
      <c r="M29" s="1027"/>
      <c r="N29" s="1027"/>
      <c r="O29" s="1028">
        <v>3</v>
      </c>
      <c r="P29" s="1028" t="s">
        <v>873</v>
      </c>
      <c r="Q29" s="1028" t="s">
        <v>872</v>
      </c>
      <c r="R29" s="1029" t="s">
        <v>558</v>
      </c>
      <c r="S29" s="1062"/>
      <c r="T29" s="105"/>
      <c r="U29" s="105"/>
      <c r="V29" s="888"/>
      <c r="W29" s="884"/>
      <c r="X29" s="884"/>
      <c r="Y29" s="884"/>
      <c r="Z29" s="884"/>
      <c r="AA29" s="884"/>
      <c r="AB29" s="888"/>
    </row>
    <row r="30" spans="1:28" ht="30.75" customHeight="1">
      <c r="A30" s="595"/>
      <c r="B30" s="598"/>
      <c r="C30" s="628"/>
      <c r="D30" s="629"/>
      <c r="E30" s="88" t="s">
        <v>149</v>
      </c>
      <c r="F30" s="911" t="s">
        <v>220</v>
      </c>
      <c r="G30" s="909" t="s">
        <v>882</v>
      </c>
      <c r="H30" s="644">
        <v>1</v>
      </c>
      <c r="I30" s="645" t="s">
        <v>164</v>
      </c>
      <c r="J30" s="630">
        <v>10020000</v>
      </c>
      <c r="K30" s="630"/>
      <c r="L30" s="630"/>
      <c r="M30" s="631"/>
      <c r="N30" s="632"/>
      <c r="O30" s="633"/>
      <c r="P30" s="634" t="s">
        <v>870</v>
      </c>
      <c r="Q30" s="85" t="s">
        <v>960</v>
      </c>
      <c r="R30" s="437" t="s">
        <v>369</v>
      </c>
      <c r="S30" s="1063"/>
      <c r="T30" s="105"/>
      <c r="U30" s="105"/>
      <c r="V30" s="888"/>
      <c r="W30" s="884"/>
      <c r="X30" s="884"/>
      <c r="Y30" s="884"/>
      <c r="Z30" s="884"/>
      <c r="AA30" s="884"/>
      <c r="AB30" s="888"/>
    </row>
    <row r="31" spans="1:28" ht="30.75" customHeight="1">
      <c r="A31" s="3113" t="s">
        <v>231</v>
      </c>
      <c r="B31" s="3114"/>
      <c r="C31" s="3114"/>
      <c r="D31" s="3114"/>
      <c r="E31" s="3114"/>
      <c r="F31" s="667"/>
      <c r="G31" s="667"/>
      <c r="H31" s="667"/>
      <c r="I31" s="667"/>
      <c r="J31" s="668" t="e">
        <f>SUM(J14:J30)</f>
        <v>#REF!</v>
      </c>
      <c r="K31" s="668"/>
      <c r="L31" s="668"/>
      <c r="M31" s="669"/>
      <c r="N31" s="669"/>
      <c r="O31" s="669"/>
      <c r="P31" s="669"/>
      <c r="Q31" s="670"/>
      <c r="R31" s="671"/>
      <c r="S31" s="1064"/>
      <c r="T31" s="105"/>
      <c r="U31" s="105"/>
      <c r="V31" s="888"/>
      <c r="W31" s="884"/>
      <c r="X31" s="884"/>
      <c r="Y31" s="884"/>
      <c r="Z31" s="884"/>
      <c r="AA31" s="884"/>
      <c r="AB31" s="888"/>
    </row>
    <row r="32" spans="1:28" ht="30.75" customHeight="1">
      <c r="A32" s="595">
        <v>2</v>
      </c>
      <c r="B32" s="598" t="s">
        <v>91</v>
      </c>
      <c r="C32" s="1012" t="s">
        <v>121</v>
      </c>
      <c r="D32" s="1034" t="s">
        <v>624</v>
      </c>
      <c r="E32" s="1034" t="s">
        <v>121</v>
      </c>
      <c r="F32" s="1034" t="str">
        <f>'Pnj APBDES'!H193</f>
        <v>Penyelenggaraan PAUD/TK/Madrasya Non  formal Milik Desa</v>
      </c>
      <c r="G32" s="1012" t="s">
        <v>882</v>
      </c>
      <c r="H32" s="1013">
        <v>1</v>
      </c>
      <c r="I32" s="1014" t="s">
        <v>164</v>
      </c>
      <c r="J32" s="17" t="e">
        <f>RKP!I23+RKP!#REF!</f>
        <v>#REF!</v>
      </c>
      <c r="K32" s="17">
        <f>SUM(L32:N32)</f>
        <v>10</v>
      </c>
      <c r="L32" s="17"/>
      <c r="M32" s="1012">
        <v>10</v>
      </c>
      <c r="N32" s="1012"/>
      <c r="O32" s="1035"/>
      <c r="P32" s="1036" t="s">
        <v>872</v>
      </c>
      <c r="Q32" s="1036" t="s">
        <v>871</v>
      </c>
      <c r="R32" s="1037" t="s">
        <v>371</v>
      </c>
      <c r="S32" s="1065"/>
      <c r="T32" s="105"/>
      <c r="U32" s="105"/>
      <c r="V32" s="888"/>
      <c r="W32" s="884"/>
      <c r="X32" s="884"/>
      <c r="Y32" s="884"/>
      <c r="Z32" s="884"/>
      <c r="AA32" s="884"/>
      <c r="AB32" s="888"/>
    </row>
    <row r="33" spans="1:28" ht="30.75" customHeight="1">
      <c r="A33" s="595"/>
      <c r="B33" s="598"/>
      <c r="C33" s="1012" t="s">
        <v>122</v>
      </c>
      <c r="D33" s="1034" t="s">
        <v>629</v>
      </c>
      <c r="E33" s="1034" t="s">
        <v>122</v>
      </c>
      <c r="F33" s="1034" t="str">
        <f>'Pnj APBDES'!H204</f>
        <v>Penyelenggaraan Posyandu ( Makan Tambahan, Kelas Ibu Hamil,Kelas Lamsia,Insentif Kader Posyandu)</v>
      </c>
      <c r="G33" s="1012" t="s">
        <v>882</v>
      </c>
      <c r="H33" s="1013">
        <v>1</v>
      </c>
      <c r="I33" s="1014" t="s">
        <v>164</v>
      </c>
      <c r="J33" s="17">
        <f>RKP!I24</f>
        <v>16254614</v>
      </c>
      <c r="K33" s="17"/>
      <c r="L33" s="17"/>
      <c r="M33" s="1012">
        <v>13</v>
      </c>
      <c r="N33" s="1012"/>
      <c r="O33" s="1035"/>
      <c r="P33" s="1036"/>
      <c r="Q33" s="1036"/>
      <c r="R33" s="1037"/>
      <c r="S33" s="1065"/>
      <c r="T33" s="105"/>
      <c r="U33" s="105"/>
      <c r="V33" s="888"/>
      <c r="W33" s="884"/>
      <c r="X33" s="884"/>
      <c r="Y33" s="884"/>
      <c r="Z33" s="884"/>
      <c r="AA33" s="884"/>
      <c r="AB33" s="888"/>
    </row>
    <row r="34" spans="1:28" ht="30.75" customHeight="1">
      <c r="A34" s="595"/>
      <c r="B34" s="598"/>
      <c r="C34" s="97" t="s">
        <v>123</v>
      </c>
      <c r="D34" s="100" t="s">
        <v>634</v>
      </c>
      <c r="E34" s="414" t="s">
        <v>124</v>
      </c>
      <c r="F34" s="1038" t="s">
        <v>1049</v>
      </c>
      <c r="G34" s="97" t="s">
        <v>1050</v>
      </c>
      <c r="H34" s="647">
        <v>70</v>
      </c>
      <c r="I34" s="648" t="s">
        <v>323</v>
      </c>
      <c r="J34" s="101" t="e">
        <f>RKP!#REF!</f>
        <v>#REF!</v>
      </c>
      <c r="K34" s="101">
        <f>SUM(L34:M34)</f>
        <v>131</v>
      </c>
      <c r="L34" s="101">
        <v>66</v>
      </c>
      <c r="M34" s="415">
        <v>65</v>
      </c>
      <c r="N34" s="102">
        <v>15</v>
      </c>
      <c r="O34" s="142"/>
      <c r="P34" s="704" t="s">
        <v>874</v>
      </c>
      <c r="Q34" s="704" t="s">
        <v>871</v>
      </c>
      <c r="R34" s="658" t="s">
        <v>371</v>
      </c>
      <c r="S34" s="1065"/>
      <c r="T34" s="105"/>
      <c r="U34" s="105"/>
      <c r="V34" s="888"/>
      <c r="W34" s="884"/>
      <c r="X34" s="884"/>
      <c r="Y34" s="884"/>
      <c r="Z34" s="884"/>
      <c r="AA34" s="884"/>
      <c r="AB34" s="888"/>
    </row>
    <row r="35" spans="1:28" ht="30.75" customHeight="1">
      <c r="A35" s="595"/>
      <c r="B35" s="598"/>
      <c r="C35" s="589"/>
      <c r="D35" s="100"/>
      <c r="E35" s="414" t="s">
        <v>125</v>
      </c>
      <c r="F35" s="962" t="s">
        <v>985</v>
      </c>
      <c r="G35" s="97" t="s">
        <v>332</v>
      </c>
      <c r="H35" s="647">
        <v>14</v>
      </c>
      <c r="I35" s="648" t="s">
        <v>323</v>
      </c>
      <c r="J35" s="89" t="e">
        <f>RKP!#REF!</f>
        <v>#REF!</v>
      </c>
      <c r="K35" s="89">
        <f>SUM(L35:N35)</f>
        <v>0</v>
      </c>
      <c r="L35" s="89"/>
      <c r="M35" s="627"/>
      <c r="N35" s="84"/>
      <c r="O35" s="142"/>
      <c r="P35" s="704" t="s">
        <v>874</v>
      </c>
      <c r="Q35" s="704" t="s">
        <v>871</v>
      </c>
      <c r="R35" s="658" t="s">
        <v>371</v>
      </c>
      <c r="S35" s="1065"/>
      <c r="T35" s="105"/>
      <c r="U35" s="105"/>
      <c r="V35" s="888"/>
      <c r="W35" s="884"/>
      <c r="X35" s="884"/>
      <c r="Y35" s="884"/>
      <c r="Z35" s="884"/>
      <c r="AA35" s="884"/>
      <c r="AB35" s="888"/>
    </row>
    <row r="36" spans="1:28" ht="30.75" customHeight="1">
      <c r="A36" s="595"/>
      <c r="B36" s="598"/>
      <c r="C36" s="589"/>
      <c r="D36" s="100"/>
      <c r="E36" s="414" t="s">
        <v>183</v>
      </c>
      <c r="F36" s="964" t="s">
        <v>987</v>
      </c>
      <c r="G36" s="97" t="s">
        <v>581</v>
      </c>
      <c r="H36" s="647">
        <v>50</v>
      </c>
      <c r="I36" s="648" t="s">
        <v>323</v>
      </c>
      <c r="J36" s="89" t="e">
        <f>RKP!#REF!</f>
        <v>#REF!</v>
      </c>
      <c r="K36" s="89">
        <f>SUM(L36:N36)</f>
        <v>0</v>
      </c>
      <c r="L36" s="89"/>
      <c r="M36" s="627"/>
      <c r="N36" s="84"/>
      <c r="O36" s="142"/>
      <c r="P36" s="704" t="s">
        <v>874</v>
      </c>
      <c r="Q36" s="704" t="s">
        <v>871</v>
      </c>
      <c r="R36" s="658" t="s">
        <v>371</v>
      </c>
      <c r="S36" s="1065"/>
      <c r="T36" s="105"/>
      <c r="U36" s="105"/>
      <c r="V36" s="888"/>
      <c r="W36" s="884"/>
      <c r="X36" s="884"/>
      <c r="Y36" s="884"/>
      <c r="Z36" s="884"/>
      <c r="AA36" s="884"/>
      <c r="AB36" s="888"/>
    </row>
    <row r="37" spans="1:28" ht="30.75" customHeight="1">
      <c r="A37" s="595"/>
      <c r="B37" s="598"/>
      <c r="C37" s="969"/>
      <c r="D37" s="100"/>
      <c r="E37" s="414" t="s">
        <v>184</v>
      </c>
      <c r="F37" s="965" t="s">
        <v>988</v>
      </c>
      <c r="G37" s="97" t="s">
        <v>581</v>
      </c>
      <c r="H37" s="647">
        <v>60</v>
      </c>
      <c r="I37" s="648" t="s">
        <v>323</v>
      </c>
      <c r="J37" s="89">
        <f>RKP!I25</f>
        <v>95045000</v>
      </c>
      <c r="K37" s="89"/>
      <c r="L37" s="89"/>
      <c r="M37" s="627"/>
      <c r="N37" s="84"/>
      <c r="O37" s="142"/>
      <c r="P37" s="704" t="s">
        <v>874</v>
      </c>
      <c r="Q37" s="704" t="s">
        <v>871</v>
      </c>
      <c r="R37" s="658" t="s">
        <v>371</v>
      </c>
      <c r="S37" s="1065"/>
      <c r="T37" s="105"/>
      <c r="U37" s="105"/>
      <c r="V37" s="888"/>
      <c r="W37" s="884"/>
      <c r="X37" s="884"/>
      <c r="Y37" s="884"/>
      <c r="Z37" s="884"/>
      <c r="AA37" s="884"/>
      <c r="AB37" s="888"/>
    </row>
    <row r="38" spans="1:28" ht="30.75" customHeight="1">
      <c r="A38" s="595"/>
      <c r="B38" s="598"/>
      <c r="C38" s="969"/>
      <c r="D38" s="100"/>
      <c r="E38" s="414" t="s">
        <v>185</v>
      </c>
      <c r="F38" s="965" t="s">
        <v>989</v>
      </c>
      <c r="G38" s="97" t="s">
        <v>582</v>
      </c>
      <c r="H38" s="647">
        <v>70</v>
      </c>
      <c r="I38" s="648" t="s">
        <v>323</v>
      </c>
      <c r="J38" s="89" t="e">
        <f>RKP!#REF!</f>
        <v>#REF!</v>
      </c>
      <c r="K38" s="89"/>
      <c r="L38" s="89"/>
      <c r="M38" s="627"/>
      <c r="N38" s="84"/>
      <c r="O38" s="142"/>
      <c r="P38" s="704" t="s">
        <v>874</v>
      </c>
      <c r="Q38" s="704" t="s">
        <v>871</v>
      </c>
      <c r="R38" s="658" t="s">
        <v>371</v>
      </c>
      <c r="S38" s="1065"/>
      <c r="T38" s="105"/>
      <c r="U38" s="105"/>
      <c r="V38" s="888"/>
      <c r="W38" s="884"/>
      <c r="X38" s="884"/>
      <c r="Y38" s="884"/>
      <c r="Z38" s="884"/>
      <c r="AA38" s="884"/>
      <c r="AB38" s="888"/>
    </row>
    <row r="39" spans="1:28" ht="30.75" customHeight="1">
      <c r="A39" s="595"/>
      <c r="B39" s="598"/>
      <c r="C39" s="969"/>
      <c r="D39" s="100"/>
      <c r="E39" s="414" t="s">
        <v>363</v>
      </c>
      <c r="F39" s="965" t="s">
        <v>991</v>
      </c>
      <c r="G39" s="97" t="s">
        <v>1051</v>
      </c>
      <c r="H39" s="647">
        <v>60</v>
      </c>
      <c r="I39" s="648" t="s">
        <v>323</v>
      </c>
      <c r="J39" s="89">
        <f>RKP!I27</f>
        <v>38079000</v>
      </c>
      <c r="K39" s="89"/>
      <c r="L39" s="89"/>
      <c r="M39" s="627"/>
      <c r="N39" s="84"/>
      <c r="O39" s="142"/>
      <c r="P39" s="704" t="s">
        <v>874</v>
      </c>
      <c r="Q39" s="704" t="s">
        <v>871</v>
      </c>
      <c r="R39" s="658" t="s">
        <v>371</v>
      </c>
      <c r="S39" s="1065"/>
      <c r="T39" s="105"/>
      <c r="U39" s="105"/>
      <c r="V39" s="888"/>
      <c r="W39" s="884"/>
      <c r="X39" s="884"/>
      <c r="Y39" s="884"/>
      <c r="Z39" s="884"/>
      <c r="AA39" s="884"/>
      <c r="AB39" s="888"/>
    </row>
    <row r="40" spans="1:28" ht="30.75" customHeight="1">
      <c r="A40" s="595"/>
      <c r="B40" s="598"/>
      <c r="C40" s="1019"/>
      <c r="D40" s="635"/>
      <c r="E40" s="1074" t="s">
        <v>364</v>
      </c>
      <c r="F40" s="1075" t="s">
        <v>992</v>
      </c>
      <c r="G40" s="1054" t="s">
        <v>583</v>
      </c>
      <c r="H40" s="1031">
        <v>65</v>
      </c>
      <c r="I40" s="1032" t="s">
        <v>323</v>
      </c>
      <c r="J40" s="630" t="e">
        <f>RKP!#REF!</f>
        <v>#REF!</v>
      </c>
      <c r="K40" s="630"/>
      <c r="L40" s="630"/>
      <c r="M40" s="631"/>
      <c r="N40" s="636"/>
      <c r="O40" s="1046"/>
      <c r="P40" s="1076" t="s">
        <v>874</v>
      </c>
      <c r="Q40" s="1076" t="s">
        <v>871</v>
      </c>
      <c r="R40" s="1077" t="s">
        <v>371</v>
      </c>
      <c r="S40" s="1078"/>
      <c r="T40" s="105"/>
      <c r="U40" s="105"/>
      <c r="V40" s="888"/>
      <c r="W40" s="884"/>
      <c r="X40" s="884"/>
      <c r="Y40" s="884"/>
      <c r="Z40" s="884"/>
      <c r="AA40" s="884"/>
      <c r="AB40" s="888"/>
    </row>
    <row r="41" spans="1:28" ht="30.75" customHeight="1">
      <c r="A41" s="599"/>
      <c r="B41" s="1079"/>
      <c r="C41" s="1053"/>
      <c r="D41" s="1080"/>
      <c r="E41" s="1081" t="s">
        <v>365</v>
      </c>
      <c r="F41" s="1082" t="s">
        <v>994</v>
      </c>
      <c r="G41" s="1053" t="s">
        <v>1052</v>
      </c>
      <c r="H41" s="646">
        <v>50</v>
      </c>
      <c r="I41" s="226" t="s">
        <v>323</v>
      </c>
      <c r="J41" s="78">
        <f>RKP!I26</f>
        <v>64021000</v>
      </c>
      <c r="K41" s="78"/>
      <c r="L41" s="78"/>
      <c r="M41" s="1083"/>
      <c r="N41" s="1084"/>
      <c r="O41" s="1085"/>
      <c r="P41" s="1086" t="s">
        <v>874</v>
      </c>
      <c r="Q41" s="1086" t="s">
        <v>871</v>
      </c>
      <c r="R41" s="1087" t="s">
        <v>371</v>
      </c>
      <c r="S41" s="1066"/>
      <c r="T41" s="1088"/>
      <c r="U41" s="105"/>
      <c r="V41" s="888"/>
      <c r="W41" s="884"/>
      <c r="X41" s="884"/>
      <c r="Y41" s="884"/>
      <c r="Z41" s="884"/>
      <c r="AA41" s="884"/>
      <c r="AB41" s="888"/>
    </row>
    <row r="42" spans="1:28" ht="30.75" customHeight="1">
      <c r="A42" s="595"/>
      <c r="B42" s="598"/>
      <c r="C42" s="969"/>
      <c r="D42" s="100"/>
      <c r="E42" s="414" t="s">
        <v>366</v>
      </c>
      <c r="F42" s="965" t="s">
        <v>996</v>
      </c>
      <c r="G42" s="97" t="s">
        <v>332</v>
      </c>
      <c r="H42" s="647">
        <v>222</v>
      </c>
      <c r="I42" s="648" t="s">
        <v>323</v>
      </c>
      <c r="J42" s="89">
        <f>RKP!I28</f>
        <v>88745000</v>
      </c>
      <c r="K42" s="89"/>
      <c r="L42" s="89"/>
      <c r="M42" s="627"/>
      <c r="N42" s="84"/>
      <c r="O42" s="142"/>
      <c r="P42" s="704" t="s">
        <v>874</v>
      </c>
      <c r="Q42" s="704" t="s">
        <v>871</v>
      </c>
      <c r="R42" s="658" t="s">
        <v>371</v>
      </c>
      <c r="S42" s="1065"/>
      <c r="T42" s="105"/>
      <c r="U42" s="105"/>
      <c r="V42" s="888"/>
      <c r="W42" s="884"/>
      <c r="X42" s="884"/>
      <c r="Y42" s="884"/>
      <c r="Z42" s="884"/>
      <c r="AA42" s="884"/>
      <c r="AB42" s="888"/>
    </row>
    <row r="43" spans="1:28" ht="30.75" customHeight="1">
      <c r="A43" s="595"/>
      <c r="B43" s="598"/>
      <c r="C43" s="969"/>
      <c r="D43" s="100"/>
      <c r="E43" s="414" t="s">
        <v>367</v>
      </c>
      <c r="F43" s="965" t="s">
        <v>1018</v>
      </c>
      <c r="G43" s="97" t="s">
        <v>582</v>
      </c>
      <c r="H43" s="647">
        <v>6</v>
      </c>
      <c r="I43" s="648" t="s">
        <v>323</v>
      </c>
      <c r="J43" s="89" t="e">
        <f>RKP!#REF!</f>
        <v>#REF!</v>
      </c>
      <c r="K43" s="89"/>
      <c r="L43" s="89"/>
      <c r="M43" s="627"/>
      <c r="N43" s="84"/>
      <c r="O43" s="142"/>
      <c r="P43" s="704" t="s">
        <v>874</v>
      </c>
      <c r="Q43" s="704" t="s">
        <v>871</v>
      </c>
      <c r="R43" s="658" t="s">
        <v>371</v>
      </c>
      <c r="S43" s="1065"/>
      <c r="T43" s="105"/>
      <c r="U43" s="105"/>
      <c r="V43" s="888"/>
      <c r="W43" s="884"/>
      <c r="X43" s="884"/>
      <c r="Y43" s="884"/>
      <c r="Z43" s="884"/>
      <c r="AA43" s="884"/>
      <c r="AB43" s="888"/>
    </row>
    <row r="44" spans="1:28" ht="30.75" customHeight="1">
      <c r="A44" s="595"/>
      <c r="B44" s="598"/>
      <c r="C44" s="969"/>
      <c r="D44" s="100"/>
      <c r="E44" s="414" t="s">
        <v>1006</v>
      </c>
      <c r="F44" s="965" t="s">
        <v>999</v>
      </c>
      <c r="G44" s="97" t="s">
        <v>1051</v>
      </c>
      <c r="H44" s="647">
        <v>6</v>
      </c>
      <c r="I44" s="648" t="s">
        <v>323</v>
      </c>
      <c r="J44" s="89" t="e">
        <f>RKP!#REF!</f>
        <v>#REF!</v>
      </c>
      <c r="K44" s="89">
        <f>L44+M44</f>
        <v>306</v>
      </c>
      <c r="L44" s="89">
        <v>162</v>
      </c>
      <c r="M44" s="627">
        <v>144</v>
      </c>
      <c r="N44" s="84">
        <v>14</v>
      </c>
      <c r="O44" s="142"/>
      <c r="P44" s="704" t="s">
        <v>874</v>
      </c>
      <c r="Q44" s="704" t="s">
        <v>871</v>
      </c>
      <c r="R44" s="658" t="s">
        <v>371</v>
      </c>
      <c r="S44" s="1065"/>
      <c r="T44" s="105"/>
      <c r="U44" s="105"/>
      <c r="V44" s="888"/>
      <c r="W44" s="884"/>
      <c r="X44" s="884"/>
      <c r="Y44" s="884"/>
      <c r="Z44" s="884"/>
      <c r="AA44" s="884"/>
      <c r="AB44" s="888"/>
    </row>
    <row r="45" spans="1:28" ht="30.75" customHeight="1">
      <c r="A45" s="595"/>
      <c r="B45" s="598"/>
      <c r="C45" s="969"/>
      <c r="D45" s="100"/>
      <c r="E45" s="414" t="s">
        <v>1007</v>
      </c>
      <c r="F45" s="965" t="s">
        <v>1000</v>
      </c>
      <c r="G45" s="97" t="s">
        <v>583</v>
      </c>
      <c r="H45" s="647">
        <v>8</v>
      </c>
      <c r="I45" s="648" t="s">
        <v>323</v>
      </c>
      <c r="J45" s="89" t="e">
        <f>RKP!#REF!</f>
        <v>#REF!</v>
      </c>
      <c r="K45" s="89">
        <f t="shared" ref="K45:K52" si="0">L45+M45</f>
        <v>132</v>
      </c>
      <c r="L45" s="89">
        <v>66</v>
      </c>
      <c r="M45" s="627">
        <v>66</v>
      </c>
      <c r="N45" s="84">
        <v>20</v>
      </c>
      <c r="O45" s="142"/>
      <c r="P45" s="704" t="s">
        <v>874</v>
      </c>
      <c r="Q45" s="704" t="s">
        <v>871</v>
      </c>
      <c r="R45" s="658" t="s">
        <v>371</v>
      </c>
      <c r="S45" s="1065"/>
      <c r="T45" s="105"/>
      <c r="U45" s="105"/>
      <c r="V45" s="888"/>
      <c r="W45" s="884"/>
      <c r="X45" s="884"/>
      <c r="Y45" s="884"/>
      <c r="Z45" s="884"/>
      <c r="AA45" s="884"/>
      <c r="AB45" s="888"/>
    </row>
    <row r="46" spans="1:28" ht="30.75" customHeight="1">
      <c r="A46" s="595"/>
      <c r="B46" s="598"/>
      <c r="C46" s="969"/>
      <c r="D46" s="100"/>
      <c r="E46" s="414" t="s">
        <v>1008</v>
      </c>
      <c r="F46" s="965" t="s">
        <v>1001</v>
      </c>
      <c r="G46" s="97" t="s">
        <v>399</v>
      </c>
      <c r="H46" s="647">
        <v>6</v>
      </c>
      <c r="I46" s="648" t="s">
        <v>323</v>
      </c>
      <c r="J46" s="89" t="e">
        <f>RKP!#REF!</f>
        <v>#REF!</v>
      </c>
      <c r="K46" s="89">
        <f t="shared" si="0"/>
        <v>150</v>
      </c>
      <c r="L46" s="89">
        <v>72</v>
      </c>
      <c r="M46" s="627">
        <v>78</v>
      </c>
      <c r="N46" s="84">
        <v>17</v>
      </c>
      <c r="O46" s="142"/>
      <c r="P46" s="704" t="s">
        <v>874</v>
      </c>
      <c r="Q46" s="704" t="s">
        <v>871</v>
      </c>
      <c r="R46" s="658" t="s">
        <v>371</v>
      </c>
      <c r="S46" s="1065"/>
      <c r="T46" s="105"/>
      <c r="U46" s="105"/>
      <c r="V46" s="888"/>
      <c r="W46" s="884"/>
      <c r="X46" s="884"/>
      <c r="Y46" s="884"/>
      <c r="Z46" s="884"/>
      <c r="AA46" s="884"/>
      <c r="AB46" s="888"/>
    </row>
    <row r="47" spans="1:28" ht="30.75" customHeight="1">
      <c r="A47" s="595"/>
      <c r="B47" s="598"/>
      <c r="C47" s="969"/>
      <c r="D47" s="100"/>
      <c r="E47" s="414" t="s">
        <v>1009</v>
      </c>
      <c r="F47" s="965" t="s">
        <v>1016</v>
      </c>
      <c r="G47" s="97" t="s">
        <v>332</v>
      </c>
      <c r="H47" s="647">
        <v>8.5</v>
      </c>
      <c r="I47" s="648" t="s">
        <v>323</v>
      </c>
      <c r="J47" s="89" t="e">
        <f>RKP!#REF!</f>
        <v>#REF!</v>
      </c>
      <c r="K47" s="89">
        <f t="shared" si="0"/>
        <v>245</v>
      </c>
      <c r="L47" s="89">
        <v>127</v>
      </c>
      <c r="M47" s="627">
        <v>118</v>
      </c>
      <c r="N47" s="84">
        <v>13</v>
      </c>
      <c r="O47" s="142"/>
      <c r="P47" s="704" t="s">
        <v>874</v>
      </c>
      <c r="Q47" s="704" t="s">
        <v>871</v>
      </c>
      <c r="R47" s="658" t="s">
        <v>371</v>
      </c>
      <c r="S47" s="1065"/>
      <c r="T47" s="105"/>
      <c r="U47" s="105"/>
      <c r="V47" s="888"/>
      <c r="W47" s="884"/>
      <c r="X47" s="884"/>
      <c r="Y47" s="884"/>
      <c r="Z47" s="884"/>
      <c r="AA47" s="884"/>
      <c r="AB47" s="888"/>
    </row>
    <row r="48" spans="1:28" ht="30.75" customHeight="1">
      <c r="A48" s="595"/>
      <c r="B48" s="598"/>
      <c r="C48" s="969"/>
      <c r="D48" s="100"/>
      <c r="E48" s="414" t="s">
        <v>1010</v>
      </c>
      <c r="F48" s="965" t="s">
        <v>1017</v>
      </c>
      <c r="G48" s="97" t="s">
        <v>1052</v>
      </c>
      <c r="H48" s="647">
        <v>6</v>
      </c>
      <c r="I48" s="648" t="s">
        <v>323</v>
      </c>
      <c r="J48" s="89" t="e">
        <f>RKP!#REF!</f>
        <v>#REF!</v>
      </c>
      <c r="K48" s="89">
        <f t="shared" si="0"/>
        <v>123</v>
      </c>
      <c r="L48" s="89">
        <v>62</v>
      </c>
      <c r="M48" s="627">
        <v>61</v>
      </c>
      <c r="N48" s="84">
        <v>12</v>
      </c>
      <c r="O48" s="142"/>
      <c r="P48" s="704" t="s">
        <v>874</v>
      </c>
      <c r="Q48" s="704" t="s">
        <v>871</v>
      </c>
      <c r="R48" s="658" t="s">
        <v>371</v>
      </c>
      <c r="S48" s="1065"/>
      <c r="T48" s="105"/>
      <c r="U48" s="105"/>
      <c r="V48" s="888"/>
      <c r="W48" s="884"/>
      <c r="X48" s="884"/>
      <c r="Y48" s="884"/>
      <c r="Z48" s="884"/>
      <c r="AA48" s="884"/>
      <c r="AB48" s="888"/>
    </row>
    <row r="49" spans="1:28" ht="30.75" customHeight="1">
      <c r="A49" s="595"/>
      <c r="B49" s="598"/>
      <c r="C49" s="969"/>
      <c r="D49" s="100"/>
      <c r="E49" s="414" t="s">
        <v>1011</v>
      </c>
      <c r="F49" s="965" t="s">
        <v>1002</v>
      </c>
      <c r="G49" s="97" t="s">
        <v>1053</v>
      </c>
      <c r="H49" s="647">
        <v>8</v>
      </c>
      <c r="I49" s="648" t="s">
        <v>323</v>
      </c>
      <c r="J49" s="89" t="e">
        <f>RKP!#REF!</f>
        <v>#REF!</v>
      </c>
      <c r="K49" s="89">
        <f t="shared" si="0"/>
        <v>113</v>
      </c>
      <c r="L49" s="89">
        <v>58</v>
      </c>
      <c r="M49" s="972">
        <v>55</v>
      </c>
      <c r="N49" s="84">
        <v>10</v>
      </c>
      <c r="O49" s="647">
        <v>1</v>
      </c>
      <c r="P49" s="704" t="s">
        <v>874</v>
      </c>
      <c r="Q49" s="704" t="s">
        <v>871</v>
      </c>
      <c r="R49" s="658" t="s">
        <v>371</v>
      </c>
      <c r="S49" s="1065"/>
      <c r="T49" s="105"/>
      <c r="U49" s="105"/>
      <c r="V49" s="888"/>
      <c r="W49" s="884"/>
      <c r="X49" s="884"/>
      <c r="Y49" s="884"/>
      <c r="Z49" s="884"/>
      <c r="AA49" s="884"/>
      <c r="AB49" s="888"/>
    </row>
    <row r="50" spans="1:28" ht="30.75" customHeight="1">
      <c r="A50" s="595"/>
      <c r="B50" s="598"/>
      <c r="C50" s="969"/>
      <c r="D50" s="100"/>
      <c r="E50" s="414" t="s">
        <v>1012</v>
      </c>
      <c r="F50" s="965" t="s">
        <v>1003</v>
      </c>
      <c r="G50" s="97" t="s">
        <v>1053</v>
      </c>
      <c r="H50" s="647">
        <v>8</v>
      </c>
      <c r="I50" s="648" t="s">
        <v>323</v>
      </c>
      <c r="J50" s="89" t="e">
        <f>RKP!#REF!</f>
        <v>#REF!</v>
      </c>
      <c r="K50" s="89">
        <f t="shared" si="0"/>
        <v>113</v>
      </c>
      <c r="L50" s="89">
        <v>58</v>
      </c>
      <c r="M50" s="627">
        <v>55</v>
      </c>
      <c r="N50" s="84">
        <v>10</v>
      </c>
      <c r="O50" s="142"/>
      <c r="P50" s="704" t="s">
        <v>874</v>
      </c>
      <c r="Q50" s="704" t="s">
        <v>871</v>
      </c>
      <c r="R50" s="658" t="s">
        <v>371</v>
      </c>
      <c r="S50" s="1065"/>
      <c r="T50" s="105"/>
      <c r="U50" s="105"/>
      <c r="V50" s="888"/>
      <c r="W50" s="884"/>
      <c r="X50" s="884"/>
      <c r="Y50" s="884"/>
      <c r="Z50" s="884"/>
      <c r="AA50" s="884"/>
      <c r="AB50" s="888"/>
    </row>
    <row r="51" spans="1:28" ht="30.75" customHeight="1">
      <c r="A51" s="595"/>
      <c r="B51" s="598"/>
      <c r="C51" s="969"/>
      <c r="D51" s="100"/>
      <c r="E51" s="414" t="s">
        <v>1013</v>
      </c>
      <c r="F51" s="965" t="s">
        <v>1004</v>
      </c>
      <c r="G51" s="97" t="s">
        <v>1042</v>
      </c>
      <c r="H51" s="647">
        <v>6</v>
      </c>
      <c r="I51" s="648" t="s">
        <v>323</v>
      </c>
      <c r="J51" s="89" t="e">
        <f>RKP!#REF!</f>
        <v>#REF!</v>
      </c>
      <c r="K51" s="89">
        <f t="shared" si="0"/>
        <v>73</v>
      </c>
      <c r="L51" s="89">
        <v>36</v>
      </c>
      <c r="M51" s="627">
        <v>37</v>
      </c>
      <c r="N51" s="84">
        <v>6</v>
      </c>
      <c r="O51" s="142"/>
      <c r="P51" s="704" t="s">
        <v>874</v>
      </c>
      <c r="Q51" s="704" t="s">
        <v>871</v>
      </c>
      <c r="R51" s="658" t="s">
        <v>371</v>
      </c>
      <c r="S51" s="1065"/>
      <c r="T51" s="105"/>
      <c r="U51" s="105"/>
      <c r="V51" s="888"/>
      <c r="W51" s="884"/>
      <c r="X51" s="884"/>
      <c r="Y51" s="884"/>
      <c r="Z51" s="884"/>
      <c r="AA51" s="884"/>
      <c r="AB51" s="888"/>
    </row>
    <row r="52" spans="1:28" ht="30.75" customHeight="1">
      <c r="A52" s="595"/>
      <c r="B52" s="598"/>
      <c r="C52" s="969"/>
      <c r="D52" s="100"/>
      <c r="E52" s="414" t="s">
        <v>1014</v>
      </c>
      <c r="F52" s="965" t="s">
        <v>1005</v>
      </c>
      <c r="G52" s="97" t="s">
        <v>1043</v>
      </c>
      <c r="H52" s="647">
        <v>6</v>
      </c>
      <c r="I52" s="648" t="s">
        <v>323</v>
      </c>
      <c r="J52" s="89" t="e">
        <f>RKP!#REF!</f>
        <v>#REF!</v>
      </c>
      <c r="K52" s="89">
        <f t="shared" si="0"/>
        <v>195</v>
      </c>
      <c r="L52" s="89">
        <v>102</v>
      </c>
      <c r="M52" s="627">
        <v>93</v>
      </c>
      <c r="N52" s="84">
        <v>12</v>
      </c>
      <c r="O52" s="142"/>
      <c r="P52" s="704" t="s">
        <v>874</v>
      </c>
      <c r="Q52" s="704" t="s">
        <v>871</v>
      </c>
      <c r="R52" s="658" t="s">
        <v>371</v>
      </c>
      <c r="S52" s="1065"/>
      <c r="T52" s="105"/>
      <c r="U52" s="105"/>
      <c r="V52" s="888"/>
      <c r="W52" s="884"/>
      <c r="X52" s="884"/>
      <c r="Y52" s="884"/>
      <c r="Z52" s="884"/>
      <c r="AA52" s="884"/>
      <c r="AB52" s="888"/>
    </row>
    <row r="53" spans="1:28" ht="30.75" customHeight="1">
      <c r="A53" s="3113" t="s">
        <v>232</v>
      </c>
      <c r="B53" s="3114"/>
      <c r="C53" s="3114"/>
      <c r="D53" s="3114"/>
      <c r="E53" s="3114"/>
      <c r="F53" s="667"/>
      <c r="G53" s="667"/>
      <c r="H53" s="667"/>
      <c r="I53" s="667"/>
      <c r="J53" s="668" t="e">
        <f>SUM(J32:J52)</f>
        <v>#REF!</v>
      </c>
      <c r="K53" s="668"/>
      <c r="L53" s="668"/>
      <c r="M53" s="669"/>
      <c r="N53" s="669"/>
      <c r="O53" s="670"/>
      <c r="P53" s="670"/>
      <c r="Q53" s="669"/>
      <c r="R53" s="671"/>
      <c r="S53" s="1064"/>
      <c r="T53" s="105"/>
      <c r="U53" s="105"/>
      <c r="V53" s="888"/>
      <c r="W53" s="884"/>
      <c r="X53" s="884"/>
      <c r="Y53" s="884"/>
      <c r="Z53" s="884"/>
      <c r="AA53" s="884"/>
      <c r="AB53" s="888"/>
    </row>
    <row r="54" spans="1:28" ht="30.75" customHeight="1">
      <c r="A54" s="599">
        <v>3</v>
      </c>
      <c r="B54" s="601" t="s">
        <v>49</v>
      </c>
      <c r="C54" s="988" t="s">
        <v>126</v>
      </c>
      <c r="D54" s="1011" t="s">
        <v>663</v>
      </c>
      <c r="E54" s="1011" t="s">
        <v>126</v>
      </c>
      <c r="F54" s="1011" t="s">
        <v>479</v>
      </c>
      <c r="G54" s="1012" t="s">
        <v>882</v>
      </c>
      <c r="H54" s="1013"/>
      <c r="I54" s="1014" t="s">
        <v>87</v>
      </c>
      <c r="J54" s="17">
        <f>RKP!I32</f>
        <v>8700000</v>
      </c>
      <c r="K54" s="17">
        <f t="shared" ref="K54:K60" si="1">SUM(L54:N54)</f>
        <v>0</v>
      </c>
      <c r="L54" s="17"/>
      <c r="M54" s="14"/>
      <c r="N54" s="1039"/>
      <c r="O54" s="1035"/>
      <c r="P54" s="15"/>
      <c r="Q54" s="15"/>
      <c r="R54" s="654" t="s">
        <v>370</v>
      </c>
      <c r="S54" s="1066"/>
      <c r="T54" s="105"/>
      <c r="U54" s="105"/>
      <c r="V54" s="888"/>
      <c r="W54" s="884"/>
      <c r="X54" s="884"/>
      <c r="Y54" s="884"/>
      <c r="Z54" s="884"/>
      <c r="AA54" s="884"/>
      <c r="AB54" s="888"/>
    </row>
    <row r="55" spans="1:28" ht="30.75" customHeight="1">
      <c r="A55" s="595"/>
      <c r="B55" s="602"/>
      <c r="C55" s="989" t="s">
        <v>127</v>
      </c>
      <c r="D55" s="1030" t="s">
        <v>665</v>
      </c>
      <c r="E55" s="1030" t="s">
        <v>127</v>
      </c>
      <c r="F55" s="1043" t="s">
        <v>1087</v>
      </c>
      <c r="G55" s="991" t="s">
        <v>882</v>
      </c>
      <c r="H55" s="1031"/>
      <c r="I55" s="1032" t="s">
        <v>87</v>
      </c>
      <c r="J55" s="1033" t="e">
        <f>RKP!#REF!</f>
        <v>#REF!</v>
      </c>
      <c r="K55" s="1033">
        <f t="shared" si="1"/>
        <v>0</v>
      </c>
      <c r="L55" s="1033"/>
      <c r="M55" s="1044"/>
      <c r="N55" s="1045"/>
      <c r="O55" s="1046"/>
      <c r="P55" s="1048"/>
      <c r="Q55" s="1048"/>
      <c r="R55" s="1049" t="s">
        <v>370</v>
      </c>
      <c r="S55" s="1067"/>
      <c r="T55" s="105"/>
      <c r="U55" s="105"/>
      <c r="V55" s="888"/>
      <c r="W55" s="884"/>
      <c r="X55" s="884"/>
      <c r="Y55" s="884"/>
      <c r="Z55" s="884"/>
      <c r="AA55" s="884"/>
      <c r="AB55" s="888"/>
    </row>
    <row r="56" spans="1:28" ht="30.75" customHeight="1">
      <c r="A56" s="595"/>
      <c r="B56" s="602"/>
      <c r="C56" s="990"/>
      <c r="D56" s="1040"/>
      <c r="E56" s="1006" t="s">
        <v>225</v>
      </c>
      <c r="F56" s="1006" t="s">
        <v>1046</v>
      </c>
      <c r="G56" s="231" t="s">
        <v>882</v>
      </c>
      <c r="H56" s="649"/>
      <c r="I56" s="652" t="s">
        <v>87</v>
      </c>
      <c r="J56" s="230">
        <f>RKP!I33</f>
        <v>21900000</v>
      </c>
      <c r="K56" s="230">
        <f t="shared" si="1"/>
        <v>0</v>
      </c>
      <c r="L56" s="230"/>
      <c r="M56" s="1040"/>
      <c r="N56" s="1041"/>
      <c r="O56" s="1047"/>
      <c r="P56" s="1040"/>
      <c r="Q56" s="1040"/>
      <c r="R56" s="1042" t="s">
        <v>370</v>
      </c>
      <c r="S56" s="1068"/>
      <c r="T56" s="105"/>
      <c r="U56" s="105"/>
      <c r="V56" s="888"/>
      <c r="W56" s="884"/>
      <c r="X56" s="884"/>
      <c r="Y56" s="884"/>
      <c r="Z56" s="884"/>
      <c r="AA56" s="884"/>
      <c r="AB56" s="888"/>
    </row>
    <row r="57" spans="1:28" ht="30.75" customHeight="1">
      <c r="A57" s="595"/>
      <c r="B57" s="602"/>
      <c r="C57" s="988" t="s">
        <v>225</v>
      </c>
      <c r="D57" s="1011" t="s">
        <v>668</v>
      </c>
      <c r="E57" s="1011" t="s">
        <v>227</v>
      </c>
      <c r="F57" s="1011" t="s">
        <v>1089</v>
      </c>
      <c r="G57" s="1012" t="s">
        <v>882</v>
      </c>
      <c r="H57" s="1013"/>
      <c r="I57" s="1014" t="s">
        <v>87</v>
      </c>
      <c r="J57" s="17" t="e">
        <f>RKP!#REF!</f>
        <v>#REF!</v>
      </c>
      <c r="K57" s="17">
        <f t="shared" si="1"/>
        <v>0</v>
      </c>
      <c r="L57" s="17"/>
      <c r="M57" s="14"/>
      <c r="N57" s="1039"/>
      <c r="O57" s="1035"/>
      <c r="P57" s="15"/>
      <c r="Q57" s="15"/>
      <c r="R57" s="654" t="s">
        <v>370</v>
      </c>
      <c r="S57" s="1069"/>
      <c r="T57" s="105"/>
      <c r="U57" s="105"/>
      <c r="V57" s="888"/>
      <c r="W57" s="884"/>
      <c r="X57" s="884"/>
      <c r="Y57" s="884"/>
      <c r="Z57" s="884"/>
      <c r="AA57" s="884"/>
      <c r="AB57" s="888"/>
    </row>
    <row r="58" spans="1:28" ht="30.75" customHeight="1">
      <c r="A58" s="595"/>
      <c r="B58" s="602"/>
      <c r="C58" s="96" t="s">
        <v>226</v>
      </c>
      <c r="D58" s="637" t="s">
        <v>671</v>
      </c>
      <c r="E58" s="637" t="s">
        <v>228</v>
      </c>
      <c r="F58" s="637" t="s">
        <v>463</v>
      </c>
      <c r="G58" s="97" t="s">
        <v>882</v>
      </c>
      <c r="H58" s="647"/>
      <c r="I58" s="648" t="s">
        <v>87</v>
      </c>
      <c r="J58" s="101">
        <f>RKP!I35</f>
        <v>2400000</v>
      </c>
      <c r="K58" s="101">
        <f t="shared" si="1"/>
        <v>0</v>
      </c>
      <c r="L58" s="101"/>
      <c r="M58" s="415"/>
      <c r="N58" s="98"/>
      <c r="O58" s="142"/>
      <c r="P58" s="99"/>
      <c r="Q58" s="99"/>
      <c r="R58" s="655" t="s">
        <v>370</v>
      </c>
      <c r="S58" s="1065"/>
      <c r="T58" s="105"/>
      <c r="U58" s="105"/>
      <c r="V58" s="888"/>
      <c r="W58" s="884"/>
      <c r="X58" s="884"/>
      <c r="Y58" s="884"/>
      <c r="Z58" s="884"/>
      <c r="AA58" s="884"/>
      <c r="AB58" s="888"/>
    </row>
    <row r="59" spans="1:28" ht="30.75" customHeight="1">
      <c r="A59" s="595"/>
      <c r="B59" s="602"/>
      <c r="C59" s="591"/>
      <c r="D59" s="81"/>
      <c r="E59" s="81" t="s">
        <v>229</v>
      </c>
      <c r="F59" s="88" t="s">
        <v>462</v>
      </c>
      <c r="G59" s="589" t="s">
        <v>882</v>
      </c>
      <c r="H59" s="643"/>
      <c r="I59" s="229" t="s">
        <v>87</v>
      </c>
      <c r="J59" s="89">
        <f>RKP!I36</f>
        <v>3900000</v>
      </c>
      <c r="K59" s="89">
        <f t="shared" si="1"/>
        <v>0</v>
      </c>
      <c r="L59" s="89"/>
      <c r="M59" s="627"/>
      <c r="N59" s="84"/>
      <c r="O59" s="106"/>
      <c r="P59" s="85"/>
      <c r="Q59" s="85"/>
      <c r="R59" s="653" t="s">
        <v>370</v>
      </c>
      <c r="S59" s="1063"/>
      <c r="T59" s="105"/>
      <c r="U59" s="105"/>
      <c r="V59" s="888"/>
      <c r="W59" s="884"/>
      <c r="X59" s="884"/>
      <c r="Y59" s="884"/>
      <c r="Z59" s="884"/>
      <c r="AA59" s="884"/>
      <c r="AB59" s="888"/>
    </row>
    <row r="60" spans="1:28" ht="30.75" customHeight="1">
      <c r="A60" s="595"/>
      <c r="B60" s="602"/>
      <c r="C60" s="591"/>
      <c r="D60" s="88"/>
      <c r="E60" s="88" t="s">
        <v>230</v>
      </c>
      <c r="F60" s="209" t="s">
        <v>461</v>
      </c>
      <c r="G60" s="589" t="s">
        <v>882</v>
      </c>
      <c r="H60" s="643"/>
      <c r="I60" s="229" t="s">
        <v>87</v>
      </c>
      <c r="J60" s="89">
        <f>RKP!I37</f>
        <v>11550500</v>
      </c>
      <c r="K60" s="89">
        <f t="shared" si="1"/>
        <v>0</v>
      </c>
      <c r="L60" s="89"/>
      <c r="M60" s="627"/>
      <c r="N60" s="84"/>
      <c r="O60" s="106"/>
      <c r="P60" s="85"/>
      <c r="Q60" s="85"/>
      <c r="R60" s="653" t="s">
        <v>370</v>
      </c>
      <c r="S60" s="1063"/>
      <c r="T60" s="105"/>
      <c r="U60" s="105"/>
      <c r="V60" s="888"/>
      <c r="W60" s="884"/>
      <c r="X60" s="884"/>
      <c r="Y60" s="884"/>
      <c r="Z60" s="884"/>
      <c r="AA60" s="884"/>
      <c r="AB60" s="888"/>
    </row>
    <row r="61" spans="1:28" ht="30.75" customHeight="1">
      <c r="A61" s="596"/>
      <c r="B61" s="603"/>
      <c r="C61" s="592"/>
      <c r="D61" s="90"/>
      <c r="E61" s="81" t="s">
        <v>579</v>
      </c>
      <c r="F61" s="637" t="s">
        <v>1090</v>
      </c>
      <c r="G61" s="993" t="s">
        <v>882</v>
      </c>
      <c r="H61" s="643"/>
      <c r="I61" s="229" t="s">
        <v>87</v>
      </c>
      <c r="J61" s="89" t="e">
        <f>RKP!#REF!</f>
        <v>#REF!</v>
      </c>
      <c r="K61" s="630"/>
      <c r="L61" s="630"/>
      <c r="M61" s="631"/>
      <c r="N61" s="636"/>
      <c r="O61" s="87"/>
      <c r="P61" s="87"/>
      <c r="Q61" s="87"/>
      <c r="R61" s="657"/>
      <c r="S61" s="1070"/>
      <c r="T61" s="105"/>
      <c r="U61" s="105"/>
      <c r="V61" s="888"/>
      <c r="W61" s="884"/>
      <c r="X61" s="884"/>
      <c r="Y61" s="884"/>
      <c r="Z61" s="884"/>
      <c r="AA61" s="884"/>
      <c r="AB61" s="888"/>
    </row>
    <row r="62" spans="1:28" ht="30.75" customHeight="1">
      <c r="A62" s="666" t="s">
        <v>233</v>
      </c>
      <c r="B62" s="667"/>
      <c r="C62" s="667"/>
      <c r="D62" s="667"/>
      <c r="E62" s="667"/>
      <c r="F62" s="667"/>
      <c r="G62" s="667"/>
      <c r="H62" s="667"/>
      <c r="I62" s="667"/>
      <c r="J62" s="672" t="e">
        <f>SUM(J54:J61)</f>
        <v>#REF!</v>
      </c>
      <c r="K62" s="672"/>
      <c r="L62" s="672"/>
      <c r="M62" s="669"/>
      <c r="N62" s="669"/>
      <c r="O62" s="670"/>
      <c r="P62" s="670"/>
      <c r="Q62" s="670"/>
      <c r="R62" s="671"/>
      <c r="S62" s="1064"/>
      <c r="T62" s="105"/>
      <c r="U62" s="105"/>
      <c r="V62" s="888"/>
      <c r="W62" s="884"/>
      <c r="X62" s="884"/>
      <c r="Y62" s="884"/>
      <c r="Z62" s="884"/>
      <c r="AA62" s="884"/>
      <c r="AB62" s="888"/>
    </row>
    <row r="63" spans="1:28" ht="30.75" customHeight="1">
      <c r="A63" s="599">
        <v>4</v>
      </c>
      <c r="B63" s="601" t="s">
        <v>50</v>
      </c>
      <c r="C63" s="590" t="s">
        <v>128</v>
      </c>
      <c r="D63" s="80" t="s">
        <v>683</v>
      </c>
      <c r="E63" s="80" t="s">
        <v>128</v>
      </c>
      <c r="F63" s="80" t="s">
        <v>453</v>
      </c>
      <c r="G63" s="588" t="s">
        <v>882</v>
      </c>
      <c r="H63" s="650"/>
      <c r="I63" s="651" t="s">
        <v>87</v>
      </c>
      <c r="J63" s="98" t="e">
        <f>RKP!#REF!</f>
        <v>#REF!</v>
      </c>
      <c r="K63" s="101">
        <f>SUM(L63:N63)</f>
        <v>0</v>
      </c>
      <c r="L63" s="98"/>
      <c r="M63" s="415"/>
      <c r="N63" s="98"/>
      <c r="O63" s="106"/>
      <c r="P63" s="79"/>
      <c r="Q63" s="79"/>
      <c r="R63" s="653" t="s">
        <v>558</v>
      </c>
      <c r="S63" s="1063"/>
      <c r="T63" s="105"/>
      <c r="U63" s="105"/>
      <c r="V63" s="888"/>
      <c r="W63" s="884"/>
      <c r="X63" s="884"/>
      <c r="Y63" s="884"/>
      <c r="Z63" s="884"/>
      <c r="AA63" s="884"/>
      <c r="AB63" s="888"/>
    </row>
    <row r="64" spans="1:28" ht="30.75" customHeight="1">
      <c r="A64" s="595"/>
      <c r="B64" s="602"/>
      <c r="C64" s="96"/>
      <c r="D64" s="95"/>
      <c r="E64" s="95" t="s">
        <v>129</v>
      </c>
      <c r="F64" s="95" t="s">
        <v>452</v>
      </c>
      <c r="G64" s="589" t="s">
        <v>882</v>
      </c>
      <c r="H64" s="643"/>
      <c r="I64" s="229" t="s">
        <v>87</v>
      </c>
      <c r="J64" s="98" t="e">
        <f>RKP!#REF!</f>
        <v>#REF!</v>
      </c>
      <c r="K64" s="89">
        <f>SUM(L64:N64)</f>
        <v>0</v>
      </c>
      <c r="L64" s="84"/>
      <c r="M64" s="627"/>
      <c r="N64" s="98"/>
      <c r="O64" s="106"/>
      <c r="P64" s="99"/>
      <c r="Q64" s="99"/>
      <c r="R64" s="653" t="s">
        <v>558</v>
      </c>
      <c r="S64" s="1063"/>
      <c r="T64" s="105"/>
      <c r="U64" s="105"/>
      <c r="V64" s="888"/>
      <c r="W64" s="884"/>
      <c r="X64" s="884"/>
      <c r="Y64" s="884"/>
      <c r="Z64" s="884"/>
      <c r="AA64" s="884"/>
      <c r="AB64" s="888"/>
    </row>
    <row r="65" spans="1:28" ht="30.75" customHeight="1">
      <c r="A65" s="595"/>
      <c r="B65" s="602"/>
      <c r="C65" s="96"/>
      <c r="D65" s="95"/>
      <c r="E65" s="95" t="s">
        <v>217</v>
      </c>
      <c r="F65" s="95" t="s">
        <v>451</v>
      </c>
      <c r="G65" s="589" t="s">
        <v>882</v>
      </c>
      <c r="H65" s="643"/>
      <c r="I65" s="229" t="s">
        <v>87</v>
      </c>
      <c r="J65" s="98" t="e">
        <f>RKP!#REF!</f>
        <v>#REF!</v>
      </c>
      <c r="K65" s="89">
        <f>SUM(L65:N65)</f>
        <v>0</v>
      </c>
      <c r="L65" s="84"/>
      <c r="M65" s="627"/>
      <c r="N65" s="98"/>
      <c r="O65" s="106"/>
      <c r="P65" s="99"/>
      <c r="Q65" s="99"/>
      <c r="R65" s="653" t="s">
        <v>558</v>
      </c>
      <c r="S65" s="1063"/>
      <c r="T65" s="105"/>
      <c r="U65" s="105"/>
      <c r="V65" s="888"/>
      <c r="W65" s="884"/>
      <c r="X65" s="884"/>
      <c r="Y65" s="884"/>
      <c r="Z65" s="884"/>
      <c r="AA65" s="884"/>
      <c r="AB65" s="888"/>
    </row>
    <row r="66" spans="1:28" ht="30.75" customHeight="1">
      <c r="A66" s="595"/>
      <c r="B66" s="602"/>
      <c r="C66" s="96" t="s">
        <v>129</v>
      </c>
      <c r="D66" s="95" t="s">
        <v>688</v>
      </c>
      <c r="E66" s="95" t="s">
        <v>218</v>
      </c>
      <c r="F66" s="95" t="s">
        <v>450</v>
      </c>
      <c r="G66" s="589" t="s">
        <v>882</v>
      </c>
      <c r="H66" s="647"/>
      <c r="I66" s="648" t="s">
        <v>87</v>
      </c>
      <c r="J66" s="98">
        <f>RKP!I39</f>
        <v>17600000</v>
      </c>
      <c r="K66" s="89">
        <f>SUM(L66:N66)</f>
        <v>0</v>
      </c>
      <c r="L66" s="84"/>
      <c r="M66" s="627"/>
      <c r="N66" s="98"/>
      <c r="O66" s="106"/>
      <c r="P66" s="99"/>
      <c r="Q66" s="99"/>
      <c r="R66" s="653" t="s">
        <v>558</v>
      </c>
      <c r="S66" s="1063"/>
      <c r="T66" s="105"/>
      <c r="U66" s="105"/>
      <c r="V66" s="888"/>
      <c r="W66" s="884"/>
      <c r="X66" s="884"/>
      <c r="Y66" s="884"/>
      <c r="Z66" s="884"/>
      <c r="AA66" s="884"/>
      <c r="AB66" s="888"/>
    </row>
    <row r="67" spans="1:28" ht="30.75" customHeight="1">
      <c r="A67" s="596"/>
      <c r="B67" s="603"/>
      <c r="C67" s="592"/>
      <c r="D67" s="209"/>
      <c r="E67" s="623" t="s">
        <v>1059</v>
      </c>
      <c r="F67" s="623" t="s">
        <v>1085</v>
      </c>
      <c r="G67" s="993" t="s">
        <v>882</v>
      </c>
      <c r="H67" s="647"/>
      <c r="I67" s="648" t="s">
        <v>87</v>
      </c>
      <c r="J67" s="86" t="e">
        <f>RKP!#REF!</f>
        <v>#REF!</v>
      </c>
      <c r="K67" s="636"/>
      <c r="L67" s="636"/>
      <c r="M67" s="631"/>
      <c r="N67" s="98"/>
      <c r="O67" s="106"/>
      <c r="P67" s="87"/>
      <c r="Q67" s="87"/>
      <c r="R67" s="658"/>
      <c r="S67" s="1071"/>
      <c r="T67" s="105"/>
      <c r="U67" s="105"/>
      <c r="V67" s="888"/>
      <c r="W67" s="884"/>
      <c r="X67" s="884"/>
      <c r="Y67" s="884"/>
      <c r="Z67" s="884"/>
      <c r="AA67" s="884"/>
      <c r="AB67" s="888"/>
    </row>
    <row r="68" spans="1:28" ht="30.75" customHeight="1">
      <c r="A68" s="666" t="s">
        <v>234</v>
      </c>
      <c r="B68" s="667"/>
      <c r="C68" s="667"/>
      <c r="D68" s="667"/>
      <c r="E68" s="667"/>
      <c r="F68" s="667"/>
      <c r="G68" s="667"/>
      <c r="H68" s="667"/>
      <c r="I68" s="667"/>
      <c r="J68" s="672" t="e">
        <f>SUM(J63:J67)</f>
        <v>#REF!</v>
      </c>
      <c r="K68" s="672"/>
      <c r="L68" s="672"/>
      <c r="M68" s="669"/>
      <c r="N68" s="669"/>
      <c r="O68" s="670"/>
      <c r="P68" s="670"/>
      <c r="Q68" s="670"/>
      <c r="R68" s="671"/>
      <c r="S68" s="1064"/>
      <c r="T68" s="105"/>
      <c r="U68" s="105"/>
      <c r="V68" s="888"/>
      <c r="W68" s="884"/>
      <c r="X68" s="884"/>
      <c r="Y68" s="884"/>
      <c r="Z68" s="884"/>
      <c r="AA68" s="884"/>
      <c r="AB68" s="888"/>
    </row>
    <row r="69" spans="1:28" ht="30.75" customHeight="1">
      <c r="A69" s="604">
        <v>5</v>
      </c>
      <c r="B69" s="601" t="s">
        <v>572</v>
      </c>
      <c r="C69" s="588"/>
      <c r="D69" s="382"/>
      <c r="E69" s="624" t="s">
        <v>170</v>
      </c>
      <c r="F69" s="624" t="s">
        <v>435</v>
      </c>
      <c r="G69" s="589" t="s">
        <v>882</v>
      </c>
      <c r="H69" s="646"/>
      <c r="I69" s="226" t="s">
        <v>87</v>
      </c>
      <c r="J69" s="438"/>
      <c r="K69" s="101">
        <f>SUM(L69:N69)</f>
        <v>0</v>
      </c>
      <c r="L69" s="638"/>
      <c r="M69" s="415"/>
      <c r="N69" s="241"/>
      <c r="O69" s="241"/>
      <c r="P69" s="241"/>
      <c r="Q69" s="241"/>
      <c r="R69" s="656"/>
      <c r="S69" s="1066"/>
      <c r="T69" s="105"/>
      <c r="U69" s="105"/>
      <c r="V69" s="888"/>
      <c r="W69" s="884"/>
      <c r="X69" s="884"/>
      <c r="Y69" s="884"/>
      <c r="Z69" s="884"/>
      <c r="AA69" s="884"/>
      <c r="AB69" s="888"/>
    </row>
    <row r="70" spans="1:28" ht="30.75" customHeight="1">
      <c r="A70" s="605"/>
      <c r="B70" s="602"/>
      <c r="C70" s="589"/>
      <c r="D70" s="383"/>
      <c r="E70" s="383" t="s">
        <v>219</v>
      </c>
      <c r="F70" s="383" t="s">
        <v>434</v>
      </c>
      <c r="G70" s="589" t="s">
        <v>882</v>
      </c>
      <c r="H70" s="647"/>
      <c r="I70" s="648" t="s">
        <v>87</v>
      </c>
      <c r="J70" s="439"/>
      <c r="K70" s="89">
        <f>SUM(L70:N70)</f>
        <v>0</v>
      </c>
      <c r="L70" s="439"/>
      <c r="M70" s="627"/>
      <c r="N70" s="94"/>
      <c r="O70" s="94"/>
      <c r="P70" s="94"/>
      <c r="Q70" s="94"/>
      <c r="R70" s="653"/>
      <c r="S70" s="1063"/>
      <c r="T70" s="105"/>
      <c r="U70" s="105"/>
      <c r="V70" s="888"/>
      <c r="W70" s="884"/>
      <c r="X70" s="884"/>
      <c r="Y70" s="884"/>
      <c r="Z70" s="884"/>
      <c r="AA70" s="884"/>
      <c r="AB70" s="888"/>
    </row>
    <row r="71" spans="1:28" ht="30.75" customHeight="1">
      <c r="A71" s="606"/>
      <c r="B71" s="603"/>
      <c r="C71" s="592"/>
      <c r="D71" s="209"/>
      <c r="E71" s="623" t="s">
        <v>223</v>
      </c>
      <c r="F71" s="623" t="s">
        <v>433</v>
      </c>
      <c r="G71" s="589" t="s">
        <v>882</v>
      </c>
      <c r="H71" s="649"/>
      <c r="I71" s="652" t="s">
        <v>87</v>
      </c>
      <c r="J71" s="440"/>
      <c r="K71" s="89">
        <f>SUM(L71:N71)</f>
        <v>0</v>
      </c>
      <c r="L71" s="639"/>
      <c r="M71" s="631"/>
      <c r="N71" s="86"/>
      <c r="O71" s="381"/>
      <c r="P71" s="381"/>
      <c r="Q71" s="381"/>
      <c r="R71" s="659"/>
      <c r="S71" s="1072"/>
      <c r="T71" s="105"/>
      <c r="U71" s="105"/>
      <c r="V71" s="888"/>
      <c r="W71" s="884"/>
      <c r="X71" s="884"/>
      <c r="Y71" s="884"/>
      <c r="Z71" s="884"/>
      <c r="AA71" s="884"/>
      <c r="AB71" s="888"/>
    </row>
    <row r="72" spans="1:28" ht="30.75" customHeight="1">
      <c r="A72" s="625" t="s">
        <v>573</v>
      </c>
      <c r="B72" s="626"/>
      <c r="C72" s="626"/>
      <c r="D72" s="626"/>
      <c r="E72" s="626"/>
      <c r="F72" s="626"/>
      <c r="G72" s="626"/>
      <c r="H72" s="626"/>
      <c r="I72" s="626"/>
      <c r="J72" s="16">
        <f>SUM(J71:J71)</f>
        <v>0</v>
      </c>
      <c r="K72" s="16"/>
      <c r="L72" s="16"/>
      <c r="M72" s="14"/>
      <c r="N72" s="14"/>
      <c r="O72" s="15"/>
      <c r="P72" s="15"/>
      <c r="Q72" s="15"/>
      <c r="R72" s="654"/>
      <c r="S72" s="1069"/>
      <c r="T72" s="105"/>
      <c r="U72" s="105"/>
      <c r="V72" s="888"/>
      <c r="W72" s="884"/>
      <c r="X72" s="884"/>
      <c r="Y72" s="884"/>
      <c r="Z72" s="884"/>
      <c r="AA72" s="884"/>
      <c r="AB72" s="888"/>
    </row>
    <row r="73" spans="1:28" ht="30.75" customHeight="1">
      <c r="A73" s="600"/>
      <c r="B73" s="587"/>
      <c r="C73" s="587"/>
      <c r="D73" s="587"/>
      <c r="E73" s="587"/>
      <c r="F73" s="587"/>
      <c r="G73" s="587"/>
      <c r="H73" s="587"/>
      <c r="I73" s="587"/>
      <c r="J73" s="17"/>
      <c r="K73" s="17"/>
      <c r="L73" s="17"/>
      <c r="M73" s="14"/>
      <c r="N73" s="14"/>
      <c r="O73" s="15"/>
      <c r="P73" s="15"/>
      <c r="Q73" s="15"/>
      <c r="R73" s="654"/>
      <c r="S73" s="1069"/>
      <c r="T73" s="105"/>
      <c r="U73" s="105"/>
      <c r="V73" s="888"/>
      <c r="W73" s="884"/>
      <c r="X73" s="884"/>
      <c r="Y73" s="884"/>
      <c r="Z73" s="884"/>
      <c r="AA73" s="884"/>
      <c r="AB73" s="888"/>
    </row>
    <row r="74" spans="1:28" ht="30.75" customHeight="1" thickBot="1">
      <c r="A74" s="3099" t="s">
        <v>93</v>
      </c>
      <c r="B74" s="3100"/>
      <c r="C74" s="3100"/>
      <c r="D74" s="3100"/>
      <c r="E74" s="3100"/>
      <c r="F74" s="3100"/>
      <c r="G74" s="3100"/>
      <c r="H74" s="3100"/>
      <c r="I74" s="3101"/>
      <c r="J74" s="107" t="e">
        <f>J31+J53+J62+J68+J72</f>
        <v>#REF!</v>
      </c>
      <c r="K74" s="640"/>
      <c r="L74" s="640"/>
      <c r="M74" s="14"/>
      <c r="N74" s="18"/>
      <c r="O74" s="19"/>
      <c r="P74" s="19"/>
      <c r="Q74" s="19"/>
      <c r="R74" s="660"/>
      <c r="S74" s="1073"/>
      <c r="T74" s="105"/>
      <c r="U74" s="105"/>
      <c r="V74" s="888"/>
      <c r="W74" s="884"/>
      <c r="X74" s="884"/>
      <c r="Y74" s="884"/>
      <c r="Z74" s="884"/>
      <c r="AA74" s="884"/>
      <c r="AB74" s="888"/>
    </row>
    <row r="75" spans="1:28" ht="15.75" customHeight="1">
      <c r="A75" s="211"/>
      <c r="B75" s="211"/>
      <c r="C75" s="211"/>
      <c r="D75" s="211"/>
      <c r="E75" s="211"/>
      <c r="F75" s="211"/>
      <c r="G75" s="211"/>
      <c r="H75" s="211"/>
      <c r="I75" s="211"/>
      <c r="J75" s="1001">
        <f>'Pnj APBDES'!T18</f>
        <v>1536094000</v>
      </c>
      <c r="K75" s="211"/>
      <c r="L75" s="211"/>
      <c r="M75" s="212"/>
      <c r="N75" s="105"/>
      <c r="O75" s="105"/>
      <c r="P75" s="105"/>
      <c r="Q75" s="105"/>
      <c r="R75" s="105"/>
      <c r="S75" s="105"/>
      <c r="T75" s="105"/>
      <c r="U75" s="105"/>
      <c r="V75" s="888"/>
      <c r="W75" s="896"/>
      <c r="X75" s="896"/>
      <c r="Y75" s="896"/>
      <c r="Z75" s="896"/>
      <c r="AA75" s="896"/>
      <c r="AB75" s="888"/>
    </row>
    <row r="76" spans="1:28" ht="15.75" customHeight="1">
      <c r="J76" s="24" t="e">
        <f>J75-J74</f>
        <v>#REF!</v>
      </c>
      <c r="P76" s="416" t="str">
        <f>"Tanjung Mulya, "&amp;G1&amp;" 2018"</f>
        <v>Tanjung Mulya, 21 September 2018</v>
      </c>
      <c r="V76" s="897"/>
      <c r="W76" s="884"/>
      <c r="X76" s="884"/>
      <c r="Y76" s="888"/>
      <c r="Z76" s="888"/>
      <c r="AA76" s="888"/>
      <c r="AB76" s="888"/>
    </row>
    <row r="77" spans="1:28" ht="15.75" customHeight="1">
      <c r="D77" s="10" t="s">
        <v>584</v>
      </c>
      <c r="E77" s="10"/>
      <c r="F77" s="10"/>
      <c r="P77" s="10" t="s">
        <v>847</v>
      </c>
      <c r="V77" s="888"/>
      <c r="W77" s="891"/>
      <c r="X77" s="884"/>
      <c r="Y77" s="888"/>
      <c r="Z77" s="888"/>
      <c r="AA77" s="888"/>
      <c r="AB77" s="888"/>
    </row>
    <row r="78" spans="1:28" ht="15.75" customHeight="1">
      <c r="E78" s="10"/>
      <c r="F78" s="10"/>
      <c r="P78" s="10"/>
      <c r="V78" s="888"/>
      <c r="W78" s="884"/>
      <c r="X78" s="884"/>
      <c r="Y78" s="888"/>
      <c r="Z78" s="888"/>
      <c r="AA78" s="888"/>
      <c r="AB78" s="888"/>
    </row>
    <row r="79" spans="1:28" ht="15.75" customHeight="1">
      <c r="I79" s="20"/>
      <c r="J79" s="20"/>
      <c r="K79" s="20"/>
      <c r="L79" s="20"/>
      <c r="N79" s="20"/>
      <c r="O79" s="20"/>
      <c r="P79" s="20"/>
      <c r="Q79" s="20"/>
      <c r="R79" s="20"/>
      <c r="S79" s="20"/>
      <c r="T79" s="20"/>
      <c r="U79" s="20"/>
      <c r="V79" s="888"/>
      <c r="W79" s="898"/>
      <c r="X79" s="898"/>
      <c r="Y79" s="899"/>
      <c r="Z79" s="899"/>
      <c r="AA79" s="899"/>
      <c r="AB79" s="888"/>
    </row>
    <row r="80" spans="1:28" ht="15.75" customHeight="1">
      <c r="I80" s="9" t="s">
        <v>21</v>
      </c>
      <c r="V80" s="888"/>
      <c r="W80" s="884"/>
      <c r="X80" s="884"/>
      <c r="Y80" s="888"/>
      <c r="Z80" s="888"/>
      <c r="AA80" s="888"/>
      <c r="AB80" s="888"/>
    </row>
    <row r="81" spans="1:28" ht="15.75" customHeight="1">
      <c r="D81" s="616" t="s">
        <v>877</v>
      </c>
      <c r="E81" s="616"/>
      <c r="F81" s="616"/>
      <c r="I81" s="21"/>
      <c r="J81" s="21"/>
      <c r="K81" s="21"/>
      <c r="L81" s="21"/>
      <c r="M81" s="20"/>
      <c r="N81" s="20"/>
      <c r="O81" s="20"/>
      <c r="P81" s="616" t="s">
        <v>875</v>
      </c>
      <c r="Q81" s="20"/>
      <c r="R81" s="20"/>
      <c r="S81" s="593"/>
      <c r="T81" s="593"/>
      <c r="U81" s="593"/>
      <c r="V81" s="888"/>
      <c r="W81" s="898"/>
      <c r="X81" s="898"/>
      <c r="Y81" s="899"/>
      <c r="Z81" s="899"/>
      <c r="AA81" s="899"/>
      <c r="AB81" s="888"/>
    </row>
    <row r="82" spans="1:28" ht="15.75" customHeight="1">
      <c r="A82" s="22"/>
      <c r="B82" s="22"/>
      <c r="C82" s="13"/>
      <c r="I82" s="20"/>
      <c r="J82" s="20"/>
      <c r="K82" s="20"/>
      <c r="L82" s="20"/>
      <c r="M82" s="593"/>
      <c r="N82" s="593"/>
      <c r="O82" s="593"/>
      <c r="P82" s="593"/>
      <c r="Q82" s="593"/>
      <c r="R82" s="593"/>
      <c r="S82" s="593"/>
      <c r="T82" s="593"/>
      <c r="U82" s="593"/>
      <c r="V82" s="888"/>
      <c r="W82" s="884"/>
      <c r="X82" s="900"/>
      <c r="Y82" s="888"/>
      <c r="Z82" s="888"/>
      <c r="AA82" s="888"/>
      <c r="AB82" s="888"/>
    </row>
    <row r="83" spans="1:28" ht="15.75" customHeight="1">
      <c r="M83" s="24"/>
      <c r="V83" s="888"/>
      <c r="W83" s="901"/>
      <c r="X83" s="902"/>
      <c r="Y83" s="888"/>
      <c r="Z83" s="888"/>
      <c r="AA83" s="888"/>
      <c r="AB83" s="888"/>
    </row>
    <row r="84" spans="1:28">
      <c r="D84" s="23"/>
      <c r="E84" s="23"/>
      <c r="F84" s="23"/>
      <c r="M84" s="24"/>
      <c r="V84" s="888"/>
      <c r="W84" s="884"/>
      <c r="X84" s="884"/>
      <c r="Y84" s="888"/>
      <c r="Z84" s="888"/>
      <c r="AA84" s="888"/>
      <c r="AB84" s="888"/>
    </row>
    <row r="85" spans="1:28">
      <c r="D85" s="23"/>
      <c r="E85" s="23"/>
      <c r="F85" s="23"/>
      <c r="V85" s="888"/>
      <c r="W85" s="884"/>
      <c r="X85" s="884"/>
      <c r="Y85" s="888"/>
      <c r="Z85" s="888"/>
      <c r="AA85" s="888"/>
      <c r="AB85" s="888"/>
    </row>
    <row r="86" spans="1:28">
      <c r="D86" s="23"/>
      <c r="E86" s="23"/>
      <c r="F86" s="23"/>
      <c r="V86" s="888"/>
      <c r="W86" s="884"/>
      <c r="X86" s="884"/>
      <c r="Y86" s="888"/>
      <c r="Z86" s="888"/>
      <c r="AA86" s="888"/>
      <c r="AB86" s="888"/>
    </row>
    <row r="87" spans="1:28">
      <c r="D87" s="23"/>
      <c r="E87" s="23"/>
      <c r="F87" s="23"/>
      <c r="S87" s="9" t="s">
        <v>21</v>
      </c>
      <c r="V87" s="888"/>
      <c r="W87" s="884"/>
      <c r="X87" s="884"/>
      <c r="Y87" s="888"/>
      <c r="Z87" s="888"/>
      <c r="AA87" s="888"/>
      <c r="AB87" s="888"/>
    </row>
    <row r="88" spans="1:28">
      <c r="D88" s="23"/>
      <c r="E88" s="23"/>
      <c r="F88" s="23"/>
      <c r="V88" s="888"/>
      <c r="W88" s="884"/>
      <c r="X88" s="884"/>
      <c r="Y88" s="888"/>
      <c r="Z88" s="888"/>
      <c r="AA88" s="888"/>
      <c r="AB88" s="888"/>
    </row>
    <row r="89" spans="1:28">
      <c r="V89" s="888"/>
      <c r="W89" s="884"/>
      <c r="X89" s="884"/>
      <c r="Y89" s="888"/>
      <c r="Z89" s="888"/>
      <c r="AA89" s="888"/>
      <c r="AB89" s="888"/>
    </row>
  </sheetData>
  <customSheetViews>
    <customSheetView guid="{0F09EDAE-127A-4543-88A5-04139BD32AD8}" showPageBreaks="1" printArea="1" state="hidden">
      <rowBreaks count="1" manualBreakCount="1">
        <brk id="40" max="19" man="1"/>
      </rowBreaks>
      <pageMargins left="0.17" right="0.39370078740157483" top="0.9055118110236221" bottom="0.43307086614173229" header="0.31496062992125984" footer="0.31496062992125984"/>
      <pageSetup paperSize="5" scale="45" orientation="landscape" r:id="rId1"/>
    </customSheetView>
    <customSheetView guid="{C05430D3-5A25-4A4C-823C-7D6EA772E5F0}" showPageBreaks="1" printArea="1" state="hidden">
      <rowBreaks count="1" manualBreakCount="1">
        <brk id="40" max="19" man="1"/>
      </rowBreaks>
      <pageMargins left="0.17" right="0.39370078740157483" top="0.9055118110236221" bottom="0.43307086614173229" header="0.31496062992125984" footer="0.31496062992125984"/>
      <pageSetup paperSize="5" scale="45" orientation="landscape" r:id="rId2"/>
    </customSheetView>
  </customSheetViews>
  <mergeCells count="16">
    <mergeCell ref="D14:D15"/>
    <mergeCell ref="A74:I74"/>
    <mergeCell ref="S10:S12"/>
    <mergeCell ref="B10:F11"/>
    <mergeCell ref="K10:N11"/>
    <mergeCell ref="R10:R12"/>
    <mergeCell ref="H10:H12"/>
    <mergeCell ref="A31:E31"/>
    <mergeCell ref="A53:E53"/>
    <mergeCell ref="A3:S3"/>
    <mergeCell ref="A4:S4"/>
    <mergeCell ref="A10:A12"/>
    <mergeCell ref="G10:G12"/>
    <mergeCell ref="I10:I12"/>
    <mergeCell ref="J10:J12"/>
    <mergeCell ref="O10:Q11"/>
  </mergeCells>
  <pageMargins left="0.17" right="0.39370078740157483" top="0.9055118110236221" bottom="0.43307086614173229" header="0.31496062992125984" footer="0.31496062992125984"/>
  <pageSetup paperSize="5" scale="45" orientation="landscape" r:id="rId3"/>
  <rowBreaks count="1" manualBreakCount="1">
    <brk id="40" max="19" man="1"/>
  </rowBreaks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AJ1268"/>
  <sheetViews>
    <sheetView workbookViewId="0">
      <selection sqref="A1:W1"/>
    </sheetView>
  </sheetViews>
  <sheetFormatPr defaultColWidth="8.85546875" defaultRowHeight="15.75"/>
  <cols>
    <col min="1" max="2" width="4.5703125" style="419" customWidth="1"/>
    <col min="3" max="3" width="5" style="419" customWidth="1"/>
    <col min="4" max="7" width="4.7109375" style="419" customWidth="1"/>
    <col min="8" max="8" width="77.28515625" style="419" customWidth="1"/>
    <col min="9" max="9" width="22" style="419" customWidth="1"/>
    <col min="10" max="10" width="18.140625" style="419" customWidth="1"/>
    <col min="11" max="11" width="17.42578125" style="419" customWidth="1"/>
    <col min="12" max="12" width="17.5703125" style="419" customWidth="1"/>
    <col min="13" max="13" width="17.85546875" style="419" customWidth="1"/>
    <col min="14" max="14" width="17.5703125" style="419" customWidth="1"/>
    <col min="15" max="15" width="17.28515625" style="419" customWidth="1"/>
    <col min="16" max="16" width="17.5703125" style="419" customWidth="1"/>
    <col min="17" max="18" width="17.42578125" style="419" customWidth="1"/>
    <col min="19" max="19" width="17.28515625" style="419" customWidth="1"/>
    <col min="20" max="21" width="17.42578125" style="419" customWidth="1"/>
    <col min="22" max="22" width="17.7109375" style="419" customWidth="1"/>
    <col min="23" max="23" width="19.7109375" style="1130" customWidth="1"/>
    <col min="24" max="24" width="23" style="1130" customWidth="1"/>
    <col min="25" max="25" width="18" style="419" customWidth="1"/>
    <col min="26" max="26" width="24.7109375" style="419" customWidth="1"/>
    <col min="27" max="27" width="21.7109375" style="419" customWidth="1"/>
    <col min="28" max="28" width="20" style="419" customWidth="1"/>
    <col min="29" max="30" width="20.5703125" style="419" customWidth="1"/>
    <col min="31" max="31" width="15.5703125" style="419" customWidth="1"/>
    <col min="32" max="32" width="17.7109375" style="419" customWidth="1"/>
    <col min="33" max="33" width="15.7109375" style="419" bestFit="1" customWidth="1"/>
    <col min="34" max="16384" width="8.85546875" style="419"/>
  </cols>
  <sheetData>
    <row r="1" spans="1:27">
      <c r="A1" s="3120" t="s">
        <v>1096</v>
      </c>
      <c r="B1" s="3120"/>
      <c r="C1" s="3120"/>
      <c r="D1" s="3120"/>
      <c r="E1" s="3120"/>
      <c r="F1" s="3120"/>
      <c r="G1" s="3120"/>
      <c r="H1" s="3120"/>
      <c r="I1" s="3120"/>
      <c r="J1" s="3120"/>
      <c r="K1" s="3120"/>
      <c r="L1" s="3120"/>
      <c r="M1" s="3120"/>
      <c r="N1" s="3120"/>
      <c r="O1" s="3120"/>
      <c r="P1" s="3120"/>
      <c r="Q1" s="3120"/>
      <c r="R1" s="3120"/>
      <c r="S1" s="3120"/>
      <c r="T1" s="3120"/>
      <c r="U1" s="3120"/>
      <c r="V1" s="3120"/>
      <c r="W1" s="3120"/>
      <c r="X1" s="1137"/>
    </row>
    <row r="2" spans="1:27">
      <c r="A2" s="3120" t="s">
        <v>957</v>
      </c>
      <c r="B2" s="3120"/>
      <c r="C2" s="3120"/>
      <c r="D2" s="3120"/>
      <c r="E2" s="3120"/>
      <c r="F2" s="3120"/>
      <c r="G2" s="3120"/>
      <c r="H2" s="3120"/>
      <c r="I2" s="3120"/>
      <c r="J2" s="3120"/>
      <c r="K2" s="3120"/>
      <c r="L2" s="3120"/>
      <c r="M2" s="3120"/>
      <c r="N2" s="3120"/>
      <c r="O2" s="3120"/>
      <c r="P2" s="3120"/>
      <c r="Q2" s="3120"/>
      <c r="R2" s="3120"/>
      <c r="S2" s="3120"/>
      <c r="T2" s="3120"/>
      <c r="U2" s="3120"/>
      <c r="V2" s="3120"/>
      <c r="W2" s="3120"/>
      <c r="X2" s="1137"/>
    </row>
    <row r="3" spans="1:27">
      <c r="A3" s="3120" t="s">
        <v>587</v>
      </c>
      <c r="B3" s="3120"/>
      <c r="C3" s="3120"/>
      <c r="D3" s="3120"/>
      <c r="E3" s="3120"/>
      <c r="F3" s="3120"/>
      <c r="G3" s="3120"/>
      <c r="H3" s="3120"/>
      <c r="I3" s="3120"/>
      <c r="J3" s="3120"/>
      <c r="K3" s="3120"/>
      <c r="L3" s="3120"/>
      <c r="M3" s="3120"/>
      <c r="N3" s="3120"/>
      <c r="O3" s="3120"/>
      <c r="P3" s="3120"/>
      <c r="Q3" s="3120"/>
      <c r="R3" s="3120"/>
      <c r="S3" s="3120"/>
      <c r="T3" s="3120"/>
      <c r="U3" s="3120"/>
      <c r="V3" s="3120"/>
      <c r="W3" s="3120"/>
      <c r="X3" s="1137"/>
    </row>
    <row r="4" spans="1:27">
      <c r="A4" s="1089"/>
      <c r="B4" s="1089"/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M4" s="1089"/>
      <c r="N4" s="1089"/>
      <c r="O4" s="1089"/>
      <c r="P4" s="1089"/>
      <c r="Q4" s="1089"/>
    </row>
    <row r="5" spans="1:27">
      <c r="A5" s="3115" t="s">
        <v>1092</v>
      </c>
      <c r="B5" s="3115"/>
      <c r="C5" s="3115"/>
      <c r="D5" s="1089"/>
      <c r="E5" s="1089" t="s">
        <v>46</v>
      </c>
      <c r="F5" s="3115" t="s">
        <v>958</v>
      </c>
      <c r="G5" s="3115"/>
      <c r="H5" s="3115"/>
      <c r="I5" s="1089"/>
      <c r="J5" s="1089"/>
      <c r="K5" s="1089"/>
      <c r="L5" s="1089"/>
      <c r="M5" s="1089"/>
      <c r="N5" s="1089"/>
      <c r="O5" s="1089"/>
      <c r="P5" s="1089"/>
      <c r="Q5" s="1089"/>
    </row>
    <row r="6" spans="1:27">
      <c r="A6" s="3115" t="s">
        <v>1093</v>
      </c>
      <c r="B6" s="3115"/>
      <c r="C6" s="3115"/>
      <c r="D6" s="3115"/>
      <c r="E6" s="1089" t="s">
        <v>46</v>
      </c>
      <c r="F6" s="3115" t="s">
        <v>203</v>
      </c>
      <c r="G6" s="3115"/>
      <c r="H6" s="3115"/>
      <c r="I6" s="1089"/>
      <c r="J6" s="1089"/>
      <c r="K6" s="1089"/>
      <c r="L6" s="1089"/>
      <c r="M6" s="1089"/>
      <c r="N6" s="1089"/>
      <c r="O6" s="1089"/>
      <c r="P6" s="1089"/>
      <c r="Q6" s="1089"/>
    </row>
    <row r="7" spans="1:27">
      <c r="A7" s="3115" t="s">
        <v>1094</v>
      </c>
      <c r="B7" s="3115"/>
      <c r="C7" s="3115"/>
      <c r="D7" s="3115"/>
      <c r="E7" s="1089" t="s">
        <v>46</v>
      </c>
      <c r="F7" s="3115" t="s">
        <v>54</v>
      </c>
      <c r="G7" s="3115"/>
      <c r="H7" s="3115"/>
      <c r="I7" s="1089"/>
      <c r="J7" s="1089"/>
      <c r="K7" s="1089"/>
      <c r="L7" s="1089"/>
      <c r="M7" s="1089"/>
      <c r="N7" s="1089"/>
      <c r="O7" s="1089"/>
      <c r="P7" s="1089"/>
      <c r="Q7" s="1089"/>
    </row>
    <row r="8" spans="1:27">
      <c r="A8" s="3115" t="s">
        <v>1095</v>
      </c>
      <c r="B8" s="3115"/>
      <c r="C8" s="3115"/>
      <c r="D8" s="3115"/>
      <c r="E8" s="1089" t="s">
        <v>46</v>
      </c>
      <c r="F8" s="3115" t="s">
        <v>56</v>
      </c>
      <c r="G8" s="3115"/>
      <c r="H8" s="3115"/>
      <c r="I8" s="1089"/>
      <c r="J8" s="1089"/>
      <c r="K8" s="1089"/>
      <c r="L8" s="1089"/>
      <c r="M8" s="1089"/>
      <c r="N8" s="1089"/>
      <c r="O8" s="1089"/>
      <c r="P8" s="1089"/>
      <c r="Q8" s="1089"/>
    </row>
    <row r="10" spans="1:27" ht="18" customHeight="1">
      <c r="A10" s="2804" t="s">
        <v>0</v>
      </c>
      <c r="B10" s="2804"/>
      <c r="C10" s="2804"/>
      <c r="D10" s="2804"/>
      <c r="E10" s="2804"/>
      <c r="F10" s="2804"/>
      <c r="G10" s="2804"/>
      <c r="H10" s="2804" t="s">
        <v>1</v>
      </c>
      <c r="I10" s="2808" t="s">
        <v>702</v>
      </c>
      <c r="J10" s="1091"/>
      <c r="K10" s="2775" t="s">
        <v>851</v>
      </c>
      <c r="L10" s="2775"/>
      <c r="M10" s="2775"/>
      <c r="N10" s="2775"/>
      <c r="O10" s="2775"/>
      <c r="P10" s="2775"/>
      <c r="Q10" s="2775"/>
      <c r="R10" s="2775"/>
      <c r="S10" s="2775"/>
      <c r="T10" s="2775"/>
      <c r="U10" s="2775"/>
      <c r="V10" s="2775"/>
      <c r="W10" s="3122" t="s">
        <v>320</v>
      </c>
      <c r="X10" s="1138"/>
    </row>
    <row r="11" spans="1:27" ht="36">
      <c r="A11" s="2804"/>
      <c r="B11" s="2804"/>
      <c r="C11" s="2804"/>
      <c r="D11" s="2804"/>
      <c r="E11" s="2804"/>
      <c r="F11" s="2804"/>
      <c r="G11" s="2804"/>
      <c r="H11" s="2804"/>
      <c r="I11" s="2804"/>
      <c r="J11" s="1090"/>
      <c r="K11" s="680" t="s">
        <v>852</v>
      </c>
      <c r="L11" s="680" t="s">
        <v>853</v>
      </c>
      <c r="M11" s="680" t="s">
        <v>854</v>
      </c>
      <c r="N11" s="680" t="s">
        <v>855</v>
      </c>
      <c r="O11" s="680" t="s">
        <v>856</v>
      </c>
      <c r="P11" s="680" t="s">
        <v>857</v>
      </c>
      <c r="Q11" s="680" t="s">
        <v>858</v>
      </c>
      <c r="R11" s="680" t="s">
        <v>859</v>
      </c>
      <c r="S11" s="680" t="s">
        <v>860</v>
      </c>
      <c r="T11" s="680" t="s">
        <v>861</v>
      </c>
      <c r="U11" s="680" t="s">
        <v>862</v>
      </c>
      <c r="V11" s="680" t="s">
        <v>863</v>
      </c>
      <c r="W11" s="3123"/>
      <c r="X11" s="1138"/>
    </row>
    <row r="12" spans="1:27">
      <c r="A12" s="2804">
        <v>1</v>
      </c>
      <c r="B12" s="2804"/>
      <c r="C12" s="2804"/>
      <c r="D12" s="2804">
        <v>2</v>
      </c>
      <c r="E12" s="2804"/>
      <c r="F12" s="2804"/>
      <c r="G12" s="2804"/>
      <c r="H12" s="1090">
        <v>3</v>
      </c>
      <c r="I12" s="1090">
        <v>6</v>
      </c>
      <c r="J12" s="1090"/>
      <c r="K12" s="1090">
        <v>8</v>
      </c>
      <c r="L12" s="1090">
        <v>9</v>
      </c>
      <c r="M12" s="1090">
        <v>10</v>
      </c>
      <c r="N12" s="1090">
        <v>11</v>
      </c>
      <c r="O12" s="1090">
        <v>12</v>
      </c>
      <c r="P12" s="1090">
        <v>13</v>
      </c>
      <c r="Q12" s="1090">
        <v>14</v>
      </c>
      <c r="R12" s="1090">
        <v>15</v>
      </c>
      <c r="S12" s="1090">
        <v>16</v>
      </c>
      <c r="T12" s="1090">
        <v>17</v>
      </c>
      <c r="U12" s="1090">
        <v>18</v>
      </c>
      <c r="V12" s="1090">
        <v>19</v>
      </c>
      <c r="W12" s="1131">
        <v>20</v>
      </c>
      <c r="X12" s="1139"/>
    </row>
    <row r="13" spans="1:27">
      <c r="A13" s="1090" t="s">
        <v>72</v>
      </c>
      <c r="B13" s="1090" t="s">
        <v>73</v>
      </c>
      <c r="C13" s="1090" t="s">
        <v>264</v>
      </c>
      <c r="D13" s="1090" t="s">
        <v>72</v>
      </c>
      <c r="E13" s="1090" t="s">
        <v>73</v>
      </c>
      <c r="F13" s="1090" t="s">
        <v>264</v>
      </c>
      <c r="G13" s="1090" t="s">
        <v>75</v>
      </c>
      <c r="H13" s="1090"/>
      <c r="I13" s="557"/>
      <c r="J13" s="557"/>
      <c r="K13" s="1101"/>
      <c r="L13" s="1102"/>
      <c r="M13" s="1102"/>
      <c r="N13" s="1102"/>
      <c r="O13" s="1102"/>
      <c r="P13" s="1102"/>
      <c r="Q13" s="1102"/>
      <c r="R13" s="1103"/>
      <c r="S13" s="1103"/>
      <c r="T13" s="1103"/>
      <c r="U13" s="1103"/>
      <c r="V13" s="1103"/>
      <c r="W13" s="1143">
        <f>SUM(K13:V13)</f>
        <v>0</v>
      </c>
      <c r="X13" s="1132"/>
      <c r="Y13" s="786" t="s">
        <v>590</v>
      </c>
      <c r="Z13" s="786"/>
      <c r="AA13" s="786"/>
    </row>
    <row r="14" spans="1:27" s="420" customFormat="1">
      <c r="A14" s="558"/>
      <c r="B14" s="558"/>
      <c r="C14" s="558"/>
      <c r="D14" s="559">
        <v>4</v>
      </c>
      <c r="E14" s="559" t="s">
        <v>589</v>
      </c>
      <c r="F14" s="559" t="s">
        <v>589</v>
      </c>
      <c r="G14" s="559"/>
      <c r="H14" s="559" t="s">
        <v>590</v>
      </c>
      <c r="I14" s="560">
        <f>I15+I32+I45</f>
        <v>1265514000</v>
      </c>
      <c r="J14" s="1114"/>
      <c r="K14" s="441"/>
      <c r="L14" s="441"/>
      <c r="M14" s="441"/>
      <c r="N14" s="441"/>
      <c r="O14" s="441"/>
      <c r="P14" s="441"/>
      <c r="Q14" s="441"/>
      <c r="R14" s="1104"/>
      <c r="S14" s="1104"/>
      <c r="T14" s="1104"/>
      <c r="U14" s="1104"/>
      <c r="V14" s="1104"/>
      <c r="W14" s="1144">
        <f>J14+K14+L14+M14+N14+O14+P14+Q14+R14+S14+T14+U14</f>
        <v>0</v>
      </c>
      <c r="X14" s="1140">
        <f>I14-W14</f>
        <v>1265514000</v>
      </c>
      <c r="Y14" s="786"/>
      <c r="Z14" s="786" t="s">
        <v>22</v>
      </c>
      <c r="AA14" s="927">
        <v>674551000</v>
      </c>
    </row>
    <row r="15" spans="1:27" s="420" customFormat="1">
      <c r="A15" s="561"/>
      <c r="B15" s="561"/>
      <c r="C15" s="561"/>
      <c r="D15" s="441">
        <f>D14</f>
        <v>4</v>
      </c>
      <c r="E15" s="441">
        <v>1</v>
      </c>
      <c r="F15" s="441" t="s">
        <v>589</v>
      </c>
      <c r="G15" s="441"/>
      <c r="H15" s="441" t="s">
        <v>3</v>
      </c>
      <c r="I15" s="562">
        <f>I16+I19+I26+I29</f>
        <v>12420000</v>
      </c>
      <c r="J15" s="1115"/>
      <c r="K15" s="441"/>
      <c r="L15" s="441"/>
      <c r="M15" s="441"/>
      <c r="N15" s="441"/>
      <c r="O15" s="441"/>
      <c r="P15" s="441"/>
      <c r="Q15" s="441"/>
      <c r="R15" s="1104"/>
      <c r="S15" s="1104"/>
      <c r="T15" s="1104"/>
      <c r="U15" s="1104"/>
      <c r="V15" s="1104"/>
      <c r="W15" s="1144">
        <f t="shared" ref="W15:W78" si="0">J15+K15+L15+M15+N15+O15+P15+Q15+R15+S15+T15+U15</f>
        <v>0</v>
      </c>
      <c r="X15" s="1140">
        <f t="shared" ref="X15:X78" si="1">I15-W15</f>
        <v>12420000</v>
      </c>
      <c r="Y15" s="786"/>
      <c r="Z15" s="786" t="s">
        <v>23</v>
      </c>
      <c r="AA15" s="927">
        <v>502906000</v>
      </c>
    </row>
    <row r="16" spans="1:27" s="420" customFormat="1">
      <c r="A16" s="561"/>
      <c r="B16" s="561"/>
      <c r="C16" s="561"/>
      <c r="D16" s="441">
        <f>D15</f>
        <v>4</v>
      </c>
      <c r="E16" s="441">
        <v>1</v>
      </c>
      <c r="F16" s="441">
        <v>1</v>
      </c>
      <c r="G16" s="441"/>
      <c r="H16" s="441" t="s">
        <v>4</v>
      </c>
      <c r="I16" s="562">
        <f>I17+I18</f>
        <v>0</v>
      </c>
      <c r="J16" s="1115"/>
      <c r="K16" s="441"/>
      <c r="L16" s="441"/>
      <c r="M16" s="441"/>
      <c r="N16" s="441"/>
      <c r="O16" s="441"/>
      <c r="P16" s="441"/>
      <c r="Q16" s="441"/>
      <c r="R16" s="1104"/>
      <c r="S16" s="1104"/>
      <c r="T16" s="1104"/>
      <c r="U16" s="1104"/>
      <c r="V16" s="1104"/>
      <c r="W16" s="1144">
        <f t="shared" si="0"/>
        <v>0</v>
      </c>
      <c r="X16" s="1140">
        <f t="shared" si="1"/>
        <v>0</v>
      </c>
      <c r="Y16" s="540"/>
      <c r="Z16" s="786" t="s">
        <v>330</v>
      </c>
      <c r="AA16" s="927">
        <v>15637000</v>
      </c>
    </row>
    <row r="17" spans="1:32">
      <c r="A17" s="563"/>
      <c r="B17" s="563"/>
      <c r="C17" s="563"/>
      <c r="D17" s="564">
        <f>D16</f>
        <v>4</v>
      </c>
      <c r="E17" s="564">
        <v>1</v>
      </c>
      <c r="F17" s="564">
        <v>1</v>
      </c>
      <c r="G17" s="564">
        <v>1</v>
      </c>
      <c r="H17" s="564" t="s">
        <v>705</v>
      </c>
      <c r="I17" s="565">
        <v>0</v>
      </c>
      <c r="J17" s="1116"/>
      <c r="K17" s="564"/>
      <c r="L17" s="564"/>
      <c r="M17" s="564"/>
      <c r="N17" s="564"/>
      <c r="O17" s="564"/>
      <c r="P17" s="564"/>
      <c r="Q17" s="564"/>
      <c r="R17" s="1105"/>
      <c r="S17" s="1105"/>
      <c r="T17" s="1105"/>
      <c r="U17" s="1105"/>
      <c r="V17" s="1105"/>
      <c r="W17" s="1144">
        <f t="shared" si="0"/>
        <v>0</v>
      </c>
      <c r="X17" s="1140">
        <f t="shared" si="1"/>
        <v>0</v>
      </c>
      <c r="Y17" s="540"/>
      <c r="Z17" s="786" t="s">
        <v>894</v>
      </c>
      <c r="AA17" s="927">
        <v>60000000</v>
      </c>
    </row>
    <row r="18" spans="1:32">
      <c r="A18" s="563"/>
      <c r="B18" s="563"/>
      <c r="C18" s="563"/>
      <c r="D18" s="564">
        <f t="shared" ref="D18:D59" si="2">D17</f>
        <v>4</v>
      </c>
      <c r="E18" s="564">
        <v>1</v>
      </c>
      <c r="F18" s="564">
        <v>1</v>
      </c>
      <c r="G18" s="564">
        <v>9</v>
      </c>
      <c r="H18" s="564" t="s">
        <v>706</v>
      </c>
      <c r="I18" s="566"/>
      <c r="J18" s="566"/>
      <c r="K18" s="564"/>
      <c r="L18" s="564"/>
      <c r="M18" s="564"/>
      <c r="N18" s="564"/>
      <c r="O18" s="564"/>
      <c r="P18" s="564"/>
      <c r="Q18" s="564"/>
      <c r="R18" s="1105"/>
      <c r="S18" s="1105"/>
      <c r="T18" s="1105"/>
      <c r="U18" s="1105"/>
      <c r="V18" s="1105"/>
      <c r="W18" s="1144">
        <f t="shared" si="0"/>
        <v>0</v>
      </c>
      <c r="X18" s="1140">
        <f t="shared" si="1"/>
        <v>0</v>
      </c>
      <c r="Y18" s="786"/>
      <c r="Z18" s="786" t="s">
        <v>240</v>
      </c>
      <c r="AA18" s="927">
        <v>12420000</v>
      </c>
    </row>
    <row r="19" spans="1:32" s="420" customFormat="1">
      <c r="A19" s="561"/>
      <c r="B19" s="561"/>
      <c r="C19" s="561"/>
      <c r="D19" s="564">
        <f t="shared" si="2"/>
        <v>4</v>
      </c>
      <c r="E19" s="441">
        <v>1</v>
      </c>
      <c r="F19" s="441">
        <v>2</v>
      </c>
      <c r="G19" s="441"/>
      <c r="H19" s="441" t="s">
        <v>276</v>
      </c>
      <c r="I19" s="565">
        <f>SUM(I20:I25)</f>
        <v>12420000</v>
      </c>
      <c r="J19" s="1116"/>
      <c r="K19" s="441"/>
      <c r="L19" s="441"/>
      <c r="M19" s="441"/>
      <c r="N19" s="441"/>
      <c r="O19" s="441"/>
      <c r="P19" s="441"/>
      <c r="Q19" s="441"/>
      <c r="R19" s="1104"/>
      <c r="S19" s="1104"/>
      <c r="T19" s="1104"/>
      <c r="U19" s="1104"/>
      <c r="V19" s="1104"/>
      <c r="W19" s="1144">
        <f t="shared" si="0"/>
        <v>0</v>
      </c>
      <c r="X19" s="1140">
        <f t="shared" si="1"/>
        <v>12420000</v>
      </c>
      <c r="Y19" s="540"/>
      <c r="Z19" s="786" t="s">
        <v>415</v>
      </c>
      <c r="AA19" s="927">
        <v>0</v>
      </c>
    </row>
    <row r="20" spans="1:32">
      <c r="A20" s="563"/>
      <c r="B20" s="563"/>
      <c r="C20" s="563"/>
      <c r="D20" s="564">
        <f t="shared" si="2"/>
        <v>4</v>
      </c>
      <c r="E20" s="564">
        <v>1</v>
      </c>
      <c r="F20" s="564">
        <v>2</v>
      </c>
      <c r="G20" s="564">
        <v>1</v>
      </c>
      <c r="H20" s="564" t="s">
        <v>220</v>
      </c>
      <c r="I20" s="565">
        <v>12420000</v>
      </c>
      <c r="J20" s="1116"/>
      <c r="K20" s="564"/>
      <c r="L20" s="564"/>
      <c r="M20" s="564"/>
      <c r="N20" s="564"/>
      <c r="O20" s="564"/>
      <c r="P20" s="564"/>
      <c r="Q20" s="564"/>
      <c r="R20" s="1105"/>
      <c r="S20" s="1105"/>
      <c r="T20" s="1105"/>
      <c r="U20" s="1105"/>
      <c r="V20" s="1105"/>
      <c r="W20" s="1144">
        <f t="shared" si="0"/>
        <v>0</v>
      </c>
      <c r="X20" s="1140">
        <f t="shared" si="1"/>
        <v>12420000</v>
      </c>
      <c r="Z20" s="420" t="s">
        <v>320</v>
      </c>
      <c r="AA20" s="928">
        <f>SUM(AA14:AA19)</f>
        <v>1265514000</v>
      </c>
      <c r="AB20" s="973"/>
      <c r="AC20" s="973"/>
    </row>
    <row r="21" spans="1:32">
      <c r="A21" s="563"/>
      <c r="B21" s="563"/>
      <c r="C21" s="563"/>
      <c r="D21" s="564">
        <f t="shared" si="2"/>
        <v>4</v>
      </c>
      <c r="E21" s="564">
        <v>1</v>
      </c>
      <c r="F21" s="564">
        <v>2</v>
      </c>
      <c r="G21" s="564">
        <v>2</v>
      </c>
      <c r="H21" s="564" t="s">
        <v>277</v>
      </c>
      <c r="I21" s="565"/>
      <c r="J21" s="1116"/>
      <c r="K21" s="564"/>
      <c r="L21" s="564"/>
      <c r="M21" s="564"/>
      <c r="N21" s="564"/>
      <c r="O21" s="564"/>
      <c r="P21" s="564"/>
      <c r="Q21" s="564"/>
      <c r="R21" s="1105"/>
      <c r="S21" s="1105"/>
      <c r="T21" s="1105"/>
      <c r="U21" s="1105"/>
      <c r="V21" s="1105"/>
      <c r="W21" s="1144">
        <f t="shared" si="0"/>
        <v>0</v>
      </c>
      <c r="X21" s="1140">
        <f t="shared" si="1"/>
        <v>0</v>
      </c>
    </row>
    <row r="22" spans="1:32" ht="30">
      <c r="A22" s="563"/>
      <c r="B22" s="563"/>
      <c r="C22" s="563"/>
      <c r="D22" s="564">
        <f t="shared" si="2"/>
        <v>4</v>
      </c>
      <c r="E22" s="564">
        <v>1</v>
      </c>
      <c r="F22" s="564">
        <v>2</v>
      </c>
      <c r="G22" s="564">
        <v>3</v>
      </c>
      <c r="H22" s="564" t="s">
        <v>278</v>
      </c>
      <c r="I22" s="565"/>
      <c r="J22" s="1116"/>
      <c r="K22" s="564"/>
      <c r="L22" s="564"/>
      <c r="M22" s="564"/>
      <c r="N22" s="564"/>
      <c r="O22" s="564"/>
      <c r="P22" s="564"/>
      <c r="Q22" s="564"/>
      <c r="R22" s="1105"/>
      <c r="S22" s="1105"/>
      <c r="T22" s="1105"/>
      <c r="U22" s="1105"/>
      <c r="V22" s="1105"/>
      <c r="W22" s="1144">
        <f t="shared" si="0"/>
        <v>0</v>
      </c>
      <c r="X22" s="1140">
        <f t="shared" si="1"/>
        <v>0</v>
      </c>
      <c r="Y22" s="1095" t="s">
        <v>895</v>
      </c>
      <c r="Z22" s="788"/>
      <c r="AA22" s="789" t="s">
        <v>23</v>
      </c>
      <c r="AB22" s="789" t="s">
        <v>22</v>
      </c>
      <c r="AC22" s="789" t="s">
        <v>330</v>
      </c>
      <c r="AD22" s="789" t="s">
        <v>240</v>
      </c>
      <c r="AE22" s="789" t="s">
        <v>327</v>
      </c>
      <c r="AF22" s="789" t="s">
        <v>415</v>
      </c>
    </row>
    <row r="23" spans="1:32">
      <c r="A23" s="563"/>
      <c r="B23" s="563"/>
      <c r="C23" s="563"/>
      <c r="D23" s="564">
        <f t="shared" si="2"/>
        <v>4</v>
      </c>
      <c r="E23" s="564">
        <v>1</v>
      </c>
      <c r="F23" s="564">
        <v>2</v>
      </c>
      <c r="G23" s="564">
        <v>4</v>
      </c>
      <c r="H23" s="564" t="s">
        <v>279</v>
      </c>
      <c r="I23" s="565"/>
      <c r="J23" s="1116"/>
      <c r="K23" s="564"/>
      <c r="L23" s="564"/>
      <c r="M23" s="564"/>
      <c r="N23" s="564"/>
      <c r="O23" s="564"/>
      <c r="P23" s="564"/>
      <c r="Q23" s="564"/>
      <c r="R23" s="1105"/>
      <c r="S23" s="1105"/>
      <c r="T23" s="1105"/>
      <c r="U23" s="1105"/>
      <c r="V23" s="1105"/>
      <c r="W23" s="1144">
        <f t="shared" si="0"/>
        <v>0</v>
      </c>
      <c r="X23" s="1140">
        <f t="shared" si="1"/>
        <v>0</v>
      </c>
      <c r="Y23" s="1096" t="s">
        <v>896</v>
      </c>
      <c r="Z23" s="791">
        <f>SUMIFS(I17:I340,R17:R340,"PP")</f>
        <v>0</v>
      </c>
      <c r="AA23" s="792" t="e">
        <f>SUMIFS($I$17:$I$318,#REF!,"ADD",$R$17:$R$318,"PP")</f>
        <v>#REF!</v>
      </c>
      <c r="AB23" s="792" t="e">
        <f>SUMIFS($I$17:$I$318,#REF!,"DD",$R$17:$R$318,"PP")</f>
        <v>#REF!</v>
      </c>
      <c r="AC23" s="792" t="e">
        <f>SUMIFS($I$17:$I$318,#REF!,"PBH",$R$17:$R$318,"PP")</f>
        <v>#REF!</v>
      </c>
      <c r="AD23" s="792" t="e">
        <f>SUMIFS($I$17:$I$318,#REF!,"PAD",$R$17:$R$318,"PP")</f>
        <v>#REF!</v>
      </c>
      <c r="AE23" s="792" t="e">
        <f>SUMIFS($I$17:$I$318,#REF!,"BPP",$R$17:$R$318,"PP")</f>
        <v>#REF!</v>
      </c>
      <c r="AF23" s="792" t="e">
        <f>SUMIFS($I$17:$I$318,#REF!,"DLL",$R$17:$R$318,"PP")</f>
        <v>#REF!</v>
      </c>
    </row>
    <row r="24" spans="1:32">
      <c r="A24" s="563"/>
      <c r="B24" s="563"/>
      <c r="C24" s="563"/>
      <c r="D24" s="564">
        <f t="shared" si="2"/>
        <v>4</v>
      </c>
      <c r="E24" s="564">
        <v>1</v>
      </c>
      <c r="F24" s="564">
        <v>2</v>
      </c>
      <c r="G24" s="564">
        <v>5</v>
      </c>
      <c r="H24" s="564" t="s">
        <v>707</v>
      </c>
      <c r="I24" s="565"/>
      <c r="J24" s="1116"/>
      <c r="K24" s="564"/>
      <c r="L24" s="564"/>
      <c r="M24" s="564"/>
      <c r="N24" s="564"/>
      <c r="O24" s="564"/>
      <c r="P24" s="564"/>
      <c r="Q24" s="564"/>
      <c r="R24" s="1105"/>
      <c r="S24" s="1105"/>
      <c r="T24" s="1105"/>
      <c r="U24" s="1105"/>
      <c r="V24" s="1105"/>
      <c r="W24" s="1144">
        <f t="shared" si="0"/>
        <v>0</v>
      </c>
      <c r="X24" s="1140">
        <f t="shared" si="1"/>
        <v>0</v>
      </c>
      <c r="Y24" s="1096" t="s">
        <v>897</v>
      </c>
      <c r="Z24" s="791">
        <f>SUMIFS(I18:I341,R18:R341,"PB")</f>
        <v>0</v>
      </c>
      <c r="AA24" s="792" t="e">
        <f>SUMIFS($I$17:$I$318,#REF!,"ADD",$R$17:$R$318,"PB")</f>
        <v>#REF!</v>
      </c>
      <c r="AB24" s="792" t="e">
        <f>SUMIFS($I$17:$I$318,#REF!,"DD",$R$17:$R$318,"PB")</f>
        <v>#REF!</v>
      </c>
      <c r="AC24" s="792" t="e">
        <f>SUMIFS($I$17:$I$318,#REF!,"PBH",$R$17:$R$318,"PB")</f>
        <v>#REF!</v>
      </c>
      <c r="AD24" s="792" t="e">
        <f>SUMIFS($I$17:$I$318,#REF!,"PAD",$R$17:$R$318,"PB")</f>
        <v>#REF!</v>
      </c>
      <c r="AE24" s="792" t="e">
        <f>SUMIFS($I$17:$I$318,#REF!,"BPP",$R$17:$R$318,"PB")</f>
        <v>#REF!</v>
      </c>
      <c r="AF24" s="792" t="e">
        <f>SUMIFS($I$17:$I$318,#REF!,"DLL",$R$17:$R$318,"PB")</f>
        <v>#REF!</v>
      </c>
    </row>
    <row r="25" spans="1:32">
      <c r="A25" s="563"/>
      <c r="B25" s="563"/>
      <c r="C25" s="563"/>
      <c r="D25" s="564">
        <f t="shared" si="2"/>
        <v>4</v>
      </c>
      <c r="E25" s="564">
        <v>1</v>
      </c>
      <c r="F25" s="564">
        <v>2</v>
      </c>
      <c r="G25" s="564">
        <v>9</v>
      </c>
      <c r="H25" s="564" t="s">
        <v>706</v>
      </c>
      <c r="I25" s="565"/>
      <c r="J25" s="1116"/>
      <c r="K25" s="564"/>
      <c r="L25" s="564"/>
      <c r="M25" s="564"/>
      <c r="N25" s="564"/>
      <c r="O25" s="564"/>
      <c r="P25" s="564"/>
      <c r="Q25" s="564"/>
      <c r="R25" s="1105"/>
      <c r="S25" s="1105"/>
      <c r="T25" s="1105"/>
      <c r="U25" s="1105"/>
      <c r="V25" s="1105"/>
      <c r="W25" s="1144">
        <f t="shared" si="0"/>
        <v>0</v>
      </c>
      <c r="X25" s="1140">
        <f t="shared" si="1"/>
        <v>0</v>
      </c>
      <c r="Y25" s="1096" t="s">
        <v>898</v>
      </c>
      <c r="Z25" s="791">
        <f>SUMIFS(I19:I342,R19:R342,"PN")</f>
        <v>0</v>
      </c>
      <c r="AA25" s="792" t="e">
        <f>SUMIFS($I$17:$I$318,#REF!,"ADD",$R$17:$R$318,"PN")</f>
        <v>#REF!</v>
      </c>
      <c r="AB25" s="792" t="e">
        <f>SUMIFS($I$17:$I$318,#REF!,"DD",$R$17:$R$318,"PN")</f>
        <v>#REF!</v>
      </c>
      <c r="AC25" s="792" t="e">
        <f>SUMIFS($I$17:$I$318,#REF!,"PBH",$R$17:$R$318,"PN")</f>
        <v>#REF!</v>
      </c>
      <c r="AD25" s="792" t="e">
        <f>SUMIFS($I$17:$I$318,#REF!,"PAD",$R$17:$R$318,"PN")</f>
        <v>#REF!</v>
      </c>
      <c r="AE25" s="792" t="e">
        <f>SUMIFS($I$17:$I$318,#REF!,"BPP",$R$17:$R$318,"PN")</f>
        <v>#REF!</v>
      </c>
      <c r="AF25" s="792" t="e">
        <f>SUMIFS($I$17:$I$318,#REF!,"DLL",$R$17:$R$318,"PN")</f>
        <v>#REF!</v>
      </c>
    </row>
    <row r="26" spans="1:32" s="420" customFormat="1">
      <c r="A26" s="561"/>
      <c r="B26" s="561"/>
      <c r="C26" s="561"/>
      <c r="D26" s="564">
        <f t="shared" si="2"/>
        <v>4</v>
      </c>
      <c r="E26" s="441">
        <v>1</v>
      </c>
      <c r="F26" s="441">
        <v>3</v>
      </c>
      <c r="G26" s="441"/>
      <c r="H26" s="441" t="s">
        <v>708</v>
      </c>
      <c r="I26" s="562">
        <f>SUM(I27:I28)</f>
        <v>0</v>
      </c>
      <c r="J26" s="1115"/>
      <c r="K26" s="441"/>
      <c r="L26" s="441"/>
      <c r="M26" s="441"/>
      <c r="N26" s="441"/>
      <c r="O26" s="441"/>
      <c r="P26" s="441"/>
      <c r="Q26" s="441"/>
      <c r="R26" s="1104"/>
      <c r="S26" s="1104"/>
      <c r="T26" s="1104"/>
      <c r="U26" s="1104"/>
      <c r="V26" s="1104"/>
      <c r="W26" s="1144">
        <f t="shared" si="0"/>
        <v>0</v>
      </c>
      <c r="X26" s="1140">
        <f t="shared" si="1"/>
        <v>0</v>
      </c>
      <c r="Y26" s="1096" t="s">
        <v>899</v>
      </c>
      <c r="Z26" s="791">
        <f>SUMIFS(I20:I342,R20:R342,"PD")</f>
        <v>0</v>
      </c>
      <c r="AA26" s="792" t="e">
        <f>SUMIFS($I$17:$I$318,#REF!,"ADD",$R$17:$R$318,"PD")</f>
        <v>#REF!</v>
      </c>
      <c r="AB26" s="792" t="e">
        <f>SUMIFS($I$17:$I$318,#REF!,"DD",$R$17:$R$318,"PD")</f>
        <v>#REF!</v>
      </c>
      <c r="AC26" s="792" t="e">
        <f>SUMIFS($I$17:$I$318,#REF!,"PBH",$R$17:$R$318,"PD")</f>
        <v>#REF!</v>
      </c>
      <c r="AD26" s="792" t="e">
        <f>SUMIFS($I$17:$I$318,#REF!,"PAD",$R$17:$R$318,"PD")</f>
        <v>#REF!</v>
      </c>
      <c r="AE26" s="792" t="e">
        <f>SUMIFS($I$17:$I$318,#REF!,"BPP",$R$17:$R$318,"PD")</f>
        <v>#REF!</v>
      </c>
      <c r="AF26" s="792" t="e">
        <f>SUMIFS($I$17:$I$318,#REF!,"DLL",$R$17:$R$318,"PD")</f>
        <v>#REF!</v>
      </c>
    </row>
    <row r="27" spans="1:32">
      <c r="A27" s="563"/>
      <c r="B27" s="563"/>
      <c r="C27" s="563"/>
      <c r="D27" s="564">
        <f t="shared" si="2"/>
        <v>4</v>
      </c>
      <c r="E27" s="564">
        <v>1</v>
      </c>
      <c r="F27" s="564">
        <v>3</v>
      </c>
      <c r="G27" s="564">
        <v>1</v>
      </c>
      <c r="H27" s="564" t="s">
        <v>709</v>
      </c>
      <c r="I27" s="565"/>
      <c r="J27" s="1116"/>
      <c r="K27" s="564"/>
      <c r="L27" s="564"/>
      <c r="M27" s="564"/>
      <c r="N27" s="564"/>
      <c r="O27" s="564"/>
      <c r="P27" s="564"/>
      <c r="Q27" s="564"/>
      <c r="R27" s="1105"/>
      <c r="S27" s="1105"/>
      <c r="T27" s="1105"/>
      <c r="U27" s="1105"/>
      <c r="V27" s="1105"/>
      <c r="W27" s="1144">
        <f t="shared" si="0"/>
        <v>0</v>
      </c>
      <c r="X27" s="1140">
        <f t="shared" si="1"/>
        <v>0</v>
      </c>
      <c r="Y27" s="1096" t="s">
        <v>900</v>
      </c>
      <c r="Z27" s="791">
        <f>SUMIFS(I21:I342,R21:R342,"MD")</f>
        <v>0</v>
      </c>
      <c r="AA27" s="792" t="e">
        <f>SUMIFS($I$17:$I$318,#REF!,"ADD",$R$17:$R$318,"MD")</f>
        <v>#REF!</v>
      </c>
      <c r="AB27" s="792" t="e">
        <f>SUMIFS($I$17:$I$318,#REF!,"DD",$R$17:$R$318,"MD")</f>
        <v>#REF!</v>
      </c>
      <c r="AC27" s="792" t="e">
        <f>SUMIFS($I$17:$I$318,#REF!,"PBH",$R$17:$R$318,"MD")</f>
        <v>#REF!</v>
      </c>
      <c r="AD27" s="792" t="e">
        <f>SUMIFS($I$17:$I$318,#REF!,"PAD",$R$17:$R$318,"MD")</f>
        <v>#REF!</v>
      </c>
      <c r="AE27" s="792" t="e">
        <f>SUMIFS($I$17:$I$318,#REF!,"BPP",$R$17:$R$318,"MD")</f>
        <v>#REF!</v>
      </c>
      <c r="AF27" s="792" t="e">
        <f>SUMIFS($I$17:$I$318,#REF!,"DLL",$R$17:$R$318,"MD")</f>
        <v>#REF!</v>
      </c>
    </row>
    <row r="28" spans="1:32">
      <c r="A28" s="563"/>
      <c r="B28" s="563"/>
      <c r="C28" s="563"/>
      <c r="D28" s="564">
        <f t="shared" si="2"/>
        <v>4</v>
      </c>
      <c r="E28" s="564">
        <v>1</v>
      </c>
      <c r="F28" s="564">
        <v>3</v>
      </c>
      <c r="G28" s="564">
        <v>9</v>
      </c>
      <c r="H28" s="564" t="s">
        <v>710</v>
      </c>
      <c r="I28" s="565"/>
      <c r="J28" s="1116"/>
      <c r="K28" s="564"/>
      <c r="L28" s="564"/>
      <c r="M28" s="564"/>
      <c r="N28" s="564"/>
      <c r="O28" s="564"/>
      <c r="P28" s="564"/>
      <c r="Q28" s="564"/>
      <c r="R28" s="1105"/>
      <c r="S28" s="1105"/>
      <c r="T28" s="1105"/>
      <c r="U28" s="1105"/>
      <c r="V28" s="1105"/>
      <c r="W28" s="1144">
        <f t="shared" si="0"/>
        <v>0</v>
      </c>
      <c r="X28" s="1140">
        <f t="shared" si="1"/>
        <v>0</v>
      </c>
      <c r="Y28" s="1097" t="s">
        <v>36</v>
      </c>
      <c r="Z28" s="932">
        <f>Z23+Z24+Z25+Z26+Z27</f>
        <v>0</v>
      </c>
      <c r="AA28" s="933" t="e">
        <f t="shared" ref="AA28:AF28" si="3">AA23+AA24+AA25+AA26</f>
        <v>#REF!</v>
      </c>
      <c r="AB28" s="933" t="e">
        <f t="shared" si="3"/>
        <v>#REF!</v>
      </c>
      <c r="AC28" s="933" t="e">
        <f t="shared" si="3"/>
        <v>#REF!</v>
      </c>
      <c r="AD28" s="933" t="e">
        <f t="shared" si="3"/>
        <v>#REF!</v>
      </c>
      <c r="AE28" s="933" t="e">
        <f t="shared" si="3"/>
        <v>#REF!</v>
      </c>
      <c r="AF28" s="933" t="e">
        <f t="shared" si="3"/>
        <v>#REF!</v>
      </c>
    </row>
    <row r="29" spans="1:32" s="420" customFormat="1">
      <c r="A29" s="561"/>
      <c r="B29" s="561"/>
      <c r="C29" s="561"/>
      <c r="D29" s="564">
        <f t="shared" si="2"/>
        <v>4</v>
      </c>
      <c r="E29" s="441">
        <v>1</v>
      </c>
      <c r="F29" s="441">
        <v>4</v>
      </c>
      <c r="G29" s="441"/>
      <c r="H29" s="441" t="s">
        <v>711</v>
      </c>
      <c r="I29" s="562">
        <f>SUM(I30:I31)</f>
        <v>0</v>
      </c>
      <c r="J29" s="1115"/>
      <c r="K29" s="441"/>
      <c r="L29" s="441"/>
      <c r="M29" s="441"/>
      <c r="N29" s="441"/>
      <c r="O29" s="441"/>
      <c r="P29" s="441"/>
      <c r="Q29" s="441"/>
      <c r="R29" s="1104"/>
      <c r="S29" s="1104"/>
      <c r="T29" s="1104"/>
      <c r="U29" s="1104"/>
      <c r="V29" s="1104"/>
      <c r="W29" s="1144">
        <f t="shared" si="0"/>
        <v>0</v>
      </c>
      <c r="X29" s="1140">
        <f t="shared" si="1"/>
        <v>0</v>
      </c>
      <c r="Y29" s="1098" t="s">
        <v>37</v>
      </c>
      <c r="Z29" s="793">
        <f>AA20-Z28</f>
        <v>1265514000</v>
      </c>
      <c r="AA29" s="793" t="e">
        <f>AA15-AA28</f>
        <v>#REF!</v>
      </c>
      <c r="AB29" s="793" t="e">
        <f>AA14-AB28</f>
        <v>#REF!</v>
      </c>
      <c r="AC29" s="793" t="e">
        <f>AA16-AC28</f>
        <v>#REF!</v>
      </c>
      <c r="AD29" s="793" t="e">
        <f>AA18-AD28</f>
        <v>#REF!</v>
      </c>
      <c r="AE29" s="793" t="e">
        <f>AA17-AE28</f>
        <v>#REF!</v>
      </c>
      <c r="AF29" s="793" t="e">
        <f>AA19-AF28</f>
        <v>#REF!</v>
      </c>
    </row>
    <row r="30" spans="1:32">
      <c r="A30" s="563"/>
      <c r="B30" s="563"/>
      <c r="C30" s="563"/>
      <c r="D30" s="564">
        <f t="shared" si="2"/>
        <v>4</v>
      </c>
      <c r="E30" s="564">
        <v>1</v>
      </c>
      <c r="F30" s="564">
        <v>4</v>
      </c>
      <c r="G30" s="564">
        <v>1</v>
      </c>
      <c r="H30" s="564" t="s">
        <v>280</v>
      </c>
      <c r="I30" s="565"/>
      <c r="J30" s="1116"/>
      <c r="K30" s="564"/>
      <c r="L30" s="564"/>
      <c r="M30" s="564"/>
      <c r="N30" s="564"/>
      <c r="O30" s="564"/>
      <c r="P30" s="564"/>
      <c r="Q30" s="564"/>
      <c r="R30" s="1105"/>
      <c r="S30" s="1105"/>
      <c r="T30" s="1105"/>
      <c r="U30" s="1105"/>
      <c r="V30" s="1105"/>
      <c r="W30" s="1144">
        <f t="shared" si="0"/>
        <v>0</v>
      </c>
      <c r="X30" s="1140">
        <f t="shared" si="1"/>
        <v>0</v>
      </c>
    </row>
    <row r="31" spans="1:32">
      <c r="A31" s="563"/>
      <c r="B31" s="563"/>
      <c r="C31" s="563"/>
      <c r="D31" s="564">
        <f t="shared" si="2"/>
        <v>4</v>
      </c>
      <c r="E31" s="564">
        <v>1</v>
      </c>
      <c r="F31" s="564">
        <v>4</v>
      </c>
      <c r="G31" s="564">
        <v>9</v>
      </c>
      <c r="H31" s="564" t="s">
        <v>706</v>
      </c>
      <c r="I31" s="565"/>
      <c r="J31" s="1116"/>
      <c r="K31" s="564"/>
      <c r="L31" s="564"/>
      <c r="M31" s="564"/>
      <c r="N31" s="564"/>
      <c r="O31" s="564"/>
      <c r="P31" s="564"/>
      <c r="Q31" s="564"/>
      <c r="R31" s="1105"/>
      <c r="S31" s="1105"/>
      <c r="T31" s="1105"/>
      <c r="U31" s="1105"/>
      <c r="V31" s="1105"/>
      <c r="W31" s="1144">
        <f t="shared" si="0"/>
        <v>0</v>
      </c>
      <c r="X31" s="1140">
        <f t="shared" si="1"/>
        <v>0</v>
      </c>
    </row>
    <row r="32" spans="1:32" s="420" customFormat="1">
      <c r="A32" s="561"/>
      <c r="B32" s="561"/>
      <c r="C32" s="561"/>
      <c r="D32" s="564">
        <f t="shared" si="2"/>
        <v>4</v>
      </c>
      <c r="E32" s="441">
        <v>2</v>
      </c>
      <c r="F32" s="441" t="s">
        <v>589</v>
      </c>
      <c r="G32" s="441"/>
      <c r="H32" s="441" t="s">
        <v>591</v>
      </c>
      <c r="I32" s="555">
        <f>I33+I35+I37+I39+I42</f>
        <v>1253094000</v>
      </c>
      <c r="J32" s="1117"/>
      <c r="K32" s="441"/>
      <c r="L32" s="441"/>
      <c r="M32" s="441"/>
      <c r="N32" s="441"/>
      <c r="O32" s="441"/>
      <c r="P32" s="441"/>
      <c r="Q32" s="441"/>
      <c r="R32" s="1104"/>
      <c r="S32" s="1104"/>
      <c r="T32" s="1104"/>
      <c r="U32" s="1104"/>
      <c r="V32" s="1104"/>
      <c r="W32" s="1144">
        <f t="shared" si="0"/>
        <v>0</v>
      </c>
      <c r="X32" s="1140">
        <f t="shared" si="1"/>
        <v>1253094000</v>
      </c>
      <c r="Y32" s="3116" t="s">
        <v>38</v>
      </c>
      <c r="Z32" s="3116"/>
      <c r="AA32" s="3117"/>
      <c r="AB32" s="928"/>
    </row>
    <row r="33" spans="1:28" s="420" customFormat="1">
      <c r="A33" s="561"/>
      <c r="B33" s="561"/>
      <c r="C33" s="561"/>
      <c r="D33" s="564">
        <f t="shared" si="2"/>
        <v>4</v>
      </c>
      <c r="E33" s="441">
        <v>2</v>
      </c>
      <c r="F33" s="441">
        <v>1</v>
      </c>
      <c r="G33" s="441"/>
      <c r="H33" s="441" t="s">
        <v>5</v>
      </c>
      <c r="I33" s="555">
        <f>I34</f>
        <v>674551000</v>
      </c>
      <c r="J33" s="1117"/>
      <c r="K33" s="441"/>
      <c r="L33" s="441"/>
      <c r="M33" s="441"/>
      <c r="N33" s="441"/>
      <c r="O33" s="441"/>
      <c r="P33" s="441"/>
      <c r="Q33" s="441"/>
      <c r="R33" s="1104"/>
      <c r="S33" s="1104"/>
      <c r="T33" s="1104"/>
      <c r="U33" s="1104"/>
      <c r="V33" s="1104"/>
      <c r="W33" s="1144">
        <f t="shared" si="0"/>
        <v>0</v>
      </c>
      <c r="X33" s="1140">
        <f t="shared" si="1"/>
        <v>674551000</v>
      </c>
      <c r="Y33" s="1099" t="s">
        <v>39</v>
      </c>
      <c r="Z33" s="536" t="s">
        <v>40</v>
      </c>
      <c r="AA33" s="536" t="s">
        <v>41</v>
      </c>
    </row>
    <row r="34" spans="1:28">
      <c r="A34" s="563"/>
      <c r="B34" s="563"/>
      <c r="C34" s="563"/>
      <c r="D34" s="564">
        <f t="shared" si="2"/>
        <v>4</v>
      </c>
      <c r="E34" s="564">
        <v>2</v>
      </c>
      <c r="F34" s="564">
        <v>1</v>
      </c>
      <c r="G34" s="564">
        <v>1</v>
      </c>
      <c r="H34" s="564" t="s">
        <v>5</v>
      </c>
      <c r="I34" s="567">
        <v>674551000</v>
      </c>
      <c r="J34" s="1118"/>
      <c r="K34" s="564"/>
      <c r="L34" s="564"/>
      <c r="M34" s="564"/>
      <c r="N34" s="564"/>
      <c r="O34" s="564"/>
      <c r="P34" s="564"/>
      <c r="Q34" s="564"/>
      <c r="R34" s="1105"/>
      <c r="S34" s="1105"/>
      <c r="T34" s="1105"/>
      <c r="U34" s="1105"/>
      <c r="V34" s="1105"/>
      <c r="W34" s="1144">
        <f t="shared" si="0"/>
        <v>0</v>
      </c>
      <c r="X34" s="1140">
        <f t="shared" si="1"/>
        <v>674551000</v>
      </c>
      <c r="Y34" s="1100" t="s">
        <v>22</v>
      </c>
      <c r="Z34" s="537" t="e">
        <f>SUMIFS(#REF!,#REF!,"PDRD")</f>
        <v>#REF!</v>
      </c>
      <c r="AA34" s="538" t="e">
        <f>AA14-AB28</f>
        <v>#REF!</v>
      </c>
    </row>
    <row r="35" spans="1:28">
      <c r="A35" s="561"/>
      <c r="B35" s="561"/>
      <c r="C35" s="561"/>
      <c r="D35" s="564">
        <f t="shared" si="2"/>
        <v>4</v>
      </c>
      <c r="E35" s="441">
        <v>2</v>
      </c>
      <c r="F35" s="441">
        <v>2</v>
      </c>
      <c r="G35" s="441"/>
      <c r="H35" s="441" t="s">
        <v>712</v>
      </c>
      <c r="I35" s="555">
        <f>I36</f>
        <v>15637000</v>
      </c>
      <c r="J35" s="1117"/>
      <c r="K35" s="564"/>
      <c r="L35" s="564"/>
      <c r="M35" s="564"/>
      <c r="N35" s="564"/>
      <c r="O35" s="564"/>
      <c r="P35" s="564"/>
      <c r="Q35" s="564"/>
      <c r="R35" s="1105"/>
      <c r="S35" s="1105"/>
      <c r="T35" s="1105"/>
      <c r="U35" s="1105"/>
      <c r="V35" s="1105"/>
      <c r="W35" s="1144">
        <f t="shared" si="0"/>
        <v>0</v>
      </c>
      <c r="X35" s="1140">
        <f t="shared" si="1"/>
        <v>15637000</v>
      </c>
      <c r="Y35" s="1100" t="s">
        <v>23</v>
      </c>
      <c r="Z35" s="537" t="e">
        <f>SUMIFS(#REF!,#REF!,"Hbh")</f>
        <v>#REF!</v>
      </c>
      <c r="AA35" s="538" t="e">
        <f>AA15-AA28</f>
        <v>#REF!</v>
      </c>
    </row>
    <row r="36" spans="1:28">
      <c r="A36" s="563"/>
      <c r="B36" s="563"/>
      <c r="C36" s="563"/>
      <c r="D36" s="564">
        <f t="shared" si="2"/>
        <v>4</v>
      </c>
      <c r="E36" s="564">
        <v>2</v>
      </c>
      <c r="F36" s="564">
        <v>2</v>
      </c>
      <c r="G36" s="564">
        <v>1</v>
      </c>
      <c r="H36" s="564" t="s">
        <v>712</v>
      </c>
      <c r="I36" s="567">
        <v>15637000</v>
      </c>
      <c r="J36" s="1118"/>
      <c r="K36" s="564"/>
      <c r="L36" s="564"/>
      <c r="M36" s="564"/>
      <c r="N36" s="564"/>
      <c r="O36" s="564"/>
      <c r="P36" s="564"/>
      <c r="Q36" s="564"/>
      <c r="R36" s="1105"/>
      <c r="S36" s="1105"/>
      <c r="T36" s="1105"/>
      <c r="U36" s="1105"/>
      <c r="V36" s="1105"/>
      <c r="W36" s="1144">
        <f t="shared" si="0"/>
        <v>0</v>
      </c>
      <c r="X36" s="1140">
        <f t="shared" si="1"/>
        <v>15637000</v>
      </c>
      <c r="Y36" s="1100" t="s">
        <v>330</v>
      </c>
      <c r="Z36" s="537" t="e">
        <f>SUMIFS(#REF!,#REF!,"ADD")</f>
        <v>#REF!</v>
      </c>
      <c r="AA36" s="538" t="e">
        <f>AA16-AC28</f>
        <v>#REF!</v>
      </c>
    </row>
    <row r="37" spans="1:28">
      <c r="A37" s="563"/>
      <c r="B37" s="563"/>
      <c r="C37" s="563"/>
      <c r="D37" s="564">
        <f t="shared" si="2"/>
        <v>4</v>
      </c>
      <c r="E37" s="441">
        <v>2</v>
      </c>
      <c r="F37" s="441">
        <v>3</v>
      </c>
      <c r="G37" s="441"/>
      <c r="H37" s="441" t="s">
        <v>45</v>
      </c>
      <c r="I37" s="555">
        <f>I38</f>
        <v>502906000</v>
      </c>
      <c r="J37" s="1117"/>
      <c r="K37" s="564"/>
      <c r="L37" s="564"/>
      <c r="M37" s="564"/>
      <c r="N37" s="564"/>
      <c r="O37" s="564"/>
      <c r="P37" s="564"/>
      <c r="Q37" s="564"/>
      <c r="R37" s="1105"/>
      <c r="S37" s="1105"/>
      <c r="T37" s="1105"/>
      <c r="U37" s="1105"/>
      <c r="V37" s="1105"/>
      <c r="W37" s="1144">
        <f t="shared" si="0"/>
        <v>0</v>
      </c>
      <c r="X37" s="1140">
        <f t="shared" si="1"/>
        <v>502906000</v>
      </c>
      <c r="Y37" s="1100" t="s">
        <v>894</v>
      </c>
      <c r="Z37" s="537" t="e">
        <f>SUMIFS(#REF!,#REF!,"DD")</f>
        <v>#REF!</v>
      </c>
      <c r="AA37" s="538" t="e">
        <f>AA17-AE28</f>
        <v>#REF!</v>
      </c>
    </row>
    <row r="38" spans="1:28">
      <c r="A38" s="563"/>
      <c r="B38" s="563"/>
      <c r="C38" s="563"/>
      <c r="D38" s="564">
        <f t="shared" si="2"/>
        <v>4</v>
      </c>
      <c r="E38" s="564">
        <v>2</v>
      </c>
      <c r="F38" s="564">
        <v>3</v>
      </c>
      <c r="G38" s="564">
        <v>1</v>
      </c>
      <c r="H38" s="564" t="s">
        <v>45</v>
      </c>
      <c r="I38" s="567">
        <v>502906000</v>
      </c>
      <c r="J38" s="1118"/>
      <c r="K38" s="564"/>
      <c r="L38" s="564"/>
      <c r="M38" s="564"/>
      <c r="N38" s="564"/>
      <c r="O38" s="564"/>
      <c r="P38" s="564"/>
      <c r="Q38" s="564"/>
      <c r="R38" s="1105"/>
      <c r="S38" s="1105"/>
      <c r="T38" s="1105"/>
      <c r="U38" s="1105"/>
      <c r="V38" s="1105"/>
      <c r="W38" s="1144">
        <f t="shared" si="0"/>
        <v>0</v>
      </c>
      <c r="X38" s="1140">
        <f t="shared" si="1"/>
        <v>502906000</v>
      </c>
      <c r="Y38" s="1100" t="s">
        <v>240</v>
      </c>
      <c r="Z38" s="537" t="e">
        <f>SUMIFS(#REF!,#REF!,"DD")</f>
        <v>#REF!</v>
      </c>
      <c r="AA38" s="538" t="e">
        <f>AA18-AD28</f>
        <v>#REF!</v>
      </c>
    </row>
    <row r="39" spans="1:28">
      <c r="A39" s="563"/>
      <c r="B39" s="563"/>
      <c r="C39" s="563"/>
      <c r="D39" s="564">
        <f t="shared" si="2"/>
        <v>4</v>
      </c>
      <c r="E39" s="441">
        <v>2</v>
      </c>
      <c r="F39" s="441">
        <v>4</v>
      </c>
      <c r="G39" s="441"/>
      <c r="H39" s="441" t="s">
        <v>12</v>
      </c>
      <c r="I39" s="555">
        <f>I40+I41</f>
        <v>60000000</v>
      </c>
      <c r="J39" s="1117"/>
      <c r="K39" s="564"/>
      <c r="L39" s="564"/>
      <c r="M39" s="564"/>
      <c r="N39" s="564"/>
      <c r="O39" s="564"/>
      <c r="P39" s="564"/>
      <c r="Q39" s="564"/>
      <c r="R39" s="1105"/>
      <c r="S39" s="1105"/>
      <c r="T39" s="1105"/>
      <c r="U39" s="1105"/>
      <c r="V39" s="1105"/>
      <c r="W39" s="1144">
        <f t="shared" si="0"/>
        <v>0</v>
      </c>
      <c r="X39" s="1140">
        <f t="shared" si="1"/>
        <v>60000000</v>
      </c>
      <c r="Y39" s="1100" t="s">
        <v>415</v>
      </c>
      <c r="Z39" s="958"/>
      <c r="AA39" s="959" t="e">
        <f>AA19-AF28</f>
        <v>#REF!</v>
      </c>
    </row>
    <row r="40" spans="1:28">
      <c r="A40" s="563"/>
      <c r="B40" s="563"/>
      <c r="C40" s="563"/>
      <c r="D40" s="564">
        <f t="shared" si="2"/>
        <v>4</v>
      </c>
      <c r="E40" s="564">
        <v>2</v>
      </c>
      <c r="F40" s="564">
        <v>4</v>
      </c>
      <c r="G40" s="564">
        <v>1</v>
      </c>
      <c r="H40" s="564" t="s">
        <v>713</v>
      </c>
      <c r="I40" s="567">
        <v>60000000</v>
      </c>
      <c r="J40" s="1118"/>
      <c r="K40" s="564"/>
      <c r="L40" s="564"/>
      <c r="M40" s="564"/>
      <c r="N40" s="564"/>
      <c r="O40" s="564"/>
      <c r="P40" s="564"/>
      <c r="Q40" s="564"/>
      <c r="R40" s="1105"/>
      <c r="S40" s="1105"/>
      <c r="T40" s="1105"/>
      <c r="U40" s="1105"/>
      <c r="V40" s="1105"/>
      <c r="W40" s="1144">
        <f t="shared" si="0"/>
        <v>0</v>
      </c>
      <c r="X40" s="1140">
        <f t="shared" si="1"/>
        <v>60000000</v>
      </c>
    </row>
    <row r="41" spans="1:28">
      <c r="A41" s="563"/>
      <c r="B41" s="563"/>
      <c r="C41" s="563"/>
      <c r="D41" s="564">
        <f t="shared" si="2"/>
        <v>4</v>
      </c>
      <c r="E41" s="564">
        <v>2</v>
      </c>
      <c r="F41" s="564">
        <v>4</v>
      </c>
      <c r="G41" s="564">
        <v>9</v>
      </c>
      <c r="H41" s="564" t="s">
        <v>714</v>
      </c>
      <c r="I41" s="567"/>
      <c r="J41" s="1118"/>
      <c r="K41" s="564"/>
      <c r="L41" s="564"/>
      <c r="M41" s="564"/>
      <c r="N41" s="564"/>
      <c r="O41" s="564"/>
      <c r="P41" s="564"/>
      <c r="Q41" s="564"/>
      <c r="R41" s="1105"/>
      <c r="S41" s="1105"/>
      <c r="T41" s="1105"/>
      <c r="U41" s="1105"/>
      <c r="V41" s="1105"/>
      <c r="W41" s="1144">
        <f t="shared" si="0"/>
        <v>0</v>
      </c>
      <c r="X41" s="1140">
        <f t="shared" si="1"/>
        <v>0</v>
      </c>
      <c r="AA41" s="986" t="e">
        <f>SUM(AA34:AA40)</f>
        <v>#REF!</v>
      </c>
      <c r="AB41" s="973" t="e">
        <f>AA28+AB28+AC28+AD28+AE28</f>
        <v>#REF!</v>
      </c>
    </row>
    <row r="42" spans="1:28" ht="22.5" customHeight="1">
      <c r="A42" s="563"/>
      <c r="B42" s="563"/>
      <c r="C42" s="563"/>
      <c r="D42" s="564">
        <f t="shared" si="2"/>
        <v>4</v>
      </c>
      <c r="E42" s="441">
        <v>2</v>
      </c>
      <c r="F42" s="441">
        <v>5</v>
      </c>
      <c r="G42" s="441"/>
      <c r="H42" s="441" t="s">
        <v>715</v>
      </c>
      <c r="I42" s="567">
        <f>I43+I44</f>
        <v>0</v>
      </c>
      <c r="J42" s="1118"/>
      <c r="K42" s="564"/>
      <c r="L42" s="564"/>
      <c r="M42" s="564"/>
      <c r="N42" s="564"/>
      <c r="O42" s="564"/>
      <c r="P42" s="564"/>
      <c r="Q42" s="564"/>
      <c r="R42" s="1105"/>
      <c r="S42" s="1105"/>
      <c r="T42" s="1105"/>
      <c r="U42" s="1105"/>
      <c r="V42" s="1105"/>
      <c r="W42" s="1144">
        <f t="shared" si="0"/>
        <v>0</v>
      </c>
      <c r="X42" s="1140">
        <f t="shared" si="1"/>
        <v>0</v>
      </c>
      <c r="AA42" s="973" t="e">
        <f>I282-AA41</f>
        <v>#REF!</v>
      </c>
      <c r="AB42" s="973"/>
    </row>
    <row r="43" spans="1:28" ht="21" customHeight="1">
      <c r="A43" s="563"/>
      <c r="B43" s="563"/>
      <c r="C43" s="563"/>
      <c r="D43" s="564">
        <f t="shared" si="2"/>
        <v>4</v>
      </c>
      <c r="E43" s="564">
        <v>2</v>
      </c>
      <c r="F43" s="564">
        <v>5</v>
      </c>
      <c r="G43" s="564">
        <v>1</v>
      </c>
      <c r="H43" s="564" t="s">
        <v>715</v>
      </c>
      <c r="I43" s="567"/>
      <c r="J43" s="1118"/>
      <c r="K43" s="564"/>
      <c r="L43" s="564"/>
      <c r="M43" s="564"/>
      <c r="N43" s="564"/>
      <c r="O43" s="564"/>
      <c r="P43" s="564"/>
      <c r="Q43" s="564"/>
      <c r="R43" s="1105"/>
      <c r="S43" s="1105"/>
      <c r="T43" s="1105"/>
      <c r="U43" s="1105"/>
      <c r="V43" s="1105"/>
      <c r="W43" s="1144">
        <f t="shared" si="0"/>
        <v>0</v>
      </c>
      <c r="X43" s="1140">
        <f t="shared" si="1"/>
        <v>0</v>
      </c>
    </row>
    <row r="44" spans="1:28">
      <c r="A44" s="563"/>
      <c r="B44" s="563"/>
      <c r="C44" s="563"/>
      <c r="D44" s="564">
        <f t="shared" si="2"/>
        <v>4</v>
      </c>
      <c r="E44" s="564">
        <v>2</v>
      </c>
      <c r="F44" s="564">
        <v>5</v>
      </c>
      <c r="G44" s="564">
        <v>9</v>
      </c>
      <c r="H44" s="564" t="s">
        <v>716</v>
      </c>
      <c r="I44" s="567"/>
      <c r="J44" s="1118"/>
      <c r="K44" s="564"/>
      <c r="L44" s="564"/>
      <c r="M44" s="564"/>
      <c r="N44" s="564"/>
      <c r="O44" s="564"/>
      <c r="P44" s="564"/>
      <c r="Q44" s="564"/>
      <c r="R44" s="1105"/>
      <c r="S44" s="1105"/>
      <c r="T44" s="1105"/>
      <c r="U44" s="1105"/>
      <c r="V44" s="1105"/>
      <c r="W44" s="1144">
        <f t="shared" si="0"/>
        <v>0</v>
      </c>
      <c r="X44" s="1140">
        <f t="shared" si="1"/>
        <v>0</v>
      </c>
    </row>
    <row r="45" spans="1:28" s="420" customFormat="1">
      <c r="A45" s="561"/>
      <c r="B45" s="561"/>
      <c r="C45" s="561"/>
      <c r="D45" s="564">
        <f t="shared" si="2"/>
        <v>4</v>
      </c>
      <c r="E45" s="441">
        <v>3</v>
      </c>
      <c r="F45" s="441" t="s">
        <v>589</v>
      </c>
      <c r="G45" s="441"/>
      <c r="H45" s="441" t="s">
        <v>13</v>
      </c>
      <c r="I45" s="555">
        <f>I46+I48+I50+I52+I54+I56+I58</f>
        <v>0</v>
      </c>
      <c r="J45" s="1117"/>
      <c r="K45" s="441"/>
      <c r="L45" s="441"/>
      <c r="M45" s="441"/>
      <c r="N45" s="441"/>
      <c r="O45" s="441"/>
      <c r="P45" s="441"/>
      <c r="Q45" s="441"/>
      <c r="R45" s="1104"/>
      <c r="S45" s="1104"/>
      <c r="T45" s="1104"/>
      <c r="U45" s="1104"/>
      <c r="V45" s="1104"/>
      <c r="W45" s="1144">
        <f t="shared" si="0"/>
        <v>0</v>
      </c>
      <c r="X45" s="1140">
        <f t="shared" si="1"/>
        <v>0</v>
      </c>
    </row>
    <row r="46" spans="1:28">
      <c r="A46" s="563"/>
      <c r="B46" s="563"/>
      <c r="C46" s="563"/>
      <c r="D46" s="564">
        <f t="shared" si="2"/>
        <v>4</v>
      </c>
      <c r="E46" s="441">
        <v>3</v>
      </c>
      <c r="F46" s="441">
        <v>1</v>
      </c>
      <c r="G46" s="441"/>
      <c r="H46" s="441" t="s">
        <v>717</v>
      </c>
      <c r="I46" s="567">
        <f>I47</f>
        <v>0</v>
      </c>
      <c r="J46" s="1118"/>
      <c r="K46" s="564"/>
      <c r="L46" s="564"/>
      <c r="M46" s="564"/>
      <c r="N46" s="564"/>
      <c r="O46" s="564"/>
      <c r="P46" s="564"/>
      <c r="Q46" s="564"/>
      <c r="R46" s="1105"/>
      <c r="S46" s="1105"/>
      <c r="T46" s="1105"/>
      <c r="U46" s="1105"/>
      <c r="V46" s="1105"/>
      <c r="W46" s="1144">
        <f t="shared" si="0"/>
        <v>0</v>
      </c>
      <c r="X46" s="1140">
        <f t="shared" si="1"/>
        <v>0</v>
      </c>
    </row>
    <row r="47" spans="1:28">
      <c r="A47" s="563"/>
      <c r="B47" s="563"/>
      <c r="C47" s="563"/>
      <c r="D47" s="564">
        <f t="shared" si="2"/>
        <v>4</v>
      </c>
      <c r="E47" s="564">
        <v>3</v>
      </c>
      <c r="F47" s="564">
        <v>1</v>
      </c>
      <c r="G47" s="564">
        <v>1</v>
      </c>
      <c r="H47" s="564" t="s">
        <v>717</v>
      </c>
      <c r="I47" s="567"/>
      <c r="J47" s="1118"/>
      <c r="K47" s="564"/>
      <c r="L47" s="564"/>
      <c r="M47" s="564"/>
      <c r="N47" s="564"/>
      <c r="O47" s="564"/>
      <c r="P47" s="564"/>
      <c r="Q47" s="564"/>
      <c r="R47" s="1105"/>
      <c r="S47" s="1105"/>
      <c r="T47" s="1105"/>
      <c r="U47" s="1105"/>
      <c r="V47" s="1105"/>
      <c r="W47" s="1144">
        <f t="shared" si="0"/>
        <v>0</v>
      </c>
      <c r="X47" s="1140">
        <f t="shared" si="1"/>
        <v>0</v>
      </c>
    </row>
    <row r="48" spans="1:28">
      <c r="A48" s="563"/>
      <c r="B48" s="563"/>
      <c r="C48" s="563"/>
      <c r="D48" s="564">
        <f t="shared" si="2"/>
        <v>4</v>
      </c>
      <c r="E48" s="441">
        <v>3</v>
      </c>
      <c r="F48" s="441">
        <v>2</v>
      </c>
      <c r="G48" s="441"/>
      <c r="H48" s="441" t="s">
        <v>718</v>
      </c>
      <c r="I48" s="567">
        <f>I49</f>
        <v>0</v>
      </c>
      <c r="J48" s="1118"/>
      <c r="K48" s="564"/>
      <c r="L48" s="564"/>
      <c r="M48" s="564"/>
      <c r="N48" s="564"/>
      <c r="O48" s="564"/>
      <c r="P48" s="564"/>
      <c r="Q48" s="564"/>
      <c r="R48" s="1105"/>
      <c r="S48" s="1105"/>
      <c r="T48" s="1105"/>
      <c r="U48" s="1105"/>
      <c r="V48" s="1105"/>
      <c r="W48" s="1144">
        <f t="shared" si="0"/>
        <v>0</v>
      </c>
      <c r="X48" s="1140">
        <f t="shared" si="1"/>
        <v>0</v>
      </c>
    </row>
    <row r="49" spans="1:36">
      <c r="A49" s="563"/>
      <c r="B49" s="563"/>
      <c r="C49" s="563"/>
      <c r="D49" s="564">
        <f t="shared" si="2"/>
        <v>4</v>
      </c>
      <c r="E49" s="564">
        <v>3</v>
      </c>
      <c r="F49" s="564">
        <v>2</v>
      </c>
      <c r="G49" s="564">
        <v>1</v>
      </c>
      <c r="H49" s="564" t="s">
        <v>718</v>
      </c>
      <c r="I49" s="567"/>
      <c r="J49" s="1118"/>
      <c r="K49" s="564"/>
      <c r="L49" s="564"/>
      <c r="M49" s="564"/>
      <c r="N49" s="564"/>
      <c r="O49" s="564"/>
      <c r="P49" s="564"/>
      <c r="Q49" s="564"/>
      <c r="R49" s="1105"/>
      <c r="S49" s="1105"/>
      <c r="T49" s="1105"/>
      <c r="U49" s="1105"/>
      <c r="V49" s="1105"/>
      <c r="W49" s="1144">
        <f t="shared" si="0"/>
        <v>0</v>
      </c>
      <c r="X49" s="1140">
        <f t="shared" si="1"/>
        <v>0</v>
      </c>
    </row>
    <row r="50" spans="1:36">
      <c r="A50" s="563"/>
      <c r="B50" s="563"/>
      <c r="C50" s="563"/>
      <c r="D50" s="564">
        <f t="shared" si="2"/>
        <v>4</v>
      </c>
      <c r="E50" s="441">
        <v>3</v>
      </c>
      <c r="F50" s="441">
        <v>3</v>
      </c>
      <c r="G50" s="441"/>
      <c r="H50" s="441" t="s">
        <v>719</v>
      </c>
      <c r="I50" s="567">
        <f>I51</f>
        <v>0</v>
      </c>
      <c r="J50" s="1118"/>
      <c r="K50" s="564"/>
      <c r="L50" s="564"/>
      <c r="M50" s="564"/>
      <c r="N50" s="564"/>
      <c r="O50" s="564"/>
      <c r="P50" s="564"/>
      <c r="Q50" s="564"/>
      <c r="R50" s="1105"/>
      <c r="S50" s="1105"/>
      <c r="T50" s="1105"/>
      <c r="U50" s="1105"/>
      <c r="V50" s="1105"/>
      <c r="W50" s="1144">
        <f t="shared" si="0"/>
        <v>0</v>
      </c>
      <c r="X50" s="1140">
        <f t="shared" si="1"/>
        <v>0</v>
      </c>
    </row>
    <row r="51" spans="1:36">
      <c r="A51" s="563"/>
      <c r="B51" s="563"/>
      <c r="C51" s="563"/>
      <c r="D51" s="564">
        <f t="shared" si="2"/>
        <v>4</v>
      </c>
      <c r="E51" s="564">
        <v>3</v>
      </c>
      <c r="F51" s="564">
        <v>3</v>
      </c>
      <c r="G51" s="564">
        <v>1</v>
      </c>
      <c r="H51" s="564" t="s">
        <v>719</v>
      </c>
      <c r="I51" s="567"/>
      <c r="J51" s="1118"/>
      <c r="K51" s="564"/>
      <c r="L51" s="564"/>
      <c r="M51" s="564"/>
      <c r="N51" s="564"/>
      <c r="O51" s="564"/>
      <c r="P51" s="564"/>
      <c r="Q51" s="564"/>
      <c r="R51" s="1105"/>
      <c r="S51" s="1105"/>
      <c r="T51" s="1105"/>
      <c r="U51" s="1105"/>
      <c r="V51" s="1105"/>
      <c r="W51" s="1144">
        <f t="shared" si="0"/>
        <v>0</v>
      </c>
      <c r="X51" s="1140">
        <f t="shared" si="1"/>
        <v>0</v>
      </c>
    </row>
    <row r="52" spans="1:36">
      <c r="A52" s="563"/>
      <c r="B52" s="563"/>
      <c r="C52" s="563"/>
      <c r="D52" s="564">
        <f t="shared" si="2"/>
        <v>4</v>
      </c>
      <c r="E52" s="441">
        <v>3</v>
      </c>
      <c r="F52" s="441">
        <v>4</v>
      </c>
      <c r="G52" s="441"/>
      <c r="H52" s="441" t="s">
        <v>720</v>
      </c>
      <c r="I52" s="555">
        <f>I53</f>
        <v>0</v>
      </c>
      <c r="J52" s="1117"/>
      <c r="K52" s="564"/>
      <c r="L52" s="564"/>
      <c r="M52" s="564"/>
      <c r="N52" s="564"/>
      <c r="O52" s="564"/>
      <c r="P52" s="564"/>
      <c r="Q52" s="564"/>
      <c r="R52" s="1105"/>
      <c r="S52" s="1105"/>
      <c r="T52" s="1105"/>
      <c r="U52" s="1105"/>
      <c r="V52" s="1105"/>
      <c r="W52" s="1144">
        <f t="shared" si="0"/>
        <v>0</v>
      </c>
      <c r="X52" s="1140">
        <f t="shared" si="1"/>
        <v>0</v>
      </c>
      <c r="AA52" s="848"/>
    </row>
    <row r="53" spans="1:36">
      <c r="A53" s="563"/>
      <c r="B53" s="563"/>
      <c r="C53" s="563"/>
      <c r="D53" s="564">
        <f t="shared" si="2"/>
        <v>4</v>
      </c>
      <c r="E53" s="564">
        <v>3</v>
      </c>
      <c r="F53" s="564">
        <v>4</v>
      </c>
      <c r="G53" s="564">
        <v>1</v>
      </c>
      <c r="H53" s="564" t="s">
        <v>720</v>
      </c>
      <c r="I53" s="567"/>
      <c r="J53" s="1118"/>
      <c r="K53" s="564"/>
      <c r="L53" s="564"/>
      <c r="M53" s="564"/>
      <c r="N53" s="564"/>
      <c r="O53" s="564"/>
      <c r="P53" s="564"/>
      <c r="Q53" s="564"/>
      <c r="R53" s="1105"/>
      <c r="S53" s="1105"/>
      <c r="T53" s="1105"/>
      <c r="U53" s="1105"/>
      <c r="V53" s="1105"/>
      <c r="W53" s="1144">
        <f t="shared" si="0"/>
        <v>0</v>
      </c>
      <c r="X53" s="1140">
        <f t="shared" si="1"/>
        <v>0</v>
      </c>
    </row>
    <row r="54" spans="1:36" ht="18" customHeight="1">
      <c r="A54" s="563"/>
      <c r="B54" s="563"/>
      <c r="C54" s="563"/>
      <c r="D54" s="564">
        <f t="shared" si="2"/>
        <v>4</v>
      </c>
      <c r="E54" s="441">
        <v>3</v>
      </c>
      <c r="F54" s="441">
        <v>5</v>
      </c>
      <c r="G54" s="441"/>
      <c r="H54" s="441" t="s">
        <v>721</v>
      </c>
      <c r="I54" s="567">
        <f>I55</f>
        <v>0</v>
      </c>
      <c r="J54" s="1118"/>
      <c r="K54" s="564"/>
      <c r="L54" s="564"/>
      <c r="M54" s="564"/>
      <c r="N54" s="564"/>
      <c r="O54" s="564"/>
      <c r="P54" s="564"/>
      <c r="Q54" s="564"/>
      <c r="R54" s="1105"/>
      <c r="S54" s="1105"/>
      <c r="T54" s="1105"/>
      <c r="U54" s="1105"/>
      <c r="V54" s="1105"/>
      <c r="W54" s="1144">
        <f t="shared" si="0"/>
        <v>0</v>
      </c>
      <c r="X54" s="1140">
        <f t="shared" si="1"/>
        <v>0</v>
      </c>
    </row>
    <row r="55" spans="1:36" ht="47.25">
      <c r="A55" s="563"/>
      <c r="B55" s="563"/>
      <c r="C55" s="563"/>
      <c r="D55" s="564">
        <f t="shared" si="2"/>
        <v>4</v>
      </c>
      <c r="E55" s="564">
        <v>3</v>
      </c>
      <c r="F55" s="564">
        <v>5</v>
      </c>
      <c r="G55" s="564">
        <v>1</v>
      </c>
      <c r="H55" s="564" t="s">
        <v>721</v>
      </c>
      <c r="I55" s="567"/>
      <c r="J55" s="1118"/>
      <c r="K55" s="564"/>
      <c r="L55" s="564"/>
      <c r="M55" s="564"/>
      <c r="N55" s="564"/>
      <c r="O55" s="564"/>
      <c r="P55" s="564"/>
      <c r="Q55" s="564"/>
      <c r="R55" s="1105"/>
      <c r="S55" s="1105"/>
      <c r="T55" s="1105"/>
      <c r="U55" s="1105"/>
      <c r="V55" s="1105"/>
      <c r="W55" s="1144">
        <f t="shared" si="0"/>
        <v>0</v>
      </c>
      <c r="X55" s="1140">
        <f t="shared" si="1"/>
        <v>0</v>
      </c>
    </row>
    <row r="56" spans="1:36">
      <c r="A56" s="563"/>
      <c r="B56" s="563"/>
      <c r="C56" s="563"/>
      <c r="D56" s="564">
        <f t="shared" si="2"/>
        <v>4</v>
      </c>
      <c r="E56" s="441">
        <v>3</v>
      </c>
      <c r="F56" s="441">
        <v>6</v>
      </c>
      <c r="G56" s="441"/>
      <c r="H56" s="441" t="s">
        <v>722</v>
      </c>
      <c r="I56" s="555">
        <f>I57</f>
        <v>0</v>
      </c>
      <c r="J56" s="1117"/>
      <c r="K56" s="564"/>
      <c r="L56" s="564"/>
      <c r="M56" s="564"/>
      <c r="N56" s="564"/>
      <c r="O56" s="564"/>
      <c r="P56" s="564"/>
      <c r="Q56" s="564"/>
      <c r="R56" s="1105"/>
      <c r="S56" s="1105"/>
      <c r="T56" s="1105"/>
      <c r="U56" s="1105"/>
      <c r="V56" s="1105"/>
      <c r="W56" s="1144">
        <f t="shared" si="0"/>
        <v>0</v>
      </c>
      <c r="X56" s="1140">
        <f t="shared" si="1"/>
        <v>0</v>
      </c>
    </row>
    <row r="57" spans="1:36">
      <c r="A57" s="563"/>
      <c r="B57" s="563"/>
      <c r="C57" s="563"/>
      <c r="D57" s="564">
        <f t="shared" si="2"/>
        <v>4</v>
      </c>
      <c r="E57" s="564">
        <v>3</v>
      </c>
      <c r="F57" s="564">
        <v>6</v>
      </c>
      <c r="G57" s="564">
        <v>1</v>
      </c>
      <c r="H57" s="564" t="s">
        <v>722</v>
      </c>
      <c r="I57" s="567">
        <v>0</v>
      </c>
      <c r="J57" s="1118"/>
      <c r="K57" s="564"/>
      <c r="L57" s="564"/>
      <c r="M57" s="564"/>
      <c r="N57" s="564"/>
      <c r="O57" s="564"/>
      <c r="P57" s="564"/>
      <c r="Q57" s="564"/>
      <c r="R57" s="1105"/>
      <c r="S57" s="1105"/>
      <c r="T57" s="1105"/>
      <c r="U57" s="1105"/>
      <c r="V57" s="1105"/>
      <c r="W57" s="1144">
        <f t="shared" si="0"/>
        <v>0</v>
      </c>
      <c r="X57" s="1140">
        <f t="shared" si="1"/>
        <v>0</v>
      </c>
    </row>
    <row r="58" spans="1:36" ht="17.25" customHeight="1">
      <c r="A58" s="563"/>
      <c r="B58" s="563"/>
      <c r="C58" s="563"/>
      <c r="D58" s="564">
        <f t="shared" si="2"/>
        <v>4</v>
      </c>
      <c r="E58" s="441">
        <v>3</v>
      </c>
      <c r="F58" s="441">
        <v>9</v>
      </c>
      <c r="G58" s="441"/>
      <c r="H58" s="441" t="s">
        <v>723</v>
      </c>
      <c r="I58" s="567">
        <f>I59</f>
        <v>0</v>
      </c>
      <c r="J58" s="1118"/>
      <c r="K58" s="564"/>
      <c r="L58" s="564"/>
      <c r="M58" s="564"/>
      <c r="N58" s="564"/>
      <c r="O58" s="564"/>
      <c r="P58" s="564"/>
      <c r="Q58" s="564"/>
      <c r="R58" s="1105"/>
      <c r="S58" s="1105"/>
      <c r="T58" s="1105"/>
      <c r="U58" s="1105"/>
      <c r="V58" s="1105"/>
      <c r="W58" s="1144">
        <f t="shared" si="0"/>
        <v>0</v>
      </c>
      <c r="X58" s="1140">
        <f t="shared" si="1"/>
        <v>0</v>
      </c>
    </row>
    <row r="59" spans="1:36">
      <c r="A59" s="563"/>
      <c r="B59" s="563"/>
      <c r="C59" s="563"/>
      <c r="D59" s="564">
        <f t="shared" si="2"/>
        <v>4</v>
      </c>
      <c r="E59" s="564">
        <v>3</v>
      </c>
      <c r="F59" s="564">
        <v>9</v>
      </c>
      <c r="G59" s="564">
        <v>9</v>
      </c>
      <c r="H59" s="564" t="s">
        <v>723</v>
      </c>
      <c r="I59" s="567"/>
      <c r="J59" s="1118"/>
      <c r="K59" s="564"/>
      <c r="L59" s="564"/>
      <c r="M59" s="564"/>
      <c r="N59" s="564"/>
      <c r="O59" s="564"/>
      <c r="P59" s="564"/>
      <c r="Q59" s="564"/>
      <c r="R59" s="1105"/>
      <c r="S59" s="1105"/>
      <c r="T59" s="1105"/>
      <c r="U59" s="1105"/>
      <c r="V59" s="1105"/>
      <c r="W59" s="1144">
        <f t="shared" si="0"/>
        <v>0</v>
      </c>
      <c r="X59" s="1140">
        <f t="shared" si="1"/>
        <v>0</v>
      </c>
    </row>
    <row r="60" spans="1:36" s="420" customFormat="1">
      <c r="A60" s="561"/>
      <c r="B60" s="561"/>
      <c r="C60" s="561"/>
      <c r="D60" s="441"/>
      <c r="E60" s="441"/>
      <c r="F60" s="441"/>
      <c r="G60" s="441"/>
      <c r="H60" s="441" t="s">
        <v>6</v>
      </c>
      <c r="I60" s="555">
        <f>I14</f>
        <v>1265514000</v>
      </c>
      <c r="J60" s="1117"/>
      <c r="K60" s="441"/>
      <c r="L60" s="441"/>
      <c r="M60" s="441"/>
      <c r="N60" s="441"/>
      <c r="O60" s="441"/>
      <c r="P60" s="441"/>
      <c r="Q60" s="441"/>
      <c r="R60" s="1104"/>
      <c r="S60" s="1104"/>
      <c r="T60" s="1104"/>
      <c r="U60" s="1104"/>
      <c r="V60" s="1104"/>
      <c r="W60" s="1144">
        <f t="shared" si="0"/>
        <v>0</v>
      </c>
      <c r="X60" s="1140">
        <f t="shared" si="1"/>
        <v>1265514000</v>
      </c>
      <c r="Z60"/>
      <c r="AA60"/>
      <c r="AB60"/>
      <c r="AC60"/>
      <c r="AD60"/>
      <c r="AE60"/>
      <c r="AF60"/>
      <c r="AG60"/>
      <c r="AH60"/>
      <c r="AI60"/>
      <c r="AJ60"/>
    </row>
    <row r="61" spans="1:36">
      <c r="A61" s="563"/>
      <c r="B61" s="563"/>
      <c r="C61" s="563"/>
      <c r="D61" s="563"/>
      <c r="E61" s="563"/>
      <c r="F61" s="563"/>
      <c r="G61" s="563"/>
      <c r="H61" s="564"/>
      <c r="I61" s="567"/>
      <c r="J61" s="1118"/>
      <c r="K61" s="564"/>
      <c r="L61" s="564"/>
      <c r="M61" s="564"/>
      <c r="N61" s="564"/>
      <c r="O61" s="564"/>
      <c r="P61" s="564"/>
      <c r="Q61" s="564"/>
      <c r="R61" s="1105"/>
      <c r="S61" s="1105"/>
      <c r="T61" s="1105"/>
      <c r="U61" s="1105"/>
      <c r="V61" s="1105"/>
      <c r="W61" s="1144">
        <f t="shared" si="0"/>
        <v>0</v>
      </c>
      <c r="X61" s="1140">
        <f t="shared" si="1"/>
        <v>0</v>
      </c>
      <c r="Y61" s="828"/>
      <c r="Z61" s="829"/>
      <c r="AA61" s="829"/>
      <c r="AB61" s="829"/>
      <c r="AC61" s="829"/>
      <c r="AD61" s="829"/>
      <c r="AE61" s="829"/>
      <c r="AF61" s="829"/>
      <c r="AG61" s="829"/>
      <c r="AH61"/>
      <c r="AI61"/>
      <c r="AJ61"/>
    </row>
    <row r="62" spans="1:36" s="420" customFormat="1" ht="18.75" customHeight="1">
      <c r="A62" s="561"/>
      <c r="B62" s="561"/>
      <c r="C62" s="561"/>
      <c r="D62" s="561">
        <v>5</v>
      </c>
      <c r="E62" s="561"/>
      <c r="F62" s="561"/>
      <c r="G62" s="561"/>
      <c r="H62" s="441" t="s">
        <v>7</v>
      </c>
      <c r="I62" s="555" t="e">
        <f>I63+I163+I195+I245+I276</f>
        <v>#REF!</v>
      </c>
      <c r="J62" s="555" t="e">
        <f t="shared" ref="J62:V62" si="4">J63+J163+J195+J245+J276</f>
        <v>#REF!</v>
      </c>
      <c r="K62" s="555">
        <f t="shared" si="4"/>
        <v>19570000</v>
      </c>
      <c r="L62" s="555">
        <f t="shared" si="4"/>
        <v>19110000</v>
      </c>
      <c r="M62" s="555">
        <f t="shared" si="4"/>
        <v>19110000</v>
      </c>
      <c r="N62" s="555">
        <f t="shared" si="4"/>
        <v>19110000</v>
      </c>
      <c r="O62" s="555">
        <f t="shared" si="4"/>
        <v>19110000</v>
      </c>
      <c r="P62" s="555">
        <f t="shared" si="4"/>
        <v>19110000</v>
      </c>
      <c r="Q62" s="555">
        <f t="shared" si="4"/>
        <v>19110000</v>
      </c>
      <c r="R62" s="555">
        <f t="shared" si="4"/>
        <v>19110000</v>
      </c>
      <c r="S62" s="555">
        <f t="shared" si="4"/>
        <v>19110000</v>
      </c>
      <c r="T62" s="555">
        <f t="shared" si="4"/>
        <v>19110000</v>
      </c>
      <c r="U62" s="555">
        <f t="shared" si="4"/>
        <v>19110000</v>
      </c>
      <c r="V62" s="555">
        <f t="shared" si="4"/>
        <v>19110000</v>
      </c>
      <c r="W62" s="1144" t="e">
        <f t="shared" si="0"/>
        <v>#REF!</v>
      </c>
      <c r="X62" s="1140" t="e">
        <f t="shared" si="1"/>
        <v>#REF!</v>
      </c>
      <c r="Y62" s="830"/>
      <c r="Z62" s="829"/>
      <c r="AA62" s="831"/>
      <c r="AB62" s="829"/>
      <c r="AC62" s="829"/>
      <c r="AD62" s="829"/>
      <c r="AE62" s="829"/>
      <c r="AF62" s="829"/>
      <c r="AG62" s="829"/>
      <c r="AH62"/>
      <c r="AI62"/>
      <c r="AJ62"/>
    </row>
    <row r="63" spans="1:36" s="849" customFormat="1" ht="21" customHeight="1">
      <c r="A63" s="812">
        <v>1</v>
      </c>
      <c r="B63" s="812"/>
      <c r="C63" s="812"/>
      <c r="D63" s="812"/>
      <c r="E63" s="812"/>
      <c r="F63" s="812"/>
      <c r="G63" s="812"/>
      <c r="H63" s="815" t="s">
        <v>961</v>
      </c>
      <c r="I63" s="816" t="e">
        <f>I64+I113+I123+I128+I154</f>
        <v>#REF!</v>
      </c>
      <c r="J63" s="816" t="e">
        <f t="shared" ref="J63:V63" si="5">J64+J113+J123+J128+J154</f>
        <v>#REF!</v>
      </c>
      <c r="K63" s="816">
        <f t="shared" si="5"/>
        <v>19570000</v>
      </c>
      <c r="L63" s="816">
        <f t="shared" si="5"/>
        <v>19110000</v>
      </c>
      <c r="M63" s="816">
        <f t="shared" si="5"/>
        <v>19110000</v>
      </c>
      <c r="N63" s="816">
        <f t="shared" si="5"/>
        <v>19110000</v>
      </c>
      <c r="O63" s="816">
        <f t="shared" si="5"/>
        <v>19110000</v>
      </c>
      <c r="P63" s="816">
        <f t="shared" si="5"/>
        <v>19110000</v>
      </c>
      <c r="Q63" s="816">
        <f t="shared" si="5"/>
        <v>19110000</v>
      </c>
      <c r="R63" s="816">
        <f t="shared" si="5"/>
        <v>19110000</v>
      </c>
      <c r="S63" s="816">
        <f t="shared" si="5"/>
        <v>19110000</v>
      </c>
      <c r="T63" s="816">
        <f t="shared" si="5"/>
        <v>19110000</v>
      </c>
      <c r="U63" s="816">
        <f t="shared" si="5"/>
        <v>19110000</v>
      </c>
      <c r="V63" s="816">
        <f t="shared" si="5"/>
        <v>19110000</v>
      </c>
      <c r="W63" s="1144" t="e">
        <f t="shared" si="0"/>
        <v>#REF!</v>
      </c>
      <c r="X63" s="1140" t="e">
        <f t="shared" si="1"/>
        <v>#REF!</v>
      </c>
      <c r="Y63" s="919"/>
      <c r="Z63" s="850"/>
      <c r="AA63" s="850"/>
      <c r="AB63" s="850"/>
      <c r="AC63" s="850"/>
      <c r="AD63" s="850"/>
      <c r="AE63" s="850"/>
      <c r="AF63" s="850"/>
      <c r="AG63" s="850"/>
      <c r="AH63" s="851"/>
      <c r="AI63" s="851"/>
      <c r="AJ63" s="851"/>
    </row>
    <row r="64" spans="1:36" s="420" customFormat="1" ht="31.5">
      <c r="A64" s="798">
        <v>1</v>
      </c>
      <c r="B64" s="799">
        <v>1</v>
      </c>
      <c r="C64" s="798"/>
      <c r="D64" s="798"/>
      <c r="E64" s="798"/>
      <c r="F64" s="798"/>
      <c r="G64" s="798"/>
      <c r="H64" s="801" t="s">
        <v>592</v>
      </c>
      <c r="I64" s="802" t="e">
        <f>I65+I70+I75+I82+I97+I101+I109</f>
        <v>#REF!</v>
      </c>
      <c r="J64" s="802" t="e">
        <f t="shared" ref="J64:V64" si="6">J65+J70+J75+J82+J97+J101+J109</f>
        <v>#REF!</v>
      </c>
      <c r="K64" s="802">
        <f t="shared" si="6"/>
        <v>19570000</v>
      </c>
      <c r="L64" s="802">
        <f t="shared" si="6"/>
        <v>19110000</v>
      </c>
      <c r="M64" s="802">
        <f t="shared" si="6"/>
        <v>19110000</v>
      </c>
      <c r="N64" s="802">
        <f t="shared" si="6"/>
        <v>19110000</v>
      </c>
      <c r="O64" s="802">
        <f t="shared" si="6"/>
        <v>19110000</v>
      </c>
      <c r="P64" s="802">
        <f t="shared" si="6"/>
        <v>19110000</v>
      </c>
      <c r="Q64" s="802">
        <f t="shared" si="6"/>
        <v>19110000</v>
      </c>
      <c r="R64" s="802">
        <f t="shared" si="6"/>
        <v>19110000</v>
      </c>
      <c r="S64" s="802">
        <f t="shared" si="6"/>
        <v>19110000</v>
      </c>
      <c r="T64" s="802">
        <f t="shared" si="6"/>
        <v>19110000</v>
      </c>
      <c r="U64" s="802">
        <f t="shared" si="6"/>
        <v>19110000</v>
      </c>
      <c r="V64" s="802">
        <f t="shared" si="6"/>
        <v>19110000</v>
      </c>
      <c r="W64" s="1144" t="e">
        <f t="shared" si="0"/>
        <v>#REF!</v>
      </c>
      <c r="X64" s="1140" t="e">
        <f t="shared" si="1"/>
        <v>#REF!</v>
      </c>
      <c r="Y64" s="830"/>
      <c r="Z64" s="858"/>
      <c r="AA64" s="912"/>
      <c r="AB64" s="858"/>
      <c r="AC64" s="829"/>
      <c r="AD64" s="829"/>
      <c r="AE64" s="829"/>
      <c r="AF64" s="829"/>
      <c r="AG64" s="829"/>
      <c r="AH64"/>
      <c r="AI64"/>
      <c r="AJ64"/>
    </row>
    <row r="65" spans="1:36">
      <c r="A65" s="542">
        <v>1</v>
      </c>
      <c r="B65" s="545">
        <v>1</v>
      </c>
      <c r="C65" s="545" t="s">
        <v>593</v>
      </c>
      <c r="D65" s="542">
        <v>5</v>
      </c>
      <c r="E65" s="542"/>
      <c r="F65" s="542"/>
      <c r="G65" s="542"/>
      <c r="H65" s="543" t="s">
        <v>548</v>
      </c>
      <c r="I65" s="797">
        <f>I66</f>
        <v>42000000</v>
      </c>
      <c r="J65" s="797">
        <f t="shared" ref="J65:Q66" si="7">J66</f>
        <v>3500000</v>
      </c>
      <c r="K65" s="797">
        <f t="shared" si="7"/>
        <v>3500000</v>
      </c>
      <c r="L65" s="797">
        <f t="shared" si="7"/>
        <v>3040000</v>
      </c>
      <c r="M65" s="797">
        <f t="shared" si="7"/>
        <v>3040000</v>
      </c>
      <c r="N65" s="797">
        <f t="shared" si="7"/>
        <v>3040000</v>
      </c>
      <c r="O65" s="797">
        <f t="shared" si="7"/>
        <v>3040000</v>
      </c>
      <c r="P65" s="797">
        <f t="shared" si="7"/>
        <v>3040000</v>
      </c>
      <c r="Q65" s="797">
        <f t="shared" si="7"/>
        <v>3040000</v>
      </c>
      <c r="R65" s="797">
        <f t="shared" ref="R65:V66" si="8">R66</f>
        <v>3040000</v>
      </c>
      <c r="S65" s="797">
        <f t="shared" si="8"/>
        <v>3040000</v>
      </c>
      <c r="T65" s="797">
        <f t="shared" si="8"/>
        <v>3040000</v>
      </c>
      <c r="U65" s="797">
        <f t="shared" si="8"/>
        <v>3040000</v>
      </c>
      <c r="V65" s="797">
        <f t="shared" si="8"/>
        <v>3040000</v>
      </c>
      <c r="W65" s="1144">
        <f t="shared" si="0"/>
        <v>37400000</v>
      </c>
      <c r="X65" s="1140">
        <f t="shared" si="1"/>
        <v>4600000</v>
      </c>
      <c r="Y65" s="828"/>
      <c r="Z65" s="858"/>
      <c r="AA65" s="912"/>
      <c r="AB65" s="858"/>
      <c r="AC65" s="829"/>
      <c r="AD65" s="829"/>
      <c r="AE65" s="829"/>
      <c r="AF65" s="829"/>
      <c r="AG65" s="832"/>
      <c r="AH65" s="534"/>
      <c r="AI65" s="534"/>
      <c r="AJ65" s="534"/>
    </row>
    <row r="66" spans="1:36">
      <c r="A66" s="563">
        <v>1</v>
      </c>
      <c r="B66" s="569">
        <v>1</v>
      </c>
      <c r="C66" s="569" t="s">
        <v>593</v>
      </c>
      <c r="D66" s="563">
        <v>5</v>
      </c>
      <c r="E66" s="563">
        <v>1</v>
      </c>
      <c r="F66" s="563"/>
      <c r="G66" s="563"/>
      <c r="H66" s="564" t="s">
        <v>312</v>
      </c>
      <c r="I66" s="567">
        <f>I67</f>
        <v>42000000</v>
      </c>
      <c r="J66" s="567">
        <f t="shared" si="7"/>
        <v>3500000</v>
      </c>
      <c r="K66" s="567">
        <f t="shared" si="7"/>
        <v>3500000</v>
      </c>
      <c r="L66" s="567">
        <f t="shared" si="7"/>
        <v>3040000</v>
      </c>
      <c r="M66" s="567">
        <f t="shared" si="7"/>
        <v>3040000</v>
      </c>
      <c r="N66" s="567">
        <f t="shared" si="7"/>
        <v>3040000</v>
      </c>
      <c r="O66" s="567">
        <f t="shared" si="7"/>
        <v>3040000</v>
      </c>
      <c r="P66" s="567">
        <f t="shared" si="7"/>
        <v>3040000</v>
      </c>
      <c r="Q66" s="567">
        <f t="shared" si="7"/>
        <v>3040000</v>
      </c>
      <c r="R66" s="567">
        <f t="shared" si="8"/>
        <v>3040000</v>
      </c>
      <c r="S66" s="567">
        <f t="shared" si="8"/>
        <v>3040000</v>
      </c>
      <c r="T66" s="567">
        <f t="shared" si="8"/>
        <v>3040000</v>
      </c>
      <c r="U66" s="567">
        <f t="shared" si="8"/>
        <v>3040000</v>
      </c>
      <c r="V66" s="567">
        <f t="shared" si="8"/>
        <v>3040000</v>
      </c>
      <c r="W66" s="1144">
        <f t="shared" si="0"/>
        <v>37400000</v>
      </c>
      <c r="X66" s="1140">
        <f t="shared" si="1"/>
        <v>4600000</v>
      </c>
      <c r="Y66" s="828"/>
      <c r="Z66" s="855"/>
      <c r="AA66" s="913"/>
      <c r="AB66" s="858"/>
      <c r="AC66" s="829"/>
      <c r="AD66" s="829"/>
      <c r="AE66" s="829"/>
      <c r="AF66" s="829"/>
      <c r="AG66" s="832"/>
      <c r="AH66" s="534"/>
      <c r="AI66" s="534"/>
      <c r="AJ66" s="534"/>
    </row>
    <row r="67" spans="1:36">
      <c r="A67" s="563">
        <v>1</v>
      </c>
      <c r="B67" s="569">
        <v>1</v>
      </c>
      <c r="C67" s="569" t="s">
        <v>593</v>
      </c>
      <c r="D67" s="563">
        <v>5</v>
      </c>
      <c r="E67" s="563">
        <v>1</v>
      </c>
      <c r="F67" s="569">
        <v>1</v>
      </c>
      <c r="G67" s="569"/>
      <c r="H67" s="564" t="s">
        <v>724</v>
      </c>
      <c r="I67" s="567">
        <f>I68+I69</f>
        <v>42000000</v>
      </c>
      <c r="J67" s="567">
        <f t="shared" ref="J67:V67" si="9">J68+J69</f>
        <v>3500000</v>
      </c>
      <c r="K67" s="567">
        <f t="shared" si="9"/>
        <v>3500000</v>
      </c>
      <c r="L67" s="567">
        <f t="shared" si="9"/>
        <v>3040000</v>
      </c>
      <c r="M67" s="567">
        <f t="shared" si="9"/>
        <v>3040000</v>
      </c>
      <c r="N67" s="567">
        <f t="shared" si="9"/>
        <v>3040000</v>
      </c>
      <c r="O67" s="567">
        <f t="shared" si="9"/>
        <v>3040000</v>
      </c>
      <c r="P67" s="567">
        <f t="shared" si="9"/>
        <v>3040000</v>
      </c>
      <c r="Q67" s="567">
        <f t="shared" si="9"/>
        <v>3040000</v>
      </c>
      <c r="R67" s="567">
        <f t="shared" si="9"/>
        <v>3040000</v>
      </c>
      <c r="S67" s="567">
        <f t="shared" si="9"/>
        <v>3040000</v>
      </c>
      <c r="T67" s="567">
        <f t="shared" si="9"/>
        <v>3040000</v>
      </c>
      <c r="U67" s="567">
        <f t="shared" si="9"/>
        <v>3040000</v>
      </c>
      <c r="V67" s="567">
        <f t="shared" si="9"/>
        <v>3040000</v>
      </c>
      <c r="W67" s="1144">
        <f t="shared" si="0"/>
        <v>37400000</v>
      </c>
      <c r="X67" s="1140">
        <f t="shared" si="1"/>
        <v>4600000</v>
      </c>
      <c r="Y67" s="828"/>
      <c r="Z67" s="855"/>
      <c r="AA67" s="913"/>
      <c r="AB67" s="858"/>
      <c r="AC67" s="829"/>
      <c r="AD67" s="829"/>
      <c r="AE67" s="829"/>
      <c r="AF67" s="829"/>
      <c r="AG67" s="829"/>
      <c r="AH67"/>
      <c r="AI67"/>
      <c r="AJ67"/>
    </row>
    <row r="68" spans="1:36">
      <c r="A68" s="563">
        <v>1</v>
      </c>
      <c r="B68" s="569">
        <v>1</v>
      </c>
      <c r="C68" s="569" t="s">
        <v>593</v>
      </c>
      <c r="D68" s="563">
        <v>5</v>
      </c>
      <c r="E68" s="563">
        <v>1</v>
      </c>
      <c r="F68" s="569">
        <v>1</v>
      </c>
      <c r="G68" s="569">
        <v>1</v>
      </c>
      <c r="H68" s="564" t="s">
        <v>204</v>
      </c>
      <c r="I68" s="567">
        <f>'1.1 Siltun Kds'!H16</f>
        <v>30000000</v>
      </c>
      <c r="J68" s="1118">
        <f>I68/12</f>
        <v>2500000</v>
      </c>
      <c r="K68" s="565">
        <f>J68</f>
        <v>2500000</v>
      </c>
      <c r="L68" s="565">
        <f t="shared" ref="L68:V68" si="10">K68</f>
        <v>2500000</v>
      </c>
      <c r="M68" s="565">
        <f t="shared" si="10"/>
        <v>2500000</v>
      </c>
      <c r="N68" s="565">
        <f t="shared" si="10"/>
        <v>2500000</v>
      </c>
      <c r="O68" s="565">
        <f t="shared" si="10"/>
        <v>2500000</v>
      </c>
      <c r="P68" s="565">
        <f t="shared" si="10"/>
        <v>2500000</v>
      </c>
      <c r="Q68" s="565">
        <f t="shared" si="10"/>
        <v>2500000</v>
      </c>
      <c r="R68" s="565">
        <f t="shared" si="10"/>
        <v>2500000</v>
      </c>
      <c r="S68" s="565">
        <f t="shared" si="10"/>
        <v>2500000</v>
      </c>
      <c r="T68" s="565">
        <f t="shared" si="10"/>
        <v>2500000</v>
      </c>
      <c r="U68" s="565">
        <f t="shared" si="10"/>
        <v>2500000</v>
      </c>
      <c r="V68" s="565">
        <f t="shared" si="10"/>
        <v>2500000</v>
      </c>
      <c r="W68" s="1144">
        <f t="shared" si="0"/>
        <v>30000000</v>
      </c>
      <c r="X68" s="1140">
        <f t="shared" si="1"/>
        <v>0</v>
      </c>
      <c r="Y68" s="828"/>
      <c r="Z68" s="914"/>
      <c r="AA68" s="915"/>
      <c r="AB68" s="858"/>
      <c r="AC68" s="829"/>
      <c r="AD68" s="829"/>
      <c r="AE68" s="829"/>
      <c r="AF68" s="829"/>
      <c r="AG68" s="832"/>
      <c r="AH68" s="534"/>
      <c r="AI68" s="534"/>
      <c r="AJ68" s="534"/>
    </row>
    <row r="69" spans="1:36">
      <c r="A69" s="563">
        <v>1</v>
      </c>
      <c r="B69" s="569">
        <v>1</v>
      </c>
      <c r="C69" s="569" t="s">
        <v>593</v>
      </c>
      <c r="D69" s="563">
        <v>5</v>
      </c>
      <c r="E69" s="563">
        <v>1</v>
      </c>
      <c r="F69" s="569">
        <v>1</v>
      </c>
      <c r="G69" s="569">
        <v>2</v>
      </c>
      <c r="H69" s="564" t="s">
        <v>328</v>
      </c>
      <c r="I69" s="567">
        <f>'1.1 Siltun Kds'!H18</f>
        <v>12000000</v>
      </c>
      <c r="J69" s="1118">
        <f>I69/12</f>
        <v>1000000</v>
      </c>
      <c r="K69" s="565">
        <f>J69</f>
        <v>1000000</v>
      </c>
      <c r="L69" s="1141">
        <v>540000</v>
      </c>
      <c r="M69" s="1141">
        <v>540000</v>
      </c>
      <c r="N69" s="1141">
        <v>540000</v>
      </c>
      <c r="O69" s="1141">
        <v>540000</v>
      </c>
      <c r="P69" s="1141">
        <v>540000</v>
      </c>
      <c r="Q69" s="1141">
        <v>540000</v>
      </c>
      <c r="R69" s="1141">
        <v>540000</v>
      </c>
      <c r="S69" s="1141">
        <v>540000</v>
      </c>
      <c r="T69" s="1141">
        <v>540000</v>
      </c>
      <c r="U69" s="1141">
        <v>540000</v>
      </c>
      <c r="V69" s="1141">
        <v>540000</v>
      </c>
      <c r="W69" s="1144">
        <f t="shared" si="0"/>
        <v>7400000</v>
      </c>
      <c r="X69" s="1140">
        <f t="shared" si="1"/>
        <v>4600000</v>
      </c>
      <c r="Y69" s="828"/>
      <c r="Z69" s="858"/>
      <c r="AA69" s="858"/>
      <c r="AB69" s="858"/>
      <c r="AC69" s="829"/>
      <c r="AD69" s="829"/>
      <c r="AE69" s="829"/>
      <c r="AF69" s="829"/>
      <c r="AG69" s="829"/>
      <c r="AH69"/>
      <c r="AI69"/>
      <c r="AJ69"/>
    </row>
    <row r="70" spans="1:36">
      <c r="A70" s="542">
        <v>1</v>
      </c>
      <c r="B70" s="545">
        <v>1</v>
      </c>
      <c r="C70" s="545" t="s">
        <v>594</v>
      </c>
      <c r="D70" s="542">
        <v>5</v>
      </c>
      <c r="E70" s="542"/>
      <c r="F70" s="542"/>
      <c r="G70" s="542"/>
      <c r="H70" s="543" t="s">
        <v>547</v>
      </c>
      <c r="I70" s="797" t="e">
        <f>I71</f>
        <v>#REF!</v>
      </c>
      <c r="J70" s="797" t="e">
        <f t="shared" ref="J70:Q71" si="11">J71</f>
        <v>#REF!</v>
      </c>
      <c r="K70" s="797">
        <f t="shared" si="11"/>
        <v>14430000</v>
      </c>
      <c r="L70" s="797">
        <f t="shared" si="11"/>
        <v>14430000</v>
      </c>
      <c r="M70" s="797">
        <f t="shared" si="11"/>
        <v>14430000</v>
      </c>
      <c r="N70" s="797">
        <f t="shared" si="11"/>
        <v>14430000</v>
      </c>
      <c r="O70" s="797">
        <f t="shared" si="11"/>
        <v>14430000</v>
      </c>
      <c r="P70" s="797">
        <f t="shared" si="11"/>
        <v>14430000</v>
      </c>
      <c r="Q70" s="797">
        <f t="shared" si="11"/>
        <v>14430000</v>
      </c>
      <c r="R70" s="797">
        <f t="shared" ref="R70:V71" si="12">R71</f>
        <v>14430000</v>
      </c>
      <c r="S70" s="797">
        <f t="shared" si="12"/>
        <v>14430000</v>
      </c>
      <c r="T70" s="797">
        <f t="shared" si="12"/>
        <v>14430000</v>
      </c>
      <c r="U70" s="797">
        <f t="shared" si="12"/>
        <v>14430000</v>
      </c>
      <c r="V70" s="797">
        <f t="shared" si="12"/>
        <v>14430000</v>
      </c>
      <c r="W70" s="1144" t="e">
        <f t="shared" si="0"/>
        <v>#REF!</v>
      </c>
      <c r="X70" s="1140" t="e">
        <f t="shared" si="1"/>
        <v>#REF!</v>
      </c>
      <c r="Y70" s="828"/>
      <c r="Z70" s="858"/>
      <c r="AA70" s="858"/>
      <c r="AB70" s="858"/>
      <c r="AC70" s="829"/>
      <c r="AD70" s="829"/>
      <c r="AE70" s="829"/>
      <c r="AF70" s="829"/>
      <c r="AG70" s="829"/>
      <c r="AH70"/>
      <c r="AI70"/>
      <c r="AJ70"/>
    </row>
    <row r="71" spans="1:36">
      <c r="A71" s="563">
        <v>1</v>
      </c>
      <c r="B71" s="569">
        <v>1</v>
      </c>
      <c r="C71" s="569" t="s">
        <v>594</v>
      </c>
      <c r="D71" s="563">
        <v>5</v>
      </c>
      <c r="E71" s="563">
        <v>1</v>
      </c>
      <c r="F71" s="563"/>
      <c r="G71" s="563"/>
      <c r="H71" s="564" t="s">
        <v>312</v>
      </c>
      <c r="I71" s="567" t="e">
        <f>I72</f>
        <v>#REF!</v>
      </c>
      <c r="J71" s="567" t="e">
        <f t="shared" si="11"/>
        <v>#REF!</v>
      </c>
      <c r="K71" s="567">
        <f t="shared" si="11"/>
        <v>14430000</v>
      </c>
      <c r="L71" s="567">
        <f t="shared" si="11"/>
        <v>14430000</v>
      </c>
      <c r="M71" s="567">
        <f t="shared" si="11"/>
        <v>14430000</v>
      </c>
      <c r="N71" s="567">
        <f t="shared" si="11"/>
        <v>14430000</v>
      </c>
      <c r="O71" s="567">
        <f t="shared" si="11"/>
        <v>14430000</v>
      </c>
      <c r="P71" s="567">
        <f t="shared" si="11"/>
        <v>14430000</v>
      </c>
      <c r="Q71" s="567">
        <f t="shared" si="11"/>
        <v>14430000</v>
      </c>
      <c r="R71" s="567">
        <f t="shared" si="12"/>
        <v>14430000</v>
      </c>
      <c r="S71" s="567">
        <f t="shared" si="12"/>
        <v>14430000</v>
      </c>
      <c r="T71" s="567">
        <f t="shared" si="12"/>
        <v>14430000</v>
      </c>
      <c r="U71" s="567">
        <f t="shared" si="12"/>
        <v>14430000</v>
      </c>
      <c r="V71" s="567">
        <f t="shared" si="12"/>
        <v>14430000</v>
      </c>
      <c r="W71" s="1144" t="e">
        <f t="shared" si="0"/>
        <v>#REF!</v>
      </c>
      <c r="X71" s="1140" t="e">
        <f t="shared" si="1"/>
        <v>#REF!</v>
      </c>
      <c r="Y71" s="828"/>
      <c r="Z71" s="858"/>
      <c r="AA71" s="912"/>
      <c r="AB71" s="858"/>
      <c r="AC71" s="829"/>
      <c r="AD71" s="829"/>
      <c r="AE71" s="829"/>
      <c r="AF71" s="829"/>
      <c r="AG71" s="829"/>
      <c r="AH71"/>
      <c r="AI71"/>
      <c r="AJ71"/>
    </row>
    <row r="72" spans="1:36">
      <c r="A72" s="563">
        <v>1</v>
      </c>
      <c r="B72" s="569">
        <v>1</v>
      </c>
      <c r="C72" s="569" t="s">
        <v>594</v>
      </c>
      <c r="D72" s="563">
        <v>5</v>
      </c>
      <c r="E72" s="563">
        <v>1</v>
      </c>
      <c r="F72" s="569">
        <v>2</v>
      </c>
      <c r="G72" s="569"/>
      <c r="H72" s="564" t="s">
        <v>725</v>
      </c>
      <c r="I72" s="567" t="e">
        <f>I73+I74</f>
        <v>#REF!</v>
      </c>
      <c r="J72" s="567" t="e">
        <f t="shared" ref="J72:V72" si="13">J73+J74</f>
        <v>#REF!</v>
      </c>
      <c r="K72" s="567">
        <f t="shared" si="13"/>
        <v>14430000</v>
      </c>
      <c r="L72" s="567">
        <f t="shared" si="13"/>
        <v>14430000</v>
      </c>
      <c r="M72" s="567">
        <f t="shared" si="13"/>
        <v>14430000</v>
      </c>
      <c r="N72" s="567">
        <f t="shared" si="13"/>
        <v>14430000</v>
      </c>
      <c r="O72" s="567">
        <f t="shared" si="13"/>
        <v>14430000</v>
      </c>
      <c r="P72" s="567">
        <f t="shared" si="13"/>
        <v>14430000</v>
      </c>
      <c r="Q72" s="567">
        <f t="shared" si="13"/>
        <v>14430000</v>
      </c>
      <c r="R72" s="567">
        <f t="shared" si="13"/>
        <v>14430000</v>
      </c>
      <c r="S72" s="567">
        <f t="shared" si="13"/>
        <v>14430000</v>
      </c>
      <c r="T72" s="567">
        <f t="shared" si="13"/>
        <v>14430000</v>
      </c>
      <c r="U72" s="567">
        <f t="shared" si="13"/>
        <v>14430000</v>
      </c>
      <c r="V72" s="567">
        <f t="shared" si="13"/>
        <v>14430000</v>
      </c>
      <c r="W72" s="1144" t="e">
        <f t="shared" si="0"/>
        <v>#REF!</v>
      </c>
      <c r="X72" s="1140" t="e">
        <f t="shared" si="1"/>
        <v>#REF!</v>
      </c>
      <c r="Y72" s="828"/>
      <c r="Z72" s="858"/>
      <c r="AA72" s="912"/>
      <c r="AB72" s="858"/>
      <c r="AC72" s="829"/>
      <c r="AD72" s="829"/>
      <c r="AE72" s="829"/>
      <c r="AF72" s="829"/>
      <c r="AG72" s="829"/>
      <c r="AH72"/>
      <c r="AI72"/>
      <c r="AJ72"/>
    </row>
    <row r="73" spans="1:36">
      <c r="A73" s="563">
        <v>1</v>
      </c>
      <c r="B73" s="569">
        <v>1</v>
      </c>
      <c r="C73" s="569" t="s">
        <v>594</v>
      </c>
      <c r="D73" s="563">
        <v>5</v>
      </c>
      <c r="E73" s="563">
        <v>1</v>
      </c>
      <c r="F73" s="569">
        <v>2</v>
      </c>
      <c r="G73" s="569">
        <v>1</v>
      </c>
      <c r="H73" s="564" t="s">
        <v>565</v>
      </c>
      <c r="I73" s="567">
        <f>'1.2 Siltun Prngkt '!G20</f>
        <v>248400000</v>
      </c>
      <c r="J73" s="567">
        <f>I73/12</f>
        <v>20700000</v>
      </c>
      <c r="K73" s="567">
        <v>11250000</v>
      </c>
      <c r="L73" s="567">
        <v>11250000</v>
      </c>
      <c r="M73" s="567">
        <v>11250000</v>
      </c>
      <c r="N73" s="567">
        <v>11250000</v>
      </c>
      <c r="O73" s="567">
        <v>11250000</v>
      </c>
      <c r="P73" s="567">
        <v>11250000</v>
      </c>
      <c r="Q73" s="567">
        <v>11250000</v>
      </c>
      <c r="R73" s="567">
        <v>11250000</v>
      </c>
      <c r="S73" s="567">
        <v>11250000</v>
      </c>
      <c r="T73" s="567">
        <v>11250000</v>
      </c>
      <c r="U73" s="567">
        <v>11250000</v>
      </c>
      <c r="V73" s="567">
        <v>11250000</v>
      </c>
      <c r="W73" s="1144">
        <f t="shared" si="0"/>
        <v>144450000</v>
      </c>
      <c r="X73" s="1140">
        <f t="shared" si="1"/>
        <v>103950000</v>
      </c>
      <c r="Y73" s="828"/>
      <c r="Z73" s="855"/>
      <c r="AA73" s="913"/>
      <c r="AB73" s="916"/>
      <c r="AC73" s="833"/>
      <c r="AD73" s="833"/>
      <c r="AE73" s="834"/>
      <c r="AF73" s="834"/>
      <c r="AG73" s="829"/>
      <c r="AH73"/>
      <c r="AI73"/>
      <c r="AJ73"/>
    </row>
    <row r="74" spans="1:36">
      <c r="A74" s="563">
        <v>1</v>
      </c>
      <c r="B74" s="569">
        <v>1</v>
      </c>
      <c r="C74" s="569" t="s">
        <v>594</v>
      </c>
      <c r="D74" s="563">
        <v>5</v>
      </c>
      <c r="E74" s="563">
        <v>1</v>
      </c>
      <c r="F74" s="569">
        <v>2</v>
      </c>
      <c r="G74" s="569">
        <v>2</v>
      </c>
      <c r="H74" s="564" t="s">
        <v>566</v>
      </c>
      <c r="I74" s="567" t="e">
        <f>'1.2 Siltun Prngkt '!G26+'1.2 Siltun Prngkt '!#REF!</f>
        <v>#REF!</v>
      </c>
      <c r="J74" s="1118" t="e">
        <f>I74/12</f>
        <v>#REF!</v>
      </c>
      <c r="K74" s="1141">
        <v>3180000</v>
      </c>
      <c r="L74" s="1141">
        <v>3180000</v>
      </c>
      <c r="M74" s="1141">
        <v>3180000</v>
      </c>
      <c r="N74" s="1141">
        <v>3180000</v>
      </c>
      <c r="O74" s="1141">
        <v>3180000</v>
      </c>
      <c r="P74" s="1141">
        <v>3180000</v>
      </c>
      <c r="Q74" s="1141">
        <v>3180000</v>
      </c>
      <c r="R74" s="1141">
        <v>3180000</v>
      </c>
      <c r="S74" s="1141">
        <v>3180000</v>
      </c>
      <c r="T74" s="1141">
        <v>3180000</v>
      </c>
      <c r="U74" s="1141">
        <v>3180000</v>
      </c>
      <c r="V74" s="1141">
        <v>3180000</v>
      </c>
      <c r="W74" s="1144" t="e">
        <f t="shared" si="0"/>
        <v>#REF!</v>
      </c>
      <c r="X74" s="1140" t="e">
        <f t="shared" si="1"/>
        <v>#REF!</v>
      </c>
      <c r="Y74" s="828"/>
      <c r="Z74" s="855"/>
      <c r="AA74" s="913"/>
      <c r="AB74" s="855"/>
      <c r="AC74" s="833"/>
      <c r="AD74" s="833"/>
      <c r="AE74" s="835"/>
      <c r="AF74" s="834"/>
      <c r="AG74" s="829"/>
      <c r="AH74"/>
      <c r="AI74"/>
      <c r="AJ74"/>
    </row>
    <row r="75" spans="1:36" ht="31.5">
      <c r="A75" s="542">
        <v>1</v>
      </c>
      <c r="B75" s="545">
        <v>1</v>
      </c>
      <c r="C75" s="545" t="s">
        <v>595</v>
      </c>
      <c r="D75" s="542">
        <v>5</v>
      </c>
      <c r="E75" s="542"/>
      <c r="F75" s="542"/>
      <c r="G75" s="542"/>
      <c r="H75" s="543" t="s">
        <v>546</v>
      </c>
      <c r="I75" s="797">
        <f>I76</f>
        <v>507000</v>
      </c>
      <c r="J75" s="797">
        <f t="shared" ref="J75:Q76" si="14">J76</f>
        <v>42250</v>
      </c>
      <c r="K75" s="797">
        <f t="shared" si="14"/>
        <v>1640000</v>
      </c>
      <c r="L75" s="797">
        <f t="shared" si="14"/>
        <v>1640000</v>
      </c>
      <c r="M75" s="797">
        <f t="shared" si="14"/>
        <v>1640000</v>
      </c>
      <c r="N75" s="797">
        <f t="shared" si="14"/>
        <v>1640000</v>
      </c>
      <c r="O75" s="797">
        <f t="shared" si="14"/>
        <v>1640000</v>
      </c>
      <c r="P75" s="797">
        <f t="shared" si="14"/>
        <v>1640000</v>
      </c>
      <c r="Q75" s="797">
        <f t="shared" si="14"/>
        <v>1640000</v>
      </c>
      <c r="R75" s="797">
        <f t="shared" ref="R75:V76" si="15">R76</f>
        <v>1640000</v>
      </c>
      <c r="S75" s="797">
        <f t="shared" si="15"/>
        <v>1640000</v>
      </c>
      <c r="T75" s="797">
        <f t="shared" si="15"/>
        <v>1640000</v>
      </c>
      <c r="U75" s="797">
        <f t="shared" si="15"/>
        <v>1640000</v>
      </c>
      <c r="V75" s="797">
        <f t="shared" si="15"/>
        <v>1640000</v>
      </c>
      <c r="W75" s="1144">
        <f t="shared" si="0"/>
        <v>18082250</v>
      </c>
      <c r="X75" s="1140">
        <f t="shared" si="1"/>
        <v>-17575250</v>
      </c>
      <c r="Y75" s="828"/>
      <c r="Z75" s="914"/>
      <c r="AA75" s="915"/>
      <c r="AB75" s="914"/>
      <c r="AC75" s="836"/>
      <c r="AD75" s="836"/>
      <c r="AE75" s="837"/>
      <c r="AF75" s="834"/>
      <c r="AG75" s="829"/>
      <c r="AH75"/>
      <c r="AI75"/>
      <c r="AJ75" t="s">
        <v>21</v>
      </c>
    </row>
    <row r="76" spans="1:36">
      <c r="A76" s="563">
        <v>1</v>
      </c>
      <c r="B76" s="569">
        <v>1</v>
      </c>
      <c r="C76" s="569" t="s">
        <v>595</v>
      </c>
      <c r="D76" s="563">
        <v>5</v>
      </c>
      <c r="E76" s="563">
        <v>1</v>
      </c>
      <c r="F76" s="563"/>
      <c r="G76" s="563"/>
      <c r="H76" s="564" t="s">
        <v>312</v>
      </c>
      <c r="I76" s="567">
        <f>I77</f>
        <v>507000</v>
      </c>
      <c r="J76" s="567">
        <f t="shared" si="14"/>
        <v>42250</v>
      </c>
      <c r="K76" s="1142">
        <f t="shared" si="14"/>
        <v>1640000</v>
      </c>
      <c r="L76" s="567">
        <f t="shared" si="14"/>
        <v>1640000</v>
      </c>
      <c r="M76" s="567">
        <f t="shared" si="14"/>
        <v>1640000</v>
      </c>
      <c r="N76" s="567">
        <f t="shared" si="14"/>
        <v>1640000</v>
      </c>
      <c r="O76" s="567">
        <f t="shared" si="14"/>
        <v>1640000</v>
      </c>
      <c r="P76" s="567">
        <f t="shared" si="14"/>
        <v>1640000</v>
      </c>
      <c r="Q76" s="567">
        <f t="shared" si="14"/>
        <v>1640000</v>
      </c>
      <c r="R76" s="567">
        <f t="shared" si="15"/>
        <v>1640000</v>
      </c>
      <c r="S76" s="567">
        <f t="shared" si="15"/>
        <v>1640000</v>
      </c>
      <c r="T76" s="567">
        <f t="shared" si="15"/>
        <v>1640000</v>
      </c>
      <c r="U76" s="567">
        <f t="shared" si="15"/>
        <v>1640000</v>
      </c>
      <c r="V76" s="567">
        <f t="shared" si="15"/>
        <v>1640000</v>
      </c>
      <c r="W76" s="1144">
        <f t="shared" si="0"/>
        <v>18082250</v>
      </c>
      <c r="X76" s="1140">
        <f t="shared" si="1"/>
        <v>-17575250</v>
      </c>
      <c r="Y76" s="828"/>
      <c r="Z76" s="855"/>
      <c r="AA76" s="855"/>
      <c r="AB76" s="859"/>
      <c r="AC76" s="834"/>
      <c r="AD76" s="834"/>
      <c r="AE76" s="835"/>
      <c r="AF76" s="834"/>
      <c r="AG76" s="829"/>
      <c r="AH76"/>
      <c r="AI76"/>
      <c r="AJ76"/>
    </row>
    <row r="77" spans="1:36">
      <c r="A77" s="563">
        <v>1</v>
      </c>
      <c r="B77" s="569">
        <v>1</v>
      </c>
      <c r="C77" s="569" t="s">
        <v>595</v>
      </c>
      <c r="D77" s="563">
        <v>5</v>
      </c>
      <c r="E77" s="563">
        <v>1</v>
      </c>
      <c r="F77" s="569">
        <v>3</v>
      </c>
      <c r="G77" s="569"/>
      <c r="H77" s="564" t="s">
        <v>726</v>
      </c>
      <c r="I77" s="567">
        <f>SUM(I78:I81)</f>
        <v>507000</v>
      </c>
      <c r="J77" s="567">
        <f t="shared" ref="J77:V77" si="16">SUM(J78:J81)</f>
        <v>42250</v>
      </c>
      <c r="K77" s="1142">
        <f t="shared" si="16"/>
        <v>1640000</v>
      </c>
      <c r="L77" s="567">
        <f t="shared" si="16"/>
        <v>1640000</v>
      </c>
      <c r="M77" s="567">
        <f t="shared" si="16"/>
        <v>1640000</v>
      </c>
      <c r="N77" s="567">
        <f t="shared" si="16"/>
        <v>1640000</v>
      </c>
      <c r="O77" s="567">
        <f t="shared" si="16"/>
        <v>1640000</v>
      </c>
      <c r="P77" s="567">
        <f t="shared" si="16"/>
        <v>1640000</v>
      </c>
      <c r="Q77" s="567">
        <f t="shared" si="16"/>
        <v>1640000</v>
      </c>
      <c r="R77" s="567">
        <f t="shared" si="16"/>
        <v>1640000</v>
      </c>
      <c r="S77" s="567">
        <f t="shared" si="16"/>
        <v>1640000</v>
      </c>
      <c r="T77" s="567">
        <f t="shared" si="16"/>
        <v>1640000</v>
      </c>
      <c r="U77" s="567">
        <f t="shared" si="16"/>
        <v>1640000</v>
      </c>
      <c r="V77" s="567">
        <f t="shared" si="16"/>
        <v>1640000</v>
      </c>
      <c r="W77" s="1144">
        <f t="shared" si="0"/>
        <v>18082250</v>
      </c>
      <c r="X77" s="1140">
        <f t="shared" si="1"/>
        <v>-17575250</v>
      </c>
      <c r="Y77" s="828"/>
      <c r="Z77" s="855"/>
      <c r="AA77" s="917"/>
      <c r="AB77" s="857"/>
      <c r="AC77" s="835"/>
      <c r="AD77" s="835"/>
      <c r="AE77" s="834"/>
      <c r="AF77" s="834"/>
      <c r="AG77" s="829"/>
      <c r="AH77"/>
      <c r="AI77"/>
      <c r="AJ77"/>
    </row>
    <row r="78" spans="1:36">
      <c r="A78" s="563">
        <v>1</v>
      </c>
      <c r="B78" s="569">
        <v>1</v>
      </c>
      <c r="C78" s="569" t="s">
        <v>595</v>
      </c>
      <c r="D78" s="563">
        <v>5</v>
      </c>
      <c r="E78" s="563">
        <v>1</v>
      </c>
      <c r="F78" s="569">
        <v>3</v>
      </c>
      <c r="G78" s="569">
        <v>1</v>
      </c>
      <c r="H78" s="564" t="s">
        <v>727</v>
      </c>
      <c r="I78" s="567">
        <f>'1.3 Bpjs '!F16</f>
        <v>140000</v>
      </c>
      <c r="J78" s="567">
        <f>I78/12</f>
        <v>11666.666666666666</v>
      </c>
      <c r="K78" s="1142">
        <v>68000</v>
      </c>
      <c r="L78" s="1142">
        <v>68000</v>
      </c>
      <c r="M78" s="1142">
        <v>68000</v>
      </c>
      <c r="N78" s="1142">
        <v>68000</v>
      </c>
      <c r="O78" s="1142">
        <v>68000</v>
      </c>
      <c r="P78" s="1142">
        <v>68000</v>
      </c>
      <c r="Q78" s="1142">
        <v>68000</v>
      </c>
      <c r="R78" s="1142">
        <v>68000</v>
      </c>
      <c r="S78" s="1142">
        <v>68000</v>
      </c>
      <c r="T78" s="1142">
        <v>68000</v>
      </c>
      <c r="U78" s="1142">
        <v>68000</v>
      </c>
      <c r="V78" s="1142">
        <v>68000</v>
      </c>
      <c r="W78" s="1144">
        <f t="shared" si="0"/>
        <v>759666.66666666674</v>
      </c>
      <c r="X78" s="1140">
        <f t="shared" si="1"/>
        <v>-619666.66666666674</v>
      </c>
      <c r="Y78" s="828"/>
      <c r="Z78" s="855"/>
      <c r="AA78" s="857"/>
      <c r="AB78" s="855"/>
      <c r="AC78" s="834"/>
      <c r="AD78" s="834"/>
      <c r="AE78" s="834"/>
      <c r="AF78" s="834"/>
      <c r="AG78" s="829"/>
      <c r="AH78"/>
      <c r="AI78"/>
      <c r="AJ78"/>
    </row>
    <row r="79" spans="1:36">
      <c r="A79" s="563">
        <v>1</v>
      </c>
      <c r="B79" s="569">
        <v>1</v>
      </c>
      <c r="C79" s="569" t="s">
        <v>595</v>
      </c>
      <c r="D79" s="563">
        <v>5</v>
      </c>
      <c r="E79" s="563">
        <v>1</v>
      </c>
      <c r="F79" s="569">
        <v>3</v>
      </c>
      <c r="G79" s="569">
        <v>2</v>
      </c>
      <c r="H79" s="564" t="s">
        <v>728</v>
      </c>
      <c r="I79" s="567">
        <f>'1.3 Bpjs '!F18</f>
        <v>106000</v>
      </c>
      <c r="J79" s="1118">
        <f>I79/12</f>
        <v>8833.3333333333339</v>
      </c>
      <c r="K79" s="1141">
        <v>612000</v>
      </c>
      <c r="L79" s="1141">
        <v>612000</v>
      </c>
      <c r="M79" s="1141">
        <v>612000</v>
      </c>
      <c r="N79" s="1141">
        <v>612000</v>
      </c>
      <c r="O79" s="1141">
        <v>612000</v>
      </c>
      <c r="P79" s="1141">
        <v>612000</v>
      </c>
      <c r="Q79" s="1141">
        <v>612000</v>
      </c>
      <c r="R79" s="1141">
        <v>612000</v>
      </c>
      <c r="S79" s="1141">
        <v>612000</v>
      </c>
      <c r="T79" s="1141">
        <v>612000</v>
      </c>
      <c r="U79" s="1141">
        <v>612000</v>
      </c>
      <c r="V79" s="1141">
        <v>612000</v>
      </c>
      <c r="W79" s="1144">
        <f t="shared" ref="W79:W142" si="17">J79+K79+L79+M79+N79+O79+P79+Q79+R79+S79+T79+U79</f>
        <v>6740833.333333334</v>
      </c>
      <c r="X79" s="1140">
        <f t="shared" ref="X79:X142" si="18">I79-W79</f>
        <v>-6634833.333333334</v>
      </c>
      <c r="Y79" s="828"/>
      <c r="Z79" s="855"/>
      <c r="AA79" s="857"/>
      <c r="AB79" s="918"/>
      <c r="AC79" s="834"/>
      <c r="AD79" s="834"/>
      <c r="AE79" s="834"/>
      <c r="AF79" s="834"/>
      <c r="AG79" s="829"/>
      <c r="AH79"/>
      <c r="AI79"/>
      <c r="AJ79"/>
    </row>
    <row r="80" spans="1:36">
      <c r="A80" s="563">
        <v>1</v>
      </c>
      <c r="B80" s="569">
        <v>1</v>
      </c>
      <c r="C80" s="569" t="s">
        <v>595</v>
      </c>
      <c r="D80" s="563">
        <v>5</v>
      </c>
      <c r="E80" s="563">
        <v>1</v>
      </c>
      <c r="F80" s="569">
        <v>3</v>
      </c>
      <c r="G80" s="569">
        <v>3</v>
      </c>
      <c r="H80" s="564" t="s">
        <v>729</v>
      </c>
      <c r="I80" s="567">
        <f>'1.3 Bpjs '!F19</f>
        <v>149000</v>
      </c>
      <c r="J80" s="1118">
        <f>I80/12</f>
        <v>12416.666666666666</v>
      </c>
      <c r="K80" s="1141">
        <v>96000</v>
      </c>
      <c r="L80" s="1141">
        <v>96000</v>
      </c>
      <c r="M80" s="1141">
        <v>96000</v>
      </c>
      <c r="N80" s="1141">
        <v>96000</v>
      </c>
      <c r="O80" s="1141">
        <v>96000</v>
      </c>
      <c r="P80" s="1141">
        <v>96000</v>
      </c>
      <c r="Q80" s="1141">
        <v>96000</v>
      </c>
      <c r="R80" s="1141">
        <v>96000</v>
      </c>
      <c r="S80" s="1141">
        <v>96000</v>
      </c>
      <c r="T80" s="1141">
        <v>96000</v>
      </c>
      <c r="U80" s="1141">
        <v>96000</v>
      </c>
      <c r="V80" s="1141">
        <v>96000</v>
      </c>
      <c r="W80" s="1144">
        <f t="shared" si="17"/>
        <v>1068416.6666666667</v>
      </c>
      <c r="X80" s="1140">
        <f t="shared" si="18"/>
        <v>-919416.66666666674</v>
      </c>
      <c r="Y80" s="828"/>
      <c r="Z80" s="855"/>
      <c r="AA80" s="857"/>
      <c r="AB80" s="918"/>
      <c r="AC80" s="834"/>
      <c r="AD80" s="834"/>
      <c r="AE80" s="834"/>
      <c r="AF80" s="834"/>
      <c r="AG80" s="829"/>
      <c r="AH80"/>
      <c r="AI80"/>
      <c r="AJ80"/>
    </row>
    <row r="81" spans="1:36">
      <c r="A81" s="563">
        <v>1</v>
      </c>
      <c r="B81" s="569">
        <v>1</v>
      </c>
      <c r="C81" s="569" t="s">
        <v>595</v>
      </c>
      <c r="D81" s="563">
        <v>5</v>
      </c>
      <c r="E81" s="563">
        <v>1</v>
      </c>
      <c r="F81" s="569">
        <v>3</v>
      </c>
      <c r="G81" s="569">
        <v>4</v>
      </c>
      <c r="H81" s="564" t="s">
        <v>730</v>
      </c>
      <c r="I81" s="567">
        <f>'1.3 Bpjs '!F21</f>
        <v>112000</v>
      </c>
      <c r="J81" s="1118">
        <f>I81/12</f>
        <v>9333.3333333333339</v>
      </c>
      <c r="K81" s="1141">
        <v>864000</v>
      </c>
      <c r="L81" s="1141">
        <v>864000</v>
      </c>
      <c r="M81" s="1141">
        <v>864000</v>
      </c>
      <c r="N81" s="1141">
        <v>864000</v>
      </c>
      <c r="O81" s="1141">
        <v>864000</v>
      </c>
      <c r="P81" s="1141">
        <v>864000</v>
      </c>
      <c r="Q81" s="1141">
        <v>864000</v>
      </c>
      <c r="R81" s="1141">
        <v>864000</v>
      </c>
      <c r="S81" s="1141">
        <v>864000</v>
      </c>
      <c r="T81" s="1141">
        <v>864000</v>
      </c>
      <c r="U81" s="1141">
        <v>864000</v>
      </c>
      <c r="V81" s="1141">
        <v>864000</v>
      </c>
      <c r="W81" s="1144">
        <f t="shared" si="17"/>
        <v>9513333.333333334</v>
      </c>
      <c r="X81" s="1140">
        <f t="shared" si="18"/>
        <v>-9401333.333333334</v>
      </c>
      <c r="Y81" s="828"/>
      <c r="Z81" s="834"/>
      <c r="AA81" s="835"/>
      <c r="AB81" s="834"/>
      <c r="AC81" s="834"/>
      <c r="AD81" s="834"/>
      <c r="AE81" s="834"/>
      <c r="AF81" s="834"/>
      <c r="AG81" s="829"/>
      <c r="AH81"/>
      <c r="AI81"/>
      <c r="AJ81"/>
    </row>
    <row r="82" spans="1:36">
      <c r="A82" s="542">
        <v>1</v>
      </c>
      <c r="B82" s="545">
        <v>1</v>
      </c>
      <c r="C82" s="545" t="s">
        <v>596</v>
      </c>
      <c r="D82" s="542">
        <v>5</v>
      </c>
      <c r="E82" s="542"/>
      <c r="F82" s="542"/>
      <c r="G82" s="542"/>
      <c r="H82" s="543" t="s">
        <v>549</v>
      </c>
      <c r="I82" s="797" t="e">
        <f>I83</f>
        <v>#REF!</v>
      </c>
      <c r="J82" s="797">
        <f t="shared" ref="J82:Q82" si="19">J83</f>
        <v>0</v>
      </c>
      <c r="K82" s="797">
        <f t="shared" si="19"/>
        <v>0</v>
      </c>
      <c r="L82" s="797">
        <f t="shared" si="19"/>
        <v>0</v>
      </c>
      <c r="M82" s="797">
        <f t="shared" si="19"/>
        <v>0</v>
      </c>
      <c r="N82" s="797">
        <f t="shared" si="19"/>
        <v>0</v>
      </c>
      <c r="O82" s="797">
        <f t="shared" si="19"/>
        <v>0</v>
      </c>
      <c r="P82" s="797">
        <f t="shared" si="19"/>
        <v>0</v>
      </c>
      <c r="Q82" s="797">
        <f t="shared" si="19"/>
        <v>0</v>
      </c>
      <c r="R82" s="797">
        <f>R83</f>
        <v>0</v>
      </c>
      <c r="S82" s="797">
        <f>S83</f>
        <v>0</v>
      </c>
      <c r="T82" s="797">
        <f>T83</f>
        <v>0</v>
      </c>
      <c r="U82" s="797">
        <f>U83</f>
        <v>0</v>
      </c>
      <c r="V82" s="797">
        <f>V83</f>
        <v>0</v>
      </c>
      <c r="W82" s="1144">
        <f t="shared" si="17"/>
        <v>0</v>
      </c>
      <c r="X82" s="1140" t="e">
        <f t="shared" si="18"/>
        <v>#REF!</v>
      </c>
      <c r="Y82" s="828"/>
      <c r="Z82" s="838"/>
      <c r="AA82" s="838"/>
      <c r="AB82" s="834"/>
      <c r="AC82" s="834"/>
      <c r="AD82" s="834"/>
      <c r="AE82" s="834"/>
      <c r="AF82" s="834"/>
      <c r="AG82" s="829"/>
      <c r="AH82"/>
      <c r="AI82"/>
      <c r="AJ82"/>
    </row>
    <row r="83" spans="1:36">
      <c r="A83" s="563">
        <v>1</v>
      </c>
      <c r="B83" s="569">
        <v>1</v>
      </c>
      <c r="C83" s="569" t="s">
        <v>596</v>
      </c>
      <c r="D83" s="563">
        <v>5</v>
      </c>
      <c r="E83" s="563">
        <v>2</v>
      </c>
      <c r="F83" s="563"/>
      <c r="G83" s="563"/>
      <c r="H83" s="564" t="s">
        <v>8</v>
      </c>
      <c r="I83" s="567" t="e">
        <f>I84+I91+I94</f>
        <v>#REF!</v>
      </c>
      <c r="J83" s="567">
        <f t="shared" ref="J83:V83" si="20">J84+J91+J94</f>
        <v>0</v>
      </c>
      <c r="K83" s="567">
        <f t="shared" si="20"/>
        <v>0</v>
      </c>
      <c r="L83" s="567">
        <f t="shared" si="20"/>
        <v>0</v>
      </c>
      <c r="M83" s="567">
        <f t="shared" si="20"/>
        <v>0</v>
      </c>
      <c r="N83" s="567">
        <f t="shared" si="20"/>
        <v>0</v>
      </c>
      <c r="O83" s="567">
        <f t="shared" si="20"/>
        <v>0</v>
      </c>
      <c r="P83" s="567">
        <f t="shared" si="20"/>
        <v>0</v>
      </c>
      <c r="Q83" s="567">
        <f t="shared" si="20"/>
        <v>0</v>
      </c>
      <c r="R83" s="567">
        <f t="shared" si="20"/>
        <v>0</v>
      </c>
      <c r="S83" s="567">
        <f t="shared" si="20"/>
        <v>0</v>
      </c>
      <c r="T83" s="567">
        <f t="shared" si="20"/>
        <v>0</v>
      </c>
      <c r="U83" s="567">
        <f t="shared" si="20"/>
        <v>0</v>
      </c>
      <c r="V83" s="567">
        <f t="shared" si="20"/>
        <v>0</v>
      </c>
      <c r="W83" s="1144">
        <f t="shared" si="17"/>
        <v>0</v>
      </c>
      <c r="X83" s="1140" t="e">
        <f t="shared" si="18"/>
        <v>#REF!</v>
      </c>
      <c r="Y83" s="828"/>
      <c r="Z83" s="838"/>
      <c r="AA83" s="838"/>
      <c r="AB83" s="834"/>
      <c r="AC83" s="834"/>
      <c r="AD83" s="834"/>
      <c r="AE83" s="834"/>
      <c r="AF83" s="834"/>
      <c r="AG83" s="829"/>
      <c r="AH83"/>
      <c r="AI83"/>
      <c r="AJ83"/>
    </row>
    <row r="84" spans="1:36">
      <c r="A84" s="563">
        <v>1</v>
      </c>
      <c r="B84" s="569">
        <v>1</v>
      </c>
      <c r="C84" s="569" t="s">
        <v>596</v>
      </c>
      <c r="D84" s="563">
        <v>5</v>
      </c>
      <c r="E84" s="563">
        <v>2</v>
      </c>
      <c r="F84" s="569">
        <v>1</v>
      </c>
      <c r="G84" s="569"/>
      <c r="H84" s="564" t="s">
        <v>731</v>
      </c>
      <c r="I84" s="567">
        <f>SUM(I85:I90)</f>
        <v>16457500</v>
      </c>
      <c r="J84" s="567">
        <f t="shared" ref="J84:V84" si="21">SUM(J85:J90)</f>
        <v>0</v>
      </c>
      <c r="K84" s="567">
        <f t="shared" si="21"/>
        <v>0</v>
      </c>
      <c r="L84" s="567">
        <f t="shared" si="21"/>
        <v>0</v>
      </c>
      <c r="M84" s="567">
        <f t="shared" si="21"/>
        <v>0</v>
      </c>
      <c r="N84" s="567">
        <f t="shared" si="21"/>
        <v>0</v>
      </c>
      <c r="O84" s="567">
        <f t="shared" si="21"/>
        <v>0</v>
      </c>
      <c r="P84" s="567">
        <f t="shared" si="21"/>
        <v>0</v>
      </c>
      <c r="Q84" s="567">
        <f t="shared" si="21"/>
        <v>0</v>
      </c>
      <c r="R84" s="567">
        <f t="shared" si="21"/>
        <v>0</v>
      </c>
      <c r="S84" s="567">
        <f t="shared" si="21"/>
        <v>0</v>
      </c>
      <c r="T84" s="567">
        <f t="shared" si="21"/>
        <v>0</v>
      </c>
      <c r="U84" s="567">
        <f t="shared" si="21"/>
        <v>0</v>
      </c>
      <c r="V84" s="567">
        <f t="shared" si="21"/>
        <v>0</v>
      </c>
      <c r="W84" s="1144">
        <f t="shared" si="17"/>
        <v>0</v>
      </c>
      <c r="X84" s="1140">
        <f t="shared" si="18"/>
        <v>16457500</v>
      </c>
      <c r="Y84" s="828"/>
      <c r="Z84" s="839"/>
      <c r="AA84" s="839"/>
      <c r="AB84" s="834"/>
      <c r="AC84" s="834"/>
      <c r="AD84" s="834"/>
      <c r="AE84" s="834"/>
      <c r="AF84" s="834"/>
      <c r="AG84" s="829"/>
      <c r="AH84"/>
      <c r="AI84"/>
      <c r="AJ84"/>
    </row>
    <row r="85" spans="1:36">
      <c r="A85" s="563">
        <v>1</v>
      </c>
      <c r="B85" s="569">
        <v>1</v>
      </c>
      <c r="C85" s="569" t="s">
        <v>596</v>
      </c>
      <c r="D85" s="563">
        <v>5</v>
      </c>
      <c r="E85" s="563">
        <v>2</v>
      </c>
      <c r="F85" s="569">
        <v>1</v>
      </c>
      <c r="G85" s="569">
        <v>1</v>
      </c>
      <c r="H85" s="564" t="s">
        <v>832</v>
      </c>
      <c r="I85" s="567">
        <f>'1.4 O PEM pkpkd rusak'!H47</f>
        <v>9077500</v>
      </c>
      <c r="J85" s="1118"/>
      <c r="K85" s="564"/>
      <c r="L85" s="564"/>
      <c r="M85" s="564"/>
      <c r="N85" s="564"/>
      <c r="O85" s="564"/>
      <c r="P85" s="564"/>
      <c r="Q85" s="564"/>
      <c r="R85" s="1105"/>
      <c r="S85" s="1105"/>
      <c r="T85" s="1105"/>
      <c r="U85" s="1105"/>
      <c r="V85" s="1105"/>
      <c r="W85" s="1144">
        <f t="shared" si="17"/>
        <v>0</v>
      </c>
      <c r="X85" s="1140">
        <f t="shared" si="18"/>
        <v>9077500</v>
      </c>
      <c r="Y85" s="828"/>
      <c r="Z85" s="840"/>
      <c r="AA85" s="841"/>
      <c r="AB85" s="834"/>
      <c r="AC85" s="834"/>
      <c r="AD85" s="834"/>
      <c r="AE85" s="834"/>
      <c r="AF85" s="834"/>
      <c r="AG85" s="829"/>
      <c r="AH85"/>
      <c r="AI85"/>
      <c r="AJ85"/>
    </row>
    <row r="86" spans="1:36">
      <c r="A86" s="563">
        <v>1</v>
      </c>
      <c r="B86" s="569">
        <v>1</v>
      </c>
      <c r="C86" s="569" t="s">
        <v>596</v>
      </c>
      <c r="D86" s="563">
        <v>5</v>
      </c>
      <c r="E86" s="563">
        <v>2</v>
      </c>
      <c r="F86" s="569">
        <v>1</v>
      </c>
      <c r="G86" s="569">
        <v>2</v>
      </c>
      <c r="H86" s="564" t="s">
        <v>910</v>
      </c>
      <c r="I86" s="567">
        <f>'1.4 O PEM pkpkd rusak'!H50</f>
        <v>240000</v>
      </c>
      <c r="J86" s="1118"/>
      <c r="K86" s="564"/>
      <c r="L86" s="564"/>
      <c r="M86" s="564"/>
      <c r="N86" s="564"/>
      <c r="O86" s="564"/>
      <c r="P86" s="564"/>
      <c r="Q86" s="564"/>
      <c r="R86" s="1105"/>
      <c r="S86" s="1105"/>
      <c r="T86" s="1105"/>
      <c r="U86" s="1105"/>
      <c r="V86" s="1105"/>
      <c r="W86" s="1144">
        <f t="shared" si="17"/>
        <v>0</v>
      </c>
      <c r="X86" s="1140">
        <f t="shared" si="18"/>
        <v>240000</v>
      </c>
      <c r="Y86" s="828"/>
      <c r="Z86" s="840"/>
      <c r="AA86" s="841"/>
      <c r="AB86" s="834"/>
      <c r="AC86" s="834"/>
      <c r="AD86" s="834"/>
      <c r="AE86" s="834"/>
      <c r="AF86" s="834"/>
      <c r="AG86" s="829"/>
      <c r="AH86"/>
      <c r="AI86"/>
      <c r="AJ86"/>
    </row>
    <row r="87" spans="1:36" ht="31.5">
      <c r="A87" s="563">
        <v>1</v>
      </c>
      <c r="B87" s="569">
        <v>1</v>
      </c>
      <c r="C87" s="569" t="s">
        <v>596</v>
      </c>
      <c r="D87" s="563">
        <v>5</v>
      </c>
      <c r="E87" s="563">
        <v>2</v>
      </c>
      <c r="F87" s="569">
        <v>1</v>
      </c>
      <c r="G87" s="569">
        <v>3</v>
      </c>
      <c r="H87" s="564" t="s">
        <v>911</v>
      </c>
      <c r="I87" s="567">
        <f>'1.4 O PEM pkpkd rusak'!H57</f>
        <v>350000</v>
      </c>
      <c r="J87" s="1118"/>
      <c r="K87" s="564"/>
      <c r="L87" s="564"/>
      <c r="M87" s="564"/>
      <c r="N87" s="564"/>
      <c r="O87" s="564"/>
      <c r="P87" s="564"/>
      <c r="Q87" s="564"/>
      <c r="R87" s="1105"/>
      <c r="S87" s="1105"/>
      <c r="T87" s="1105"/>
      <c r="U87" s="1105"/>
      <c r="V87" s="1105"/>
      <c r="W87" s="1144">
        <f t="shared" si="17"/>
        <v>0</v>
      </c>
      <c r="X87" s="1140">
        <f t="shared" si="18"/>
        <v>350000</v>
      </c>
      <c r="Y87" s="828"/>
      <c r="Z87" s="840"/>
      <c r="AA87" s="841"/>
      <c r="AB87" s="834"/>
      <c r="AC87" s="834"/>
      <c r="AD87" s="834"/>
      <c r="AE87" s="834"/>
      <c r="AF87" s="834"/>
      <c r="AG87" s="829"/>
      <c r="AH87"/>
      <c r="AI87"/>
      <c r="AJ87"/>
    </row>
    <row r="88" spans="1:36" ht="31.5">
      <c r="A88" s="563">
        <v>1</v>
      </c>
      <c r="B88" s="569">
        <v>1</v>
      </c>
      <c r="C88" s="569" t="s">
        <v>596</v>
      </c>
      <c r="D88" s="563">
        <v>5</v>
      </c>
      <c r="E88" s="563">
        <v>2</v>
      </c>
      <c r="F88" s="569">
        <v>1</v>
      </c>
      <c r="G88" s="569">
        <v>4</v>
      </c>
      <c r="H88" s="564" t="s">
        <v>912</v>
      </c>
      <c r="I88" s="567">
        <f>'1.4 O PEM pkpkd rusak'!H61</f>
        <v>500000</v>
      </c>
      <c r="J88" s="1118"/>
      <c r="K88" s="564"/>
      <c r="L88" s="564"/>
      <c r="M88" s="564"/>
      <c r="N88" s="564"/>
      <c r="O88" s="564"/>
      <c r="P88" s="564"/>
      <c r="Q88" s="564"/>
      <c r="R88" s="1105"/>
      <c r="S88" s="1105"/>
      <c r="T88" s="1105"/>
      <c r="U88" s="1105"/>
      <c r="V88" s="1105"/>
      <c r="W88" s="1144">
        <f t="shared" si="17"/>
        <v>0</v>
      </c>
      <c r="X88" s="1140">
        <f t="shared" si="18"/>
        <v>500000</v>
      </c>
      <c r="Y88" s="828"/>
      <c r="Z88" s="840"/>
      <c r="AA88" s="841"/>
      <c r="AB88" s="834"/>
      <c r="AC88" s="834"/>
      <c r="AD88" s="834"/>
      <c r="AE88" s="834"/>
      <c r="AF88" s="834"/>
      <c r="AG88" s="829"/>
      <c r="AH88"/>
      <c r="AI88"/>
      <c r="AJ88"/>
    </row>
    <row r="89" spans="1:36" ht="31.5">
      <c r="A89" s="563">
        <v>1</v>
      </c>
      <c r="B89" s="569">
        <v>1</v>
      </c>
      <c r="C89" s="569" t="s">
        <v>596</v>
      </c>
      <c r="D89" s="563">
        <v>5</v>
      </c>
      <c r="E89" s="563">
        <v>2</v>
      </c>
      <c r="F89" s="569">
        <v>1</v>
      </c>
      <c r="G89" s="569">
        <v>5</v>
      </c>
      <c r="H89" s="564" t="s">
        <v>734</v>
      </c>
      <c r="I89" s="567">
        <f>'1.4 O PEM pkpkd rusak'!H64</f>
        <v>4800000</v>
      </c>
      <c r="J89" s="1118"/>
      <c r="K89" s="564"/>
      <c r="L89" s="564"/>
      <c r="M89" s="564"/>
      <c r="N89" s="564"/>
      <c r="O89" s="564"/>
      <c r="P89" s="564"/>
      <c r="Q89" s="564"/>
      <c r="R89" s="1105"/>
      <c r="S89" s="1105"/>
      <c r="T89" s="1105"/>
      <c r="U89" s="1105"/>
      <c r="V89" s="1105"/>
      <c r="W89" s="1144">
        <f t="shared" si="17"/>
        <v>0</v>
      </c>
      <c r="X89" s="1140">
        <f t="shared" si="18"/>
        <v>4800000</v>
      </c>
      <c r="Y89" s="828"/>
      <c r="Z89" s="840"/>
      <c r="AA89" s="841"/>
      <c r="AB89" s="834"/>
      <c r="AC89" s="834"/>
      <c r="AD89" s="834"/>
      <c r="AE89" s="834"/>
      <c r="AF89" s="834"/>
      <c r="AG89" s="829"/>
      <c r="AH89"/>
      <c r="AI89"/>
      <c r="AJ89"/>
    </row>
    <row r="90" spans="1:36" ht="31.5">
      <c r="A90" s="563">
        <v>1</v>
      </c>
      <c r="B90" s="569">
        <v>1</v>
      </c>
      <c r="C90" s="569" t="s">
        <v>596</v>
      </c>
      <c r="D90" s="563">
        <v>5</v>
      </c>
      <c r="E90" s="563">
        <v>2</v>
      </c>
      <c r="F90" s="569">
        <v>1</v>
      </c>
      <c r="G90" s="569">
        <v>6</v>
      </c>
      <c r="H90" s="564" t="s">
        <v>735</v>
      </c>
      <c r="I90" s="567">
        <f>'1.4 O PEM pkpkd rusak'!H69</f>
        <v>1490000</v>
      </c>
      <c r="J90" s="1118"/>
      <c r="K90" s="564"/>
      <c r="L90" s="564"/>
      <c r="M90" s="564"/>
      <c r="N90" s="564"/>
      <c r="O90" s="564"/>
      <c r="P90" s="564"/>
      <c r="Q90" s="564"/>
      <c r="R90" s="1105"/>
      <c r="S90" s="1105"/>
      <c r="T90" s="1105"/>
      <c r="U90" s="1105"/>
      <c r="V90" s="1105"/>
      <c r="W90" s="1144">
        <f t="shared" si="17"/>
        <v>0</v>
      </c>
      <c r="X90" s="1140">
        <f t="shared" si="18"/>
        <v>1490000</v>
      </c>
      <c r="Y90" s="828"/>
      <c r="Z90" s="838"/>
      <c r="AA90" s="842"/>
      <c r="AB90" s="834"/>
      <c r="AC90" s="835"/>
      <c r="AD90" s="835"/>
      <c r="AE90" s="834"/>
      <c r="AF90" s="834"/>
      <c r="AG90" s="829"/>
      <c r="AH90"/>
      <c r="AI90"/>
      <c r="AJ90"/>
    </row>
    <row r="91" spans="1:36">
      <c r="A91" s="563">
        <v>1</v>
      </c>
      <c r="B91" s="569">
        <v>1</v>
      </c>
      <c r="C91" s="569" t="s">
        <v>596</v>
      </c>
      <c r="D91" s="563">
        <v>5</v>
      </c>
      <c r="E91" s="563">
        <v>2</v>
      </c>
      <c r="F91" s="569">
        <v>3</v>
      </c>
      <c r="G91" s="569"/>
      <c r="H91" s="564" t="s">
        <v>740</v>
      </c>
      <c r="I91" s="567" t="e">
        <f>SUM(I92:I93)</f>
        <v>#REF!</v>
      </c>
      <c r="J91" s="567">
        <f t="shared" ref="J91:V91" si="22">SUM(J92:J93)</f>
        <v>0</v>
      </c>
      <c r="K91" s="567">
        <f t="shared" si="22"/>
        <v>0</v>
      </c>
      <c r="L91" s="567">
        <f t="shared" si="22"/>
        <v>0</v>
      </c>
      <c r="M91" s="567">
        <f t="shared" si="22"/>
        <v>0</v>
      </c>
      <c r="N91" s="567">
        <f t="shared" si="22"/>
        <v>0</v>
      </c>
      <c r="O91" s="567">
        <f t="shared" si="22"/>
        <v>0</v>
      </c>
      <c r="P91" s="567">
        <f t="shared" si="22"/>
        <v>0</v>
      </c>
      <c r="Q91" s="567">
        <f t="shared" si="22"/>
        <v>0</v>
      </c>
      <c r="R91" s="567">
        <f t="shared" si="22"/>
        <v>0</v>
      </c>
      <c r="S91" s="567">
        <f t="shared" si="22"/>
        <v>0</v>
      </c>
      <c r="T91" s="567">
        <f t="shared" si="22"/>
        <v>0</v>
      </c>
      <c r="U91" s="567">
        <f t="shared" si="22"/>
        <v>0</v>
      </c>
      <c r="V91" s="567">
        <f t="shared" si="22"/>
        <v>0</v>
      </c>
      <c r="W91" s="1144">
        <f t="shared" si="17"/>
        <v>0</v>
      </c>
      <c r="X91" s="1140" t="e">
        <f t="shared" si="18"/>
        <v>#REF!</v>
      </c>
      <c r="Y91" s="828"/>
      <c r="Z91" s="834"/>
      <c r="AA91" s="834"/>
      <c r="AB91" s="834"/>
      <c r="AC91" s="834"/>
      <c r="AD91" s="834"/>
      <c r="AE91" s="834"/>
      <c r="AF91" s="834"/>
      <c r="AG91" s="829"/>
      <c r="AH91"/>
      <c r="AI91"/>
      <c r="AJ91"/>
    </row>
    <row r="92" spans="1:36">
      <c r="A92" s="563">
        <v>1</v>
      </c>
      <c r="B92" s="569">
        <v>1</v>
      </c>
      <c r="C92" s="569" t="s">
        <v>596</v>
      </c>
      <c r="D92" s="563">
        <v>5</v>
      </c>
      <c r="E92" s="563">
        <v>2</v>
      </c>
      <c r="F92" s="569">
        <v>3</v>
      </c>
      <c r="G92" s="569">
        <v>1</v>
      </c>
      <c r="H92" s="564" t="s">
        <v>741</v>
      </c>
      <c r="I92" s="567" t="e">
        <f>'1.4 O PEM pkpkd rusak'!G87+'1.4 O PEM pkpkd rusak'!#REF!</f>
        <v>#REF!</v>
      </c>
      <c r="J92" s="1118"/>
      <c r="K92" s="564"/>
      <c r="L92" s="564"/>
      <c r="M92" s="564"/>
      <c r="N92" s="564"/>
      <c r="O92" s="564"/>
      <c r="P92" s="564"/>
      <c r="Q92" s="564"/>
      <c r="R92" s="1105"/>
      <c r="S92" s="1105"/>
      <c r="T92" s="1105"/>
      <c r="U92" s="1105"/>
      <c r="V92" s="1105"/>
      <c r="W92" s="1144">
        <f t="shared" si="17"/>
        <v>0</v>
      </c>
      <c r="X92" s="1140" t="e">
        <f t="shared" si="18"/>
        <v>#REF!</v>
      </c>
      <c r="Y92" s="828"/>
      <c r="Z92" s="834"/>
      <c r="AA92" s="834"/>
      <c r="AB92" s="834"/>
      <c r="AC92" s="834"/>
      <c r="AD92" s="834"/>
      <c r="AE92" s="834"/>
      <c r="AF92" s="834"/>
      <c r="AG92" s="829"/>
      <c r="AH92"/>
      <c r="AI92"/>
      <c r="AJ92"/>
    </row>
    <row r="93" spans="1:36">
      <c r="A93" s="563">
        <v>1</v>
      </c>
      <c r="B93" s="569">
        <v>1</v>
      </c>
      <c r="C93" s="569" t="s">
        <v>596</v>
      </c>
      <c r="D93" s="563">
        <v>5</v>
      </c>
      <c r="E93" s="563">
        <v>2</v>
      </c>
      <c r="F93" s="569">
        <v>3</v>
      </c>
      <c r="G93" s="569">
        <v>2</v>
      </c>
      <c r="H93" s="564" t="s">
        <v>742</v>
      </c>
      <c r="I93" s="567" t="e">
        <f>'1.4 O PEM pkpkd rusak'!#REF!</f>
        <v>#REF!</v>
      </c>
      <c r="J93" s="1118"/>
      <c r="K93" s="564"/>
      <c r="L93" s="564"/>
      <c r="M93" s="564"/>
      <c r="N93" s="564"/>
      <c r="O93" s="564"/>
      <c r="P93" s="564"/>
      <c r="Q93" s="564"/>
      <c r="R93" s="1105"/>
      <c r="S93" s="1105"/>
      <c r="T93" s="1105"/>
      <c r="U93" s="1105"/>
      <c r="V93" s="1105"/>
      <c r="W93" s="1144">
        <f t="shared" si="17"/>
        <v>0</v>
      </c>
      <c r="X93" s="1140" t="e">
        <f t="shared" si="18"/>
        <v>#REF!</v>
      </c>
      <c r="Y93" s="828"/>
      <c r="Z93" s="834"/>
      <c r="AA93" s="834"/>
      <c r="AB93" s="839"/>
      <c r="AC93" s="839"/>
      <c r="AD93" s="839"/>
      <c r="AE93" s="834"/>
      <c r="AF93" s="834"/>
      <c r="AG93" s="829"/>
      <c r="AH93"/>
      <c r="AI93"/>
      <c r="AJ93"/>
    </row>
    <row r="94" spans="1:36">
      <c r="A94" s="563">
        <v>1</v>
      </c>
      <c r="B94" s="569">
        <v>1</v>
      </c>
      <c r="C94" s="569" t="s">
        <v>596</v>
      </c>
      <c r="D94" s="563">
        <v>5</v>
      </c>
      <c r="E94" s="569">
        <v>2</v>
      </c>
      <c r="F94" s="569">
        <v>5</v>
      </c>
      <c r="G94" s="563"/>
      <c r="H94" s="570" t="s">
        <v>744</v>
      </c>
      <c r="I94" s="567">
        <f>I95+I96</f>
        <v>900000</v>
      </c>
      <c r="J94" s="1118"/>
      <c r="K94" s="564"/>
      <c r="L94" s="564"/>
      <c r="M94" s="564"/>
      <c r="N94" s="564"/>
      <c r="O94" s="564"/>
      <c r="P94" s="564"/>
      <c r="Q94" s="564"/>
      <c r="R94" s="1105"/>
      <c r="S94" s="1105"/>
      <c r="T94" s="1105"/>
      <c r="U94" s="1105"/>
      <c r="V94" s="1105"/>
      <c r="W94" s="1144">
        <f t="shared" si="17"/>
        <v>0</v>
      </c>
      <c r="X94" s="1140">
        <f t="shared" si="18"/>
        <v>900000</v>
      </c>
      <c r="Y94" s="828"/>
      <c r="Z94" s="3118"/>
      <c r="AA94" s="3118"/>
      <c r="AB94" s="852"/>
      <c r="AC94" s="852"/>
      <c r="AD94" s="852"/>
      <c r="AE94" s="852"/>
      <c r="AF94" s="852"/>
      <c r="AG94" s="853"/>
      <c r="AH94" s="854"/>
      <c r="AI94"/>
      <c r="AJ94"/>
    </row>
    <row r="95" spans="1:36">
      <c r="A95" s="563">
        <v>1</v>
      </c>
      <c r="B95" s="569">
        <v>1</v>
      </c>
      <c r="C95" s="569" t="s">
        <v>596</v>
      </c>
      <c r="D95" s="563">
        <v>5</v>
      </c>
      <c r="E95" s="569">
        <v>2</v>
      </c>
      <c r="F95" s="569">
        <v>5</v>
      </c>
      <c r="G95" s="563">
        <v>1</v>
      </c>
      <c r="H95" s="570" t="s">
        <v>745</v>
      </c>
      <c r="I95" s="567">
        <f>'1.4 O PEM pkpkd rusak'!G93</f>
        <v>900000</v>
      </c>
      <c r="J95" s="1118"/>
      <c r="K95" s="564"/>
      <c r="L95" s="564"/>
      <c r="M95" s="564"/>
      <c r="N95" s="564"/>
      <c r="O95" s="564"/>
      <c r="P95" s="564"/>
      <c r="Q95" s="564"/>
      <c r="R95" s="1105"/>
      <c r="S95" s="1105"/>
      <c r="T95" s="1105"/>
      <c r="U95" s="1105"/>
      <c r="V95" s="1105"/>
      <c r="W95" s="1144">
        <f t="shared" si="17"/>
        <v>0</v>
      </c>
      <c r="X95" s="1140">
        <f t="shared" si="18"/>
        <v>900000</v>
      </c>
      <c r="Y95" s="828"/>
      <c r="Z95" s="855"/>
      <c r="AA95" s="856"/>
      <c r="AB95" s="856"/>
      <c r="AC95" s="856"/>
      <c r="AD95" s="856"/>
      <c r="AE95" s="856"/>
      <c r="AF95" s="856"/>
      <c r="AG95" s="857"/>
      <c r="AH95" s="854"/>
      <c r="AI95"/>
      <c r="AJ95"/>
    </row>
    <row r="96" spans="1:36">
      <c r="A96" s="563">
        <v>1</v>
      </c>
      <c r="B96" s="569">
        <v>1</v>
      </c>
      <c r="C96" s="569" t="s">
        <v>596</v>
      </c>
      <c r="D96" s="563">
        <v>5</v>
      </c>
      <c r="E96" s="569">
        <v>2</v>
      </c>
      <c r="F96" s="569">
        <v>5</v>
      </c>
      <c r="G96" s="563">
        <v>5</v>
      </c>
      <c r="H96" s="570" t="s">
        <v>909</v>
      </c>
      <c r="I96" s="567">
        <f>'1.4 O PEM pkpkd rusak'!G94</f>
        <v>0</v>
      </c>
      <c r="J96" s="1118"/>
      <c r="K96" s="564"/>
      <c r="L96" s="564"/>
      <c r="M96" s="564"/>
      <c r="N96" s="564"/>
      <c r="O96" s="564"/>
      <c r="P96" s="564"/>
      <c r="Q96" s="564"/>
      <c r="R96" s="1105"/>
      <c r="S96" s="1105"/>
      <c r="T96" s="1105"/>
      <c r="U96" s="1105"/>
      <c r="V96" s="1105"/>
      <c r="W96" s="1144">
        <f t="shared" si="17"/>
        <v>0</v>
      </c>
      <c r="X96" s="1140">
        <f t="shared" si="18"/>
        <v>0</v>
      </c>
      <c r="Y96" s="828"/>
      <c r="Z96" s="855"/>
      <c r="AA96" s="856"/>
      <c r="AB96" s="856"/>
      <c r="AC96" s="856"/>
      <c r="AD96" s="856"/>
      <c r="AE96" s="856"/>
      <c r="AF96" s="856"/>
      <c r="AG96" s="857"/>
      <c r="AH96" s="854"/>
      <c r="AI96"/>
      <c r="AJ96"/>
    </row>
    <row r="97" spans="1:36">
      <c r="A97" s="546">
        <v>1</v>
      </c>
      <c r="B97" s="794">
        <v>1</v>
      </c>
      <c r="C97" s="794" t="s">
        <v>597</v>
      </c>
      <c r="D97" s="546">
        <v>5</v>
      </c>
      <c r="E97" s="546"/>
      <c r="F97" s="546"/>
      <c r="G97" s="546"/>
      <c r="H97" s="795" t="s">
        <v>545</v>
      </c>
      <c r="I97" s="796">
        <f>I98</f>
        <v>58800000</v>
      </c>
      <c r="J97" s="796">
        <f t="shared" ref="J97:V99" si="23">J98</f>
        <v>0</v>
      </c>
      <c r="K97" s="796">
        <f t="shared" si="23"/>
        <v>0</v>
      </c>
      <c r="L97" s="796">
        <f t="shared" si="23"/>
        <v>0</v>
      </c>
      <c r="M97" s="796">
        <f t="shared" si="23"/>
        <v>0</v>
      </c>
      <c r="N97" s="796">
        <f t="shared" si="23"/>
        <v>0</v>
      </c>
      <c r="O97" s="796">
        <f t="shared" si="23"/>
        <v>0</v>
      </c>
      <c r="P97" s="796">
        <f t="shared" si="23"/>
        <v>0</v>
      </c>
      <c r="Q97" s="796">
        <f t="shared" si="23"/>
        <v>0</v>
      </c>
      <c r="R97" s="796">
        <f t="shared" si="23"/>
        <v>0</v>
      </c>
      <c r="S97" s="796">
        <f t="shared" si="23"/>
        <v>0</v>
      </c>
      <c r="T97" s="796">
        <f t="shared" si="23"/>
        <v>0</v>
      </c>
      <c r="U97" s="796">
        <f t="shared" si="23"/>
        <v>0</v>
      </c>
      <c r="V97" s="796">
        <f t="shared" si="23"/>
        <v>0</v>
      </c>
      <c r="W97" s="1144">
        <f t="shared" si="17"/>
        <v>0</v>
      </c>
      <c r="X97" s="1140">
        <f t="shared" si="18"/>
        <v>58800000</v>
      </c>
      <c r="Y97" s="828"/>
      <c r="Z97" s="855"/>
      <c r="AA97" s="856"/>
      <c r="AB97" s="856"/>
      <c r="AC97" s="856"/>
      <c r="AD97" s="856"/>
      <c r="AE97" s="856"/>
      <c r="AF97" s="856"/>
      <c r="AG97" s="857"/>
      <c r="AH97" s="854"/>
      <c r="AI97"/>
      <c r="AJ97"/>
    </row>
    <row r="98" spans="1:36">
      <c r="A98" s="563">
        <v>1</v>
      </c>
      <c r="B98" s="569">
        <v>1</v>
      </c>
      <c r="C98" s="569" t="s">
        <v>597</v>
      </c>
      <c r="D98" s="563">
        <v>5</v>
      </c>
      <c r="E98" s="563">
        <v>1</v>
      </c>
      <c r="F98" s="563"/>
      <c r="G98" s="563"/>
      <c r="H98" s="564" t="s">
        <v>312</v>
      </c>
      <c r="I98" s="567">
        <f>I99</f>
        <v>58800000</v>
      </c>
      <c r="J98" s="567">
        <f t="shared" si="23"/>
        <v>0</v>
      </c>
      <c r="K98" s="567">
        <f t="shared" si="23"/>
        <v>0</v>
      </c>
      <c r="L98" s="567">
        <f t="shared" si="23"/>
        <v>0</v>
      </c>
      <c r="M98" s="567">
        <f t="shared" si="23"/>
        <v>0</v>
      </c>
      <c r="N98" s="567">
        <f t="shared" si="23"/>
        <v>0</v>
      </c>
      <c r="O98" s="567">
        <f t="shared" si="23"/>
        <v>0</v>
      </c>
      <c r="P98" s="567">
        <f t="shared" si="23"/>
        <v>0</v>
      </c>
      <c r="Q98" s="567">
        <f t="shared" si="23"/>
        <v>0</v>
      </c>
      <c r="R98" s="567">
        <f t="shared" si="23"/>
        <v>0</v>
      </c>
      <c r="S98" s="567">
        <f t="shared" si="23"/>
        <v>0</v>
      </c>
      <c r="T98" s="567">
        <f t="shared" si="23"/>
        <v>0</v>
      </c>
      <c r="U98" s="567">
        <f t="shared" si="23"/>
        <v>0</v>
      </c>
      <c r="V98" s="567">
        <f t="shared" si="23"/>
        <v>0</v>
      </c>
      <c r="W98" s="1144">
        <f t="shared" si="17"/>
        <v>0</v>
      </c>
      <c r="X98" s="1140">
        <f t="shared" si="18"/>
        <v>58800000</v>
      </c>
      <c r="Y98" s="828"/>
      <c r="Z98" s="855"/>
      <c r="AA98" s="856"/>
      <c r="AB98" s="856"/>
      <c r="AC98" s="856"/>
      <c r="AD98" s="856"/>
      <c r="AE98" s="856"/>
      <c r="AF98" s="856"/>
      <c r="AG98" s="857"/>
      <c r="AH98" s="854"/>
      <c r="AI98"/>
      <c r="AJ98"/>
    </row>
    <row r="99" spans="1:36">
      <c r="A99" s="563">
        <v>1</v>
      </c>
      <c r="B99" s="569">
        <v>1</v>
      </c>
      <c r="C99" s="569" t="s">
        <v>597</v>
      </c>
      <c r="D99" s="563">
        <v>5</v>
      </c>
      <c r="E99" s="563">
        <v>1</v>
      </c>
      <c r="F99" s="569">
        <v>4</v>
      </c>
      <c r="G99" s="569"/>
      <c r="H99" s="564" t="s">
        <v>14</v>
      </c>
      <c r="I99" s="567">
        <f>I100</f>
        <v>58800000</v>
      </c>
      <c r="J99" s="567">
        <f t="shared" si="23"/>
        <v>0</v>
      </c>
      <c r="K99" s="567">
        <f t="shared" si="23"/>
        <v>0</v>
      </c>
      <c r="L99" s="567">
        <f t="shared" si="23"/>
        <v>0</v>
      </c>
      <c r="M99" s="567">
        <f t="shared" si="23"/>
        <v>0</v>
      </c>
      <c r="N99" s="567">
        <f t="shared" si="23"/>
        <v>0</v>
      </c>
      <c r="O99" s="567">
        <f t="shared" si="23"/>
        <v>0</v>
      </c>
      <c r="P99" s="567">
        <f t="shared" si="23"/>
        <v>0</v>
      </c>
      <c r="Q99" s="567">
        <f t="shared" si="23"/>
        <v>0</v>
      </c>
      <c r="R99" s="567">
        <f t="shared" si="23"/>
        <v>0</v>
      </c>
      <c r="S99" s="567">
        <f t="shared" si="23"/>
        <v>0</v>
      </c>
      <c r="T99" s="567">
        <f t="shared" si="23"/>
        <v>0</v>
      </c>
      <c r="U99" s="567">
        <f t="shared" si="23"/>
        <v>0</v>
      </c>
      <c r="V99" s="567">
        <f t="shared" si="23"/>
        <v>0</v>
      </c>
      <c r="W99" s="1144">
        <f t="shared" si="17"/>
        <v>0</v>
      </c>
      <c r="X99" s="1140">
        <f t="shared" si="18"/>
        <v>58800000</v>
      </c>
      <c r="Y99" s="828"/>
      <c r="Z99" s="855"/>
      <c r="AA99" s="856"/>
      <c r="AB99" s="856"/>
      <c r="AC99" s="856"/>
      <c r="AD99" s="856"/>
      <c r="AE99" s="856"/>
      <c r="AF99" s="856"/>
      <c r="AG99" s="857"/>
      <c r="AH99" s="854"/>
      <c r="AI99"/>
      <c r="AJ99"/>
    </row>
    <row r="100" spans="1:36">
      <c r="A100" s="563">
        <v>1</v>
      </c>
      <c r="B100" s="569">
        <v>1</v>
      </c>
      <c r="C100" s="569" t="s">
        <v>597</v>
      </c>
      <c r="D100" s="563">
        <v>5</v>
      </c>
      <c r="E100" s="563">
        <v>1</v>
      </c>
      <c r="F100" s="569">
        <v>4</v>
      </c>
      <c r="G100" s="569">
        <v>1</v>
      </c>
      <c r="H100" s="564" t="s">
        <v>14</v>
      </c>
      <c r="I100" s="567">
        <f>'1.5 BPD'!H20</f>
        <v>58800000</v>
      </c>
      <c r="J100" s="1118"/>
      <c r="K100" s="564"/>
      <c r="L100" s="564"/>
      <c r="M100" s="564"/>
      <c r="N100" s="564"/>
      <c r="O100" s="564"/>
      <c r="P100" s="564"/>
      <c r="Q100" s="564"/>
      <c r="R100" s="1105"/>
      <c r="S100" s="1105"/>
      <c r="T100" s="1105"/>
      <c r="U100" s="1105"/>
      <c r="V100" s="1105"/>
      <c r="W100" s="1144">
        <f t="shared" si="17"/>
        <v>0</v>
      </c>
      <c r="X100" s="1140">
        <f t="shared" si="18"/>
        <v>58800000</v>
      </c>
      <c r="Y100" s="828"/>
      <c r="Z100" s="855"/>
      <c r="AA100" s="857"/>
      <c r="AB100" s="857"/>
      <c r="AC100" s="857"/>
      <c r="AD100" s="857"/>
      <c r="AE100" s="857"/>
      <c r="AF100" s="857"/>
      <c r="AG100" s="858"/>
      <c r="AH100" s="854"/>
      <c r="AI100"/>
      <c r="AJ100"/>
    </row>
    <row r="101" spans="1:36" ht="31.5">
      <c r="A101" s="546">
        <v>1</v>
      </c>
      <c r="B101" s="794">
        <v>1</v>
      </c>
      <c r="C101" s="794" t="s">
        <v>598</v>
      </c>
      <c r="D101" s="546">
        <v>5</v>
      </c>
      <c r="E101" s="546"/>
      <c r="F101" s="546"/>
      <c r="G101" s="546"/>
      <c r="H101" s="795" t="s">
        <v>599</v>
      </c>
      <c r="I101" s="796">
        <f>I102</f>
        <v>3439500</v>
      </c>
      <c r="J101" s="796">
        <f t="shared" ref="J101:V101" si="24">J102</f>
        <v>0</v>
      </c>
      <c r="K101" s="796">
        <f t="shared" si="24"/>
        <v>0</v>
      </c>
      <c r="L101" s="796">
        <f t="shared" si="24"/>
        <v>0</v>
      </c>
      <c r="M101" s="796">
        <f t="shared" si="24"/>
        <v>0</v>
      </c>
      <c r="N101" s="796">
        <f t="shared" si="24"/>
        <v>0</v>
      </c>
      <c r="O101" s="796">
        <f t="shared" si="24"/>
        <v>0</v>
      </c>
      <c r="P101" s="796">
        <f t="shared" si="24"/>
        <v>0</v>
      </c>
      <c r="Q101" s="796">
        <f t="shared" si="24"/>
        <v>0</v>
      </c>
      <c r="R101" s="796">
        <f t="shared" si="24"/>
        <v>0</v>
      </c>
      <c r="S101" s="796">
        <f t="shared" si="24"/>
        <v>0</v>
      </c>
      <c r="T101" s="796">
        <f t="shared" si="24"/>
        <v>0</v>
      </c>
      <c r="U101" s="796">
        <f t="shared" si="24"/>
        <v>0</v>
      </c>
      <c r="V101" s="796">
        <f t="shared" si="24"/>
        <v>0</v>
      </c>
      <c r="W101" s="1144">
        <f t="shared" si="17"/>
        <v>0</v>
      </c>
      <c r="X101" s="1140">
        <f t="shared" si="18"/>
        <v>3439500</v>
      </c>
      <c r="Y101" s="828"/>
      <c r="Z101" s="855"/>
      <c r="AA101" s="859"/>
      <c r="AB101" s="859"/>
      <c r="AC101" s="859"/>
      <c r="AD101" s="859"/>
      <c r="AE101" s="859"/>
      <c r="AF101" s="859"/>
      <c r="AG101" s="858"/>
      <c r="AH101" s="854"/>
      <c r="AI101"/>
      <c r="AJ101"/>
    </row>
    <row r="102" spans="1:36">
      <c r="A102" s="563">
        <v>1</v>
      </c>
      <c r="B102" s="569">
        <v>1</v>
      </c>
      <c r="C102" s="569" t="s">
        <v>598</v>
      </c>
      <c r="D102" s="563">
        <v>5</v>
      </c>
      <c r="E102" s="563">
        <v>2</v>
      </c>
      <c r="F102" s="563"/>
      <c r="G102" s="563"/>
      <c r="H102" s="564" t="s">
        <v>8</v>
      </c>
      <c r="I102" s="567">
        <f>I103+I107</f>
        <v>3439500</v>
      </c>
      <c r="J102" s="567">
        <f t="shared" ref="J102:V102" si="25">J103+J107</f>
        <v>0</v>
      </c>
      <c r="K102" s="567">
        <f t="shared" si="25"/>
        <v>0</v>
      </c>
      <c r="L102" s="567">
        <f t="shared" si="25"/>
        <v>0</v>
      </c>
      <c r="M102" s="567">
        <f t="shared" si="25"/>
        <v>0</v>
      </c>
      <c r="N102" s="567">
        <f t="shared" si="25"/>
        <v>0</v>
      </c>
      <c r="O102" s="567">
        <f t="shared" si="25"/>
        <v>0</v>
      </c>
      <c r="P102" s="567">
        <f t="shared" si="25"/>
        <v>0</v>
      </c>
      <c r="Q102" s="567">
        <f t="shared" si="25"/>
        <v>0</v>
      </c>
      <c r="R102" s="567">
        <f t="shared" si="25"/>
        <v>0</v>
      </c>
      <c r="S102" s="567">
        <f t="shared" si="25"/>
        <v>0</v>
      </c>
      <c r="T102" s="567">
        <f t="shared" si="25"/>
        <v>0</v>
      </c>
      <c r="U102" s="567">
        <f t="shared" si="25"/>
        <v>0</v>
      </c>
      <c r="V102" s="567">
        <f t="shared" si="25"/>
        <v>0</v>
      </c>
      <c r="W102" s="1144">
        <f t="shared" si="17"/>
        <v>0</v>
      </c>
      <c r="X102" s="1140">
        <f t="shared" si="18"/>
        <v>3439500</v>
      </c>
      <c r="Y102" s="828"/>
      <c r="Z102" s="855"/>
      <c r="AA102" s="859"/>
      <c r="AB102" s="859"/>
      <c r="AC102" s="859"/>
      <c r="AD102" s="859"/>
      <c r="AE102" s="859"/>
      <c r="AF102" s="859"/>
      <c r="AG102" s="858"/>
      <c r="AH102" s="854"/>
      <c r="AI102"/>
      <c r="AJ102"/>
    </row>
    <row r="103" spans="1:36">
      <c r="A103" s="563">
        <v>1</v>
      </c>
      <c r="B103" s="569">
        <v>1</v>
      </c>
      <c r="C103" s="569" t="s">
        <v>598</v>
      </c>
      <c r="D103" s="563">
        <v>5</v>
      </c>
      <c r="E103" s="563">
        <v>2</v>
      </c>
      <c r="F103" s="569">
        <v>1</v>
      </c>
      <c r="G103" s="569"/>
      <c r="H103" s="564" t="s">
        <v>731</v>
      </c>
      <c r="I103" s="567">
        <f>SUM(I104:I106)</f>
        <v>1679500</v>
      </c>
      <c r="J103" s="567">
        <f t="shared" ref="J103:V103" si="26">SUM(J104:J106)</f>
        <v>0</v>
      </c>
      <c r="K103" s="567">
        <f t="shared" si="26"/>
        <v>0</v>
      </c>
      <c r="L103" s="567">
        <f t="shared" si="26"/>
        <v>0</v>
      </c>
      <c r="M103" s="567">
        <f t="shared" si="26"/>
        <v>0</v>
      </c>
      <c r="N103" s="567">
        <f t="shared" si="26"/>
        <v>0</v>
      </c>
      <c r="O103" s="567">
        <f t="shared" si="26"/>
        <v>0</v>
      </c>
      <c r="P103" s="567">
        <f t="shared" si="26"/>
        <v>0</v>
      </c>
      <c r="Q103" s="567">
        <f t="shared" si="26"/>
        <v>0</v>
      </c>
      <c r="R103" s="567">
        <f t="shared" si="26"/>
        <v>0</v>
      </c>
      <c r="S103" s="567">
        <f t="shared" si="26"/>
        <v>0</v>
      </c>
      <c r="T103" s="567">
        <f t="shared" si="26"/>
        <v>0</v>
      </c>
      <c r="U103" s="567">
        <f t="shared" si="26"/>
        <v>0</v>
      </c>
      <c r="V103" s="567">
        <f t="shared" si="26"/>
        <v>0</v>
      </c>
      <c r="W103" s="1144">
        <f t="shared" si="17"/>
        <v>0</v>
      </c>
      <c r="X103" s="1140">
        <f t="shared" si="18"/>
        <v>1679500</v>
      </c>
      <c r="Y103" s="828"/>
      <c r="Z103" s="834"/>
      <c r="AA103" s="834"/>
      <c r="AB103" s="834"/>
      <c r="AC103" s="834"/>
      <c r="AD103" s="834"/>
      <c r="AE103" s="834"/>
      <c r="AF103" s="834"/>
      <c r="AG103" s="829"/>
      <c r="AH103"/>
      <c r="AI103"/>
      <c r="AJ103"/>
    </row>
    <row r="104" spans="1:36">
      <c r="A104" s="563">
        <v>1</v>
      </c>
      <c r="B104" s="569">
        <v>1</v>
      </c>
      <c r="C104" s="569" t="s">
        <v>598</v>
      </c>
      <c r="D104" s="563">
        <v>5</v>
      </c>
      <c r="E104" s="563">
        <v>2</v>
      </c>
      <c r="F104" s="569">
        <v>1</v>
      </c>
      <c r="G104" s="569">
        <v>1</v>
      </c>
      <c r="H104" s="571" t="s">
        <v>864</v>
      </c>
      <c r="I104" s="567">
        <f>'1.6 OP BPD'!H30</f>
        <v>809500</v>
      </c>
      <c r="J104" s="1118"/>
      <c r="K104" s="564"/>
      <c r="L104" s="564"/>
      <c r="M104" s="564"/>
      <c r="N104" s="564"/>
      <c r="O104" s="564"/>
      <c r="P104" s="564"/>
      <c r="Q104" s="564"/>
      <c r="R104" s="1105"/>
      <c r="S104" s="1105"/>
      <c r="T104" s="1105"/>
      <c r="U104" s="1105"/>
      <c r="V104" s="1105"/>
      <c r="W104" s="1144">
        <f t="shared" si="17"/>
        <v>0</v>
      </c>
      <c r="X104" s="1140">
        <f t="shared" si="18"/>
        <v>809500</v>
      </c>
      <c r="Y104" s="828"/>
      <c r="Z104" s="828"/>
      <c r="AA104" s="828"/>
      <c r="AB104" s="828"/>
      <c r="AC104" s="835"/>
      <c r="AD104" s="835"/>
      <c r="AE104" s="834"/>
      <c r="AF104" s="834"/>
      <c r="AG104" s="829"/>
      <c r="AH104"/>
      <c r="AI104"/>
      <c r="AJ104"/>
    </row>
    <row r="105" spans="1:36" ht="31.5">
      <c r="A105" s="563">
        <v>1</v>
      </c>
      <c r="B105" s="569">
        <v>1</v>
      </c>
      <c r="C105" s="569" t="s">
        <v>598</v>
      </c>
      <c r="D105" s="563">
        <v>5</v>
      </c>
      <c r="E105" s="563">
        <v>2</v>
      </c>
      <c r="F105" s="569">
        <v>1</v>
      </c>
      <c r="G105" s="569">
        <v>3</v>
      </c>
      <c r="H105" s="564" t="s">
        <v>734</v>
      </c>
      <c r="I105" s="567"/>
      <c r="J105" s="1118"/>
      <c r="K105" s="564"/>
      <c r="L105" s="564"/>
      <c r="M105" s="564"/>
      <c r="N105" s="564"/>
      <c r="O105" s="564"/>
      <c r="P105" s="564"/>
      <c r="Q105" s="564"/>
      <c r="R105" s="1105"/>
      <c r="S105" s="1105"/>
      <c r="T105" s="1105"/>
      <c r="U105" s="1105"/>
      <c r="V105" s="1105"/>
      <c r="W105" s="1144">
        <f t="shared" si="17"/>
        <v>0</v>
      </c>
      <c r="X105" s="1140">
        <f t="shared" si="18"/>
        <v>0</v>
      </c>
      <c r="Y105" s="828"/>
      <c r="Z105" s="828"/>
      <c r="AA105" s="828"/>
      <c r="AB105" s="828"/>
      <c r="AC105" s="834"/>
      <c r="AD105" s="834"/>
      <c r="AE105" s="834"/>
      <c r="AF105" s="834"/>
      <c r="AG105" s="829"/>
      <c r="AH105"/>
      <c r="AI105"/>
      <c r="AJ105"/>
    </row>
    <row r="106" spans="1:36" ht="31.5">
      <c r="A106" s="563">
        <v>1</v>
      </c>
      <c r="B106" s="569">
        <v>1</v>
      </c>
      <c r="C106" s="569" t="s">
        <v>598</v>
      </c>
      <c r="D106" s="563">
        <v>5</v>
      </c>
      <c r="E106" s="563">
        <v>2</v>
      </c>
      <c r="F106" s="569">
        <v>1</v>
      </c>
      <c r="G106" s="569">
        <v>4</v>
      </c>
      <c r="H106" s="564" t="s">
        <v>735</v>
      </c>
      <c r="I106" s="567">
        <f>'1.6 OP BPD'!H35</f>
        <v>870000</v>
      </c>
      <c r="J106" s="1118"/>
      <c r="K106" s="564"/>
      <c r="L106" s="564"/>
      <c r="M106" s="564"/>
      <c r="N106" s="564"/>
      <c r="O106" s="564"/>
      <c r="P106" s="564"/>
      <c r="Q106" s="564"/>
      <c r="R106" s="1105"/>
      <c r="S106" s="1105"/>
      <c r="T106" s="1105"/>
      <c r="U106" s="1105"/>
      <c r="V106" s="1105"/>
      <c r="W106" s="1144">
        <f t="shared" si="17"/>
        <v>0</v>
      </c>
      <c r="X106" s="1140">
        <f t="shared" si="18"/>
        <v>870000</v>
      </c>
      <c r="Y106" s="828"/>
      <c r="Z106" s="828"/>
      <c r="AA106" s="828"/>
      <c r="AB106" s="828"/>
      <c r="AC106" s="834"/>
      <c r="AD106" s="834"/>
      <c r="AE106" s="834"/>
      <c r="AF106" s="834"/>
      <c r="AG106" s="829"/>
      <c r="AH106"/>
      <c r="AI106"/>
      <c r="AJ106"/>
    </row>
    <row r="107" spans="1:36">
      <c r="A107" s="563">
        <v>1</v>
      </c>
      <c r="B107" s="569">
        <v>1</v>
      </c>
      <c r="C107" s="569" t="s">
        <v>598</v>
      </c>
      <c r="D107" s="563">
        <v>5</v>
      </c>
      <c r="E107" s="563">
        <v>2</v>
      </c>
      <c r="F107" s="569">
        <v>3</v>
      </c>
      <c r="G107" s="569"/>
      <c r="H107" s="564" t="s">
        <v>740</v>
      </c>
      <c r="I107" s="567">
        <f>SUM(I108:I108)</f>
        <v>1760000</v>
      </c>
      <c r="J107" s="1118"/>
      <c r="K107" s="564"/>
      <c r="L107" s="564"/>
      <c r="M107" s="564"/>
      <c r="N107" s="564"/>
      <c r="O107" s="564"/>
      <c r="P107" s="564"/>
      <c r="Q107" s="564"/>
      <c r="R107" s="1105"/>
      <c r="S107" s="1105"/>
      <c r="T107" s="1105"/>
      <c r="U107" s="1105"/>
      <c r="V107" s="1105"/>
      <c r="W107" s="1144">
        <f t="shared" si="17"/>
        <v>0</v>
      </c>
      <c r="X107" s="1140">
        <f t="shared" si="18"/>
        <v>1760000</v>
      </c>
      <c r="Y107" s="828"/>
      <c r="Z107" s="828"/>
      <c r="AA107" s="828"/>
      <c r="AB107" s="828"/>
      <c r="AC107" s="834"/>
      <c r="AD107" s="834"/>
      <c r="AE107" s="834"/>
      <c r="AF107" s="834"/>
      <c r="AG107" s="829"/>
      <c r="AH107"/>
      <c r="AI107"/>
      <c r="AJ107"/>
    </row>
    <row r="108" spans="1:36">
      <c r="A108" s="563">
        <v>1</v>
      </c>
      <c r="B108" s="569">
        <v>1</v>
      </c>
      <c r="C108" s="569" t="s">
        <v>598</v>
      </c>
      <c r="D108" s="563">
        <v>5</v>
      </c>
      <c r="E108" s="563">
        <v>2</v>
      </c>
      <c r="F108" s="569">
        <v>3</v>
      </c>
      <c r="G108" s="569">
        <v>1</v>
      </c>
      <c r="H108" s="564" t="s">
        <v>741</v>
      </c>
      <c r="I108" s="567">
        <f>'1.6 OP BPD'!H39</f>
        <v>1760000</v>
      </c>
      <c r="J108" s="1118"/>
      <c r="K108" s="564"/>
      <c r="L108" s="564"/>
      <c r="M108" s="564"/>
      <c r="N108" s="564"/>
      <c r="O108" s="564"/>
      <c r="P108" s="564"/>
      <c r="Q108" s="564"/>
      <c r="R108" s="1105"/>
      <c r="S108" s="1105"/>
      <c r="T108" s="1105"/>
      <c r="U108" s="1105"/>
      <c r="V108" s="1105"/>
      <c r="W108" s="1144">
        <f t="shared" si="17"/>
        <v>0</v>
      </c>
      <c r="X108" s="1140">
        <f t="shared" si="18"/>
        <v>1760000</v>
      </c>
      <c r="Y108" s="828"/>
      <c r="Z108" s="828"/>
      <c r="AA108" s="828"/>
      <c r="AB108" s="828"/>
      <c r="AC108" s="834"/>
      <c r="AD108" s="834"/>
      <c r="AE108" s="834"/>
      <c r="AF108" s="834"/>
      <c r="AG108" s="829"/>
      <c r="AH108"/>
      <c r="AI108"/>
      <c r="AJ108"/>
    </row>
    <row r="109" spans="1:36">
      <c r="A109" s="546">
        <v>1</v>
      </c>
      <c r="B109" s="794">
        <v>1</v>
      </c>
      <c r="C109" s="794" t="s">
        <v>600</v>
      </c>
      <c r="D109" s="546">
        <v>5</v>
      </c>
      <c r="E109" s="546"/>
      <c r="F109" s="546"/>
      <c r="G109" s="546"/>
      <c r="H109" s="795" t="s">
        <v>551</v>
      </c>
      <c r="I109" s="796">
        <f>I110</f>
        <v>76800000</v>
      </c>
      <c r="J109" s="1121"/>
      <c r="K109" s="795"/>
      <c r="L109" s="795"/>
      <c r="M109" s="795"/>
      <c r="N109" s="795"/>
      <c r="O109" s="795"/>
      <c r="P109" s="795"/>
      <c r="Q109" s="795"/>
      <c r="R109" s="1105"/>
      <c r="S109" s="1105"/>
      <c r="T109" s="1105"/>
      <c r="U109" s="1105"/>
      <c r="V109" s="1105"/>
      <c r="W109" s="1144">
        <f t="shared" si="17"/>
        <v>0</v>
      </c>
      <c r="X109" s="1140">
        <f t="shared" si="18"/>
        <v>76800000</v>
      </c>
      <c r="Y109" s="828"/>
      <c r="Z109" s="828"/>
      <c r="AA109" s="828"/>
      <c r="AB109" s="828"/>
      <c r="AC109" s="834"/>
      <c r="AD109" s="834"/>
      <c r="AE109" s="834"/>
      <c r="AF109" s="834"/>
      <c r="AG109" s="829"/>
      <c r="AH109"/>
      <c r="AI109"/>
      <c r="AJ109"/>
    </row>
    <row r="110" spans="1:36">
      <c r="A110" s="563">
        <v>1</v>
      </c>
      <c r="B110" s="569">
        <v>1</v>
      </c>
      <c r="C110" s="569" t="s">
        <v>600</v>
      </c>
      <c r="D110" s="563">
        <v>5</v>
      </c>
      <c r="E110" s="563">
        <v>2</v>
      </c>
      <c r="F110" s="563"/>
      <c r="G110" s="563"/>
      <c r="H110" s="564" t="s">
        <v>8</v>
      </c>
      <c r="I110" s="567">
        <f>I111</f>
        <v>76800000</v>
      </c>
      <c r="J110" s="1118"/>
      <c r="K110" s="564"/>
      <c r="L110" s="564"/>
      <c r="M110" s="564"/>
      <c r="N110" s="564"/>
      <c r="O110" s="564"/>
      <c r="P110" s="564"/>
      <c r="Q110" s="564"/>
      <c r="R110" s="1105"/>
      <c r="S110" s="1105"/>
      <c r="T110" s="1105"/>
      <c r="U110" s="1105"/>
      <c r="V110" s="1105"/>
      <c r="W110" s="1144">
        <f t="shared" si="17"/>
        <v>0</v>
      </c>
      <c r="X110" s="1140">
        <f t="shared" si="18"/>
        <v>76800000</v>
      </c>
      <c r="Y110" s="828"/>
      <c r="Z110" s="828"/>
      <c r="AA110" s="828"/>
      <c r="AB110" s="828"/>
      <c r="AC110" s="834"/>
      <c r="AD110" s="834"/>
      <c r="AE110" s="834"/>
      <c r="AF110" s="834"/>
      <c r="AG110" s="829"/>
      <c r="AH110"/>
      <c r="AI110"/>
      <c r="AJ110"/>
    </row>
    <row r="111" spans="1:36">
      <c r="A111" s="563">
        <v>1</v>
      </c>
      <c r="B111" s="569">
        <v>1</v>
      </c>
      <c r="C111" s="569" t="s">
        <v>600</v>
      </c>
      <c r="D111" s="563">
        <v>5</v>
      </c>
      <c r="E111" s="563">
        <v>2</v>
      </c>
      <c r="F111" s="569">
        <v>1</v>
      </c>
      <c r="G111" s="569"/>
      <c r="H111" s="564" t="s">
        <v>731</v>
      </c>
      <c r="I111" s="567">
        <f>SUM(I112:I112)</f>
        <v>76800000</v>
      </c>
      <c r="J111" s="1118"/>
      <c r="K111" s="564"/>
      <c r="L111" s="564"/>
      <c r="M111" s="564"/>
      <c r="N111" s="564"/>
      <c r="O111" s="564"/>
      <c r="P111" s="564"/>
      <c r="Q111" s="564"/>
      <c r="R111" s="1105"/>
      <c r="S111" s="1105"/>
      <c r="T111" s="1105"/>
      <c r="U111" s="1105"/>
      <c r="V111" s="1105"/>
      <c r="W111" s="1144">
        <f t="shared" si="17"/>
        <v>0</v>
      </c>
      <c r="X111" s="1140">
        <f t="shared" si="18"/>
        <v>76800000</v>
      </c>
      <c r="Z111" s="535"/>
      <c r="AA111" s="535"/>
      <c r="AB111" s="535"/>
      <c r="AC111" s="535"/>
      <c r="AD111" s="535"/>
      <c r="AE111" s="535"/>
      <c r="AF111" s="535"/>
      <c r="AG111"/>
      <c r="AH111"/>
      <c r="AI111"/>
      <c r="AJ111"/>
    </row>
    <row r="112" spans="1:36">
      <c r="A112" s="563">
        <v>1</v>
      </c>
      <c r="B112" s="569">
        <v>1</v>
      </c>
      <c r="C112" s="569" t="s">
        <v>600</v>
      </c>
      <c r="D112" s="563">
        <v>5</v>
      </c>
      <c r="E112" s="563">
        <v>2</v>
      </c>
      <c r="F112" s="569">
        <v>1</v>
      </c>
      <c r="G112" s="569">
        <v>5</v>
      </c>
      <c r="H112" s="564" t="s">
        <v>823</v>
      </c>
      <c r="I112" s="567">
        <f>'1.7 RT'!D10</f>
        <v>76800000</v>
      </c>
      <c r="J112" s="1118"/>
      <c r="K112" s="564"/>
      <c r="L112" s="564"/>
      <c r="M112" s="564"/>
      <c r="N112" s="564"/>
      <c r="O112" s="564"/>
      <c r="P112" s="564"/>
      <c r="Q112" s="564"/>
      <c r="R112" s="1105"/>
      <c r="S112" s="1105"/>
      <c r="T112" s="1105"/>
      <c r="U112" s="1105"/>
      <c r="V112" s="1105"/>
      <c r="W112" s="1144">
        <f t="shared" si="17"/>
        <v>0</v>
      </c>
      <c r="X112" s="1140">
        <f t="shared" si="18"/>
        <v>76800000</v>
      </c>
      <c r="Z112" s="535"/>
      <c r="AA112" s="535"/>
      <c r="AB112" s="535"/>
      <c r="AC112" s="535"/>
      <c r="AD112" s="535"/>
      <c r="AE112" s="535" t="s">
        <v>21</v>
      </c>
      <c r="AF112" s="535"/>
      <c r="AG112"/>
      <c r="AH112"/>
      <c r="AI112"/>
      <c r="AJ112"/>
    </row>
    <row r="113" spans="1:36">
      <c r="A113" s="798">
        <v>1</v>
      </c>
      <c r="B113" s="799">
        <v>2</v>
      </c>
      <c r="C113" s="799"/>
      <c r="D113" s="800"/>
      <c r="E113" s="798"/>
      <c r="F113" s="799"/>
      <c r="G113" s="799"/>
      <c r="H113" s="801" t="s">
        <v>602</v>
      </c>
      <c r="I113" s="802">
        <f>I114+I118</f>
        <v>11962000</v>
      </c>
      <c r="J113" s="1120"/>
      <c r="K113" s="801"/>
      <c r="L113" s="801"/>
      <c r="M113" s="801"/>
      <c r="N113" s="801"/>
      <c r="O113" s="801"/>
      <c r="P113" s="801"/>
      <c r="Q113" s="801"/>
      <c r="R113" s="1105"/>
      <c r="S113" s="1105"/>
      <c r="T113" s="1105"/>
      <c r="U113" s="1105"/>
      <c r="V113" s="1105"/>
      <c r="W113" s="1144">
        <f t="shared" si="17"/>
        <v>0</v>
      </c>
      <c r="X113" s="1140">
        <f t="shared" si="18"/>
        <v>11962000</v>
      </c>
      <c r="Z113" s="60"/>
      <c r="AA113" s="535"/>
      <c r="AB113" s="535"/>
      <c r="AC113" s="61">
        <f>AA101/4</f>
        <v>0</v>
      </c>
      <c r="AD113" s="61"/>
      <c r="AE113"/>
      <c r="AF113"/>
      <c r="AG113"/>
      <c r="AH113"/>
      <c r="AI113"/>
      <c r="AJ113"/>
    </row>
    <row r="114" spans="1:36">
      <c r="A114" s="563">
        <v>1</v>
      </c>
      <c r="B114" s="569">
        <v>2</v>
      </c>
      <c r="C114" s="569" t="s">
        <v>593</v>
      </c>
      <c r="D114" s="563">
        <v>5</v>
      </c>
      <c r="E114" s="563"/>
      <c r="F114" s="569"/>
      <c r="G114" s="569"/>
      <c r="H114" s="564" t="s">
        <v>544</v>
      </c>
      <c r="I114" s="567">
        <f>I115</f>
        <v>0</v>
      </c>
      <c r="J114" s="1118"/>
      <c r="K114" s="564"/>
      <c r="L114" s="564"/>
      <c r="M114" s="564"/>
      <c r="N114" s="564"/>
      <c r="O114" s="564"/>
      <c r="P114" s="564"/>
      <c r="Q114" s="564"/>
      <c r="R114" s="1105"/>
      <c r="S114" s="1105"/>
      <c r="T114" s="1105"/>
      <c r="U114" s="1105"/>
      <c r="V114" s="1105"/>
      <c r="W114" s="1144">
        <f t="shared" si="17"/>
        <v>0</v>
      </c>
      <c r="X114" s="1140">
        <f t="shared" si="18"/>
        <v>0</v>
      </c>
      <c r="Z114"/>
      <c r="AA114"/>
      <c r="AB114" s="539"/>
      <c r="AC114"/>
      <c r="AD114"/>
      <c r="AE114"/>
      <c r="AF114"/>
      <c r="AG114" t="s">
        <v>21</v>
      </c>
      <c r="AH114"/>
      <c r="AI114"/>
      <c r="AJ114"/>
    </row>
    <row r="115" spans="1:36">
      <c r="A115" s="563">
        <v>1</v>
      </c>
      <c r="B115" s="569">
        <v>2</v>
      </c>
      <c r="C115" s="569" t="s">
        <v>593</v>
      </c>
      <c r="D115" s="563">
        <v>5</v>
      </c>
      <c r="E115" s="563">
        <v>3</v>
      </c>
      <c r="F115" s="563"/>
      <c r="G115" s="569"/>
      <c r="H115" s="564" t="s">
        <v>9</v>
      </c>
      <c r="I115" s="567">
        <f>I116</f>
        <v>0</v>
      </c>
      <c r="J115" s="1118"/>
      <c r="K115" s="564"/>
      <c r="L115" s="564"/>
      <c r="M115" s="564"/>
      <c r="N115" s="564"/>
      <c r="O115" s="564"/>
      <c r="P115" s="564"/>
      <c r="Q115" s="564"/>
      <c r="R115" s="1105"/>
      <c r="S115" s="1105"/>
      <c r="T115" s="1105"/>
      <c r="U115" s="1105"/>
      <c r="V115" s="1105"/>
      <c r="W115" s="1144">
        <f t="shared" si="17"/>
        <v>0</v>
      </c>
      <c r="X115" s="1140">
        <f t="shared" si="18"/>
        <v>0</v>
      </c>
      <c r="Z115"/>
      <c r="AA115"/>
      <c r="AB115"/>
      <c r="AC115"/>
      <c r="AD115"/>
      <c r="AE115"/>
      <c r="AF115"/>
      <c r="AG115"/>
      <c r="AH115"/>
      <c r="AI115"/>
      <c r="AJ115"/>
    </row>
    <row r="116" spans="1:36">
      <c r="A116" s="563">
        <v>1</v>
      </c>
      <c r="B116" s="569">
        <v>2</v>
      </c>
      <c r="C116" s="569" t="s">
        <v>593</v>
      </c>
      <c r="D116" s="563">
        <v>5</v>
      </c>
      <c r="E116" s="563">
        <v>3</v>
      </c>
      <c r="F116" s="563">
        <v>2</v>
      </c>
      <c r="G116" s="563"/>
      <c r="H116" s="564" t="s">
        <v>747</v>
      </c>
      <c r="I116" s="567">
        <f>SUM(I117:I117)</f>
        <v>0</v>
      </c>
      <c r="J116" s="1118"/>
      <c r="K116" s="564"/>
      <c r="L116" s="564"/>
      <c r="M116" s="564"/>
      <c r="N116" s="564"/>
      <c r="O116" s="564"/>
      <c r="P116" s="564"/>
      <c r="Q116" s="564"/>
      <c r="R116" s="1105"/>
      <c r="S116" s="1105"/>
      <c r="T116" s="1105"/>
      <c r="U116" s="1105"/>
      <c r="V116" s="1105"/>
      <c r="W116" s="1144">
        <f t="shared" si="17"/>
        <v>0</v>
      </c>
      <c r="X116" s="1140">
        <f t="shared" si="18"/>
        <v>0</v>
      </c>
      <c r="Z116"/>
      <c r="AA116"/>
      <c r="AB116"/>
      <c r="AC116"/>
      <c r="AD116"/>
      <c r="AE116"/>
      <c r="AF116"/>
      <c r="AG116"/>
      <c r="AH116"/>
      <c r="AI116"/>
      <c r="AJ116"/>
    </row>
    <row r="117" spans="1:36">
      <c r="A117" s="563">
        <v>1</v>
      </c>
      <c r="B117" s="569">
        <v>2</v>
      </c>
      <c r="C117" s="569" t="s">
        <v>593</v>
      </c>
      <c r="D117" s="563">
        <v>5</v>
      </c>
      <c r="E117" s="563">
        <v>3</v>
      </c>
      <c r="F117" s="563">
        <v>2</v>
      </c>
      <c r="G117" s="563">
        <v>3</v>
      </c>
      <c r="H117" s="564" t="s">
        <v>834</v>
      </c>
      <c r="I117" s="567">
        <f>'1.8 Mdl'!G19</f>
        <v>0</v>
      </c>
      <c r="J117" s="1118"/>
      <c r="K117" s="564"/>
      <c r="L117" s="564"/>
      <c r="M117" s="564"/>
      <c r="N117" s="564"/>
      <c r="O117" s="564"/>
      <c r="P117" s="564"/>
      <c r="Q117" s="564"/>
      <c r="R117" s="1105"/>
      <c r="S117" s="1105"/>
      <c r="T117" s="1105"/>
      <c r="U117" s="1105"/>
      <c r="V117" s="1105"/>
      <c r="W117" s="1144">
        <f t="shared" si="17"/>
        <v>0</v>
      </c>
      <c r="X117" s="1140">
        <f t="shared" si="18"/>
        <v>0</v>
      </c>
      <c r="Z117"/>
      <c r="AA117" s="3"/>
      <c r="AB117"/>
      <c r="AC117"/>
      <c r="AD117"/>
      <c r="AE117"/>
      <c r="AF117"/>
      <c r="AG117"/>
      <c r="AH117"/>
      <c r="AI117"/>
      <c r="AJ117"/>
    </row>
    <row r="118" spans="1:36">
      <c r="A118" s="563">
        <v>1</v>
      </c>
      <c r="B118" s="569">
        <v>2</v>
      </c>
      <c r="C118" s="569" t="s">
        <v>595</v>
      </c>
      <c r="D118" s="563"/>
      <c r="E118" s="563"/>
      <c r="F118" s="563"/>
      <c r="G118" s="563"/>
      <c r="H118" s="564" t="s">
        <v>1054</v>
      </c>
      <c r="I118" s="567">
        <f>I120+I121</f>
        <v>11962000</v>
      </c>
      <c r="J118" s="1118"/>
      <c r="K118" s="564"/>
      <c r="L118" s="564"/>
      <c r="M118" s="564"/>
      <c r="N118" s="564"/>
      <c r="O118" s="564"/>
      <c r="P118" s="564"/>
      <c r="Q118" s="564"/>
      <c r="R118" s="1105"/>
      <c r="S118" s="1105"/>
      <c r="T118" s="1105"/>
      <c r="U118" s="1105"/>
      <c r="V118" s="1105"/>
      <c r="W118" s="1144">
        <f t="shared" si="17"/>
        <v>0</v>
      </c>
      <c r="X118" s="1140">
        <f t="shared" si="18"/>
        <v>11962000</v>
      </c>
      <c r="Z118"/>
      <c r="AA118" s="3"/>
      <c r="AB118"/>
      <c r="AC118"/>
      <c r="AD118"/>
      <c r="AE118"/>
      <c r="AF118"/>
      <c r="AG118"/>
      <c r="AH118"/>
      <c r="AI118"/>
      <c r="AJ118"/>
    </row>
    <row r="119" spans="1:36">
      <c r="A119" s="563">
        <v>1</v>
      </c>
      <c r="B119" s="569">
        <v>2</v>
      </c>
      <c r="C119" s="569" t="s">
        <v>595</v>
      </c>
      <c r="D119" s="563">
        <v>5</v>
      </c>
      <c r="E119" s="563">
        <v>3</v>
      </c>
      <c r="F119" s="563">
        <v>4</v>
      </c>
      <c r="G119" s="563"/>
      <c r="H119" s="564" t="s">
        <v>1055</v>
      </c>
      <c r="I119" s="567"/>
      <c r="J119" s="1118"/>
      <c r="K119" s="564"/>
      <c r="L119" s="564"/>
      <c r="M119" s="564"/>
      <c r="N119" s="564"/>
      <c r="O119" s="564"/>
      <c r="P119" s="564"/>
      <c r="Q119" s="564"/>
      <c r="R119" s="1105"/>
      <c r="S119" s="1105"/>
      <c r="T119" s="1105"/>
      <c r="U119" s="1105"/>
      <c r="V119" s="1105"/>
      <c r="W119" s="1144">
        <f t="shared" si="17"/>
        <v>0</v>
      </c>
      <c r="X119" s="1140">
        <f t="shared" si="18"/>
        <v>0</v>
      </c>
      <c r="Z119"/>
      <c r="AA119" s="3"/>
      <c r="AB119"/>
      <c r="AC119"/>
      <c r="AD119"/>
      <c r="AE119"/>
      <c r="AF119"/>
      <c r="AG119"/>
      <c r="AH119"/>
      <c r="AI119"/>
      <c r="AJ119"/>
    </row>
    <row r="120" spans="1:36">
      <c r="A120" s="563">
        <v>1</v>
      </c>
      <c r="B120" s="569">
        <v>2</v>
      </c>
      <c r="C120" s="569" t="s">
        <v>595</v>
      </c>
      <c r="D120" s="563">
        <v>5</v>
      </c>
      <c r="E120" s="563">
        <v>3</v>
      </c>
      <c r="F120" s="563">
        <v>4</v>
      </c>
      <c r="G120" s="563">
        <v>1</v>
      </c>
      <c r="H120" s="564" t="s">
        <v>1056</v>
      </c>
      <c r="I120" s="567"/>
      <c r="J120" s="1118"/>
      <c r="K120" s="564"/>
      <c r="L120" s="564"/>
      <c r="M120" s="564"/>
      <c r="N120" s="564"/>
      <c r="O120" s="564"/>
      <c r="P120" s="564"/>
      <c r="Q120" s="564"/>
      <c r="R120" s="1105"/>
      <c r="S120" s="1105"/>
      <c r="T120" s="1105"/>
      <c r="U120" s="1105"/>
      <c r="V120" s="1105"/>
      <c r="W120" s="1144">
        <f t="shared" si="17"/>
        <v>0</v>
      </c>
      <c r="X120" s="1140">
        <f t="shared" si="18"/>
        <v>0</v>
      </c>
      <c r="Z120"/>
      <c r="AA120" s="3"/>
      <c r="AB120"/>
      <c r="AC120"/>
      <c r="AD120"/>
      <c r="AE120"/>
      <c r="AF120"/>
      <c r="AG120"/>
      <c r="AH120"/>
      <c r="AI120"/>
      <c r="AJ120"/>
    </row>
    <row r="121" spans="1:36">
      <c r="A121" s="563">
        <v>1</v>
      </c>
      <c r="B121" s="569">
        <v>2</v>
      </c>
      <c r="C121" s="569" t="s">
        <v>595</v>
      </c>
      <c r="D121" s="563">
        <v>5</v>
      </c>
      <c r="E121" s="563">
        <v>3</v>
      </c>
      <c r="F121" s="563">
        <v>4</v>
      </c>
      <c r="G121" s="563">
        <v>2</v>
      </c>
      <c r="H121" s="564" t="s">
        <v>1057</v>
      </c>
      <c r="I121" s="567">
        <v>11962000</v>
      </c>
      <c r="J121" s="1118"/>
      <c r="K121" s="564"/>
      <c r="L121" s="564"/>
      <c r="M121" s="564"/>
      <c r="N121" s="564"/>
      <c r="O121" s="564"/>
      <c r="P121" s="564"/>
      <c r="Q121" s="564"/>
      <c r="R121" s="1105"/>
      <c r="S121" s="1105"/>
      <c r="T121" s="1105"/>
      <c r="U121" s="1105"/>
      <c r="V121" s="1105"/>
      <c r="W121" s="1144">
        <f t="shared" si="17"/>
        <v>0</v>
      </c>
      <c r="X121" s="1140">
        <f t="shared" si="18"/>
        <v>11962000</v>
      </c>
      <c r="Y121" s="974"/>
      <c r="Z121"/>
      <c r="AA121" s="3"/>
      <c r="AB121"/>
      <c r="AC121"/>
      <c r="AD121"/>
      <c r="AE121"/>
      <c r="AF121"/>
      <c r="AG121"/>
      <c r="AH121"/>
      <c r="AI121"/>
      <c r="AJ121"/>
    </row>
    <row r="122" spans="1:36">
      <c r="A122" s="563">
        <v>1</v>
      </c>
      <c r="B122" s="569">
        <v>2</v>
      </c>
      <c r="C122" s="569" t="s">
        <v>595</v>
      </c>
      <c r="D122" s="563"/>
      <c r="E122" s="563"/>
      <c r="F122" s="563"/>
      <c r="G122" s="563"/>
      <c r="H122" s="564"/>
      <c r="I122" s="567"/>
      <c r="J122" s="1118"/>
      <c r="K122" s="564"/>
      <c r="L122" s="564"/>
      <c r="M122" s="564"/>
      <c r="N122" s="564"/>
      <c r="O122" s="564"/>
      <c r="P122" s="564"/>
      <c r="Q122" s="564"/>
      <c r="R122" s="1105"/>
      <c r="S122" s="1105"/>
      <c r="T122" s="1105"/>
      <c r="U122" s="1105"/>
      <c r="V122" s="1105"/>
      <c r="W122" s="1144">
        <f t="shared" si="17"/>
        <v>0</v>
      </c>
      <c r="X122" s="1140">
        <f t="shared" si="18"/>
        <v>0</v>
      </c>
      <c r="Z122"/>
      <c r="AA122" s="3"/>
      <c r="AB122"/>
      <c r="AC122"/>
      <c r="AD122"/>
      <c r="AE122"/>
      <c r="AF122"/>
      <c r="AG122"/>
      <c r="AH122"/>
      <c r="AI122"/>
      <c r="AJ122"/>
    </row>
    <row r="123" spans="1:36" ht="31.5">
      <c r="A123" s="798">
        <v>1</v>
      </c>
      <c r="B123" s="799">
        <v>3</v>
      </c>
      <c r="C123" s="799"/>
      <c r="D123" s="800">
        <v>5</v>
      </c>
      <c r="E123" s="798"/>
      <c r="F123" s="799"/>
      <c r="G123" s="799"/>
      <c r="H123" s="801" t="s">
        <v>605</v>
      </c>
      <c r="I123" s="802">
        <f>I124</f>
        <v>0</v>
      </c>
      <c r="J123" s="1120"/>
      <c r="K123" s="801"/>
      <c r="L123" s="801"/>
      <c r="M123" s="801"/>
      <c r="N123" s="801"/>
      <c r="O123" s="801"/>
      <c r="P123" s="801"/>
      <c r="Q123" s="801"/>
      <c r="R123" s="1105"/>
      <c r="S123" s="1105"/>
      <c r="T123" s="1105"/>
      <c r="U123" s="1105"/>
      <c r="V123" s="1105"/>
      <c r="W123" s="1144">
        <f t="shared" si="17"/>
        <v>0</v>
      </c>
      <c r="X123" s="1140">
        <f t="shared" si="18"/>
        <v>0</v>
      </c>
      <c r="Z123"/>
      <c r="AA123" s="3"/>
      <c r="AB123"/>
      <c r="AC123"/>
      <c r="AD123"/>
      <c r="AE123"/>
      <c r="AF123"/>
      <c r="AG123"/>
      <c r="AH123"/>
      <c r="AI123"/>
      <c r="AJ123"/>
    </row>
    <row r="124" spans="1:36" ht="19.5" customHeight="1">
      <c r="A124" s="563">
        <v>1</v>
      </c>
      <c r="B124" s="569">
        <v>3</v>
      </c>
      <c r="C124" s="569" t="s">
        <v>594</v>
      </c>
      <c r="D124" s="563">
        <v>5</v>
      </c>
      <c r="E124" s="563"/>
      <c r="F124" s="569"/>
      <c r="G124" s="569"/>
      <c r="H124" s="564" t="s">
        <v>607</v>
      </c>
      <c r="I124" s="567">
        <f>I125</f>
        <v>0</v>
      </c>
      <c r="J124" s="1118"/>
      <c r="K124" s="564"/>
      <c r="L124" s="564"/>
      <c r="M124" s="564"/>
      <c r="N124" s="564"/>
      <c r="O124" s="564"/>
      <c r="P124" s="564"/>
      <c r="Q124" s="564"/>
      <c r="R124" s="1105"/>
      <c r="S124" s="1105"/>
      <c r="T124" s="1105"/>
      <c r="U124" s="1105"/>
      <c r="V124" s="1105"/>
      <c r="W124" s="1144">
        <f t="shared" si="17"/>
        <v>0</v>
      </c>
      <c r="X124" s="1140">
        <f t="shared" si="18"/>
        <v>0</v>
      </c>
      <c r="Z124"/>
      <c r="AA124"/>
      <c r="AB124"/>
      <c r="AC124"/>
      <c r="AD124"/>
      <c r="AE124"/>
      <c r="AF124"/>
      <c r="AG124"/>
      <c r="AH124"/>
      <c r="AI124"/>
      <c r="AJ124"/>
    </row>
    <row r="125" spans="1:36">
      <c r="A125" s="563">
        <v>1</v>
      </c>
      <c r="B125" s="569">
        <v>3</v>
      </c>
      <c r="C125" s="569" t="s">
        <v>594</v>
      </c>
      <c r="D125" s="563">
        <v>5</v>
      </c>
      <c r="E125" s="563">
        <v>2</v>
      </c>
      <c r="F125" s="569"/>
      <c r="G125" s="569"/>
      <c r="H125" s="564" t="s">
        <v>8</v>
      </c>
      <c r="I125" s="567">
        <f>I126</f>
        <v>0</v>
      </c>
      <c r="J125" s="1118"/>
      <c r="K125" s="564"/>
      <c r="L125" s="564"/>
      <c r="M125" s="564"/>
      <c r="N125" s="564"/>
      <c r="O125" s="564"/>
      <c r="P125" s="564"/>
      <c r="Q125" s="564"/>
      <c r="R125" s="1105"/>
      <c r="S125" s="1105"/>
      <c r="T125" s="1105"/>
      <c r="U125" s="1105"/>
      <c r="V125" s="1105"/>
      <c r="W125" s="1144">
        <f t="shared" si="17"/>
        <v>0</v>
      </c>
      <c r="X125" s="1140">
        <f t="shared" si="18"/>
        <v>0</v>
      </c>
      <c r="Z125"/>
      <c r="AA125"/>
      <c r="AB125"/>
      <c r="AC125"/>
      <c r="AD125"/>
      <c r="AE125"/>
      <c r="AF125"/>
      <c r="AG125"/>
      <c r="AH125"/>
      <c r="AI125"/>
      <c r="AJ125"/>
    </row>
    <row r="126" spans="1:36">
      <c r="A126" s="563">
        <v>1</v>
      </c>
      <c r="B126" s="569">
        <v>3</v>
      </c>
      <c r="C126" s="569" t="s">
        <v>594</v>
      </c>
      <c r="D126" s="563">
        <v>5</v>
      </c>
      <c r="E126" s="569">
        <v>2</v>
      </c>
      <c r="F126" s="569">
        <v>2</v>
      </c>
      <c r="G126" s="569"/>
      <c r="H126" s="564" t="s">
        <v>736</v>
      </c>
      <c r="I126" s="567">
        <f>SUM(I127:I127)</f>
        <v>0</v>
      </c>
      <c r="J126" s="1118"/>
      <c r="K126" s="564"/>
      <c r="L126" s="564"/>
      <c r="M126" s="564"/>
      <c r="N126" s="564"/>
      <c r="O126" s="564"/>
      <c r="P126" s="564"/>
      <c r="Q126" s="564"/>
      <c r="R126" s="1105"/>
      <c r="S126" s="1105"/>
      <c r="T126" s="1105"/>
      <c r="U126" s="1105"/>
      <c r="V126" s="1105"/>
      <c r="W126" s="1144">
        <f t="shared" si="17"/>
        <v>0</v>
      </c>
      <c r="X126" s="1140">
        <f t="shared" si="18"/>
        <v>0</v>
      </c>
      <c r="Z126"/>
      <c r="AA126"/>
      <c r="AB126"/>
      <c r="AC126"/>
      <c r="AD126"/>
      <c r="AE126"/>
      <c r="AF126"/>
      <c r="AG126"/>
      <c r="AH126"/>
      <c r="AI126"/>
      <c r="AJ126"/>
    </row>
    <row r="127" spans="1:36">
      <c r="A127" s="563">
        <v>1</v>
      </c>
      <c r="B127" s="569">
        <v>3</v>
      </c>
      <c r="C127" s="569" t="s">
        <v>594</v>
      </c>
      <c r="D127" s="563">
        <v>5</v>
      </c>
      <c r="E127" s="569">
        <v>2</v>
      </c>
      <c r="F127" s="569">
        <v>2</v>
      </c>
      <c r="G127" s="569">
        <v>5</v>
      </c>
      <c r="H127" s="564" t="s">
        <v>738</v>
      </c>
      <c r="I127" s="567">
        <f>'1.13 Profil'!H19</f>
        <v>0</v>
      </c>
      <c r="J127" s="1118"/>
      <c r="K127" s="564"/>
      <c r="L127" s="564"/>
      <c r="M127" s="564"/>
      <c r="N127" s="564"/>
      <c r="O127" s="564"/>
      <c r="P127" s="564"/>
      <c r="Q127" s="564"/>
      <c r="R127" s="1105"/>
      <c r="S127" s="1105"/>
      <c r="T127" s="1105"/>
      <c r="U127" s="1105"/>
      <c r="V127" s="1105"/>
      <c r="W127" s="1144">
        <f t="shared" si="17"/>
        <v>0</v>
      </c>
      <c r="X127" s="1140">
        <f t="shared" si="18"/>
        <v>0</v>
      </c>
      <c r="Z127"/>
      <c r="AA127"/>
      <c r="AB127"/>
      <c r="AC127"/>
      <c r="AD127"/>
      <c r="AE127"/>
      <c r="AF127"/>
      <c r="AG127"/>
      <c r="AH127"/>
      <c r="AI127"/>
      <c r="AJ127"/>
    </row>
    <row r="128" spans="1:36" ht="31.5">
      <c r="A128" s="803">
        <v>1</v>
      </c>
      <c r="B128" s="804">
        <v>4</v>
      </c>
      <c r="C128" s="804"/>
      <c r="D128" s="800">
        <v>5</v>
      </c>
      <c r="E128" s="803"/>
      <c r="F128" s="803"/>
      <c r="G128" s="803"/>
      <c r="H128" s="805" t="s">
        <v>609</v>
      </c>
      <c r="I128" s="807" t="e">
        <f>I129+I133+I137+I141+I145</f>
        <v>#REF!</v>
      </c>
      <c r="J128" s="1122"/>
      <c r="K128" s="806"/>
      <c r="L128" s="806"/>
      <c r="M128" s="806"/>
      <c r="N128" s="806"/>
      <c r="O128" s="806"/>
      <c r="P128" s="806"/>
      <c r="Q128" s="806"/>
      <c r="R128" s="1105"/>
      <c r="S128" s="1105"/>
      <c r="T128" s="1105"/>
      <c r="U128" s="1105"/>
      <c r="V128" s="1105"/>
      <c r="W128" s="1144">
        <f t="shared" si="17"/>
        <v>0</v>
      </c>
      <c r="X128" s="1140" t="e">
        <f t="shared" si="18"/>
        <v>#REF!</v>
      </c>
      <c r="Z128" s="3"/>
      <c r="AA128"/>
      <c r="AB128"/>
      <c r="AC128"/>
      <c r="AD128"/>
      <c r="AE128"/>
      <c r="AF128"/>
      <c r="AG128"/>
      <c r="AH128"/>
      <c r="AI128"/>
      <c r="AJ128"/>
    </row>
    <row r="129" spans="1:24">
      <c r="A129" s="843">
        <v>1</v>
      </c>
      <c r="B129" s="826">
        <v>4</v>
      </c>
      <c r="C129" s="843" t="s">
        <v>593</v>
      </c>
      <c r="D129" s="546">
        <v>5</v>
      </c>
      <c r="E129" s="546"/>
      <c r="F129" s="546"/>
      <c r="G129" s="546"/>
      <c r="H129" s="844" t="s">
        <v>865</v>
      </c>
      <c r="I129" s="796">
        <f>I130</f>
        <v>6500000</v>
      </c>
      <c r="J129" s="1121"/>
      <c r="K129" s="795"/>
      <c r="L129" s="795"/>
      <c r="M129" s="795"/>
      <c r="N129" s="795"/>
      <c r="O129" s="795"/>
      <c r="P129" s="795"/>
      <c r="Q129" s="795"/>
      <c r="R129" s="1105"/>
      <c r="S129" s="1105"/>
      <c r="T129" s="1105"/>
      <c r="U129" s="1105"/>
      <c r="V129" s="1105"/>
      <c r="W129" s="1144">
        <f t="shared" si="17"/>
        <v>0</v>
      </c>
      <c r="X129" s="1140">
        <f t="shared" si="18"/>
        <v>6500000</v>
      </c>
    </row>
    <row r="130" spans="1:24">
      <c r="A130" s="572">
        <v>1</v>
      </c>
      <c r="B130" s="573">
        <v>4</v>
      </c>
      <c r="C130" s="572" t="s">
        <v>593</v>
      </c>
      <c r="D130" s="563">
        <v>5</v>
      </c>
      <c r="E130" s="563">
        <v>2</v>
      </c>
      <c r="F130" s="563"/>
      <c r="G130" s="563"/>
      <c r="H130" s="564" t="s">
        <v>8</v>
      </c>
      <c r="I130" s="567">
        <f>I131</f>
        <v>6500000</v>
      </c>
      <c r="J130" s="1118"/>
      <c r="K130" s="564"/>
      <c r="L130" s="564"/>
      <c r="M130" s="564"/>
      <c r="N130" s="564"/>
      <c r="O130" s="564"/>
      <c r="P130" s="564"/>
      <c r="Q130" s="564"/>
      <c r="R130" s="1105"/>
      <c r="S130" s="1105"/>
      <c r="T130" s="1105"/>
      <c r="U130" s="1105"/>
      <c r="V130" s="1105"/>
      <c r="W130" s="1144">
        <f t="shared" si="17"/>
        <v>0</v>
      </c>
      <c r="X130" s="1140">
        <f t="shared" si="18"/>
        <v>6500000</v>
      </c>
    </row>
    <row r="131" spans="1:24">
      <c r="A131" s="572">
        <v>1</v>
      </c>
      <c r="B131" s="573">
        <v>4</v>
      </c>
      <c r="C131" s="572" t="s">
        <v>593</v>
      </c>
      <c r="D131" s="563">
        <v>5</v>
      </c>
      <c r="E131" s="563">
        <v>2</v>
      </c>
      <c r="F131" s="563">
        <v>1</v>
      </c>
      <c r="G131" s="563"/>
      <c r="H131" s="564" t="s">
        <v>731</v>
      </c>
      <c r="I131" s="567">
        <f>SUM(I132:I132)</f>
        <v>6500000</v>
      </c>
      <c r="J131" s="1118"/>
      <c r="K131" s="564"/>
      <c r="L131" s="564"/>
      <c r="M131" s="564"/>
      <c r="N131" s="564"/>
      <c r="O131" s="564"/>
      <c r="P131" s="564"/>
      <c r="Q131" s="564"/>
      <c r="R131" s="1105"/>
      <c r="S131" s="1105"/>
      <c r="T131" s="1105"/>
      <c r="U131" s="1105"/>
      <c r="V131" s="1105"/>
      <c r="W131" s="1144">
        <f t="shared" si="17"/>
        <v>0</v>
      </c>
      <c r="X131" s="1140">
        <f t="shared" si="18"/>
        <v>6500000</v>
      </c>
    </row>
    <row r="132" spans="1:24" ht="31.5">
      <c r="A132" s="572">
        <v>1</v>
      </c>
      <c r="B132" s="573">
        <v>4</v>
      </c>
      <c r="C132" s="572" t="s">
        <v>593</v>
      </c>
      <c r="D132" s="563">
        <v>5</v>
      </c>
      <c r="E132" s="563">
        <v>2</v>
      </c>
      <c r="F132" s="563">
        <v>1</v>
      </c>
      <c r="G132" s="563">
        <v>4</v>
      </c>
      <c r="H132" s="564" t="s">
        <v>735</v>
      </c>
      <c r="I132" s="567">
        <f>'1.9 Musdes'!H20</f>
        <v>6500000</v>
      </c>
      <c r="J132" s="1118"/>
      <c r="K132" s="564"/>
      <c r="L132" s="564"/>
      <c r="M132" s="564"/>
      <c r="N132" s="564"/>
      <c r="O132" s="564"/>
      <c r="P132" s="564"/>
      <c r="Q132" s="564"/>
      <c r="R132" s="1105"/>
      <c r="S132" s="1105"/>
      <c r="T132" s="1105"/>
      <c r="U132" s="1105"/>
      <c r="V132" s="1105"/>
      <c r="W132" s="1144">
        <f t="shared" si="17"/>
        <v>0</v>
      </c>
      <c r="X132" s="1140">
        <f t="shared" si="18"/>
        <v>6500000</v>
      </c>
    </row>
    <row r="133" spans="1:24">
      <c r="A133" s="843">
        <v>1</v>
      </c>
      <c r="B133" s="826">
        <v>4</v>
      </c>
      <c r="C133" s="843" t="s">
        <v>595</v>
      </c>
      <c r="D133" s="546">
        <v>5</v>
      </c>
      <c r="E133" s="546"/>
      <c r="F133" s="546"/>
      <c r="G133" s="546"/>
      <c r="H133" s="845" t="s">
        <v>866</v>
      </c>
      <c r="I133" s="796">
        <f>I134</f>
        <v>3880000</v>
      </c>
      <c r="J133" s="1121"/>
      <c r="K133" s="795"/>
      <c r="L133" s="795"/>
      <c r="M133" s="795"/>
      <c r="N133" s="795"/>
      <c r="O133" s="795"/>
      <c r="P133" s="795"/>
      <c r="Q133" s="795"/>
      <c r="R133" s="1105"/>
      <c r="S133" s="1105"/>
      <c r="T133" s="1105"/>
      <c r="U133" s="1105"/>
      <c r="V133" s="1105"/>
      <c r="W133" s="1144">
        <f t="shared" si="17"/>
        <v>0</v>
      </c>
      <c r="X133" s="1140">
        <f t="shared" si="18"/>
        <v>3880000</v>
      </c>
    </row>
    <row r="134" spans="1:24">
      <c r="A134" s="572">
        <v>1</v>
      </c>
      <c r="B134" s="573">
        <v>4</v>
      </c>
      <c r="C134" s="572" t="s">
        <v>595</v>
      </c>
      <c r="D134" s="563">
        <v>5</v>
      </c>
      <c r="E134" s="563">
        <v>2</v>
      </c>
      <c r="F134" s="563"/>
      <c r="G134" s="563"/>
      <c r="H134" s="564" t="s">
        <v>8</v>
      </c>
      <c r="I134" s="567">
        <f>I135</f>
        <v>3880000</v>
      </c>
      <c r="J134" s="1118"/>
      <c r="K134" s="564"/>
      <c r="L134" s="564"/>
      <c r="M134" s="564"/>
      <c r="N134" s="564"/>
      <c r="O134" s="564"/>
      <c r="P134" s="564"/>
      <c r="Q134" s="564"/>
      <c r="R134" s="1105"/>
      <c r="S134" s="1105"/>
      <c r="T134" s="1105"/>
      <c r="U134" s="1105"/>
      <c r="V134" s="1105"/>
      <c r="W134" s="1144">
        <f t="shared" si="17"/>
        <v>0</v>
      </c>
      <c r="X134" s="1140">
        <f t="shared" si="18"/>
        <v>3880000</v>
      </c>
    </row>
    <row r="135" spans="1:24">
      <c r="A135" s="572">
        <v>1</v>
      </c>
      <c r="B135" s="573">
        <v>4</v>
      </c>
      <c r="C135" s="572" t="s">
        <v>595</v>
      </c>
      <c r="D135" s="563">
        <v>5</v>
      </c>
      <c r="E135" s="563">
        <v>2</v>
      </c>
      <c r="F135" s="563">
        <v>2</v>
      </c>
      <c r="G135" s="563"/>
      <c r="H135" s="564" t="s">
        <v>736</v>
      </c>
      <c r="I135" s="567">
        <f>SUM(I136:I136)</f>
        <v>3880000</v>
      </c>
      <c r="J135" s="1118"/>
      <c r="K135" s="564"/>
      <c r="L135" s="564"/>
      <c r="M135" s="564"/>
      <c r="N135" s="564"/>
      <c r="O135" s="564"/>
      <c r="P135" s="564"/>
      <c r="Q135" s="564"/>
      <c r="R135" s="1105"/>
      <c r="S135" s="1105"/>
      <c r="T135" s="1105"/>
      <c r="U135" s="1105"/>
      <c r="V135" s="1105"/>
      <c r="W135" s="1144">
        <f t="shared" si="17"/>
        <v>0</v>
      </c>
      <c r="X135" s="1140">
        <f t="shared" si="18"/>
        <v>3880000</v>
      </c>
    </row>
    <row r="136" spans="1:24">
      <c r="A136" s="572">
        <v>1</v>
      </c>
      <c r="B136" s="573">
        <v>4</v>
      </c>
      <c r="C136" s="572" t="s">
        <v>595</v>
      </c>
      <c r="D136" s="563">
        <v>5</v>
      </c>
      <c r="E136" s="563">
        <v>2</v>
      </c>
      <c r="F136" s="563">
        <v>2</v>
      </c>
      <c r="G136" s="563">
        <v>1</v>
      </c>
      <c r="H136" s="564" t="s">
        <v>737</v>
      </c>
      <c r="I136" s="567">
        <f>'1.10 Hnr RKP'!H26</f>
        <v>3880000</v>
      </c>
      <c r="J136" s="1118"/>
      <c r="K136" s="564"/>
      <c r="L136" s="564"/>
      <c r="M136" s="564"/>
      <c r="N136" s="564"/>
      <c r="O136" s="564"/>
      <c r="P136" s="564"/>
      <c r="Q136" s="564"/>
      <c r="R136" s="1105"/>
      <c r="S136" s="1105"/>
      <c r="T136" s="1105"/>
      <c r="U136" s="1105"/>
      <c r="V136" s="1105"/>
      <c r="W136" s="1144">
        <f t="shared" si="17"/>
        <v>0</v>
      </c>
      <c r="X136" s="1140">
        <f t="shared" si="18"/>
        <v>3880000</v>
      </c>
    </row>
    <row r="137" spans="1:24" ht="31.5">
      <c r="A137" s="843">
        <v>1</v>
      </c>
      <c r="B137" s="826">
        <v>4</v>
      </c>
      <c r="C137" s="846" t="s">
        <v>596</v>
      </c>
      <c r="D137" s="546">
        <v>5</v>
      </c>
      <c r="E137" s="546"/>
      <c r="F137" s="546"/>
      <c r="G137" s="546"/>
      <c r="H137" s="844" t="s">
        <v>613</v>
      </c>
      <c r="I137" s="796" t="e">
        <f>I138</f>
        <v>#REF!</v>
      </c>
      <c r="J137" s="1121"/>
      <c r="K137" s="795"/>
      <c r="L137" s="795"/>
      <c r="M137" s="795"/>
      <c r="N137" s="795"/>
      <c r="O137" s="795"/>
      <c r="P137" s="795"/>
      <c r="Q137" s="795"/>
      <c r="R137" s="1105"/>
      <c r="S137" s="1105"/>
      <c r="T137" s="1105"/>
      <c r="U137" s="1105"/>
      <c r="V137" s="1105"/>
      <c r="W137" s="1144">
        <f t="shared" si="17"/>
        <v>0</v>
      </c>
      <c r="X137" s="1140" t="e">
        <f t="shared" si="18"/>
        <v>#REF!</v>
      </c>
    </row>
    <row r="138" spans="1:24">
      <c r="A138" s="572">
        <v>1</v>
      </c>
      <c r="B138" s="573">
        <v>4</v>
      </c>
      <c r="C138" s="574" t="s">
        <v>596</v>
      </c>
      <c r="D138" s="563">
        <v>5</v>
      </c>
      <c r="E138" s="563">
        <v>2</v>
      </c>
      <c r="F138" s="563"/>
      <c r="G138" s="563"/>
      <c r="H138" s="564" t="s">
        <v>8</v>
      </c>
      <c r="I138" s="567" t="e">
        <f>I139</f>
        <v>#REF!</v>
      </c>
      <c r="J138" s="1118"/>
      <c r="K138" s="564"/>
      <c r="L138" s="564"/>
      <c r="M138" s="564"/>
      <c r="N138" s="564"/>
      <c r="O138" s="564"/>
      <c r="P138" s="564"/>
      <c r="Q138" s="564"/>
      <c r="R138" s="1105"/>
      <c r="S138" s="1105"/>
      <c r="T138" s="1105"/>
      <c r="U138" s="1105"/>
      <c r="V138" s="1105"/>
      <c r="W138" s="1144">
        <f t="shared" si="17"/>
        <v>0</v>
      </c>
      <c r="X138" s="1140" t="e">
        <f t="shared" si="18"/>
        <v>#REF!</v>
      </c>
    </row>
    <row r="139" spans="1:24">
      <c r="A139" s="572">
        <v>1</v>
      </c>
      <c r="B139" s="573">
        <v>4</v>
      </c>
      <c r="C139" s="574" t="s">
        <v>596</v>
      </c>
      <c r="D139" s="563">
        <v>5</v>
      </c>
      <c r="E139" s="563">
        <v>2</v>
      </c>
      <c r="F139" s="563">
        <v>2</v>
      </c>
      <c r="G139" s="563"/>
      <c r="H139" s="564" t="s">
        <v>736</v>
      </c>
      <c r="I139" s="567" t="e">
        <f>SUM(I140:I140)</f>
        <v>#REF!</v>
      </c>
      <c r="J139" s="1118"/>
      <c r="K139" s="564"/>
      <c r="L139" s="564"/>
      <c r="M139" s="564"/>
      <c r="N139" s="564"/>
      <c r="O139" s="564"/>
      <c r="P139" s="564"/>
      <c r="Q139" s="564"/>
      <c r="R139" s="1105"/>
      <c r="S139" s="1105"/>
      <c r="T139" s="1105"/>
      <c r="U139" s="1105"/>
      <c r="V139" s="1105"/>
      <c r="W139" s="1144">
        <f t="shared" si="17"/>
        <v>0</v>
      </c>
      <c r="X139" s="1140" t="e">
        <f t="shared" si="18"/>
        <v>#REF!</v>
      </c>
    </row>
    <row r="140" spans="1:24">
      <c r="A140" s="572">
        <v>1</v>
      </c>
      <c r="B140" s="573">
        <v>4</v>
      </c>
      <c r="C140" s="574" t="s">
        <v>596</v>
      </c>
      <c r="D140" s="563">
        <v>5</v>
      </c>
      <c r="E140" s="563">
        <v>2</v>
      </c>
      <c r="F140" s="563">
        <v>2</v>
      </c>
      <c r="G140" s="563">
        <v>1</v>
      </c>
      <c r="H140" s="564" t="s">
        <v>737</v>
      </c>
      <c r="I140" s="567" t="e">
        <f>#REF!</f>
        <v>#REF!</v>
      </c>
      <c r="J140" s="1118"/>
      <c r="K140" s="564"/>
      <c r="L140" s="564"/>
      <c r="M140" s="564"/>
      <c r="N140" s="564"/>
      <c r="O140" s="564"/>
      <c r="P140" s="564"/>
      <c r="Q140" s="564"/>
      <c r="R140" s="1105"/>
      <c r="S140" s="1105"/>
      <c r="T140" s="1105"/>
      <c r="U140" s="1105"/>
      <c r="V140" s="1105"/>
      <c r="W140" s="1144">
        <f t="shared" si="17"/>
        <v>0</v>
      </c>
      <c r="X140" s="1140" t="e">
        <f t="shared" si="18"/>
        <v>#REF!</v>
      </c>
    </row>
    <row r="141" spans="1:24">
      <c r="A141" s="843">
        <v>1</v>
      </c>
      <c r="B141" s="826">
        <v>4</v>
      </c>
      <c r="C141" s="843" t="s">
        <v>597</v>
      </c>
      <c r="D141" s="546">
        <v>5</v>
      </c>
      <c r="E141" s="546"/>
      <c r="F141" s="546"/>
      <c r="G141" s="546"/>
      <c r="H141" s="827" t="s">
        <v>539</v>
      </c>
      <c r="I141" s="796">
        <f>I142</f>
        <v>2700000</v>
      </c>
      <c r="J141" s="1121"/>
      <c r="K141" s="795"/>
      <c r="L141" s="795"/>
      <c r="M141" s="795"/>
      <c r="N141" s="795"/>
      <c r="O141" s="795"/>
      <c r="P141" s="795"/>
      <c r="Q141" s="795"/>
      <c r="R141" s="1105"/>
      <c r="S141" s="1105"/>
      <c r="T141" s="1105"/>
      <c r="U141" s="1105"/>
      <c r="V141" s="1105"/>
      <c r="W141" s="1144">
        <f t="shared" si="17"/>
        <v>0</v>
      </c>
      <c r="X141" s="1140">
        <f t="shared" si="18"/>
        <v>2700000</v>
      </c>
    </row>
    <row r="142" spans="1:24">
      <c r="A142" s="572">
        <v>1</v>
      </c>
      <c r="B142" s="573">
        <v>4</v>
      </c>
      <c r="C142" s="572" t="s">
        <v>597</v>
      </c>
      <c r="D142" s="563">
        <v>5</v>
      </c>
      <c r="E142" s="563">
        <v>2</v>
      </c>
      <c r="F142" s="563"/>
      <c r="G142" s="563"/>
      <c r="H142" s="564" t="s">
        <v>8</v>
      </c>
      <c r="I142" s="567">
        <f>I143</f>
        <v>2700000</v>
      </c>
      <c r="J142" s="1118"/>
      <c r="K142" s="564"/>
      <c r="L142" s="564"/>
      <c r="M142" s="564"/>
      <c r="N142" s="564"/>
      <c r="O142" s="564"/>
      <c r="P142" s="564"/>
      <c r="Q142" s="564"/>
      <c r="R142" s="1104"/>
      <c r="S142" s="1104"/>
      <c r="T142" s="1104"/>
      <c r="U142" s="1104"/>
      <c r="V142" s="1104"/>
      <c r="W142" s="1144">
        <f t="shared" si="17"/>
        <v>0</v>
      </c>
      <c r="X142" s="1140">
        <f t="shared" si="18"/>
        <v>2700000</v>
      </c>
    </row>
    <row r="143" spans="1:24">
      <c r="A143" s="572">
        <v>1</v>
      </c>
      <c r="B143" s="573">
        <v>4</v>
      </c>
      <c r="C143" s="572" t="s">
        <v>597</v>
      </c>
      <c r="D143" s="563">
        <v>5</v>
      </c>
      <c r="E143" s="563">
        <v>2</v>
      </c>
      <c r="F143" s="563">
        <v>2</v>
      </c>
      <c r="G143" s="563"/>
      <c r="H143" s="564" t="s">
        <v>736</v>
      </c>
      <c r="I143" s="567">
        <f>SUM(I144:I144)</f>
        <v>2700000</v>
      </c>
      <c r="J143" s="1118"/>
      <c r="K143" s="564"/>
      <c r="L143" s="564"/>
      <c r="M143" s="564"/>
      <c r="N143" s="564"/>
      <c r="O143" s="564"/>
      <c r="P143" s="564"/>
      <c r="Q143" s="564"/>
      <c r="R143" s="1105"/>
      <c r="S143" s="1105"/>
      <c r="T143" s="1105"/>
      <c r="U143" s="1105"/>
      <c r="V143" s="1105"/>
      <c r="W143" s="1144">
        <f t="shared" ref="W143:W206" si="27">J143+K143+L143+M143+N143+O143+P143+Q143+R143+S143+T143+U143</f>
        <v>0</v>
      </c>
      <c r="X143" s="1140">
        <f t="shared" ref="X143:X206" si="28">I143-W143</f>
        <v>2700000</v>
      </c>
    </row>
    <row r="144" spans="1:24">
      <c r="A144" s="572">
        <v>1</v>
      </c>
      <c r="B144" s="573">
        <v>4</v>
      </c>
      <c r="C144" s="572" t="s">
        <v>597</v>
      </c>
      <c r="D144" s="563">
        <v>5</v>
      </c>
      <c r="E144" s="563">
        <v>2</v>
      </c>
      <c r="F144" s="563">
        <v>2</v>
      </c>
      <c r="G144" s="563">
        <v>5</v>
      </c>
      <c r="H144" s="564" t="s">
        <v>738</v>
      </c>
      <c r="I144" s="567">
        <f>'1.11 Aset'!D11</f>
        <v>2700000</v>
      </c>
      <c r="J144" s="1118"/>
      <c r="K144" s="564"/>
      <c r="L144" s="564"/>
      <c r="M144" s="564"/>
      <c r="N144" s="564"/>
      <c r="O144" s="564"/>
      <c r="P144" s="564"/>
      <c r="Q144" s="564"/>
      <c r="R144" s="1105"/>
      <c r="S144" s="1105"/>
      <c r="T144" s="1105"/>
      <c r="U144" s="1105"/>
      <c r="V144" s="1105"/>
      <c r="W144" s="1144">
        <f t="shared" si="27"/>
        <v>0</v>
      </c>
      <c r="X144" s="1140">
        <f t="shared" si="28"/>
        <v>2700000</v>
      </c>
    </row>
    <row r="145" spans="1:24" ht="31.5">
      <c r="A145" s="843">
        <v>1</v>
      </c>
      <c r="B145" s="826">
        <v>4</v>
      </c>
      <c r="C145" s="843">
        <v>11</v>
      </c>
      <c r="D145" s="546">
        <v>5</v>
      </c>
      <c r="E145" s="546"/>
      <c r="F145" s="546"/>
      <c r="G145" s="546"/>
      <c r="H145" s="847" t="s">
        <v>940</v>
      </c>
      <c r="I145" s="796">
        <f>I146</f>
        <v>20146000</v>
      </c>
      <c r="J145" s="1121"/>
      <c r="K145" s="795"/>
      <c r="L145" s="795"/>
      <c r="M145" s="795"/>
      <c r="N145" s="795"/>
      <c r="O145" s="795"/>
      <c r="P145" s="795"/>
      <c r="Q145" s="795"/>
      <c r="R145" s="1105"/>
      <c r="S145" s="1105"/>
      <c r="T145" s="1105"/>
      <c r="U145" s="1105"/>
      <c r="V145" s="1105"/>
      <c r="W145" s="1144">
        <f t="shared" si="27"/>
        <v>0</v>
      </c>
      <c r="X145" s="1140">
        <f t="shared" si="28"/>
        <v>20146000</v>
      </c>
    </row>
    <row r="146" spans="1:24">
      <c r="A146" s="572">
        <v>1</v>
      </c>
      <c r="B146" s="573">
        <v>4</v>
      </c>
      <c r="C146" s="572">
        <v>11</v>
      </c>
      <c r="D146" s="563">
        <v>5</v>
      </c>
      <c r="E146" s="563">
        <v>2</v>
      </c>
      <c r="F146" s="563"/>
      <c r="G146" s="563"/>
      <c r="H146" s="564" t="s">
        <v>8</v>
      </c>
      <c r="I146" s="567">
        <f>I147+I151</f>
        <v>20146000</v>
      </c>
      <c r="J146" s="1118"/>
      <c r="K146" s="564"/>
      <c r="L146" s="564"/>
      <c r="M146" s="564"/>
      <c r="N146" s="564"/>
      <c r="O146" s="564"/>
      <c r="P146" s="564"/>
      <c r="Q146" s="564"/>
      <c r="R146" s="1105"/>
      <c r="S146" s="1105"/>
      <c r="T146" s="1105"/>
      <c r="U146" s="1105"/>
      <c r="V146" s="1105"/>
      <c r="W146" s="1144">
        <f t="shared" si="27"/>
        <v>0</v>
      </c>
      <c r="X146" s="1140">
        <f t="shared" si="28"/>
        <v>20146000</v>
      </c>
    </row>
    <row r="147" spans="1:24">
      <c r="A147" s="572">
        <v>1</v>
      </c>
      <c r="B147" s="573">
        <v>4</v>
      </c>
      <c r="C147" s="572">
        <v>11</v>
      </c>
      <c r="D147" s="563">
        <v>5</v>
      </c>
      <c r="E147" s="563">
        <v>2</v>
      </c>
      <c r="F147" s="563">
        <v>1</v>
      </c>
      <c r="G147" s="563"/>
      <c r="H147" s="564" t="s">
        <v>941</v>
      </c>
      <c r="I147" s="567">
        <f>I148+I149+I150</f>
        <v>19346000</v>
      </c>
      <c r="J147" s="1118"/>
      <c r="K147" s="564"/>
      <c r="L147" s="564"/>
      <c r="M147" s="564"/>
      <c r="N147" s="564"/>
      <c r="O147" s="564"/>
      <c r="P147" s="564"/>
      <c r="Q147" s="564"/>
      <c r="R147" s="1105"/>
      <c r="S147" s="1105"/>
      <c r="T147" s="1105"/>
      <c r="U147" s="1105"/>
      <c r="V147" s="1105"/>
      <c r="W147" s="1144">
        <f t="shared" si="27"/>
        <v>0</v>
      </c>
      <c r="X147" s="1140">
        <f t="shared" si="28"/>
        <v>19346000</v>
      </c>
    </row>
    <row r="148" spans="1:24" ht="31.5">
      <c r="A148" s="572">
        <v>1</v>
      </c>
      <c r="B148" s="573">
        <v>4</v>
      </c>
      <c r="C148" s="572">
        <v>11</v>
      </c>
      <c r="D148" s="563">
        <v>5</v>
      </c>
      <c r="E148" s="563">
        <v>2</v>
      </c>
      <c r="F148" s="563">
        <v>1</v>
      </c>
      <c r="G148" s="563">
        <v>6</v>
      </c>
      <c r="H148" s="564" t="s">
        <v>735</v>
      </c>
      <c r="I148" s="567">
        <f>' LOMDES'!I18</f>
        <v>9744000</v>
      </c>
      <c r="J148" s="1118"/>
      <c r="K148" s="564"/>
      <c r="L148" s="564"/>
      <c r="M148" s="564"/>
      <c r="N148" s="564"/>
      <c r="O148" s="564"/>
      <c r="P148" s="564"/>
      <c r="Q148" s="564"/>
      <c r="R148" s="1105"/>
      <c r="S148" s="1105"/>
      <c r="T148" s="1105"/>
      <c r="U148" s="1105"/>
      <c r="V148" s="1105"/>
      <c r="W148" s="1144">
        <f t="shared" si="27"/>
        <v>0</v>
      </c>
      <c r="X148" s="1140">
        <f t="shared" si="28"/>
        <v>9744000</v>
      </c>
    </row>
    <row r="149" spans="1:24">
      <c r="A149" s="572">
        <v>1</v>
      </c>
      <c r="B149" s="573">
        <v>4</v>
      </c>
      <c r="C149" s="572">
        <v>11</v>
      </c>
      <c r="D149" s="563">
        <v>5</v>
      </c>
      <c r="E149" s="563">
        <v>2</v>
      </c>
      <c r="F149" s="563">
        <v>1</v>
      </c>
      <c r="G149" s="563">
        <v>7</v>
      </c>
      <c r="H149" s="564" t="s">
        <v>942</v>
      </c>
      <c r="I149" s="567">
        <f>' LOMDES'!I23</f>
        <v>7200000</v>
      </c>
      <c r="J149" s="1118"/>
      <c r="K149" s="564"/>
      <c r="L149" s="564"/>
      <c r="M149" s="564"/>
      <c r="N149" s="564"/>
      <c r="O149" s="564"/>
      <c r="P149" s="564"/>
      <c r="Q149" s="564"/>
      <c r="R149" s="1105"/>
      <c r="S149" s="1105"/>
      <c r="T149" s="1105"/>
      <c r="U149" s="1105"/>
      <c r="V149" s="1105"/>
      <c r="W149" s="1144">
        <f t="shared" si="27"/>
        <v>0</v>
      </c>
      <c r="X149" s="1140">
        <f t="shared" si="28"/>
        <v>7200000</v>
      </c>
    </row>
    <row r="150" spans="1:24">
      <c r="A150" s="572">
        <v>1</v>
      </c>
      <c r="B150" s="573">
        <v>4</v>
      </c>
      <c r="C150" s="572">
        <v>11</v>
      </c>
      <c r="D150" s="563">
        <v>5</v>
      </c>
      <c r="E150" s="563">
        <v>2</v>
      </c>
      <c r="F150" s="563">
        <v>1</v>
      </c>
      <c r="G150" s="563">
        <v>8</v>
      </c>
      <c r="H150" s="564" t="s">
        <v>943</v>
      </c>
      <c r="I150" s="567">
        <f>' LOMDES'!I28</f>
        <v>2402000</v>
      </c>
      <c r="J150" s="1118"/>
      <c r="K150" s="564"/>
      <c r="L150" s="564"/>
      <c r="M150" s="564"/>
      <c r="N150" s="564"/>
      <c r="O150" s="564"/>
      <c r="P150" s="564"/>
      <c r="Q150" s="564"/>
      <c r="R150" s="1105"/>
      <c r="S150" s="1105"/>
      <c r="T150" s="1105"/>
      <c r="U150" s="1105"/>
      <c r="V150" s="1105"/>
      <c r="W150" s="1144">
        <f t="shared" si="27"/>
        <v>0</v>
      </c>
      <c r="X150" s="1140">
        <f t="shared" si="28"/>
        <v>2402000</v>
      </c>
    </row>
    <row r="151" spans="1:24">
      <c r="A151" s="572">
        <v>1</v>
      </c>
      <c r="B151" s="573">
        <v>4</v>
      </c>
      <c r="C151" s="572">
        <v>11</v>
      </c>
      <c r="D151" s="563">
        <v>5</v>
      </c>
      <c r="E151" s="563">
        <v>2</v>
      </c>
      <c r="F151" s="563">
        <v>4</v>
      </c>
      <c r="G151" s="563"/>
      <c r="H151" s="564" t="s">
        <v>944</v>
      </c>
      <c r="I151" s="567">
        <f>I152</f>
        <v>800000</v>
      </c>
      <c r="J151" s="1118"/>
      <c r="K151" s="564"/>
      <c r="L151" s="564"/>
      <c r="M151" s="564"/>
      <c r="N151" s="564"/>
      <c r="O151" s="564"/>
      <c r="P151" s="564"/>
      <c r="Q151" s="564"/>
      <c r="R151" s="1105"/>
      <c r="S151" s="1105"/>
      <c r="T151" s="1105"/>
      <c r="U151" s="1105"/>
      <c r="V151" s="1105"/>
      <c r="W151" s="1144">
        <f t="shared" si="27"/>
        <v>0</v>
      </c>
      <c r="X151" s="1140">
        <f t="shared" si="28"/>
        <v>800000</v>
      </c>
    </row>
    <row r="152" spans="1:24">
      <c r="A152" s="572">
        <v>1</v>
      </c>
      <c r="B152" s="573">
        <v>4</v>
      </c>
      <c r="C152" s="572">
        <v>11</v>
      </c>
      <c r="D152" s="563">
        <v>5</v>
      </c>
      <c r="E152" s="563">
        <v>2</v>
      </c>
      <c r="F152" s="563">
        <v>4</v>
      </c>
      <c r="G152" s="563">
        <v>2</v>
      </c>
      <c r="H152" s="564" t="s">
        <v>945</v>
      </c>
      <c r="I152" s="567">
        <f>' LOMDES'!I31</f>
        <v>800000</v>
      </c>
      <c r="J152" s="1118"/>
      <c r="K152" s="564"/>
      <c r="L152" s="564"/>
      <c r="M152" s="564"/>
      <c r="N152" s="564"/>
      <c r="O152" s="564"/>
      <c r="P152" s="564"/>
      <c r="Q152" s="564"/>
      <c r="R152" s="1105"/>
      <c r="S152" s="1105"/>
      <c r="T152" s="1105"/>
      <c r="U152" s="1105"/>
      <c r="V152" s="1105"/>
      <c r="W152" s="1144">
        <f t="shared" si="27"/>
        <v>0</v>
      </c>
      <c r="X152" s="1140">
        <f t="shared" si="28"/>
        <v>800000</v>
      </c>
    </row>
    <row r="153" spans="1:24">
      <c r="A153" s="572"/>
      <c r="B153" s="573"/>
      <c r="C153" s="572"/>
      <c r="D153" s="563"/>
      <c r="E153" s="563"/>
      <c r="F153" s="563"/>
      <c r="G153" s="563"/>
      <c r="H153" s="564"/>
      <c r="I153" s="567"/>
      <c r="J153" s="1118"/>
      <c r="K153" s="564"/>
      <c r="L153" s="564"/>
      <c r="M153" s="564"/>
      <c r="N153" s="564"/>
      <c r="O153" s="564"/>
      <c r="P153" s="564"/>
      <c r="Q153" s="564"/>
      <c r="R153" s="1105"/>
      <c r="S153" s="1105"/>
      <c r="T153" s="1105"/>
      <c r="U153" s="1105"/>
      <c r="V153" s="1105"/>
      <c r="W153" s="1144">
        <f t="shared" si="27"/>
        <v>0</v>
      </c>
      <c r="X153" s="1140">
        <f t="shared" si="28"/>
        <v>0</v>
      </c>
    </row>
    <row r="154" spans="1:24">
      <c r="A154" s="808">
        <v>1</v>
      </c>
      <c r="B154" s="809">
        <v>5</v>
      </c>
      <c r="C154" s="810"/>
      <c r="D154" s="800"/>
      <c r="E154" s="798"/>
      <c r="F154" s="798"/>
      <c r="G154" s="798"/>
      <c r="H154" s="811" t="s">
        <v>621</v>
      </c>
      <c r="I154" s="802">
        <f>I155+I159</f>
        <v>11229000</v>
      </c>
      <c r="J154" s="1120"/>
      <c r="K154" s="801"/>
      <c r="L154" s="801"/>
      <c r="M154" s="801"/>
      <c r="N154" s="801"/>
      <c r="O154" s="801"/>
      <c r="P154" s="801"/>
      <c r="Q154" s="801"/>
      <c r="R154" s="1105"/>
      <c r="S154" s="1105"/>
      <c r="T154" s="1105"/>
      <c r="U154" s="1105"/>
      <c r="V154" s="1105"/>
      <c r="W154" s="1144">
        <f t="shared" si="27"/>
        <v>0</v>
      </c>
      <c r="X154" s="1140">
        <f t="shared" si="28"/>
        <v>11229000</v>
      </c>
    </row>
    <row r="155" spans="1:24">
      <c r="A155" s="572">
        <v>1</v>
      </c>
      <c r="B155" s="573">
        <v>5</v>
      </c>
      <c r="C155" s="574" t="s">
        <v>598</v>
      </c>
      <c r="D155" s="563"/>
      <c r="E155" s="563"/>
      <c r="F155" s="563"/>
      <c r="G155" s="563"/>
      <c r="H155" s="443" t="s">
        <v>530</v>
      </c>
      <c r="I155" s="567">
        <f>I156</f>
        <v>1209000</v>
      </c>
      <c r="J155" s="1118"/>
      <c r="K155" s="564"/>
      <c r="L155" s="564"/>
      <c r="M155" s="564"/>
      <c r="N155" s="564"/>
      <c r="O155" s="564"/>
      <c r="P155" s="564"/>
      <c r="Q155" s="564"/>
      <c r="R155" s="1105"/>
      <c r="S155" s="1105"/>
      <c r="T155" s="1105"/>
      <c r="U155" s="1105"/>
      <c r="V155" s="1105"/>
      <c r="W155" s="1144">
        <f t="shared" si="27"/>
        <v>0</v>
      </c>
      <c r="X155" s="1140">
        <f t="shared" si="28"/>
        <v>1209000</v>
      </c>
    </row>
    <row r="156" spans="1:24">
      <c r="A156" s="572">
        <v>1</v>
      </c>
      <c r="B156" s="573">
        <v>5</v>
      </c>
      <c r="C156" s="574" t="s">
        <v>598</v>
      </c>
      <c r="D156" s="563">
        <v>5</v>
      </c>
      <c r="E156" s="563">
        <v>2</v>
      </c>
      <c r="F156" s="563"/>
      <c r="G156" s="563"/>
      <c r="H156" s="564" t="s">
        <v>8</v>
      </c>
      <c r="I156" s="567">
        <f>I157</f>
        <v>1209000</v>
      </c>
      <c r="J156" s="1118"/>
      <c r="K156" s="564"/>
      <c r="L156" s="564"/>
      <c r="M156" s="564"/>
      <c r="N156" s="564"/>
      <c r="O156" s="564"/>
      <c r="P156" s="564"/>
      <c r="Q156" s="564"/>
      <c r="R156" s="1105"/>
      <c r="S156" s="1105"/>
      <c r="T156" s="1105"/>
      <c r="U156" s="1105"/>
      <c r="V156" s="1105"/>
      <c r="W156" s="1144">
        <f t="shared" si="27"/>
        <v>0</v>
      </c>
      <c r="X156" s="1140">
        <f t="shared" si="28"/>
        <v>1209000</v>
      </c>
    </row>
    <row r="157" spans="1:24">
      <c r="A157" s="572">
        <v>1</v>
      </c>
      <c r="B157" s="573">
        <v>5</v>
      </c>
      <c r="C157" s="574" t="s">
        <v>598</v>
      </c>
      <c r="D157" s="563">
        <v>5</v>
      </c>
      <c r="E157" s="563">
        <v>2</v>
      </c>
      <c r="F157" s="563">
        <v>2</v>
      </c>
      <c r="G157" s="563"/>
      <c r="H157" s="564" t="s">
        <v>736</v>
      </c>
      <c r="I157" s="567">
        <f>SUM(I158:I158)</f>
        <v>1209000</v>
      </c>
      <c r="J157" s="1118"/>
      <c r="K157" s="564"/>
      <c r="L157" s="564"/>
      <c r="M157" s="564"/>
      <c r="N157" s="564"/>
      <c r="O157" s="564"/>
      <c r="P157" s="564"/>
      <c r="Q157" s="564"/>
      <c r="R157" s="1105"/>
      <c r="S157" s="1105"/>
      <c r="T157" s="1105"/>
      <c r="U157" s="1105"/>
      <c r="V157" s="1105"/>
      <c r="W157" s="1144">
        <f t="shared" si="27"/>
        <v>0</v>
      </c>
      <c r="X157" s="1140">
        <f t="shared" si="28"/>
        <v>1209000</v>
      </c>
    </row>
    <row r="158" spans="1:24">
      <c r="A158" s="572">
        <v>1</v>
      </c>
      <c r="B158" s="573">
        <v>5</v>
      </c>
      <c r="C158" s="574" t="s">
        <v>598</v>
      </c>
      <c r="D158" s="563">
        <v>5</v>
      </c>
      <c r="E158" s="563">
        <v>2</v>
      </c>
      <c r="F158" s="563">
        <v>2</v>
      </c>
      <c r="G158" s="563">
        <v>5</v>
      </c>
      <c r="H158" s="564" t="s">
        <v>738</v>
      </c>
      <c r="I158" s="567">
        <f>'1.13 PBB'!H23</f>
        <v>1209000</v>
      </c>
      <c r="J158" s="1118"/>
      <c r="K158" s="564"/>
      <c r="L158" s="564"/>
      <c r="M158" s="564"/>
      <c r="N158" s="564"/>
      <c r="O158" s="564"/>
      <c r="P158" s="564"/>
      <c r="Q158" s="564"/>
      <c r="R158" s="1105"/>
      <c r="S158" s="1105"/>
      <c r="T158" s="1105"/>
      <c r="U158" s="1105"/>
      <c r="V158" s="1105"/>
      <c r="W158" s="1144">
        <f t="shared" si="27"/>
        <v>0</v>
      </c>
      <c r="X158" s="1140">
        <f t="shared" si="28"/>
        <v>1209000</v>
      </c>
    </row>
    <row r="159" spans="1:24">
      <c r="A159" s="572">
        <v>1</v>
      </c>
      <c r="B159" s="573">
        <v>5</v>
      </c>
      <c r="C159" s="574">
        <v>90</v>
      </c>
      <c r="D159" s="563"/>
      <c r="E159" s="563"/>
      <c r="F159" s="563"/>
      <c r="G159" s="563"/>
      <c r="H159" s="564" t="s">
        <v>1044</v>
      </c>
      <c r="I159" s="567">
        <f>I160</f>
        <v>10020000</v>
      </c>
      <c r="J159" s="1118"/>
      <c r="K159" s="564"/>
      <c r="L159" s="564"/>
      <c r="M159" s="564"/>
      <c r="N159" s="564"/>
      <c r="O159" s="564"/>
      <c r="P159" s="564"/>
      <c r="Q159" s="564"/>
      <c r="R159" s="1105"/>
      <c r="S159" s="1105"/>
      <c r="T159" s="1105"/>
      <c r="U159" s="1105"/>
      <c r="V159" s="1105"/>
      <c r="W159" s="1144">
        <f t="shared" si="27"/>
        <v>0</v>
      </c>
      <c r="X159" s="1140">
        <f t="shared" si="28"/>
        <v>10020000</v>
      </c>
    </row>
    <row r="160" spans="1:24">
      <c r="A160" s="572">
        <v>1</v>
      </c>
      <c r="B160" s="573">
        <v>5</v>
      </c>
      <c r="C160" s="574">
        <v>90</v>
      </c>
      <c r="D160" s="563">
        <v>5</v>
      </c>
      <c r="E160" s="563">
        <v>2</v>
      </c>
      <c r="F160" s="563"/>
      <c r="G160" s="563"/>
      <c r="H160" s="564" t="s">
        <v>8</v>
      </c>
      <c r="I160" s="567">
        <f>I161</f>
        <v>10020000</v>
      </c>
      <c r="J160" s="1118"/>
      <c r="K160" s="564"/>
      <c r="L160" s="564"/>
      <c r="M160" s="564"/>
      <c r="N160" s="564"/>
      <c r="O160" s="564"/>
      <c r="P160" s="564"/>
      <c r="Q160" s="564"/>
      <c r="R160" s="1105"/>
      <c r="S160" s="1105"/>
      <c r="T160" s="1105"/>
      <c r="U160" s="1105"/>
      <c r="V160" s="1105"/>
      <c r="W160" s="1144">
        <f t="shared" si="27"/>
        <v>0</v>
      </c>
      <c r="X160" s="1140">
        <f t="shared" si="28"/>
        <v>10020000</v>
      </c>
    </row>
    <row r="161" spans="1:27">
      <c r="A161" s="572">
        <v>1</v>
      </c>
      <c r="B161" s="573">
        <v>5</v>
      </c>
      <c r="C161" s="574">
        <v>90</v>
      </c>
      <c r="D161" s="563">
        <v>5</v>
      </c>
      <c r="E161" s="563">
        <v>2</v>
      </c>
      <c r="F161" s="563">
        <v>1</v>
      </c>
      <c r="G161" s="563"/>
      <c r="H161" s="564" t="s">
        <v>1020</v>
      </c>
      <c r="I161" s="567">
        <f>I162</f>
        <v>10020000</v>
      </c>
      <c r="J161" s="1118"/>
      <c r="K161" s="564"/>
      <c r="L161" s="564"/>
      <c r="M161" s="564"/>
      <c r="N161" s="564"/>
      <c r="O161" s="564"/>
      <c r="P161" s="564"/>
      <c r="Q161" s="564"/>
      <c r="R161" s="1105"/>
      <c r="S161" s="1105"/>
      <c r="T161" s="1105"/>
      <c r="U161" s="1105"/>
      <c r="V161" s="1105"/>
      <c r="W161" s="1144">
        <f t="shared" si="27"/>
        <v>0</v>
      </c>
      <c r="X161" s="1140">
        <f t="shared" si="28"/>
        <v>10020000</v>
      </c>
    </row>
    <row r="162" spans="1:27">
      <c r="A162" s="572">
        <v>1</v>
      </c>
      <c r="B162" s="573">
        <v>5</v>
      </c>
      <c r="C162" s="574">
        <v>90</v>
      </c>
      <c r="D162" s="563">
        <v>5</v>
      </c>
      <c r="E162" s="563">
        <v>2</v>
      </c>
      <c r="F162" s="563">
        <v>1</v>
      </c>
      <c r="G162" s="563">
        <v>12</v>
      </c>
      <c r="H162" s="564" t="s">
        <v>1019</v>
      </c>
      <c r="I162" s="567">
        <v>10020000</v>
      </c>
      <c r="J162" s="1118"/>
      <c r="K162" s="564"/>
      <c r="L162" s="564"/>
      <c r="M162" s="564"/>
      <c r="N162" s="564"/>
      <c r="O162" s="564"/>
      <c r="P162" s="564"/>
      <c r="Q162" s="564"/>
      <c r="R162" s="1105"/>
      <c r="S162" s="1105"/>
      <c r="T162" s="1105"/>
      <c r="U162" s="1105"/>
      <c r="V162" s="1105"/>
      <c r="W162" s="1144">
        <f t="shared" si="27"/>
        <v>0</v>
      </c>
      <c r="X162" s="1140">
        <f t="shared" si="28"/>
        <v>10020000</v>
      </c>
    </row>
    <row r="163" spans="1:27" ht="33" customHeight="1">
      <c r="A163" s="812">
        <v>2</v>
      </c>
      <c r="B163" s="813"/>
      <c r="C163" s="813"/>
      <c r="D163" s="814"/>
      <c r="E163" s="812"/>
      <c r="F163" s="812"/>
      <c r="G163" s="812"/>
      <c r="H163" s="815" t="s">
        <v>927</v>
      </c>
      <c r="I163" s="816">
        <f>I164+I181+I169</f>
        <v>689751000</v>
      </c>
      <c r="J163" s="1119"/>
      <c r="K163" s="815"/>
      <c r="L163" s="815"/>
      <c r="M163" s="815"/>
      <c r="N163" s="815"/>
      <c r="O163" s="815"/>
      <c r="P163" s="815"/>
      <c r="Q163" s="815"/>
      <c r="R163" s="1105"/>
      <c r="S163" s="1105"/>
      <c r="T163" s="1105"/>
      <c r="U163" s="1105"/>
      <c r="V163" s="1105"/>
      <c r="W163" s="1144">
        <f t="shared" si="27"/>
        <v>0</v>
      </c>
      <c r="X163" s="1140">
        <f t="shared" si="28"/>
        <v>689751000</v>
      </c>
    </row>
    <row r="164" spans="1:27" s="556" customFormat="1" ht="20.25" customHeight="1">
      <c r="A164" s="798">
        <v>2</v>
      </c>
      <c r="B164" s="799">
        <v>1</v>
      </c>
      <c r="C164" s="799"/>
      <c r="D164" s="800"/>
      <c r="E164" s="798"/>
      <c r="F164" s="798"/>
      <c r="G164" s="798"/>
      <c r="H164" s="801" t="s">
        <v>624</v>
      </c>
      <c r="I164" s="802">
        <f>I165</f>
        <v>22800000</v>
      </c>
      <c r="J164" s="1120"/>
      <c r="K164" s="801"/>
      <c r="L164" s="801"/>
      <c r="M164" s="801"/>
      <c r="N164" s="801"/>
      <c r="O164" s="801"/>
      <c r="P164" s="801"/>
      <c r="Q164" s="801"/>
      <c r="R164" s="1106"/>
      <c r="S164" s="1106"/>
      <c r="T164" s="1106"/>
      <c r="U164" s="1106"/>
      <c r="V164" s="1106"/>
      <c r="W164" s="1144">
        <f t="shared" si="27"/>
        <v>0</v>
      </c>
      <c r="X164" s="1140">
        <f t="shared" si="28"/>
        <v>22800000</v>
      </c>
    </row>
    <row r="165" spans="1:27">
      <c r="A165" s="825">
        <v>2</v>
      </c>
      <c r="B165" s="826">
        <v>1</v>
      </c>
      <c r="C165" s="826" t="s">
        <v>593</v>
      </c>
      <c r="D165" s="546"/>
      <c r="E165" s="546"/>
      <c r="F165" s="546"/>
      <c r="G165" s="546"/>
      <c r="H165" s="844" t="s">
        <v>969</v>
      </c>
      <c r="I165" s="796">
        <f>I167</f>
        <v>22800000</v>
      </c>
      <c r="J165" s="1121"/>
      <c r="K165" s="795"/>
      <c r="L165" s="795"/>
      <c r="M165" s="795"/>
      <c r="N165" s="795"/>
      <c r="O165" s="795"/>
      <c r="P165" s="795"/>
      <c r="Q165" s="795"/>
      <c r="R165" s="1105"/>
      <c r="S165" s="1105"/>
      <c r="T165" s="1105"/>
      <c r="U165" s="1105"/>
      <c r="V165" s="1105"/>
      <c r="W165" s="1144">
        <f t="shared" si="27"/>
        <v>0</v>
      </c>
      <c r="X165" s="1140">
        <f t="shared" si="28"/>
        <v>22800000</v>
      </c>
    </row>
    <row r="166" spans="1:27">
      <c r="A166" s="575">
        <v>2</v>
      </c>
      <c r="B166" s="573">
        <v>1</v>
      </c>
      <c r="C166" s="573" t="s">
        <v>593</v>
      </c>
      <c r="D166" s="563">
        <v>5</v>
      </c>
      <c r="E166" s="563">
        <v>2</v>
      </c>
      <c r="F166" s="563"/>
      <c r="G166" s="563"/>
      <c r="H166" s="444" t="s">
        <v>8</v>
      </c>
      <c r="I166" s="567">
        <f>I167</f>
        <v>22800000</v>
      </c>
      <c r="J166" s="1118"/>
      <c r="K166" s="564"/>
      <c r="L166" s="564"/>
      <c r="M166" s="564"/>
      <c r="N166" s="564"/>
      <c r="O166" s="564"/>
      <c r="P166" s="564"/>
      <c r="Q166" s="564"/>
      <c r="R166" s="1105"/>
      <c r="S166" s="1105"/>
      <c r="T166" s="1105"/>
      <c r="U166" s="1105"/>
      <c r="V166" s="1105"/>
      <c r="W166" s="1144">
        <f t="shared" si="27"/>
        <v>0</v>
      </c>
      <c r="X166" s="1140">
        <f t="shared" si="28"/>
        <v>22800000</v>
      </c>
    </row>
    <row r="167" spans="1:27" s="554" customFormat="1">
      <c r="A167" s="575">
        <v>2</v>
      </c>
      <c r="B167" s="573">
        <v>1</v>
      </c>
      <c r="C167" s="573" t="s">
        <v>593</v>
      </c>
      <c r="D167" s="563">
        <v>5</v>
      </c>
      <c r="E167" s="563">
        <v>2</v>
      </c>
      <c r="F167" s="563">
        <v>2</v>
      </c>
      <c r="G167" s="563"/>
      <c r="H167" s="564" t="s">
        <v>736</v>
      </c>
      <c r="I167" s="567">
        <f>I168</f>
        <v>22800000</v>
      </c>
      <c r="J167" s="1118"/>
      <c r="K167" s="564"/>
      <c r="L167" s="564"/>
      <c r="M167" s="564"/>
      <c r="N167" s="564"/>
      <c r="O167" s="564"/>
      <c r="P167" s="564"/>
      <c r="Q167" s="564"/>
      <c r="R167" s="1107"/>
      <c r="S167" s="1107"/>
      <c r="T167" s="1107"/>
      <c r="U167" s="1107"/>
      <c r="V167" s="1107"/>
      <c r="W167" s="1144">
        <f t="shared" si="27"/>
        <v>0</v>
      </c>
      <c r="X167" s="1140">
        <f t="shared" si="28"/>
        <v>22800000</v>
      </c>
    </row>
    <row r="168" spans="1:27">
      <c r="A168" s="575">
        <v>2</v>
      </c>
      <c r="B168" s="573">
        <v>1</v>
      </c>
      <c r="C168" s="573" t="s">
        <v>593</v>
      </c>
      <c r="D168" s="563">
        <v>5</v>
      </c>
      <c r="E168" s="563">
        <v>2</v>
      </c>
      <c r="F168" s="563">
        <v>2</v>
      </c>
      <c r="G168" s="563">
        <v>5</v>
      </c>
      <c r="H168" s="564" t="s">
        <v>738</v>
      </c>
      <c r="I168" s="567">
        <f>'2.1 PAUD DAN TK'!H21+'2.2 HONOR MAdrasah'!H19</f>
        <v>22800000</v>
      </c>
      <c r="J168" s="1118"/>
      <c r="K168" s="564"/>
      <c r="L168" s="564"/>
      <c r="M168" s="564"/>
      <c r="N168" s="564"/>
      <c r="O168" s="564"/>
      <c r="P168" s="564"/>
      <c r="Q168" s="564"/>
      <c r="R168" s="1105"/>
      <c r="S168" s="1105"/>
      <c r="T168" s="1105"/>
      <c r="U168" s="1105"/>
      <c r="V168" s="1105"/>
      <c r="W168" s="1144">
        <f t="shared" si="27"/>
        <v>0</v>
      </c>
      <c r="X168" s="1140">
        <f t="shared" si="28"/>
        <v>22800000</v>
      </c>
    </row>
    <row r="169" spans="1:27">
      <c r="A169" s="936">
        <v>2</v>
      </c>
      <c r="B169" s="809">
        <v>2</v>
      </c>
      <c r="C169" s="809"/>
      <c r="D169" s="798"/>
      <c r="E169" s="798"/>
      <c r="F169" s="798"/>
      <c r="G169" s="798"/>
      <c r="H169" s="801" t="s">
        <v>629</v>
      </c>
      <c r="I169" s="802">
        <f>I170+I175</f>
        <v>30400000</v>
      </c>
      <c r="J169" s="1120"/>
      <c r="K169" s="801"/>
      <c r="L169" s="801"/>
      <c r="M169" s="801"/>
      <c r="N169" s="801"/>
      <c r="O169" s="801"/>
      <c r="P169" s="801"/>
      <c r="Q169" s="801"/>
      <c r="R169" s="1105"/>
      <c r="S169" s="1105"/>
      <c r="T169" s="1105"/>
      <c r="U169" s="1105"/>
      <c r="V169" s="1105"/>
      <c r="W169" s="1144">
        <f t="shared" si="27"/>
        <v>0</v>
      </c>
      <c r="X169" s="1140">
        <f t="shared" si="28"/>
        <v>30400000</v>
      </c>
    </row>
    <row r="170" spans="1:27" ht="31.5">
      <c r="A170" s="575">
        <v>2</v>
      </c>
      <c r="B170" s="573">
        <v>2</v>
      </c>
      <c r="C170" s="573" t="s">
        <v>594</v>
      </c>
      <c r="D170" s="563"/>
      <c r="E170" s="563"/>
      <c r="F170" s="563"/>
      <c r="G170" s="563"/>
      <c r="H170" s="937" t="s">
        <v>970</v>
      </c>
      <c r="I170" s="567">
        <f>I171</f>
        <v>12400000</v>
      </c>
      <c r="J170" s="1118"/>
      <c r="K170" s="564"/>
      <c r="L170" s="564"/>
      <c r="M170" s="564"/>
      <c r="N170" s="564"/>
      <c r="O170" s="564"/>
      <c r="P170" s="564"/>
      <c r="Q170" s="564"/>
      <c r="R170" s="1105"/>
      <c r="S170" s="1105"/>
      <c r="T170" s="1105"/>
      <c r="U170" s="1105"/>
      <c r="V170" s="1105"/>
      <c r="W170" s="1144">
        <f t="shared" si="27"/>
        <v>0</v>
      </c>
      <c r="X170" s="1140">
        <f t="shared" si="28"/>
        <v>12400000</v>
      </c>
    </row>
    <row r="171" spans="1:27">
      <c r="A171" s="575">
        <v>2</v>
      </c>
      <c r="B171" s="573">
        <v>2</v>
      </c>
      <c r="C171" s="573" t="s">
        <v>594</v>
      </c>
      <c r="D171" s="563">
        <v>5</v>
      </c>
      <c r="E171" s="563">
        <v>2</v>
      </c>
      <c r="F171" s="563"/>
      <c r="G171" s="563"/>
      <c r="H171" s="444" t="s">
        <v>8</v>
      </c>
      <c r="I171" s="567">
        <f>I172+I174</f>
        <v>12400000</v>
      </c>
      <c r="J171" s="1118"/>
      <c r="K171" s="564"/>
      <c r="L171" s="564"/>
      <c r="M171" s="564"/>
      <c r="N171" s="564"/>
      <c r="O171" s="564"/>
      <c r="P171" s="564"/>
      <c r="Q171" s="564"/>
      <c r="R171" s="1105"/>
      <c r="S171" s="1105"/>
      <c r="T171" s="1105"/>
      <c r="U171" s="1105"/>
      <c r="V171" s="1105"/>
      <c r="W171" s="1144">
        <f t="shared" si="27"/>
        <v>0</v>
      </c>
      <c r="X171" s="1140">
        <f t="shared" si="28"/>
        <v>12400000</v>
      </c>
    </row>
    <row r="172" spans="1:27">
      <c r="A172" s="575">
        <v>2</v>
      </c>
      <c r="B172" s="573">
        <v>2</v>
      </c>
      <c r="C172" s="573" t="s">
        <v>594</v>
      </c>
      <c r="D172" s="563">
        <v>5</v>
      </c>
      <c r="E172" s="563">
        <v>2</v>
      </c>
      <c r="F172" s="563">
        <v>2</v>
      </c>
      <c r="G172" s="563"/>
      <c r="H172" s="564" t="s">
        <v>736</v>
      </c>
      <c r="I172" s="567">
        <f>I173</f>
        <v>9600000</v>
      </c>
      <c r="J172" s="1118"/>
      <c r="K172" s="564"/>
      <c r="L172" s="564"/>
      <c r="M172" s="564"/>
      <c r="N172" s="564"/>
      <c r="O172" s="564"/>
      <c r="P172" s="564"/>
      <c r="Q172" s="564"/>
      <c r="R172" s="1105"/>
      <c r="S172" s="1105"/>
      <c r="T172" s="1105"/>
      <c r="U172" s="1105"/>
      <c r="V172" s="1105"/>
      <c r="W172" s="1144">
        <f t="shared" si="27"/>
        <v>0</v>
      </c>
      <c r="X172" s="1140">
        <f t="shared" si="28"/>
        <v>9600000</v>
      </c>
    </row>
    <row r="173" spans="1:27">
      <c r="A173" s="575">
        <v>2</v>
      </c>
      <c r="B173" s="573">
        <v>2</v>
      </c>
      <c r="C173" s="573" t="s">
        <v>594</v>
      </c>
      <c r="D173" s="563">
        <v>5</v>
      </c>
      <c r="E173" s="563">
        <v>2</v>
      </c>
      <c r="F173" s="563">
        <v>2</v>
      </c>
      <c r="G173" s="563">
        <v>5</v>
      </c>
      <c r="H173" s="564" t="s">
        <v>738</v>
      </c>
      <c r="I173" s="567">
        <f>'2.3A. PSYANDU'!H20</f>
        <v>9600000</v>
      </c>
      <c r="J173" s="1118"/>
      <c r="K173" s="564"/>
      <c r="L173" s="564"/>
      <c r="M173" s="564"/>
      <c r="N173" s="564"/>
      <c r="O173" s="564"/>
      <c r="P173" s="564"/>
      <c r="Q173" s="564"/>
      <c r="R173" s="1105"/>
      <c r="S173" s="1105"/>
      <c r="T173" s="1105"/>
      <c r="U173" s="1105"/>
      <c r="V173" s="1105"/>
      <c r="W173" s="1144">
        <f t="shared" si="27"/>
        <v>0</v>
      </c>
      <c r="X173" s="1140">
        <f t="shared" si="28"/>
        <v>9600000</v>
      </c>
    </row>
    <row r="174" spans="1:27">
      <c r="A174" s="575">
        <v>2</v>
      </c>
      <c r="B174" s="573">
        <v>2</v>
      </c>
      <c r="C174" s="573" t="s">
        <v>594</v>
      </c>
      <c r="D174" s="563">
        <v>5</v>
      </c>
      <c r="E174" s="563">
        <v>7</v>
      </c>
      <c r="F174" s="563"/>
      <c r="G174" s="563"/>
      <c r="H174" s="564" t="s">
        <v>971</v>
      </c>
      <c r="I174" s="567">
        <f>'2.3A. PSYANDU'!H28</f>
        <v>2800000</v>
      </c>
      <c r="J174" s="1118"/>
      <c r="K174" s="564"/>
      <c r="L174" s="564"/>
      <c r="M174" s="564"/>
      <c r="N174" s="564"/>
      <c r="O174" s="564"/>
      <c r="P174" s="564"/>
      <c r="Q174" s="564"/>
      <c r="R174" s="1105"/>
      <c r="S174" s="1105"/>
      <c r="T174" s="1105"/>
      <c r="U174" s="1105"/>
      <c r="V174" s="1105"/>
      <c r="W174" s="1144">
        <f t="shared" si="27"/>
        <v>0</v>
      </c>
      <c r="X174" s="1140">
        <f t="shared" si="28"/>
        <v>2800000</v>
      </c>
    </row>
    <row r="175" spans="1:27">
      <c r="A175" s="575">
        <v>2</v>
      </c>
      <c r="B175" s="573">
        <v>2</v>
      </c>
      <c r="C175" s="573" t="s">
        <v>616</v>
      </c>
      <c r="D175" s="563"/>
      <c r="E175" s="563"/>
      <c r="F175" s="563"/>
      <c r="G175" s="563"/>
      <c r="H175" s="564" t="s">
        <v>972</v>
      </c>
      <c r="I175" s="567">
        <f>I176</f>
        <v>18000000</v>
      </c>
      <c r="J175" s="1118"/>
      <c r="K175" s="564"/>
      <c r="L175" s="564"/>
      <c r="M175" s="564"/>
      <c r="N175" s="564"/>
      <c r="O175" s="564"/>
      <c r="P175" s="564"/>
      <c r="Q175" s="564"/>
      <c r="R175" s="1105"/>
      <c r="S175" s="1105"/>
      <c r="T175" s="1105"/>
      <c r="U175" s="1105"/>
      <c r="V175" s="1105"/>
      <c r="W175" s="1144">
        <f t="shared" si="27"/>
        <v>0</v>
      </c>
      <c r="X175" s="1140">
        <f t="shared" si="28"/>
        <v>18000000</v>
      </c>
    </row>
    <row r="176" spans="1:27">
      <c r="A176" s="575">
        <v>2</v>
      </c>
      <c r="B176" s="573">
        <v>2</v>
      </c>
      <c r="C176" s="573" t="s">
        <v>616</v>
      </c>
      <c r="D176" s="563">
        <v>5</v>
      </c>
      <c r="E176" s="563"/>
      <c r="F176" s="563"/>
      <c r="G176" s="563"/>
      <c r="H176" s="564" t="s">
        <v>9</v>
      </c>
      <c r="I176" s="567">
        <f>I177</f>
        <v>18000000</v>
      </c>
      <c r="J176" s="1118"/>
      <c r="K176" s="564"/>
      <c r="L176" s="564"/>
      <c r="M176" s="564"/>
      <c r="N176" s="564"/>
      <c r="O176" s="564"/>
      <c r="P176" s="564"/>
      <c r="Q176" s="564"/>
      <c r="R176" s="1105"/>
      <c r="S176" s="1105"/>
      <c r="T176" s="1105"/>
      <c r="U176" s="1105"/>
      <c r="V176" s="1105"/>
      <c r="W176" s="1144">
        <f t="shared" si="27"/>
        <v>0</v>
      </c>
      <c r="X176" s="1140">
        <f t="shared" si="28"/>
        <v>18000000</v>
      </c>
      <c r="Z176" s="541" t="s">
        <v>1061</v>
      </c>
      <c r="AA176" s="541" t="s">
        <v>1062</v>
      </c>
    </row>
    <row r="177" spans="1:33">
      <c r="A177" s="575">
        <v>2</v>
      </c>
      <c r="B177" s="573">
        <v>2</v>
      </c>
      <c r="C177" s="573" t="s">
        <v>616</v>
      </c>
      <c r="D177" s="563">
        <v>5</v>
      </c>
      <c r="E177" s="563">
        <v>4</v>
      </c>
      <c r="F177" s="563"/>
      <c r="G177" s="563"/>
      <c r="H177" s="443" t="s">
        <v>748</v>
      </c>
      <c r="I177" s="567">
        <f>SUM(I178:I180)</f>
        <v>18000000</v>
      </c>
      <c r="J177" s="1118"/>
      <c r="K177" s="564"/>
      <c r="L177" s="564"/>
      <c r="M177" s="564"/>
      <c r="N177" s="564"/>
      <c r="O177" s="564"/>
      <c r="P177" s="564"/>
      <c r="Q177" s="564"/>
      <c r="R177" s="1105"/>
      <c r="S177" s="1105"/>
      <c r="T177" s="1105"/>
      <c r="U177" s="1105"/>
      <c r="V177" s="1105"/>
      <c r="W177" s="1144">
        <f t="shared" si="27"/>
        <v>0</v>
      </c>
      <c r="X177" s="1140">
        <f t="shared" si="28"/>
        <v>18000000</v>
      </c>
      <c r="Z177" s="995">
        <f>SUM(Z178:Z180)</f>
        <v>12783850</v>
      </c>
      <c r="AA177" s="995">
        <f>SUM(AA178:AA180)</f>
        <v>5216150</v>
      </c>
    </row>
    <row r="178" spans="1:33">
      <c r="A178" s="575">
        <v>2</v>
      </c>
      <c r="B178" s="573">
        <v>2</v>
      </c>
      <c r="C178" s="573" t="s">
        <v>616</v>
      </c>
      <c r="D178" s="563">
        <v>5</v>
      </c>
      <c r="E178" s="563">
        <v>4</v>
      </c>
      <c r="F178" s="563">
        <v>1</v>
      </c>
      <c r="G178" s="563"/>
      <c r="H178" s="564" t="s">
        <v>749</v>
      </c>
      <c r="I178" s="567">
        <v>450000</v>
      </c>
      <c r="J178" s="1118"/>
      <c r="K178" s="564"/>
      <c r="L178" s="564"/>
      <c r="M178" s="564"/>
      <c r="N178" s="564"/>
      <c r="O178" s="564"/>
      <c r="P178" s="564"/>
      <c r="Q178" s="564"/>
      <c r="R178" s="1105"/>
      <c r="S178" s="1105"/>
      <c r="T178" s="1105"/>
      <c r="U178" s="1105"/>
      <c r="V178" s="1105"/>
      <c r="W178" s="1144">
        <f t="shared" si="27"/>
        <v>0</v>
      </c>
      <c r="X178" s="1140">
        <f t="shared" si="28"/>
        <v>450000</v>
      </c>
      <c r="Y178" s="973">
        <f>AA178+Z178</f>
        <v>450000</v>
      </c>
      <c r="Z178" s="996">
        <v>450000</v>
      </c>
      <c r="AA178" s="996"/>
    </row>
    <row r="179" spans="1:33">
      <c r="A179" s="575">
        <v>2</v>
      </c>
      <c r="B179" s="573">
        <v>2</v>
      </c>
      <c r="C179" s="573" t="s">
        <v>616</v>
      </c>
      <c r="D179" s="563">
        <v>5</v>
      </c>
      <c r="E179" s="563">
        <v>4</v>
      </c>
      <c r="F179" s="563">
        <v>2</v>
      </c>
      <c r="G179" s="563"/>
      <c r="H179" s="564" t="s">
        <v>750</v>
      </c>
      <c r="I179" s="567">
        <v>3800000</v>
      </c>
      <c r="J179" s="1118"/>
      <c r="K179" s="564"/>
      <c r="L179" s="564"/>
      <c r="M179" s="564"/>
      <c r="N179" s="564"/>
      <c r="O179" s="564"/>
      <c r="P179" s="564"/>
      <c r="Q179" s="564"/>
      <c r="R179" s="1105"/>
      <c r="S179" s="1105"/>
      <c r="T179" s="1105"/>
      <c r="U179" s="1105"/>
      <c r="V179" s="1105"/>
      <c r="W179" s="1144">
        <f t="shared" si="27"/>
        <v>0</v>
      </c>
      <c r="X179" s="1140">
        <f t="shared" si="28"/>
        <v>3800000</v>
      </c>
      <c r="Y179" s="973">
        <f>AA179+Z179</f>
        <v>3800000</v>
      </c>
      <c r="Z179" s="996">
        <v>3000000</v>
      </c>
      <c r="AA179" s="996">
        <v>800000</v>
      </c>
    </row>
    <row r="180" spans="1:33">
      <c r="A180" s="575">
        <v>2</v>
      </c>
      <c r="B180" s="573">
        <v>2</v>
      </c>
      <c r="C180" s="573" t="s">
        <v>616</v>
      </c>
      <c r="D180" s="563">
        <v>5</v>
      </c>
      <c r="E180" s="563">
        <v>4</v>
      </c>
      <c r="F180" s="563">
        <v>3</v>
      </c>
      <c r="G180" s="563"/>
      <c r="H180" s="564" t="s">
        <v>751</v>
      </c>
      <c r="I180" s="567">
        <v>13750000</v>
      </c>
      <c r="J180" s="1118"/>
      <c r="K180" s="564"/>
      <c r="L180" s="564"/>
      <c r="M180" s="564"/>
      <c r="N180" s="564"/>
      <c r="O180" s="564"/>
      <c r="P180" s="564"/>
      <c r="Q180" s="564"/>
      <c r="R180" s="1105"/>
      <c r="S180" s="1105"/>
      <c r="T180" s="1105"/>
      <c r="U180" s="1105"/>
      <c r="V180" s="1105"/>
      <c r="W180" s="1144">
        <f t="shared" si="27"/>
        <v>0</v>
      </c>
      <c r="X180" s="1140">
        <f t="shared" si="28"/>
        <v>13750000</v>
      </c>
      <c r="Y180" s="973">
        <f>AA180+Z180</f>
        <v>13750000</v>
      </c>
      <c r="Z180" s="996">
        <v>9333850</v>
      </c>
      <c r="AA180" s="996">
        <v>4416150</v>
      </c>
    </row>
    <row r="181" spans="1:33">
      <c r="A181" s="936">
        <v>2</v>
      </c>
      <c r="B181" s="809">
        <v>3</v>
      </c>
      <c r="C181" s="799"/>
      <c r="D181" s="800"/>
      <c r="E181" s="798"/>
      <c r="F181" s="798"/>
      <c r="G181" s="798"/>
      <c r="H181" s="938" t="s">
        <v>634</v>
      </c>
      <c r="I181" s="802">
        <f>I182+I189</f>
        <v>636551000</v>
      </c>
      <c r="J181" s="1120"/>
      <c r="K181" s="801"/>
      <c r="L181" s="801"/>
      <c r="M181" s="801"/>
      <c r="N181" s="801"/>
      <c r="O181" s="801"/>
      <c r="P181" s="801"/>
      <c r="Q181" s="801"/>
      <c r="R181" s="1105"/>
      <c r="S181" s="1105"/>
      <c r="T181" s="1105"/>
      <c r="U181" s="1105"/>
      <c r="V181" s="1105"/>
      <c r="W181" s="1144">
        <f t="shared" si="27"/>
        <v>0</v>
      </c>
      <c r="X181" s="1140">
        <f t="shared" si="28"/>
        <v>636551000</v>
      </c>
      <c r="Z181" s="1000" t="s">
        <v>1068</v>
      </c>
      <c r="AA181" s="1000" t="s">
        <v>59</v>
      </c>
      <c r="AB181" s="1000" t="s">
        <v>1069</v>
      </c>
      <c r="AC181" s="1000" t="s">
        <v>1070</v>
      </c>
      <c r="AD181" s="1000" t="s">
        <v>416</v>
      </c>
      <c r="AE181" s="1000" t="s">
        <v>1071</v>
      </c>
      <c r="AF181" s="790" t="s">
        <v>1072</v>
      </c>
    </row>
    <row r="182" spans="1:33">
      <c r="A182" s="825">
        <v>2</v>
      </c>
      <c r="B182" s="826">
        <v>3</v>
      </c>
      <c r="C182" s="826">
        <v>10</v>
      </c>
      <c r="D182" s="546"/>
      <c r="E182" s="546"/>
      <c r="F182" s="546"/>
      <c r="G182" s="546"/>
      <c r="H182" s="845" t="s">
        <v>1091</v>
      </c>
      <c r="I182" s="796">
        <f>I183</f>
        <v>393864000</v>
      </c>
      <c r="J182" s="1121"/>
      <c r="K182" s="795"/>
      <c r="L182" s="795"/>
      <c r="M182" s="795"/>
      <c r="N182" s="795"/>
      <c r="O182" s="795"/>
      <c r="P182" s="795"/>
      <c r="Q182" s="795"/>
      <c r="R182" s="1105"/>
      <c r="S182" s="1105"/>
      <c r="T182" s="1105"/>
      <c r="U182" s="1105"/>
      <c r="V182" s="1105"/>
      <c r="W182" s="1144">
        <f t="shared" si="27"/>
        <v>0</v>
      </c>
      <c r="X182" s="1140">
        <f t="shared" si="28"/>
        <v>393864000</v>
      </c>
      <c r="Z182" s="957" t="s">
        <v>418</v>
      </c>
      <c r="AA182" s="997" t="s">
        <v>1063</v>
      </c>
      <c r="AB182" s="997">
        <v>36946000</v>
      </c>
      <c r="AC182" s="997">
        <v>1000000</v>
      </c>
      <c r="AD182" s="997">
        <v>13480000</v>
      </c>
      <c r="AE182" s="997">
        <v>825000</v>
      </c>
      <c r="AF182" s="997">
        <f t="shared" ref="AF182:AF188" si="29">SUM(AB182:AE182)</f>
        <v>52251000</v>
      </c>
    </row>
    <row r="183" spans="1:33" s="554" customFormat="1">
      <c r="A183" s="575">
        <v>2</v>
      </c>
      <c r="B183" s="573">
        <v>3</v>
      </c>
      <c r="C183" s="573">
        <v>10</v>
      </c>
      <c r="D183" s="563">
        <v>5</v>
      </c>
      <c r="E183" s="563">
        <v>3</v>
      </c>
      <c r="F183" s="563"/>
      <c r="G183" s="563"/>
      <c r="H183" s="564" t="s">
        <v>9</v>
      </c>
      <c r="I183" s="567">
        <f>I184</f>
        <v>393864000</v>
      </c>
      <c r="J183" s="1118"/>
      <c r="K183" s="564"/>
      <c r="L183" s="564"/>
      <c r="M183" s="564"/>
      <c r="N183" s="564"/>
      <c r="O183" s="564"/>
      <c r="P183" s="564"/>
      <c r="Q183" s="564"/>
      <c r="R183" s="1107"/>
      <c r="S183" s="1107"/>
      <c r="T183" s="1107"/>
      <c r="U183" s="1107"/>
      <c r="V183" s="1107"/>
      <c r="W183" s="1144">
        <f t="shared" si="27"/>
        <v>0</v>
      </c>
      <c r="X183" s="1140">
        <f t="shared" si="28"/>
        <v>393864000</v>
      </c>
      <c r="Z183" s="957" t="s">
        <v>419</v>
      </c>
      <c r="AA183" s="997" t="s">
        <v>1064</v>
      </c>
      <c r="AB183" s="997">
        <v>44178000</v>
      </c>
      <c r="AC183" s="997">
        <v>1000000</v>
      </c>
      <c r="AD183" s="997">
        <v>16300000</v>
      </c>
      <c r="AE183" s="997">
        <v>825000</v>
      </c>
      <c r="AF183" s="997">
        <f t="shared" si="29"/>
        <v>62303000</v>
      </c>
    </row>
    <row r="184" spans="1:33">
      <c r="A184" s="575">
        <v>2</v>
      </c>
      <c r="B184" s="573">
        <v>3</v>
      </c>
      <c r="C184" s="573">
        <v>10</v>
      </c>
      <c r="D184" s="563">
        <v>5</v>
      </c>
      <c r="E184" s="563">
        <v>3</v>
      </c>
      <c r="F184" s="563">
        <v>5</v>
      </c>
      <c r="G184" s="563"/>
      <c r="H184" s="443" t="s">
        <v>755</v>
      </c>
      <c r="I184" s="567">
        <f>SUM(I185:I188)</f>
        <v>393864000</v>
      </c>
      <c r="J184" s="1118"/>
      <c r="K184" s="564"/>
      <c r="L184" s="564"/>
      <c r="M184" s="564"/>
      <c r="N184" s="564"/>
      <c r="O184" s="564"/>
      <c r="P184" s="564"/>
      <c r="Q184" s="564"/>
      <c r="R184" s="1105"/>
      <c r="S184" s="1105"/>
      <c r="T184" s="1105"/>
      <c r="U184" s="1105"/>
      <c r="V184" s="1105"/>
      <c r="W184" s="1144">
        <f t="shared" si="27"/>
        <v>0</v>
      </c>
      <c r="X184" s="1140">
        <f t="shared" si="28"/>
        <v>393864000</v>
      </c>
      <c r="Z184" s="957" t="s">
        <v>420</v>
      </c>
      <c r="AA184" s="997" t="s">
        <v>582</v>
      </c>
      <c r="AB184" s="997">
        <v>51640000</v>
      </c>
      <c r="AC184" s="997">
        <v>1000000</v>
      </c>
      <c r="AD184" s="997">
        <v>20040000</v>
      </c>
      <c r="AE184" s="997">
        <v>825000</v>
      </c>
      <c r="AF184" s="997">
        <f t="shared" si="29"/>
        <v>73505000</v>
      </c>
    </row>
    <row r="185" spans="1:33">
      <c r="A185" s="575">
        <v>2</v>
      </c>
      <c r="B185" s="573">
        <v>3</v>
      </c>
      <c r="C185" s="573">
        <v>10</v>
      </c>
      <c r="D185" s="563">
        <v>5</v>
      </c>
      <c r="E185" s="563">
        <v>3</v>
      </c>
      <c r="F185" s="563">
        <v>5</v>
      </c>
      <c r="G185" s="563">
        <v>1</v>
      </c>
      <c r="H185" s="564" t="s">
        <v>749</v>
      </c>
      <c r="I185" s="567">
        <v>5400000</v>
      </c>
      <c r="J185" s="1118"/>
      <c r="K185" s="564"/>
      <c r="L185" s="564"/>
      <c r="M185" s="564"/>
      <c r="N185" s="564"/>
      <c r="O185" s="564"/>
      <c r="P185" s="564"/>
      <c r="Q185" s="564"/>
      <c r="R185" s="1105"/>
      <c r="S185" s="1105"/>
      <c r="T185" s="1105"/>
      <c r="U185" s="1105"/>
      <c r="V185" s="1105"/>
      <c r="W185" s="1144">
        <f t="shared" si="27"/>
        <v>0</v>
      </c>
      <c r="X185" s="1140">
        <f t="shared" si="28"/>
        <v>5400000</v>
      </c>
      <c r="Z185" s="957" t="s">
        <v>421</v>
      </c>
      <c r="AA185" s="997" t="s">
        <v>1051</v>
      </c>
      <c r="AB185" s="997">
        <v>37678000</v>
      </c>
      <c r="AC185" s="997">
        <v>1000000</v>
      </c>
      <c r="AD185" s="997">
        <v>14220000</v>
      </c>
      <c r="AE185" s="997">
        <v>825000</v>
      </c>
      <c r="AF185" s="997">
        <f t="shared" si="29"/>
        <v>53723000</v>
      </c>
    </row>
    <row r="186" spans="1:33" s="420" customFormat="1">
      <c r="A186" s="575">
        <v>2</v>
      </c>
      <c r="B186" s="573">
        <v>3</v>
      </c>
      <c r="C186" s="573">
        <v>10</v>
      </c>
      <c r="D186" s="563">
        <v>5</v>
      </c>
      <c r="E186" s="563">
        <v>3</v>
      </c>
      <c r="F186" s="563">
        <v>5</v>
      </c>
      <c r="G186" s="563">
        <v>2</v>
      </c>
      <c r="H186" s="564" t="s">
        <v>750</v>
      </c>
      <c r="I186" s="567">
        <v>115340000</v>
      </c>
      <c r="J186" s="1118"/>
      <c r="K186" s="564"/>
      <c r="L186" s="564"/>
      <c r="M186" s="564"/>
      <c r="N186" s="564"/>
      <c r="O186" s="564"/>
      <c r="P186" s="564"/>
      <c r="Q186" s="564"/>
      <c r="R186" s="1105"/>
      <c r="S186" s="1105"/>
      <c r="T186" s="1105"/>
      <c r="U186" s="1105"/>
      <c r="V186" s="1105"/>
      <c r="W186" s="1144">
        <f t="shared" si="27"/>
        <v>0</v>
      </c>
      <c r="X186" s="1140">
        <f t="shared" si="28"/>
        <v>115340000</v>
      </c>
      <c r="Z186" s="957" t="s">
        <v>1065</v>
      </c>
      <c r="AA186" s="997" t="s">
        <v>583</v>
      </c>
      <c r="AB186" s="997">
        <v>47943000</v>
      </c>
      <c r="AC186" s="997">
        <v>1000000</v>
      </c>
      <c r="AD186" s="997">
        <v>17680000</v>
      </c>
      <c r="AE186" s="997">
        <v>825000</v>
      </c>
      <c r="AF186" s="997">
        <f t="shared" si="29"/>
        <v>67448000</v>
      </c>
    </row>
    <row r="187" spans="1:33">
      <c r="A187" s="575">
        <v>2</v>
      </c>
      <c r="B187" s="573">
        <v>3</v>
      </c>
      <c r="C187" s="573">
        <v>10</v>
      </c>
      <c r="D187" s="563">
        <v>5</v>
      </c>
      <c r="E187" s="563">
        <v>3</v>
      </c>
      <c r="F187" s="563">
        <v>5</v>
      </c>
      <c r="G187" s="563">
        <v>3</v>
      </c>
      <c r="H187" s="564" t="s">
        <v>751</v>
      </c>
      <c r="I187" s="567">
        <v>267124000</v>
      </c>
      <c r="J187" s="1118"/>
      <c r="K187" s="564"/>
      <c r="L187" s="564"/>
      <c r="M187" s="564"/>
      <c r="N187" s="564"/>
      <c r="O187" s="564"/>
      <c r="P187" s="564"/>
      <c r="Q187" s="564"/>
      <c r="R187" s="1105"/>
      <c r="S187" s="1105"/>
      <c r="T187" s="1105"/>
      <c r="U187" s="1105"/>
      <c r="V187" s="1105"/>
      <c r="W187" s="1144">
        <f t="shared" si="27"/>
        <v>0</v>
      </c>
      <c r="X187" s="1140">
        <f t="shared" si="28"/>
        <v>267124000</v>
      </c>
      <c r="Z187" s="957" t="s">
        <v>1066</v>
      </c>
      <c r="AA187" s="997" t="s">
        <v>1052</v>
      </c>
      <c r="AB187" s="997">
        <v>36946000</v>
      </c>
      <c r="AC187" s="997">
        <v>1000000</v>
      </c>
      <c r="AD187" s="997">
        <v>13620000</v>
      </c>
      <c r="AE187" s="997">
        <v>825000</v>
      </c>
      <c r="AF187" s="997">
        <f t="shared" si="29"/>
        <v>52391000</v>
      </c>
    </row>
    <row r="188" spans="1:33">
      <c r="A188" s="575">
        <v>2</v>
      </c>
      <c r="B188" s="573">
        <v>3</v>
      </c>
      <c r="C188" s="573">
        <v>10</v>
      </c>
      <c r="D188" s="563">
        <v>5</v>
      </c>
      <c r="E188" s="563">
        <v>3</v>
      </c>
      <c r="F188" s="563">
        <v>5</v>
      </c>
      <c r="G188" s="563">
        <v>4</v>
      </c>
      <c r="H188" s="564" t="s">
        <v>752</v>
      </c>
      <c r="I188" s="567">
        <v>6000000</v>
      </c>
      <c r="J188" s="1118"/>
      <c r="K188" s="564"/>
      <c r="L188" s="564"/>
      <c r="M188" s="564"/>
      <c r="N188" s="564"/>
      <c r="O188" s="564"/>
      <c r="P188" s="564"/>
      <c r="Q188" s="564"/>
      <c r="R188" s="1105"/>
      <c r="S188" s="1105"/>
      <c r="T188" s="1105"/>
      <c r="U188" s="1105"/>
      <c r="V188" s="1105"/>
      <c r="W188" s="1144">
        <f t="shared" si="27"/>
        <v>0</v>
      </c>
      <c r="X188" s="1140">
        <f t="shared" si="28"/>
        <v>6000000</v>
      </c>
      <c r="Z188" s="957" t="s">
        <v>1067</v>
      </c>
      <c r="AA188" s="997" t="s">
        <v>332</v>
      </c>
      <c r="AB188" s="997">
        <v>11793000</v>
      </c>
      <c r="AC188" s="997"/>
      <c r="AD188" s="997">
        <v>20000000</v>
      </c>
      <c r="AE188" s="997">
        <v>450000</v>
      </c>
      <c r="AF188" s="997">
        <f t="shared" si="29"/>
        <v>32243000</v>
      </c>
      <c r="AG188" s="973"/>
    </row>
    <row r="189" spans="1:33">
      <c r="A189" s="825">
        <v>2</v>
      </c>
      <c r="B189" s="826">
        <v>3</v>
      </c>
      <c r="C189" s="826">
        <v>14</v>
      </c>
      <c r="D189" s="546">
        <v>5</v>
      </c>
      <c r="E189" s="546"/>
      <c r="F189" s="546"/>
      <c r="G189" s="546"/>
      <c r="H189" s="844" t="s">
        <v>973</v>
      </c>
      <c r="I189" s="796">
        <f>I190</f>
        <v>242687000</v>
      </c>
      <c r="J189" s="1121"/>
      <c r="K189" s="795"/>
      <c r="L189" s="795"/>
      <c r="M189" s="795"/>
      <c r="N189" s="795"/>
      <c r="O189" s="795"/>
      <c r="P189" s="795"/>
      <c r="Q189" s="795"/>
      <c r="R189" s="1105"/>
      <c r="S189" s="1105"/>
      <c r="T189" s="1105"/>
      <c r="U189" s="1105"/>
      <c r="V189" s="1105"/>
      <c r="W189" s="1144">
        <f t="shared" si="27"/>
        <v>0</v>
      </c>
      <c r="X189" s="1140">
        <f t="shared" si="28"/>
        <v>242687000</v>
      </c>
      <c r="Z189" s="998"/>
      <c r="AA189" s="999"/>
      <c r="AB189" s="999">
        <f>SUM(AB182:AB188)</f>
        <v>267124000</v>
      </c>
      <c r="AC189" s="999">
        <f>SUM(AC182:AC188)</f>
        <v>6000000</v>
      </c>
      <c r="AD189" s="999">
        <f>SUM(AD182:AD188)</f>
        <v>115340000</v>
      </c>
      <c r="AE189" s="999">
        <f>SUM(AE182:AE188)</f>
        <v>5400000</v>
      </c>
      <c r="AF189" s="999">
        <f>SUM(AF182:AF188)</f>
        <v>393864000</v>
      </c>
    </row>
    <row r="190" spans="1:33" s="554" customFormat="1">
      <c r="A190" s="575">
        <v>2</v>
      </c>
      <c r="B190" s="573">
        <v>3</v>
      </c>
      <c r="C190" s="573">
        <v>14</v>
      </c>
      <c r="D190" s="563">
        <v>5</v>
      </c>
      <c r="E190" s="563">
        <v>3</v>
      </c>
      <c r="F190" s="563"/>
      <c r="G190" s="563"/>
      <c r="H190" s="564" t="s">
        <v>9</v>
      </c>
      <c r="I190" s="567">
        <f>I191</f>
        <v>242687000</v>
      </c>
      <c r="J190" s="1118"/>
      <c r="K190" s="564"/>
      <c r="L190" s="564"/>
      <c r="M190" s="564"/>
      <c r="N190" s="564"/>
      <c r="O190" s="564"/>
      <c r="P190" s="564"/>
      <c r="Q190" s="564"/>
      <c r="R190" s="1107"/>
      <c r="S190" s="1107"/>
      <c r="T190" s="1107"/>
      <c r="U190" s="1107"/>
      <c r="V190" s="1107"/>
      <c r="W190" s="1144">
        <f t="shared" si="27"/>
        <v>0</v>
      </c>
      <c r="X190" s="1140">
        <f t="shared" si="28"/>
        <v>242687000</v>
      </c>
    </row>
    <row r="191" spans="1:33">
      <c r="A191" s="575">
        <v>2</v>
      </c>
      <c r="B191" s="573">
        <v>3</v>
      </c>
      <c r="C191" s="573">
        <v>14</v>
      </c>
      <c r="D191" s="563">
        <v>5</v>
      </c>
      <c r="E191" s="563">
        <v>3</v>
      </c>
      <c r="F191" s="563">
        <v>5</v>
      </c>
      <c r="G191" s="563"/>
      <c r="H191" s="442" t="s">
        <v>974</v>
      </c>
      <c r="I191" s="567">
        <f>I192+I193+I194</f>
        <v>242687000</v>
      </c>
      <c r="J191" s="1118"/>
      <c r="K191" s="564"/>
      <c r="L191" s="564"/>
      <c r="M191" s="564"/>
      <c r="N191" s="564"/>
      <c r="O191" s="564"/>
      <c r="P191" s="564"/>
      <c r="Q191" s="564"/>
      <c r="R191" s="1105"/>
      <c r="S191" s="1105"/>
      <c r="T191" s="1105"/>
      <c r="U191" s="1105"/>
      <c r="V191" s="1105"/>
      <c r="W191" s="1144">
        <f t="shared" si="27"/>
        <v>0</v>
      </c>
      <c r="X191" s="1140">
        <f t="shared" si="28"/>
        <v>242687000</v>
      </c>
      <c r="Z191" s="1000" t="s">
        <v>1068</v>
      </c>
      <c r="AA191" s="1000" t="s">
        <v>59</v>
      </c>
      <c r="AB191" s="1000" t="s">
        <v>1069</v>
      </c>
      <c r="AC191" s="1000" t="s">
        <v>1070</v>
      </c>
      <c r="AD191" s="1000" t="s">
        <v>416</v>
      </c>
      <c r="AE191" s="1000" t="s">
        <v>1071</v>
      </c>
      <c r="AF191" s="790" t="s">
        <v>1072</v>
      </c>
    </row>
    <row r="192" spans="1:33">
      <c r="A192" s="575">
        <v>2</v>
      </c>
      <c r="B192" s="573">
        <v>3</v>
      </c>
      <c r="C192" s="573">
        <v>14</v>
      </c>
      <c r="D192" s="563">
        <v>5</v>
      </c>
      <c r="E192" s="563">
        <v>3</v>
      </c>
      <c r="F192" s="563">
        <v>5</v>
      </c>
      <c r="G192" s="563">
        <v>1</v>
      </c>
      <c r="H192" s="564" t="s">
        <v>749</v>
      </c>
      <c r="I192" s="567">
        <v>5400000</v>
      </c>
      <c r="J192" s="1118"/>
      <c r="K192" s="564"/>
      <c r="L192" s="564"/>
      <c r="M192" s="564"/>
      <c r="N192" s="564"/>
      <c r="O192" s="564"/>
      <c r="P192" s="564"/>
      <c r="Q192" s="564"/>
      <c r="R192" s="1105"/>
      <c r="S192" s="1105"/>
      <c r="T192" s="1105"/>
      <c r="U192" s="1105"/>
      <c r="V192" s="1105"/>
      <c r="W192" s="1144">
        <f t="shared" si="27"/>
        <v>0</v>
      </c>
      <c r="X192" s="1140">
        <f t="shared" si="28"/>
        <v>5400000</v>
      </c>
      <c r="Z192" s="957" t="s">
        <v>1073</v>
      </c>
      <c r="AA192" s="997" t="s">
        <v>582</v>
      </c>
      <c r="AB192" s="997">
        <v>14885000</v>
      </c>
      <c r="AC192" s="997"/>
      <c r="AD192" s="997">
        <v>3480000</v>
      </c>
      <c r="AE192" s="997">
        <v>450000</v>
      </c>
      <c r="AF192" s="997">
        <f>SUM(AB192:AE192)</f>
        <v>18815000</v>
      </c>
    </row>
    <row r="193" spans="1:32">
      <c r="A193" s="575">
        <v>2</v>
      </c>
      <c r="B193" s="573">
        <v>3</v>
      </c>
      <c r="C193" s="573">
        <v>14</v>
      </c>
      <c r="D193" s="563">
        <v>5</v>
      </c>
      <c r="E193" s="563">
        <v>3</v>
      </c>
      <c r="F193" s="563">
        <v>5</v>
      </c>
      <c r="G193" s="563">
        <v>2</v>
      </c>
      <c r="H193" s="564" t="s">
        <v>750</v>
      </c>
      <c r="I193" s="567">
        <v>52790000</v>
      </c>
      <c r="J193" s="1118"/>
      <c r="K193" s="564"/>
      <c r="L193" s="564"/>
      <c r="M193" s="564"/>
      <c r="N193" s="564"/>
      <c r="O193" s="564"/>
      <c r="P193" s="564"/>
      <c r="Q193" s="564"/>
      <c r="R193" s="1107"/>
      <c r="S193" s="1107"/>
      <c r="T193" s="1107"/>
      <c r="U193" s="1107"/>
      <c r="V193" s="1107"/>
      <c r="W193" s="1144">
        <f t="shared" si="27"/>
        <v>0</v>
      </c>
      <c r="X193" s="1140">
        <f t="shared" si="28"/>
        <v>52790000</v>
      </c>
      <c r="Z193" s="957" t="s">
        <v>1074</v>
      </c>
      <c r="AA193" s="997" t="s">
        <v>582</v>
      </c>
      <c r="AB193" s="997">
        <v>15555000</v>
      </c>
      <c r="AC193" s="997"/>
      <c r="AD193" s="997">
        <v>3600000</v>
      </c>
      <c r="AE193" s="997">
        <v>450000</v>
      </c>
      <c r="AF193" s="997">
        <f t="shared" ref="AF193:AF203" si="30">SUM(AB193:AE193)</f>
        <v>19605000</v>
      </c>
    </row>
    <row r="194" spans="1:32">
      <c r="A194" s="575">
        <v>2</v>
      </c>
      <c r="B194" s="573">
        <v>3</v>
      </c>
      <c r="C194" s="573">
        <v>14</v>
      </c>
      <c r="D194" s="563">
        <v>5</v>
      </c>
      <c r="E194" s="563">
        <v>3</v>
      </c>
      <c r="F194" s="563">
        <v>5</v>
      </c>
      <c r="G194" s="563">
        <v>3</v>
      </c>
      <c r="H194" s="564" t="s">
        <v>751</v>
      </c>
      <c r="I194" s="567">
        <v>184497000</v>
      </c>
      <c r="J194" s="1118"/>
      <c r="K194" s="564"/>
      <c r="L194" s="564"/>
      <c r="M194" s="564"/>
      <c r="N194" s="564"/>
      <c r="O194" s="564"/>
      <c r="P194" s="564"/>
      <c r="Q194" s="564"/>
      <c r="R194" s="1107"/>
      <c r="S194" s="1107"/>
      <c r="T194" s="1107"/>
      <c r="U194" s="1107"/>
      <c r="V194" s="1107"/>
      <c r="W194" s="1144">
        <f t="shared" si="27"/>
        <v>0</v>
      </c>
      <c r="X194" s="1140">
        <f t="shared" si="28"/>
        <v>184497000</v>
      </c>
      <c r="Z194" s="957" t="s">
        <v>1075</v>
      </c>
      <c r="AA194" s="997" t="s">
        <v>583</v>
      </c>
      <c r="AB194" s="997">
        <v>15275000</v>
      </c>
      <c r="AC194" s="997"/>
      <c r="AD194" s="997">
        <v>3480000</v>
      </c>
      <c r="AE194" s="997">
        <v>450000</v>
      </c>
      <c r="AF194" s="997">
        <f t="shared" si="30"/>
        <v>19205000</v>
      </c>
    </row>
    <row r="195" spans="1:32" ht="29.25" customHeight="1">
      <c r="A195" s="812">
        <v>3</v>
      </c>
      <c r="B195" s="813"/>
      <c r="C195" s="813"/>
      <c r="D195" s="814">
        <v>5</v>
      </c>
      <c r="E195" s="812"/>
      <c r="F195" s="812"/>
      <c r="G195" s="812"/>
      <c r="H195" s="815" t="s">
        <v>662</v>
      </c>
      <c r="I195" s="816">
        <f>I196+I201+I213+I218</f>
        <v>59270000</v>
      </c>
      <c r="J195" s="1119"/>
      <c r="K195" s="815"/>
      <c r="L195" s="815"/>
      <c r="M195" s="815"/>
      <c r="N195" s="815"/>
      <c r="O195" s="815"/>
      <c r="P195" s="815"/>
      <c r="Q195" s="815"/>
      <c r="R195" s="1105"/>
      <c r="S195" s="1105"/>
      <c r="T195" s="1105"/>
      <c r="U195" s="1105"/>
      <c r="V195" s="1105"/>
      <c r="W195" s="1144">
        <f t="shared" si="27"/>
        <v>0</v>
      </c>
      <c r="X195" s="1140">
        <f t="shared" si="28"/>
        <v>59270000</v>
      </c>
      <c r="Z195" s="957" t="s">
        <v>1076</v>
      </c>
      <c r="AA195" s="997" t="s">
        <v>399</v>
      </c>
      <c r="AB195" s="997">
        <v>14885000</v>
      </c>
      <c r="AC195" s="997"/>
      <c r="AD195" s="997">
        <v>3480000</v>
      </c>
      <c r="AE195" s="997">
        <v>450000</v>
      </c>
      <c r="AF195" s="997">
        <f t="shared" si="30"/>
        <v>18815000</v>
      </c>
    </row>
    <row r="196" spans="1:32" s="556" customFormat="1" ht="20.25" customHeight="1">
      <c r="A196" s="798">
        <v>3</v>
      </c>
      <c r="B196" s="799">
        <v>1</v>
      </c>
      <c r="C196" s="799"/>
      <c r="D196" s="800">
        <v>5</v>
      </c>
      <c r="E196" s="798"/>
      <c r="F196" s="798"/>
      <c r="G196" s="798"/>
      <c r="H196" s="801" t="s">
        <v>663</v>
      </c>
      <c r="I196" s="802">
        <f>I197</f>
        <v>8700000</v>
      </c>
      <c r="J196" s="1120"/>
      <c r="K196" s="801"/>
      <c r="L196" s="801"/>
      <c r="M196" s="801"/>
      <c r="N196" s="801"/>
      <c r="O196" s="801"/>
      <c r="P196" s="801"/>
      <c r="Q196" s="801"/>
      <c r="R196" s="1106"/>
      <c r="S196" s="1106"/>
      <c r="T196" s="1106"/>
      <c r="U196" s="1106"/>
      <c r="V196" s="1106"/>
      <c r="W196" s="1144">
        <f t="shared" si="27"/>
        <v>0</v>
      </c>
      <c r="X196" s="1140">
        <f t="shared" si="28"/>
        <v>8700000</v>
      </c>
      <c r="Z196" s="957" t="s">
        <v>1077</v>
      </c>
      <c r="AA196" s="997" t="s">
        <v>332</v>
      </c>
      <c r="AB196" s="997">
        <v>4491000</v>
      </c>
      <c r="AC196" s="997"/>
      <c r="AD196" s="997">
        <v>3620000</v>
      </c>
      <c r="AE196" s="997">
        <v>450000</v>
      </c>
      <c r="AF196" s="997">
        <f t="shared" si="30"/>
        <v>8561000</v>
      </c>
    </row>
    <row r="197" spans="1:32" ht="19.5" customHeight="1">
      <c r="A197" s="825">
        <v>3</v>
      </c>
      <c r="B197" s="826">
        <v>1</v>
      </c>
      <c r="C197" s="826" t="s">
        <v>594</v>
      </c>
      <c r="D197" s="546">
        <v>5</v>
      </c>
      <c r="E197" s="546"/>
      <c r="F197" s="546"/>
      <c r="G197" s="546"/>
      <c r="H197" s="844" t="s">
        <v>479</v>
      </c>
      <c r="I197" s="796">
        <f>I198</f>
        <v>8700000</v>
      </c>
      <c r="J197" s="1121"/>
      <c r="K197" s="795"/>
      <c r="L197" s="795"/>
      <c r="M197" s="795"/>
      <c r="N197" s="795"/>
      <c r="O197" s="795"/>
      <c r="P197" s="795"/>
      <c r="Q197" s="795"/>
      <c r="R197" s="1105"/>
      <c r="S197" s="1105"/>
      <c r="T197" s="1105"/>
      <c r="U197" s="1105"/>
      <c r="V197" s="1105"/>
      <c r="W197" s="1144">
        <f t="shared" si="27"/>
        <v>0</v>
      </c>
      <c r="X197" s="1140">
        <f t="shared" si="28"/>
        <v>8700000</v>
      </c>
      <c r="Z197" s="957" t="s">
        <v>1078</v>
      </c>
      <c r="AA197" s="997" t="s">
        <v>1052</v>
      </c>
      <c r="AB197" s="997">
        <v>15305000</v>
      </c>
      <c r="AC197" s="997"/>
      <c r="AD197" s="997">
        <v>3600000</v>
      </c>
      <c r="AE197" s="997">
        <v>450000</v>
      </c>
      <c r="AF197" s="997">
        <f t="shared" si="30"/>
        <v>19355000</v>
      </c>
    </row>
    <row r="198" spans="1:32" ht="19.5" customHeight="1">
      <c r="A198" s="575">
        <v>3</v>
      </c>
      <c r="B198" s="573">
        <v>1</v>
      </c>
      <c r="C198" s="573" t="s">
        <v>594</v>
      </c>
      <c r="D198" s="563">
        <v>5</v>
      </c>
      <c r="E198" s="563">
        <v>2</v>
      </c>
      <c r="F198" s="563"/>
      <c r="G198" s="563"/>
      <c r="H198" s="564" t="s">
        <v>8</v>
      </c>
      <c r="I198" s="567">
        <f>I199</f>
        <v>8700000</v>
      </c>
      <c r="J198" s="1118"/>
      <c r="K198" s="564"/>
      <c r="L198" s="564"/>
      <c r="M198" s="564"/>
      <c r="N198" s="564"/>
      <c r="O198" s="564"/>
      <c r="P198" s="564"/>
      <c r="Q198" s="564"/>
      <c r="R198" s="1105"/>
      <c r="S198" s="1105"/>
      <c r="T198" s="1105"/>
      <c r="U198" s="1105"/>
      <c r="V198" s="1105"/>
      <c r="W198" s="1144">
        <f t="shared" si="27"/>
        <v>0</v>
      </c>
      <c r="X198" s="1140">
        <f t="shared" si="28"/>
        <v>8700000</v>
      </c>
      <c r="Z198" s="957" t="s">
        <v>1079</v>
      </c>
      <c r="AA198" s="997" t="s">
        <v>1041</v>
      </c>
      <c r="AB198" s="997">
        <v>13610000</v>
      </c>
      <c r="AC198" s="997"/>
      <c r="AD198" s="997">
        <v>3120000</v>
      </c>
      <c r="AE198" s="997">
        <v>450000</v>
      </c>
      <c r="AF198" s="997">
        <f t="shared" si="30"/>
        <v>17180000</v>
      </c>
    </row>
    <row r="199" spans="1:32" ht="19.5" customHeight="1">
      <c r="A199" s="575">
        <v>3</v>
      </c>
      <c r="B199" s="573">
        <v>1</v>
      </c>
      <c r="C199" s="573" t="s">
        <v>594</v>
      </c>
      <c r="D199" s="563">
        <v>5</v>
      </c>
      <c r="E199" s="563">
        <v>2</v>
      </c>
      <c r="F199" s="563">
        <v>2</v>
      </c>
      <c r="G199" s="563"/>
      <c r="H199" s="564" t="s">
        <v>736</v>
      </c>
      <c r="I199" s="567">
        <f>SUM(I200:I200)</f>
        <v>8700000</v>
      </c>
      <c r="J199" s="1118"/>
      <c r="K199" s="564"/>
      <c r="L199" s="564"/>
      <c r="M199" s="564"/>
      <c r="N199" s="564"/>
      <c r="O199" s="564"/>
      <c r="P199" s="564"/>
      <c r="Q199" s="564"/>
      <c r="R199" s="1105"/>
      <c r="S199" s="1105"/>
      <c r="T199" s="1105"/>
      <c r="U199" s="1105"/>
      <c r="V199" s="1105"/>
      <c r="W199" s="1144">
        <f t="shared" si="27"/>
        <v>0</v>
      </c>
      <c r="X199" s="1140">
        <f t="shared" si="28"/>
        <v>8700000</v>
      </c>
      <c r="Z199" s="957" t="s">
        <v>1080</v>
      </c>
      <c r="AA199" s="997" t="s">
        <v>1041</v>
      </c>
      <c r="AB199" s="997">
        <v>4082000</v>
      </c>
      <c r="AC199" s="997"/>
      <c r="AD199" s="997">
        <v>3280000</v>
      </c>
      <c r="AE199" s="997">
        <v>450000</v>
      </c>
      <c r="AF199" s="997">
        <f t="shared" si="30"/>
        <v>7812000</v>
      </c>
    </row>
    <row r="200" spans="1:32" s="553" customFormat="1">
      <c r="A200" s="575">
        <v>3</v>
      </c>
      <c r="B200" s="573">
        <v>1</v>
      </c>
      <c r="C200" s="573" t="s">
        <v>594</v>
      </c>
      <c r="D200" s="563">
        <v>5</v>
      </c>
      <c r="E200" s="563">
        <v>2</v>
      </c>
      <c r="F200" s="563">
        <v>2</v>
      </c>
      <c r="G200" s="563">
        <v>5</v>
      </c>
      <c r="H200" s="564" t="s">
        <v>738</v>
      </c>
      <c r="I200" s="567">
        <f>'3.1 Linmas'!H20</f>
        <v>8700000</v>
      </c>
      <c r="J200" s="1118"/>
      <c r="K200" s="564"/>
      <c r="L200" s="564"/>
      <c r="M200" s="564"/>
      <c r="N200" s="564"/>
      <c r="O200" s="564"/>
      <c r="P200" s="564"/>
      <c r="Q200" s="564"/>
      <c r="R200" s="1107"/>
      <c r="S200" s="1107"/>
      <c r="T200" s="1107"/>
      <c r="U200" s="1107"/>
      <c r="V200" s="1107"/>
      <c r="W200" s="1144">
        <f t="shared" si="27"/>
        <v>0</v>
      </c>
      <c r="X200" s="1140">
        <f t="shared" si="28"/>
        <v>8700000</v>
      </c>
      <c r="Z200" s="957" t="s">
        <v>1081</v>
      </c>
      <c r="AA200" s="997" t="s">
        <v>1042</v>
      </c>
      <c r="AB200" s="997">
        <v>22414000</v>
      </c>
      <c r="AC200" s="997"/>
      <c r="AD200" s="997">
        <v>5040000</v>
      </c>
      <c r="AE200" s="997">
        <v>450000</v>
      </c>
      <c r="AF200" s="997">
        <f t="shared" si="30"/>
        <v>27904000</v>
      </c>
    </row>
    <row r="201" spans="1:32" s="554" customFormat="1">
      <c r="A201" s="800">
        <v>3</v>
      </c>
      <c r="B201" s="818">
        <v>2</v>
      </c>
      <c r="C201" s="819"/>
      <c r="D201" s="800"/>
      <c r="E201" s="800"/>
      <c r="F201" s="800"/>
      <c r="G201" s="800"/>
      <c r="H201" s="820" t="s">
        <v>665</v>
      </c>
      <c r="I201" s="822">
        <f>I202+I206</f>
        <v>26460000</v>
      </c>
      <c r="J201" s="1123"/>
      <c r="K201" s="821"/>
      <c r="L201" s="821"/>
      <c r="M201" s="821"/>
      <c r="N201" s="821"/>
      <c r="O201" s="821"/>
      <c r="P201" s="821"/>
      <c r="Q201" s="821"/>
      <c r="R201" s="1107"/>
      <c r="S201" s="1107"/>
      <c r="T201" s="1107"/>
      <c r="U201" s="1107"/>
      <c r="V201" s="1107"/>
      <c r="W201" s="1144">
        <f t="shared" si="27"/>
        <v>0</v>
      </c>
      <c r="X201" s="1140">
        <f t="shared" si="28"/>
        <v>26460000</v>
      </c>
      <c r="Z201" s="957" t="s">
        <v>1082</v>
      </c>
      <c r="AA201" s="997" t="s">
        <v>1043</v>
      </c>
      <c r="AB201" s="997">
        <v>14885000</v>
      </c>
      <c r="AC201" s="997"/>
      <c r="AD201" s="997">
        <v>3480000</v>
      </c>
      <c r="AE201" s="997">
        <v>450000</v>
      </c>
      <c r="AF201" s="997">
        <f t="shared" si="30"/>
        <v>18815000</v>
      </c>
    </row>
    <row r="202" spans="1:32" s="554" customFormat="1">
      <c r="A202" s="546">
        <v>3</v>
      </c>
      <c r="B202" s="794">
        <v>2</v>
      </c>
      <c r="C202" s="826">
        <v>90</v>
      </c>
      <c r="D202" s="546"/>
      <c r="E202" s="546"/>
      <c r="F202" s="546"/>
      <c r="G202" s="546"/>
      <c r="H202" s="845" t="s">
        <v>967</v>
      </c>
      <c r="I202" s="796">
        <f>I203</f>
        <v>24300000</v>
      </c>
      <c r="J202" s="1121"/>
      <c r="K202" s="795"/>
      <c r="L202" s="795"/>
      <c r="M202" s="795"/>
      <c r="N202" s="795"/>
      <c r="O202" s="795"/>
      <c r="P202" s="795"/>
      <c r="Q202" s="795"/>
      <c r="R202" s="1107"/>
      <c r="S202" s="1107"/>
      <c r="T202" s="1107"/>
      <c r="U202" s="1107"/>
      <c r="V202" s="1107"/>
      <c r="W202" s="1144">
        <f t="shared" si="27"/>
        <v>0</v>
      </c>
      <c r="X202" s="1140">
        <f t="shared" si="28"/>
        <v>24300000</v>
      </c>
      <c r="Z202" s="957" t="s">
        <v>1083</v>
      </c>
      <c r="AA202" s="997" t="s">
        <v>1050</v>
      </c>
      <c r="AB202" s="997">
        <v>40354000</v>
      </c>
      <c r="AC202" s="997"/>
      <c r="AD202" s="997">
        <v>13730000</v>
      </c>
      <c r="AE202" s="997">
        <v>450000</v>
      </c>
      <c r="AF202" s="997">
        <f t="shared" si="30"/>
        <v>54534000</v>
      </c>
    </row>
    <row r="203" spans="1:32" s="554" customFormat="1">
      <c r="A203" s="575">
        <v>3</v>
      </c>
      <c r="B203" s="573">
        <v>2</v>
      </c>
      <c r="C203" s="573">
        <v>90</v>
      </c>
      <c r="D203" s="563">
        <v>5</v>
      </c>
      <c r="E203" s="563">
        <v>2</v>
      </c>
      <c r="F203" s="563"/>
      <c r="G203" s="563"/>
      <c r="H203" s="564" t="s">
        <v>8</v>
      </c>
      <c r="I203" s="567">
        <f>I204</f>
        <v>24300000</v>
      </c>
      <c r="J203" s="1118"/>
      <c r="K203" s="564"/>
      <c r="L203" s="564"/>
      <c r="M203" s="564"/>
      <c r="N203" s="564"/>
      <c r="O203" s="564"/>
      <c r="P203" s="564"/>
      <c r="Q203" s="564"/>
      <c r="R203" s="1107"/>
      <c r="S203" s="1107"/>
      <c r="T203" s="1107"/>
      <c r="U203" s="1107"/>
      <c r="V203" s="1107"/>
      <c r="W203" s="1144">
        <f t="shared" si="27"/>
        <v>0</v>
      </c>
      <c r="X203" s="1140">
        <f t="shared" si="28"/>
        <v>24300000</v>
      </c>
      <c r="Z203" s="957" t="s">
        <v>1084</v>
      </c>
      <c r="AA203" s="997" t="s">
        <v>332</v>
      </c>
      <c r="AB203" s="997">
        <v>8756000</v>
      </c>
      <c r="AC203" s="997"/>
      <c r="AD203" s="997">
        <v>2880000</v>
      </c>
      <c r="AE203" s="997">
        <v>450000</v>
      </c>
      <c r="AF203" s="997">
        <f t="shared" si="30"/>
        <v>12086000</v>
      </c>
    </row>
    <row r="204" spans="1:32" s="554" customFormat="1">
      <c r="A204" s="575">
        <v>3</v>
      </c>
      <c r="B204" s="569">
        <v>2</v>
      </c>
      <c r="C204" s="573">
        <v>90</v>
      </c>
      <c r="D204" s="563">
        <v>5</v>
      </c>
      <c r="E204" s="563">
        <v>2</v>
      </c>
      <c r="F204" s="563">
        <v>2</v>
      </c>
      <c r="G204" s="563"/>
      <c r="H204" s="564" t="s">
        <v>736</v>
      </c>
      <c r="I204" s="567">
        <f>SUM(I205:I205)</f>
        <v>24300000</v>
      </c>
      <c r="J204" s="1118"/>
      <c r="K204" s="564"/>
      <c r="L204" s="564"/>
      <c r="M204" s="564"/>
      <c r="N204" s="564"/>
      <c r="O204" s="564"/>
      <c r="P204" s="564"/>
      <c r="Q204" s="564"/>
      <c r="R204" s="1107"/>
      <c r="S204" s="1107"/>
      <c r="T204" s="1107"/>
      <c r="U204" s="1107"/>
      <c r="V204" s="1107"/>
      <c r="W204" s="1144">
        <f t="shared" si="27"/>
        <v>0</v>
      </c>
      <c r="X204" s="1140">
        <f t="shared" si="28"/>
        <v>24300000</v>
      </c>
      <c r="Z204" s="998"/>
      <c r="AA204" s="999"/>
      <c r="AB204" s="999">
        <f>SUM(AB192:AB203)</f>
        <v>184497000</v>
      </c>
      <c r="AC204" s="999">
        <f>SUM(AC192:AC203)</f>
        <v>0</v>
      </c>
      <c r="AD204" s="999">
        <f>SUM(AD192:AD203)</f>
        <v>52790000</v>
      </c>
      <c r="AE204" s="999">
        <f>SUM(AE192:AE203)</f>
        <v>5400000</v>
      </c>
      <c r="AF204" s="999">
        <f>SUM(AF192:AF203)</f>
        <v>242687000</v>
      </c>
    </row>
    <row r="205" spans="1:32" s="554" customFormat="1">
      <c r="A205" s="575">
        <v>3</v>
      </c>
      <c r="B205" s="569">
        <v>2</v>
      </c>
      <c r="C205" s="573">
        <v>90</v>
      </c>
      <c r="D205" s="563">
        <v>5</v>
      </c>
      <c r="E205" s="563">
        <v>2</v>
      </c>
      <c r="F205" s="563">
        <v>2</v>
      </c>
      <c r="G205" s="563">
        <v>5</v>
      </c>
      <c r="H205" s="564" t="s">
        <v>738</v>
      </c>
      <c r="I205" s="567">
        <f>'3.2 Kagmaan SARA'!H21</f>
        <v>24300000</v>
      </c>
      <c r="J205" s="1118"/>
      <c r="K205" s="564"/>
      <c r="L205" s="564"/>
      <c r="M205" s="564"/>
      <c r="N205" s="564"/>
      <c r="O205" s="564"/>
      <c r="P205" s="564"/>
      <c r="Q205" s="564"/>
      <c r="R205" s="1107"/>
      <c r="S205" s="1107"/>
      <c r="T205" s="1107"/>
      <c r="U205" s="1107"/>
      <c r="V205" s="1107"/>
      <c r="W205" s="1144">
        <f t="shared" si="27"/>
        <v>0</v>
      </c>
      <c r="X205" s="1140">
        <f t="shared" si="28"/>
        <v>24300000</v>
      </c>
    </row>
    <row r="206" spans="1:32" s="554" customFormat="1" ht="47.25">
      <c r="A206" s="546">
        <v>3</v>
      </c>
      <c r="B206" s="794">
        <v>2</v>
      </c>
      <c r="C206" s="826" t="s">
        <v>595</v>
      </c>
      <c r="D206" s="546"/>
      <c r="E206" s="546"/>
      <c r="F206" s="546"/>
      <c r="G206" s="546"/>
      <c r="H206" s="844" t="s">
        <v>470</v>
      </c>
      <c r="I206" s="796">
        <f>I207</f>
        <v>2160000</v>
      </c>
      <c r="J206" s="1121"/>
      <c r="K206" s="795"/>
      <c r="L206" s="795"/>
      <c r="M206" s="795"/>
      <c r="N206" s="795"/>
      <c r="O206" s="795"/>
      <c r="P206" s="795"/>
      <c r="Q206" s="795"/>
      <c r="R206" s="1107"/>
      <c r="S206" s="1107"/>
      <c r="T206" s="1107"/>
      <c r="U206" s="1107"/>
      <c r="V206" s="1107"/>
      <c r="W206" s="1144">
        <f t="shared" si="27"/>
        <v>0</v>
      </c>
      <c r="X206" s="1140">
        <f t="shared" si="28"/>
        <v>2160000</v>
      </c>
    </row>
    <row r="207" spans="1:32" s="554" customFormat="1">
      <c r="A207" s="575">
        <v>3</v>
      </c>
      <c r="B207" s="573">
        <v>2</v>
      </c>
      <c r="C207" s="573" t="s">
        <v>595</v>
      </c>
      <c r="D207" s="563">
        <v>5</v>
      </c>
      <c r="E207" s="563">
        <v>2</v>
      </c>
      <c r="F207" s="563"/>
      <c r="G207" s="563"/>
      <c r="H207" s="564" t="s">
        <v>8</v>
      </c>
      <c r="I207" s="567">
        <f>I208+I211</f>
        <v>2160000</v>
      </c>
      <c r="J207" s="1118"/>
      <c r="K207" s="564"/>
      <c r="L207" s="564"/>
      <c r="M207" s="564"/>
      <c r="N207" s="564"/>
      <c r="O207" s="564"/>
      <c r="P207" s="564"/>
      <c r="Q207" s="564"/>
      <c r="R207" s="1107"/>
      <c r="S207" s="1107"/>
      <c r="T207" s="1107"/>
      <c r="U207" s="1107"/>
      <c r="V207" s="1107"/>
      <c r="W207" s="1144">
        <f t="shared" ref="W207:W270" si="31">J207+K207+L207+M207+N207+O207+P207+Q207+R207+S207+T207+U207</f>
        <v>0</v>
      </c>
      <c r="X207" s="1140">
        <f t="shared" ref="X207:X270" si="32">I207-W207</f>
        <v>2160000</v>
      </c>
    </row>
    <row r="208" spans="1:32" s="554" customFormat="1">
      <c r="A208" s="575">
        <v>3</v>
      </c>
      <c r="B208" s="569">
        <v>2</v>
      </c>
      <c r="C208" s="573" t="s">
        <v>595</v>
      </c>
      <c r="D208" s="563">
        <v>5</v>
      </c>
      <c r="E208" s="563">
        <v>2</v>
      </c>
      <c r="F208" s="563">
        <v>1</v>
      </c>
      <c r="G208" s="563"/>
      <c r="H208" s="564" t="s">
        <v>731</v>
      </c>
      <c r="I208" s="567">
        <f>I209+I210</f>
        <v>1360000</v>
      </c>
      <c r="J208" s="1118"/>
      <c r="K208" s="564"/>
      <c r="L208" s="564"/>
      <c r="M208" s="564"/>
      <c r="N208" s="564"/>
      <c r="O208" s="564"/>
      <c r="P208" s="564"/>
      <c r="Q208" s="564"/>
      <c r="R208" s="1107"/>
      <c r="S208" s="1107"/>
      <c r="T208" s="1107"/>
      <c r="U208" s="1107"/>
      <c r="V208" s="1107"/>
      <c r="W208" s="1144">
        <f t="shared" si="31"/>
        <v>0</v>
      </c>
      <c r="X208" s="1140">
        <f t="shared" si="32"/>
        <v>1360000</v>
      </c>
    </row>
    <row r="209" spans="1:24" s="554" customFormat="1">
      <c r="A209" s="575">
        <v>3</v>
      </c>
      <c r="B209" s="569">
        <v>2</v>
      </c>
      <c r="C209" s="573" t="s">
        <v>595</v>
      </c>
      <c r="D209" s="563">
        <v>5</v>
      </c>
      <c r="E209" s="563">
        <v>2</v>
      </c>
      <c r="F209" s="563">
        <v>1</v>
      </c>
      <c r="G209" s="563">
        <v>3</v>
      </c>
      <c r="H209" s="564" t="s">
        <v>733</v>
      </c>
      <c r="I209" s="567">
        <f>'3.3 HUT RI'!H27</f>
        <v>1200000</v>
      </c>
      <c r="J209" s="1118"/>
      <c r="K209" s="564"/>
      <c r="L209" s="564"/>
      <c r="M209" s="564"/>
      <c r="N209" s="564"/>
      <c r="O209" s="564"/>
      <c r="P209" s="564"/>
      <c r="Q209" s="564"/>
      <c r="R209" s="1107"/>
      <c r="S209" s="1107"/>
      <c r="T209" s="1107"/>
      <c r="U209" s="1107"/>
      <c r="V209" s="1107"/>
      <c r="W209" s="1144">
        <f t="shared" si="31"/>
        <v>0</v>
      </c>
      <c r="X209" s="1140">
        <f t="shared" si="32"/>
        <v>1200000</v>
      </c>
    </row>
    <row r="210" spans="1:24" ht="31.5">
      <c r="A210" s="575">
        <v>3</v>
      </c>
      <c r="B210" s="569">
        <v>2</v>
      </c>
      <c r="C210" s="573" t="s">
        <v>595</v>
      </c>
      <c r="D210" s="563">
        <v>5</v>
      </c>
      <c r="E210" s="563">
        <v>2</v>
      </c>
      <c r="F210" s="569">
        <v>1</v>
      </c>
      <c r="G210" s="569">
        <v>4</v>
      </c>
      <c r="H210" s="564" t="s">
        <v>735</v>
      </c>
      <c r="I210" s="567">
        <f>'3.3 HUT RI'!H20</f>
        <v>160000</v>
      </c>
      <c r="J210" s="1118"/>
      <c r="K210" s="564"/>
      <c r="L210" s="564"/>
      <c r="M210" s="564"/>
      <c r="N210" s="564"/>
      <c r="O210" s="564"/>
      <c r="P210" s="564"/>
      <c r="Q210" s="564"/>
      <c r="R210" s="1105"/>
      <c r="S210" s="1105"/>
      <c r="T210" s="1105"/>
      <c r="U210" s="1105"/>
      <c r="V210" s="1105"/>
      <c r="W210" s="1144">
        <f t="shared" si="31"/>
        <v>0</v>
      </c>
      <c r="X210" s="1140">
        <f t="shared" si="32"/>
        <v>160000</v>
      </c>
    </row>
    <row r="211" spans="1:24">
      <c r="A211" s="575">
        <v>3</v>
      </c>
      <c r="B211" s="569">
        <v>2</v>
      </c>
      <c r="C211" s="573" t="s">
        <v>595</v>
      </c>
      <c r="D211" s="563">
        <v>5</v>
      </c>
      <c r="E211" s="563">
        <v>2</v>
      </c>
      <c r="F211" s="563">
        <v>4</v>
      </c>
      <c r="G211" s="563"/>
      <c r="H211" s="564" t="s">
        <v>743</v>
      </c>
      <c r="I211" s="567">
        <f>I212</f>
        <v>800000</v>
      </c>
      <c r="J211" s="1118"/>
      <c r="K211" s="564"/>
      <c r="L211" s="564"/>
      <c r="M211" s="564"/>
      <c r="N211" s="564"/>
      <c r="O211" s="564"/>
      <c r="P211" s="564"/>
      <c r="Q211" s="564"/>
      <c r="R211" s="1105"/>
      <c r="S211" s="1105"/>
      <c r="T211" s="1105"/>
      <c r="U211" s="1105"/>
      <c r="V211" s="1105"/>
      <c r="W211" s="1144">
        <f t="shared" si="31"/>
        <v>0</v>
      </c>
      <c r="X211" s="1140">
        <f t="shared" si="32"/>
        <v>800000</v>
      </c>
    </row>
    <row r="212" spans="1:24">
      <c r="A212" s="575">
        <v>3</v>
      </c>
      <c r="B212" s="569">
        <v>2</v>
      </c>
      <c r="C212" s="573" t="s">
        <v>595</v>
      </c>
      <c r="D212" s="563">
        <v>5</v>
      </c>
      <c r="E212" s="563">
        <v>2</v>
      </c>
      <c r="F212" s="563">
        <v>4</v>
      </c>
      <c r="G212" s="563">
        <v>2</v>
      </c>
      <c r="H212" s="564" t="s">
        <v>962</v>
      </c>
      <c r="I212" s="567">
        <f>'3.3 HUT RI'!H24</f>
        <v>800000</v>
      </c>
      <c r="J212" s="1118"/>
      <c r="K212" s="564"/>
      <c r="L212" s="564"/>
      <c r="M212" s="564"/>
      <c r="N212" s="564"/>
      <c r="O212" s="564"/>
      <c r="P212" s="564"/>
      <c r="Q212" s="564"/>
      <c r="R212" s="1105"/>
      <c r="S212" s="1105"/>
      <c r="T212" s="1105"/>
      <c r="U212" s="1105"/>
      <c r="V212" s="1105"/>
      <c r="W212" s="1144">
        <f t="shared" si="31"/>
        <v>0</v>
      </c>
      <c r="X212" s="1140">
        <f t="shared" si="32"/>
        <v>800000</v>
      </c>
    </row>
    <row r="213" spans="1:24">
      <c r="A213" s="823">
        <v>3</v>
      </c>
      <c r="B213" s="818">
        <v>3</v>
      </c>
      <c r="C213" s="819"/>
      <c r="D213" s="800"/>
      <c r="E213" s="800"/>
      <c r="F213" s="800"/>
      <c r="G213" s="800"/>
      <c r="H213" s="801" t="s">
        <v>668</v>
      </c>
      <c r="I213" s="822">
        <f>I214</f>
        <v>1200000</v>
      </c>
      <c r="J213" s="1123"/>
      <c r="K213" s="821"/>
      <c r="L213" s="821"/>
      <c r="M213" s="821"/>
      <c r="N213" s="821"/>
      <c r="O213" s="821"/>
      <c r="P213" s="821"/>
      <c r="Q213" s="821"/>
      <c r="R213" s="1105"/>
      <c r="S213" s="1105"/>
      <c r="T213" s="1105"/>
      <c r="U213" s="1105"/>
      <c r="V213" s="1105"/>
      <c r="W213" s="1144">
        <f t="shared" si="31"/>
        <v>0</v>
      </c>
      <c r="X213" s="1140">
        <f t="shared" si="32"/>
        <v>1200000</v>
      </c>
    </row>
    <row r="214" spans="1:24">
      <c r="A214" s="575">
        <v>3</v>
      </c>
      <c r="B214" s="569">
        <v>3</v>
      </c>
      <c r="C214" s="573" t="s">
        <v>598</v>
      </c>
      <c r="D214" s="563">
        <v>5</v>
      </c>
      <c r="E214" s="563"/>
      <c r="F214" s="563"/>
      <c r="G214" s="563"/>
      <c r="H214" s="442" t="s">
        <v>464</v>
      </c>
      <c r="I214" s="567">
        <f>I215</f>
        <v>1200000</v>
      </c>
      <c r="J214" s="1118"/>
      <c r="K214" s="564"/>
      <c r="L214" s="564"/>
      <c r="M214" s="564"/>
      <c r="N214" s="564"/>
      <c r="O214" s="564"/>
      <c r="P214" s="564"/>
      <c r="Q214" s="564"/>
      <c r="R214" s="1105"/>
      <c r="S214" s="1105"/>
      <c r="T214" s="1105"/>
      <c r="U214" s="1105"/>
      <c r="V214" s="1105"/>
      <c r="W214" s="1144">
        <f t="shared" si="31"/>
        <v>0</v>
      </c>
      <c r="X214" s="1140">
        <f t="shared" si="32"/>
        <v>1200000</v>
      </c>
    </row>
    <row r="215" spans="1:24">
      <c r="A215" s="575">
        <v>3</v>
      </c>
      <c r="B215" s="569">
        <v>3</v>
      </c>
      <c r="C215" s="573" t="s">
        <v>598</v>
      </c>
      <c r="D215" s="563">
        <v>5</v>
      </c>
      <c r="E215" s="563">
        <v>2</v>
      </c>
      <c r="F215" s="563"/>
      <c r="G215" s="563"/>
      <c r="H215" s="564" t="s">
        <v>8</v>
      </c>
      <c r="I215" s="567">
        <f>I216</f>
        <v>1200000</v>
      </c>
      <c r="J215" s="1118"/>
      <c r="K215" s="564"/>
      <c r="L215" s="564"/>
      <c r="M215" s="564"/>
      <c r="N215" s="564"/>
      <c r="O215" s="564"/>
      <c r="P215" s="564"/>
      <c r="Q215" s="564"/>
      <c r="R215" s="1105"/>
      <c r="S215" s="1105"/>
      <c r="T215" s="1105"/>
      <c r="U215" s="1105"/>
      <c r="V215" s="1105"/>
      <c r="W215" s="1144">
        <f t="shared" si="31"/>
        <v>0</v>
      </c>
      <c r="X215" s="1140">
        <f t="shared" si="32"/>
        <v>1200000</v>
      </c>
    </row>
    <row r="216" spans="1:24">
      <c r="A216" s="575">
        <v>3</v>
      </c>
      <c r="B216" s="569">
        <v>3</v>
      </c>
      <c r="C216" s="573" t="s">
        <v>598</v>
      </c>
      <c r="D216" s="563">
        <v>5</v>
      </c>
      <c r="E216" s="563">
        <v>2</v>
      </c>
      <c r="F216" s="563">
        <v>2</v>
      </c>
      <c r="G216" s="563"/>
      <c r="H216" s="564" t="s">
        <v>736</v>
      </c>
      <c r="I216" s="567">
        <f>SUM(I217:I217)</f>
        <v>1200000</v>
      </c>
      <c r="J216" s="1118"/>
      <c r="K216" s="564"/>
      <c r="L216" s="564"/>
      <c r="M216" s="564"/>
      <c r="N216" s="564"/>
      <c r="O216" s="564"/>
      <c r="P216" s="564"/>
      <c r="Q216" s="564"/>
      <c r="R216" s="1105"/>
      <c r="S216" s="1105"/>
      <c r="T216" s="1105"/>
      <c r="U216" s="1105"/>
      <c r="V216" s="1105"/>
      <c r="W216" s="1144">
        <f t="shared" si="31"/>
        <v>0</v>
      </c>
      <c r="X216" s="1140">
        <f t="shared" si="32"/>
        <v>1200000</v>
      </c>
    </row>
    <row r="217" spans="1:24">
      <c r="A217" s="575">
        <v>3</v>
      </c>
      <c r="B217" s="569">
        <v>3</v>
      </c>
      <c r="C217" s="573" t="s">
        <v>598</v>
      </c>
      <c r="D217" s="563">
        <v>5</v>
      </c>
      <c r="E217" s="563">
        <v>2</v>
      </c>
      <c r="F217" s="563">
        <v>2</v>
      </c>
      <c r="G217" s="563">
        <v>5</v>
      </c>
      <c r="H217" s="564" t="s">
        <v>738</v>
      </c>
      <c r="I217" s="567">
        <f>'3.4 KATARUNA'!H19</f>
        <v>1200000</v>
      </c>
      <c r="J217" s="1118"/>
      <c r="K217" s="564"/>
      <c r="L217" s="564"/>
      <c r="M217" s="564"/>
      <c r="N217" s="564"/>
      <c r="O217" s="564"/>
      <c r="P217" s="564"/>
      <c r="Q217" s="564"/>
      <c r="R217" s="1105"/>
      <c r="S217" s="1105"/>
      <c r="T217" s="1105"/>
      <c r="U217" s="1105"/>
      <c r="V217" s="1105"/>
      <c r="W217" s="1144">
        <f t="shared" si="31"/>
        <v>0</v>
      </c>
      <c r="X217" s="1140">
        <f t="shared" si="32"/>
        <v>1200000</v>
      </c>
    </row>
    <row r="218" spans="1:24">
      <c r="A218" s="823">
        <v>3</v>
      </c>
      <c r="B218" s="818">
        <v>4</v>
      </c>
      <c r="C218" s="819"/>
      <c r="D218" s="800"/>
      <c r="E218" s="800"/>
      <c r="F218" s="800"/>
      <c r="G218" s="800"/>
      <c r="H218" s="824" t="s">
        <v>671</v>
      </c>
      <c r="I218" s="822">
        <f>I219+I223+I227+I242</f>
        <v>22910000</v>
      </c>
      <c r="J218" s="1123"/>
      <c r="K218" s="821"/>
      <c r="L218" s="821"/>
      <c r="M218" s="821"/>
      <c r="N218" s="821"/>
      <c r="O218" s="821"/>
      <c r="P218" s="821"/>
      <c r="Q218" s="821"/>
      <c r="R218" s="1105"/>
      <c r="S218" s="1105"/>
      <c r="T218" s="1105"/>
      <c r="U218" s="1105"/>
      <c r="V218" s="1105"/>
      <c r="W218" s="1144">
        <f t="shared" si="31"/>
        <v>0</v>
      </c>
      <c r="X218" s="1140">
        <f t="shared" si="32"/>
        <v>22910000</v>
      </c>
    </row>
    <row r="219" spans="1:24">
      <c r="A219" s="825">
        <v>3</v>
      </c>
      <c r="B219" s="794">
        <v>4</v>
      </c>
      <c r="C219" s="826" t="s">
        <v>593</v>
      </c>
      <c r="D219" s="546">
        <v>5</v>
      </c>
      <c r="E219" s="546"/>
      <c r="F219" s="546"/>
      <c r="G219" s="546"/>
      <c r="H219" s="827" t="s">
        <v>463</v>
      </c>
      <c r="I219" s="796">
        <f>I220</f>
        <v>2400000</v>
      </c>
      <c r="J219" s="1121"/>
      <c r="K219" s="795"/>
      <c r="L219" s="795"/>
      <c r="M219" s="795"/>
      <c r="N219" s="795"/>
      <c r="O219" s="795"/>
      <c r="P219" s="795"/>
      <c r="Q219" s="795"/>
      <c r="R219" s="1105"/>
      <c r="S219" s="1105"/>
      <c r="T219" s="1105"/>
      <c r="U219" s="1105"/>
      <c r="V219" s="1105"/>
      <c r="W219" s="1144">
        <f t="shared" si="31"/>
        <v>0</v>
      </c>
      <c r="X219" s="1140">
        <f t="shared" si="32"/>
        <v>2400000</v>
      </c>
    </row>
    <row r="220" spans="1:24">
      <c r="A220" s="575">
        <v>3</v>
      </c>
      <c r="B220" s="569">
        <v>4</v>
      </c>
      <c r="C220" s="573" t="s">
        <v>593</v>
      </c>
      <c r="D220" s="563">
        <v>5</v>
      </c>
      <c r="E220" s="563">
        <v>2</v>
      </c>
      <c r="F220" s="563"/>
      <c r="G220" s="563"/>
      <c r="H220" s="564" t="s">
        <v>8</v>
      </c>
      <c r="I220" s="567">
        <f>I221</f>
        <v>2400000</v>
      </c>
      <c r="J220" s="1118"/>
      <c r="K220" s="564"/>
      <c r="L220" s="564"/>
      <c r="M220" s="564"/>
      <c r="N220" s="564"/>
      <c r="O220" s="564"/>
      <c r="P220" s="564"/>
      <c r="Q220" s="564"/>
      <c r="R220" s="1105"/>
      <c r="S220" s="1105"/>
      <c r="T220" s="1105"/>
      <c r="U220" s="1105"/>
      <c r="V220" s="1105"/>
      <c r="W220" s="1144">
        <f t="shared" si="31"/>
        <v>0</v>
      </c>
      <c r="X220" s="1140">
        <f t="shared" si="32"/>
        <v>2400000</v>
      </c>
    </row>
    <row r="221" spans="1:24">
      <c r="A221" s="575">
        <v>3</v>
      </c>
      <c r="B221" s="569">
        <v>4</v>
      </c>
      <c r="C221" s="573" t="s">
        <v>593</v>
      </c>
      <c r="D221" s="563">
        <v>5</v>
      </c>
      <c r="E221" s="563">
        <v>2</v>
      </c>
      <c r="F221" s="563">
        <v>2</v>
      </c>
      <c r="G221" s="563"/>
      <c r="H221" s="564" t="s">
        <v>736</v>
      </c>
      <c r="I221" s="567">
        <f>SUM(I222:I222)</f>
        <v>2400000</v>
      </c>
      <c r="J221" s="1118"/>
      <c r="K221" s="564"/>
      <c r="L221" s="564"/>
      <c r="M221" s="564"/>
      <c r="N221" s="564"/>
      <c r="O221" s="564"/>
      <c r="P221" s="564"/>
      <c r="Q221" s="564"/>
      <c r="R221" s="1105"/>
      <c r="S221" s="1105"/>
      <c r="T221" s="1105"/>
      <c r="U221" s="1105"/>
      <c r="V221" s="1105"/>
      <c r="W221" s="1144">
        <f t="shared" si="31"/>
        <v>0</v>
      </c>
      <c r="X221" s="1140">
        <f t="shared" si="32"/>
        <v>2400000</v>
      </c>
    </row>
    <row r="222" spans="1:24">
      <c r="A222" s="575">
        <v>3</v>
      </c>
      <c r="B222" s="569">
        <v>4</v>
      </c>
      <c r="C222" s="573" t="s">
        <v>593</v>
      </c>
      <c r="D222" s="563">
        <v>5</v>
      </c>
      <c r="E222" s="563">
        <v>2</v>
      </c>
      <c r="F222" s="563">
        <v>2</v>
      </c>
      <c r="G222" s="563">
        <v>5</v>
      </c>
      <c r="H222" s="564" t="s">
        <v>738</v>
      </c>
      <c r="I222" s="567">
        <f>'3.5 L.A'!H20</f>
        <v>2400000</v>
      </c>
      <c r="J222" s="1118"/>
      <c r="K222" s="564"/>
      <c r="L222" s="564"/>
      <c r="M222" s="564"/>
      <c r="N222" s="564"/>
      <c r="O222" s="564"/>
      <c r="P222" s="564"/>
      <c r="Q222" s="564"/>
      <c r="R222" s="1105"/>
      <c r="S222" s="1105"/>
      <c r="T222" s="1105"/>
      <c r="U222" s="1105"/>
      <c r="V222" s="1105"/>
      <c r="W222" s="1144">
        <f t="shared" si="31"/>
        <v>0</v>
      </c>
      <c r="X222" s="1140">
        <f t="shared" si="32"/>
        <v>2400000</v>
      </c>
    </row>
    <row r="223" spans="1:24">
      <c r="A223" s="825">
        <v>3</v>
      </c>
      <c r="B223" s="794">
        <v>4</v>
      </c>
      <c r="C223" s="826" t="s">
        <v>594</v>
      </c>
      <c r="D223" s="546">
        <v>5</v>
      </c>
      <c r="E223" s="546"/>
      <c r="F223" s="546"/>
      <c r="G223" s="546"/>
      <c r="H223" s="827" t="s">
        <v>462</v>
      </c>
      <c r="I223" s="796">
        <f>I224</f>
        <v>3900000</v>
      </c>
      <c r="J223" s="1121"/>
      <c r="K223" s="795"/>
      <c r="L223" s="795"/>
      <c r="M223" s="795"/>
      <c r="N223" s="795"/>
      <c r="O223" s="795"/>
      <c r="P223" s="795"/>
      <c r="Q223" s="795"/>
      <c r="R223" s="1107"/>
      <c r="S223" s="1107"/>
      <c r="T223" s="1107"/>
      <c r="U223" s="1107"/>
      <c r="V223" s="1107"/>
      <c r="W223" s="1144">
        <f t="shared" si="31"/>
        <v>0</v>
      </c>
      <c r="X223" s="1140">
        <f t="shared" si="32"/>
        <v>3900000</v>
      </c>
    </row>
    <row r="224" spans="1:24">
      <c r="A224" s="575">
        <v>3</v>
      </c>
      <c r="B224" s="569">
        <v>4</v>
      </c>
      <c r="C224" s="573" t="s">
        <v>594</v>
      </c>
      <c r="D224" s="563">
        <v>5</v>
      </c>
      <c r="E224" s="563">
        <v>2</v>
      </c>
      <c r="F224" s="563"/>
      <c r="G224" s="563"/>
      <c r="H224" s="564" t="s">
        <v>8</v>
      </c>
      <c r="I224" s="567">
        <f>I225</f>
        <v>3900000</v>
      </c>
      <c r="J224" s="1118"/>
      <c r="K224" s="564"/>
      <c r="L224" s="564"/>
      <c r="M224" s="564"/>
      <c r="N224" s="564"/>
      <c r="O224" s="564"/>
      <c r="P224" s="564"/>
      <c r="Q224" s="564"/>
      <c r="R224" s="1105"/>
      <c r="S224" s="1105"/>
      <c r="T224" s="1105"/>
      <c r="U224" s="1105"/>
      <c r="V224" s="1105"/>
      <c r="W224" s="1144">
        <f t="shared" si="31"/>
        <v>0</v>
      </c>
      <c r="X224" s="1140">
        <f t="shared" si="32"/>
        <v>3900000</v>
      </c>
    </row>
    <row r="225" spans="1:24">
      <c r="A225" s="575">
        <v>3</v>
      </c>
      <c r="B225" s="569">
        <v>4</v>
      </c>
      <c r="C225" s="573" t="s">
        <v>594</v>
      </c>
      <c r="D225" s="563">
        <v>5</v>
      </c>
      <c r="E225" s="563">
        <v>2</v>
      </c>
      <c r="F225" s="563">
        <v>2</v>
      </c>
      <c r="G225" s="563"/>
      <c r="H225" s="564" t="s">
        <v>736</v>
      </c>
      <c r="I225" s="567">
        <f>SUM(I226:I226)</f>
        <v>3900000</v>
      </c>
      <c r="J225" s="1118"/>
      <c r="K225" s="564"/>
      <c r="L225" s="564"/>
      <c r="M225" s="564"/>
      <c r="N225" s="564"/>
      <c r="O225" s="564"/>
      <c r="P225" s="564"/>
      <c r="Q225" s="564"/>
      <c r="R225" s="1105"/>
      <c r="S225" s="1105"/>
      <c r="T225" s="1105"/>
      <c r="U225" s="1105"/>
      <c r="V225" s="1105"/>
      <c r="W225" s="1144">
        <f t="shared" si="31"/>
        <v>0</v>
      </c>
      <c r="X225" s="1140">
        <f t="shared" si="32"/>
        <v>3900000</v>
      </c>
    </row>
    <row r="226" spans="1:24">
      <c r="A226" s="575">
        <v>3</v>
      </c>
      <c r="B226" s="569">
        <v>4</v>
      </c>
      <c r="C226" s="573" t="s">
        <v>594</v>
      </c>
      <c r="D226" s="563">
        <v>5</v>
      </c>
      <c r="E226" s="563">
        <v>2</v>
      </c>
      <c r="F226" s="563">
        <v>2</v>
      </c>
      <c r="G226" s="563">
        <v>5</v>
      </c>
      <c r="H226" s="564" t="s">
        <v>738</v>
      </c>
      <c r="I226" s="567">
        <f>'3.6 LPM'!H21</f>
        <v>3900000</v>
      </c>
      <c r="J226" s="1118"/>
      <c r="K226" s="564"/>
      <c r="L226" s="564"/>
      <c r="M226" s="564"/>
      <c r="N226" s="564"/>
      <c r="O226" s="564"/>
      <c r="P226" s="564"/>
      <c r="Q226" s="564"/>
      <c r="R226" s="1105"/>
      <c r="S226" s="1105"/>
      <c r="T226" s="1105"/>
      <c r="U226" s="1105"/>
      <c r="V226" s="1105"/>
      <c r="W226" s="1144">
        <f t="shared" si="31"/>
        <v>0</v>
      </c>
      <c r="X226" s="1140">
        <f t="shared" si="32"/>
        <v>3900000</v>
      </c>
    </row>
    <row r="227" spans="1:24" ht="19.5" customHeight="1">
      <c r="A227" s="825">
        <v>3</v>
      </c>
      <c r="B227" s="794">
        <v>4</v>
      </c>
      <c r="C227" s="826" t="s">
        <v>595</v>
      </c>
      <c r="D227" s="546"/>
      <c r="E227" s="546"/>
      <c r="F227" s="546"/>
      <c r="G227" s="546"/>
      <c r="H227" s="827" t="s">
        <v>461</v>
      </c>
      <c r="I227" s="796">
        <f>I228</f>
        <v>16610000</v>
      </c>
      <c r="J227" s="1121"/>
      <c r="K227" s="795"/>
      <c r="L227" s="795"/>
      <c r="M227" s="795"/>
      <c r="N227" s="795"/>
      <c r="O227" s="795"/>
      <c r="P227" s="795"/>
      <c r="Q227" s="795"/>
      <c r="R227" s="1105"/>
      <c r="S227" s="1105"/>
      <c r="T227" s="1105"/>
      <c r="U227" s="1105"/>
      <c r="V227" s="1105"/>
      <c r="W227" s="1144">
        <f t="shared" si="31"/>
        <v>0</v>
      </c>
      <c r="X227" s="1140">
        <f t="shared" si="32"/>
        <v>16610000</v>
      </c>
    </row>
    <row r="228" spans="1:24" ht="19.5" customHeight="1">
      <c r="A228" s="575">
        <v>3</v>
      </c>
      <c r="B228" s="569">
        <v>4</v>
      </c>
      <c r="C228" s="573" t="s">
        <v>595</v>
      </c>
      <c r="D228" s="563">
        <v>5</v>
      </c>
      <c r="E228" s="563">
        <v>2</v>
      </c>
      <c r="F228" s="563"/>
      <c r="G228" s="563"/>
      <c r="H228" s="564" t="s">
        <v>8</v>
      </c>
      <c r="I228" s="567">
        <f>I229+I234+I237+I239</f>
        <v>16610000</v>
      </c>
      <c r="J228" s="1118"/>
      <c r="K228" s="564"/>
      <c r="L228" s="564"/>
      <c r="M228" s="564"/>
      <c r="N228" s="564"/>
      <c r="O228" s="564"/>
      <c r="P228" s="564"/>
      <c r="Q228" s="564"/>
      <c r="R228" s="1105"/>
      <c r="S228" s="1105"/>
      <c r="T228" s="1105"/>
      <c r="U228" s="1105"/>
      <c r="V228" s="1105"/>
      <c r="W228" s="1144">
        <f t="shared" si="31"/>
        <v>0</v>
      </c>
      <c r="X228" s="1140">
        <f t="shared" si="32"/>
        <v>16610000</v>
      </c>
    </row>
    <row r="229" spans="1:24" ht="19.5" customHeight="1">
      <c r="A229" s="575">
        <v>3</v>
      </c>
      <c r="B229" s="569">
        <v>4</v>
      </c>
      <c r="C229" s="573" t="s">
        <v>595</v>
      </c>
      <c r="D229" s="563">
        <v>5</v>
      </c>
      <c r="E229" s="563">
        <v>2</v>
      </c>
      <c r="F229" s="563">
        <v>1</v>
      </c>
      <c r="G229" s="563"/>
      <c r="H229" s="564" t="s">
        <v>731</v>
      </c>
      <c r="I229" s="567">
        <f>SUM(I230:I233)</f>
        <v>4610000</v>
      </c>
      <c r="J229" s="1118"/>
      <c r="K229" s="564"/>
      <c r="L229" s="564"/>
      <c r="M229" s="564"/>
      <c r="N229" s="564"/>
      <c r="O229" s="564"/>
      <c r="P229" s="564"/>
      <c r="Q229" s="564"/>
      <c r="R229" s="1105"/>
      <c r="S229" s="1105"/>
      <c r="T229" s="1105"/>
      <c r="U229" s="1105"/>
      <c r="V229" s="1105"/>
      <c r="W229" s="1144">
        <f t="shared" si="31"/>
        <v>0</v>
      </c>
      <c r="X229" s="1140">
        <f t="shared" si="32"/>
        <v>4610000</v>
      </c>
    </row>
    <row r="230" spans="1:24" ht="19.5" customHeight="1">
      <c r="A230" s="575">
        <v>3</v>
      </c>
      <c r="B230" s="569">
        <v>4</v>
      </c>
      <c r="C230" s="573" t="s">
        <v>595</v>
      </c>
      <c r="D230" s="563">
        <v>5</v>
      </c>
      <c r="E230" s="563">
        <v>2</v>
      </c>
      <c r="F230" s="563">
        <v>1</v>
      </c>
      <c r="G230" s="563">
        <v>1</v>
      </c>
      <c r="H230" s="564" t="s">
        <v>1021</v>
      </c>
      <c r="I230" s="567">
        <f>'3.7 PKK'!H30</f>
        <v>1600000</v>
      </c>
      <c r="J230" s="1118"/>
      <c r="K230" s="564"/>
      <c r="L230" s="564"/>
      <c r="M230" s="564"/>
      <c r="N230" s="564"/>
      <c r="O230" s="564"/>
      <c r="P230" s="564"/>
      <c r="Q230" s="564"/>
      <c r="R230" s="1105"/>
      <c r="S230" s="1105"/>
      <c r="T230" s="1105"/>
      <c r="U230" s="1105"/>
      <c r="V230" s="1105"/>
      <c r="W230" s="1144">
        <f t="shared" si="31"/>
        <v>0</v>
      </c>
      <c r="X230" s="1140">
        <f t="shared" si="32"/>
        <v>1600000</v>
      </c>
    </row>
    <row r="231" spans="1:24" ht="19.5" customHeight="1">
      <c r="A231" s="575">
        <v>3</v>
      </c>
      <c r="B231" s="569">
        <v>4</v>
      </c>
      <c r="C231" s="573" t="s">
        <v>595</v>
      </c>
      <c r="D231" s="563">
        <v>5</v>
      </c>
      <c r="E231" s="563">
        <v>2</v>
      </c>
      <c r="F231" s="563">
        <v>1</v>
      </c>
      <c r="G231" s="563">
        <v>5</v>
      </c>
      <c r="H231" s="564" t="s">
        <v>1038</v>
      </c>
      <c r="I231" s="567">
        <f>'3.7 PKK'!H52</f>
        <v>140000</v>
      </c>
      <c r="J231" s="1118"/>
      <c r="K231" s="564"/>
      <c r="L231" s="564"/>
      <c r="M231" s="564"/>
      <c r="N231" s="564"/>
      <c r="O231" s="564"/>
      <c r="P231" s="564"/>
      <c r="Q231" s="564"/>
      <c r="R231" s="1105"/>
      <c r="S231" s="1105"/>
      <c r="T231" s="1105"/>
      <c r="U231" s="1105"/>
      <c r="V231" s="1105"/>
      <c r="W231" s="1144">
        <f t="shared" si="31"/>
        <v>0</v>
      </c>
      <c r="X231" s="1140">
        <f t="shared" si="32"/>
        <v>140000</v>
      </c>
    </row>
    <row r="232" spans="1:24" ht="19.5" customHeight="1">
      <c r="A232" s="575">
        <v>3</v>
      </c>
      <c r="B232" s="569">
        <v>4</v>
      </c>
      <c r="C232" s="573" t="s">
        <v>595</v>
      </c>
      <c r="D232" s="563">
        <v>5</v>
      </c>
      <c r="E232" s="563">
        <v>2</v>
      </c>
      <c r="F232" s="563">
        <v>1</v>
      </c>
      <c r="G232" s="563">
        <v>6</v>
      </c>
      <c r="H232" s="564" t="s">
        <v>1035</v>
      </c>
      <c r="I232" s="567">
        <f>'3.7 PKK'!H39</f>
        <v>1670000</v>
      </c>
      <c r="J232" s="1118"/>
      <c r="K232" s="564"/>
      <c r="L232" s="564"/>
      <c r="M232" s="564"/>
      <c r="N232" s="564"/>
      <c r="O232" s="564"/>
      <c r="P232" s="564"/>
      <c r="Q232" s="564"/>
      <c r="R232" s="1105"/>
      <c r="S232" s="1105"/>
      <c r="T232" s="1105"/>
      <c r="U232" s="1105"/>
      <c r="V232" s="1105"/>
      <c r="W232" s="1144">
        <f t="shared" si="31"/>
        <v>0</v>
      </c>
      <c r="X232" s="1140">
        <f t="shared" si="32"/>
        <v>1670000</v>
      </c>
    </row>
    <row r="233" spans="1:24" ht="19.5" customHeight="1">
      <c r="A233" s="575">
        <v>3</v>
      </c>
      <c r="B233" s="569">
        <v>4</v>
      </c>
      <c r="C233" s="573" t="s">
        <v>595</v>
      </c>
      <c r="D233" s="563">
        <v>5</v>
      </c>
      <c r="E233" s="563">
        <v>2</v>
      </c>
      <c r="F233" s="563">
        <v>1</v>
      </c>
      <c r="G233" s="563">
        <v>90</v>
      </c>
      <c r="H233" s="564" t="s">
        <v>1036</v>
      </c>
      <c r="I233" s="567">
        <f>'3.7 PKK'!H43</f>
        <v>1200000</v>
      </c>
      <c r="J233" s="1118"/>
      <c r="K233" s="564"/>
      <c r="L233" s="564"/>
      <c r="M233" s="564"/>
      <c r="N233" s="564"/>
      <c r="O233" s="564"/>
      <c r="P233" s="564"/>
      <c r="Q233" s="564"/>
      <c r="R233" s="1105"/>
      <c r="S233" s="1105"/>
      <c r="T233" s="1105"/>
      <c r="U233" s="1105"/>
      <c r="V233" s="1105"/>
      <c r="W233" s="1144">
        <f t="shared" si="31"/>
        <v>0</v>
      </c>
      <c r="X233" s="1140">
        <f t="shared" si="32"/>
        <v>1200000</v>
      </c>
    </row>
    <row r="234" spans="1:24" ht="19.5" customHeight="1">
      <c r="A234" s="575">
        <v>3</v>
      </c>
      <c r="B234" s="569">
        <v>4</v>
      </c>
      <c r="C234" s="573" t="s">
        <v>595</v>
      </c>
      <c r="D234" s="563">
        <v>5</v>
      </c>
      <c r="E234" s="563">
        <v>2</v>
      </c>
      <c r="F234" s="563">
        <v>2</v>
      </c>
      <c r="G234" s="563"/>
      <c r="H234" s="564" t="s">
        <v>736</v>
      </c>
      <c r="I234" s="567">
        <f>SUM(I235:I236)</f>
        <v>11340000</v>
      </c>
      <c r="J234" s="1118"/>
      <c r="K234" s="564"/>
      <c r="L234" s="564"/>
      <c r="M234" s="564"/>
      <c r="N234" s="564"/>
      <c r="O234" s="564"/>
      <c r="P234" s="564"/>
      <c r="Q234" s="564"/>
      <c r="R234" s="1105"/>
      <c r="S234" s="1105"/>
      <c r="T234" s="1105"/>
      <c r="U234" s="1105"/>
      <c r="V234" s="1105"/>
      <c r="W234" s="1144">
        <f t="shared" si="31"/>
        <v>0</v>
      </c>
      <c r="X234" s="1140">
        <f t="shared" si="32"/>
        <v>11340000</v>
      </c>
    </row>
    <row r="235" spans="1:24" ht="19.5" customHeight="1">
      <c r="A235" s="575">
        <v>3</v>
      </c>
      <c r="B235" s="569">
        <v>4</v>
      </c>
      <c r="C235" s="573" t="s">
        <v>595</v>
      </c>
      <c r="D235" s="563">
        <v>5</v>
      </c>
      <c r="E235" s="563">
        <v>2</v>
      </c>
      <c r="F235" s="563">
        <v>2</v>
      </c>
      <c r="G235" s="563">
        <v>4</v>
      </c>
      <c r="H235" s="564" t="s">
        <v>1037</v>
      </c>
      <c r="I235" s="567">
        <f>'3.7 PKK'!H49</f>
        <v>300000</v>
      </c>
      <c r="J235" s="1118"/>
      <c r="K235" s="564"/>
      <c r="L235" s="564"/>
      <c r="M235" s="564"/>
      <c r="N235" s="564"/>
      <c r="O235" s="564"/>
      <c r="P235" s="564"/>
      <c r="Q235" s="564"/>
      <c r="R235" s="1105"/>
      <c r="S235" s="1105"/>
      <c r="T235" s="1105"/>
      <c r="U235" s="1105"/>
      <c r="V235" s="1105"/>
      <c r="W235" s="1144">
        <f t="shared" si="31"/>
        <v>0</v>
      </c>
      <c r="X235" s="1140">
        <f t="shared" si="32"/>
        <v>300000</v>
      </c>
    </row>
    <row r="236" spans="1:24" ht="19.5" customHeight="1">
      <c r="A236" s="575">
        <v>3</v>
      </c>
      <c r="B236" s="569">
        <v>4</v>
      </c>
      <c r="C236" s="573" t="s">
        <v>595</v>
      </c>
      <c r="D236" s="563">
        <v>5</v>
      </c>
      <c r="E236" s="563">
        <v>2</v>
      </c>
      <c r="F236" s="563">
        <v>2</v>
      </c>
      <c r="G236" s="563">
        <v>5</v>
      </c>
      <c r="H236" s="564" t="s">
        <v>738</v>
      </c>
      <c r="I236" s="567">
        <f>'3.7 PKK'!H22</f>
        <v>11040000</v>
      </c>
      <c r="J236" s="1118"/>
      <c r="K236" s="564"/>
      <c r="L236" s="564"/>
      <c r="M236" s="564"/>
      <c r="N236" s="564"/>
      <c r="O236" s="564"/>
      <c r="P236" s="564"/>
      <c r="Q236" s="564"/>
      <c r="R236" s="1105"/>
      <c r="S236" s="1105"/>
      <c r="T236" s="1105"/>
      <c r="U236" s="1105"/>
      <c r="V236" s="1105"/>
      <c r="W236" s="1144">
        <f t="shared" si="31"/>
        <v>0</v>
      </c>
      <c r="X236" s="1140">
        <f t="shared" si="32"/>
        <v>11040000</v>
      </c>
    </row>
    <row r="237" spans="1:24" ht="19.5" customHeight="1">
      <c r="A237" s="575">
        <v>3</v>
      </c>
      <c r="B237" s="569">
        <v>4</v>
      </c>
      <c r="C237" s="573" t="s">
        <v>595</v>
      </c>
      <c r="D237" s="563">
        <v>5</v>
      </c>
      <c r="E237" s="563">
        <v>2</v>
      </c>
      <c r="F237" s="563">
        <v>3</v>
      </c>
      <c r="G237" s="563"/>
      <c r="H237" s="929" t="s">
        <v>963</v>
      </c>
      <c r="I237" s="567">
        <f>I238</f>
        <v>510000</v>
      </c>
      <c r="J237" s="1118"/>
      <c r="K237" s="564"/>
      <c r="L237" s="564"/>
      <c r="M237" s="564"/>
      <c r="N237" s="564"/>
      <c r="O237" s="564"/>
      <c r="P237" s="564"/>
      <c r="Q237" s="564"/>
      <c r="R237" s="1105"/>
      <c r="S237" s="1105"/>
      <c r="T237" s="1105"/>
      <c r="U237" s="1105"/>
      <c r="V237" s="1105"/>
      <c r="W237" s="1144">
        <f t="shared" si="31"/>
        <v>0</v>
      </c>
      <c r="X237" s="1140">
        <f t="shared" si="32"/>
        <v>510000</v>
      </c>
    </row>
    <row r="238" spans="1:24" ht="19.5" customHeight="1">
      <c r="A238" s="575">
        <v>3</v>
      </c>
      <c r="B238" s="569">
        <v>4</v>
      </c>
      <c r="C238" s="573" t="s">
        <v>595</v>
      </c>
      <c r="D238" s="563">
        <v>5</v>
      </c>
      <c r="E238" s="563">
        <v>2</v>
      </c>
      <c r="F238" s="563">
        <v>3</v>
      </c>
      <c r="G238" s="563">
        <v>1</v>
      </c>
      <c r="H238" s="929" t="s">
        <v>964</v>
      </c>
      <c r="I238" s="567">
        <f>'3.7 PKK'!H34</f>
        <v>510000</v>
      </c>
      <c r="J238" s="1118"/>
      <c r="K238" s="564"/>
      <c r="L238" s="564"/>
      <c r="M238" s="564"/>
      <c r="N238" s="564"/>
      <c r="O238" s="564"/>
      <c r="P238" s="564"/>
      <c r="Q238" s="564"/>
      <c r="R238" s="1105"/>
      <c r="S238" s="1105"/>
      <c r="T238" s="1105"/>
      <c r="U238" s="1105"/>
      <c r="V238" s="1105"/>
      <c r="W238" s="1144">
        <f t="shared" si="31"/>
        <v>0</v>
      </c>
      <c r="X238" s="1140">
        <f t="shared" si="32"/>
        <v>510000</v>
      </c>
    </row>
    <row r="239" spans="1:24" ht="19.5" customHeight="1">
      <c r="A239" s="575">
        <v>3</v>
      </c>
      <c r="B239" s="569">
        <v>4</v>
      </c>
      <c r="C239" s="573" t="s">
        <v>595</v>
      </c>
      <c r="D239" s="563">
        <v>5</v>
      </c>
      <c r="E239" s="563">
        <v>2</v>
      </c>
      <c r="F239" s="563">
        <v>4</v>
      </c>
      <c r="G239" s="563"/>
      <c r="H239" s="929" t="s">
        <v>743</v>
      </c>
      <c r="I239" s="567">
        <f>I240</f>
        <v>150000</v>
      </c>
      <c r="J239" s="1118"/>
      <c r="K239" s="564"/>
      <c r="L239" s="564"/>
      <c r="M239" s="564"/>
      <c r="N239" s="564"/>
      <c r="O239" s="564"/>
      <c r="P239" s="564"/>
      <c r="Q239" s="564"/>
      <c r="R239" s="1105"/>
      <c r="S239" s="1105"/>
      <c r="T239" s="1105"/>
      <c r="U239" s="1105"/>
      <c r="V239" s="1105"/>
      <c r="W239" s="1144">
        <f t="shared" si="31"/>
        <v>0</v>
      </c>
      <c r="X239" s="1140">
        <f t="shared" si="32"/>
        <v>150000</v>
      </c>
    </row>
    <row r="240" spans="1:24" ht="19.5" customHeight="1">
      <c r="A240" s="575">
        <v>3</v>
      </c>
      <c r="B240" s="569">
        <v>4</v>
      </c>
      <c r="C240" s="573" t="s">
        <v>595</v>
      </c>
      <c r="D240" s="563">
        <v>5</v>
      </c>
      <c r="E240" s="563">
        <v>2</v>
      </c>
      <c r="F240" s="563">
        <v>4</v>
      </c>
      <c r="G240" s="563">
        <v>2</v>
      </c>
      <c r="H240" s="929" t="s">
        <v>962</v>
      </c>
      <c r="I240" s="567">
        <f>'3.7 PKK'!H46</f>
        <v>150000</v>
      </c>
      <c r="J240" s="1118"/>
      <c r="K240" s="564"/>
      <c r="L240" s="564"/>
      <c r="M240" s="564"/>
      <c r="N240" s="564"/>
      <c r="O240" s="564"/>
      <c r="P240" s="564"/>
      <c r="Q240" s="564"/>
      <c r="R240" s="1105"/>
      <c r="S240" s="1105"/>
      <c r="T240" s="1105"/>
      <c r="U240" s="1105"/>
      <c r="V240" s="1105"/>
      <c r="W240" s="1144">
        <f t="shared" si="31"/>
        <v>0</v>
      </c>
      <c r="X240" s="1140">
        <f t="shared" si="32"/>
        <v>150000</v>
      </c>
    </row>
    <row r="241" spans="1:24" ht="19.5" customHeight="1">
      <c r="A241" s="575"/>
      <c r="B241" s="569"/>
      <c r="C241" s="573"/>
      <c r="D241" s="563"/>
      <c r="E241" s="563"/>
      <c r="F241" s="563"/>
      <c r="G241" s="563"/>
      <c r="H241" s="929"/>
      <c r="I241" s="567"/>
      <c r="J241" s="1118"/>
      <c r="K241" s="564"/>
      <c r="L241" s="564"/>
      <c r="M241" s="564"/>
      <c r="N241" s="564"/>
      <c r="O241" s="564"/>
      <c r="P241" s="564"/>
      <c r="Q241" s="564"/>
      <c r="R241" s="1105"/>
      <c r="S241" s="1105"/>
      <c r="T241" s="1105"/>
      <c r="U241" s="1105"/>
      <c r="V241" s="1105"/>
      <c r="W241" s="1144">
        <f t="shared" si="31"/>
        <v>0</v>
      </c>
      <c r="X241" s="1140">
        <f t="shared" si="32"/>
        <v>0</v>
      </c>
    </row>
    <row r="242" spans="1:24" ht="19.5" customHeight="1">
      <c r="A242" s="825">
        <v>3</v>
      </c>
      <c r="B242" s="794">
        <v>4</v>
      </c>
      <c r="C242" s="826">
        <v>90</v>
      </c>
      <c r="D242" s="546"/>
      <c r="E242" s="546"/>
      <c r="F242" s="546"/>
      <c r="G242" s="546"/>
      <c r="H242" s="935" t="s">
        <v>968</v>
      </c>
      <c r="I242" s="796">
        <f>I243</f>
        <v>0</v>
      </c>
      <c r="J242" s="1121"/>
      <c r="K242" s="795"/>
      <c r="L242" s="795"/>
      <c r="M242" s="795"/>
      <c r="N242" s="795"/>
      <c r="O242" s="795"/>
      <c r="P242" s="795"/>
      <c r="Q242" s="795"/>
      <c r="R242" s="1105"/>
      <c r="S242" s="1105"/>
      <c r="T242" s="1105"/>
      <c r="U242" s="1105"/>
      <c r="V242" s="1105"/>
      <c r="W242" s="1144">
        <f t="shared" si="31"/>
        <v>0</v>
      </c>
      <c r="X242" s="1140">
        <f t="shared" si="32"/>
        <v>0</v>
      </c>
    </row>
    <row r="243" spans="1:24" ht="19.5" customHeight="1">
      <c r="A243" s="575">
        <v>3</v>
      </c>
      <c r="B243" s="569">
        <v>4</v>
      </c>
      <c r="C243" s="573">
        <v>90</v>
      </c>
      <c r="D243" s="563">
        <v>5</v>
      </c>
      <c r="E243" s="563">
        <v>2</v>
      </c>
      <c r="F243" s="563">
        <v>2</v>
      </c>
      <c r="G243" s="563"/>
      <c r="H243" s="564" t="s">
        <v>736</v>
      </c>
      <c r="I243" s="567">
        <f>I244</f>
        <v>0</v>
      </c>
      <c r="J243" s="1118"/>
      <c r="K243" s="564"/>
      <c r="L243" s="564"/>
      <c r="M243" s="564"/>
      <c r="N243" s="564"/>
      <c r="O243" s="564"/>
      <c r="P243" s="564"/>
      <c r="Q243" s="564"/>
      <c r="R243" s="1105"/>
      <c r="S243" s="1105"/>
      <c r="T243" s="1105"/>
      <c r="U243" s="1105"/>
      <c r="V243" s="1105"/>
      <c r="W243" s="1144">
        <f t="shared" si="31"/>
        <v>0</v>
      </c>
      <c r="X243" s="1140">
        <f t="shared" si="32"/>
        <v>0</v>
      </c>
    </row>
    <row r="244" spans="1:24" ht="19.5" customHeight="1">
      <c r="A244" s="575">
        <v>3</v>
      </c>
      <c r="B244" s="569">
        <v>4</v>
      </c>
      <c r="C244" s="573">
        <v>90</v>
      </c>
      <c r="D244" s="563">
        <v>5</v>
      </c>
      <c r="E244" s="563">
        <v>2</v>
      </c>
      <c r="F244" s="563">
        <v>2</v>
      </c>
      <c r="G244" s="563">
        <v>5</v>
      </c>
      <c r="H244" s="564" t="s">
        <v>738</v>
      </c>
      <c r="I244" s="567">
        <f>'3.8 HONOR RT'!H21</f>
        <v>0</v>
      </c>
      <c r="J244" s="1118"/>
      <c r="K244" s="564"/>
      <c r="L244" s="564"/>
      <c r="M244" s="564"/>
      <c r="N244" s="564"/>
      <c r="O244" s="564"/>
      <c r="P244" s="564"/>
      <c r="Q244" s="564"/>
      <c r="R244" s="1105"/>
      <c r="S244" s="1105"/>
      <c r="T244" s="1105"/>
      <c r="U244" s="1105"/>
      <c r="V244" s="1105"/>
      <c r="W244" s="1144">
        <f t="shared" si="31"/>
        <v>0</v>
      </c>
      <c r="X244" s="1140">
        <f t="shared" si="32"/>
        <v>0</v>
      </c>
    </row>
    <row r="245" spans="1:24" ht="29.25" customHeight="1">
      <c r="A245" s="812">
        <v>4</v>
      </c>
      <c r="B245" s="813"/>
      <c r="C245" s="813"/>
      <c r="D245" s="814">
        <v>5</v>
      </c>
      <c r="E245" s="812"/>
      <c r="F245" s="812"/>
      <c r="G245" s="812"/>
      <c r="H245" s="815" t="s">
        <v>672</v>
      </c>
      <c r="I245" s="816">
        <f>I246+I259+I274</f>
        <v>79804564</v>
      </c>
      <c r="J245" s="1119"/>
      <c r="K245" s="815"/>
      <c r="L245" s="815"/>
      <c r="M245" s="815"/>
      <c r="N245" s="815"/>
      <c r="O245" s="815"/>
      <c r="P245" s="815"/>
      <c r="Q245" s="815"/>
      <c r="R245" s="1105"/>
      <c r="S245" s="1105"/>
      <c r="T245" s="1105"/>
      <c r="U245" s="1105"/>
      <c r="V245" s="1105"/>
      <c r="W245" s="1144">
        <f t="shared" si="31"/>
        <v>0</v>
      </c>
      <c r="X245" s="1140">
        <f t="shared" si="32"/>
        <v>79804564</v>
      </c>
    </row>
    <row r="246" spans="1:24" s="556" customFormat="1" ht="20.25" customHeight="1">
      <c r="A246" s="798">
        <v>4</v>
      </c>
      <c r="B246" s="799">
        <v>3</v>
      </c>
      <c r="C246" s="799"/>
      <c r="D246" s="800">
        <v>5</v>
      </c>
      <c r="E246" s="798"/>
      <c r="F246" s="798"/>
      <c r="G246" s="798"/>
      <c r="H246" s="801" t="s">
        <v>683</v>
      </c>
      <c r="I246" s="802">
        <f>I247+I251+I255</f>
        <v>22204564</v>
      </c>
      <c r="J246" s="1120"/>
      <c r="K246" s="801"/>
      <c r="L246" s="801"/>
      <c r="M246" s="801"/>
      <c r="N246" s="801"/>
      <c r="O246" s="801"/>
      <c r="P246" s="801"/>
      <c r="Q246" s="801"/>
      <c r="R246" s="1106"/>
      <c r="S246" s="1106"/>
      <c r="T246" s="1106"/>
      <c r="U246" s="1106"/>
      <c r="V246" s="1106"/>
      <c r="W246" s="1144">
        <f t="shared" si="31"/>
        <v>0</v>
      </c>
      <c r="X246" s="1140">
        <f t="shared" si="32"/>
        <v>22204564</v>
      </c>
    </row>
    <row r="247" spans="1:24" ht="19.5" customHeight="1">
      <c r="A247" s="825">
        <v>4</v>
      </c>
      <c r="B247" s="826">
        <v>3</v>
      </c>
      <c r="C247" s="826" t="s">
        <v>593</v>
      </c>
      <c r="D247" s="546">
        <v>5</v>
      </c>
      <c r="E247" s="546"/>
      <c r="F247" s="546"/>
      <c r="G247" s="546"/>
      <c r="H247" s="930" t="s">
        <v>684</v>
      </c>
      <c r="I247" s="796">
        <f>I248</f>
        <v>5000000</v>
      </c>
      <c r="J247" s="1121"/>
      <c r="K247" s="795"/>
      <c r="L247" s="795"/>
      <c r="M247" s="795"/>
      <c r="N247" s="795"/>
      <c r="O247" s="795"/>
      <c r="P247" s="795"/>
      <c r="Q247" s="795"/>
      <c r="R247" s="1108"/>
      <c r="S247" s="1108"/>
      <c r="T247" s="1108"/>
      <c r="U247" s="1108"/>
      <c r="V247" s="1108"/>
      <c r="W247" s="1144">
        <f t="shared" si="31"/>
        <v>0</v>
      </c>
      <c r="X247" s="1140">
        <f t="shared" si="32"/>
        <v>5000000</v>
      </c>
    </row>
    <row r="248" spans="1:24" ht="19.5" customHeight="1">
      <c r="A248" s="575">
        <v>4</v>
      </c>
      <c r="B248" s="573">
        <v>3</v>
      </c>
      <c r="C248" s="573" t="s">
        <v>593</v>
      </c>
      <c r="D248" s="563">
        <v>5</v>
      </c>
      <c r="E248" s="563">
        <v>2</v>
      </c>
      <c r="F248" s="563"/>
      <c r="G248" s="563"/>
      <c r="H248" s="564" t="s">
        <v>8</v>
      </c>
      <c r="I248" s="567">
        <f>I249</f>
        <v>5000000</v>
      </c>
      <c r="J248" s="1118"/>
      <c r="K248" s="564"/>
      <c r="L248" s="564"/>
      <c r="M248" s="564"/>
      <c r="N248" s="564"/>
      <c r="O248" s="564"/>
      <c r="P248" s="564"/>
      <c r="Q248" s="564"/>
      <c r="R248" s="1105"/>
      <c r="S248" s="1105"/>
      <c r="T248" s="1105"/>
      <c r="U248" s="1105"/>
      <c r="V248" s="1105"/>
      <c r="W248" s="1144">
        <f t="shared" si="31"/>
        <v>0</v>
      </c>
      <c r="X248" s="1140">
        <f t="shared" si="32"/>
        <v>5000000</v>
      </c>
    </row>
    <row r="249" spans="1:24" ht="19.5" customHeight="1">
      <c r="A249" s="575">
        <v>4</v>
      </c>
      <c r="B249" s="573">
        <v>3</v>
      </c>
      <c r="C249" s="573" t="s">
        <v>593</v>
      </c>
      <c r="D249" s="563">
        <v>5</v>
      </c>
      <c r="E249" s="563">
        <v>2</v>
      </c>
      <c r="F249" s="563">
        <v>3</v>
      </c>
      <c r="G249" s="563"/>
      <c r="H249" s="564" t="s">
        <v>740</v>
      </c>
      <c r="I249" s="567">
        <f>SUM(I250:I250)</f>
        <v>5000000</v>
      </c>
      <c r="J249" s="1118"/>
      <c r="K249" s="564"/>
      <c r="L249" s="564"/>
      <c r="M249" s="564"/>
      <c r="N249" s="564"/>
      <c r="O249" s="564"/>
      <c r="P249" s="564"/>
      <c r="Q249" s="564"/>
      <c r="R249" s="1105"/>
      <c r="S249" s="1105"/>
      <c r="T249" s="1105"/>
      <c r="U249" s="1105"/>
      <c r="V249" s="1105"/>
      <c r="W249" s="1144">
        <f t="shared" si="31"/>
        <v>0</v>
      </c>
      <c r="X249" s="1140">
        <f t="shared" si="32"/>
        <v>5000000</v>
      </c>
    </row>
    <row r="250" spans="1:24" ht="19.5" customHeight="1">
      <c r="A250" s="575">
        <v>4</v>
      </c>
      <c r="B250" s="573">
        <v>3</v>
      </c>
      <c r="C250" s="573" t="s">
        <v>593</v>
      </c>
      <c r="D250" s="563">
        <v>5</v>
      </c>
      <c r="E250" s="563">
        <v>2</v>
      </c>
      <c r="F250" s="563">
        <v>3</v>
      </c>
      <c r="G250" s="563">
        <v>4</v>
      </c>
      <c r="H250" s="564" t="s">
        <v>754</v>
      </c>
      <c r="I250" s="567">
        <f>'4.1 Kds'!H49</f>
        <v>5000000</v>
      </c>
      <c r="J250" s="1118"/>
      <c r="K250" s="564"/>
      <c r="L250" s="564"/>
      <c r="M250" s="564"/>
      <c r="N250" s="564"/>
      <c r="O250" s="564"/>
      <c r="P250" s="564"/>
      <c r="Q250" s="564"/>
      <c r="R250" s="1105"/>
      <c r="S250" s="1105"/>
      <c r="T250" s="1105"/>
      <c r="U250" s="1105"/>
      <c r="V250" s="1105"/>
      <c r="W250" s="1144">
        <f t="shared" si="31"/>
        <v>0</v>
      </c>
      <c r="X250" s="1140">
        <f t="shared" si="32"/>
        <v>5000000</v>
      </c>
    </row>
    <row r="251" spans="1:24" ht="19.5" customHeight="1">
      <c r="A251" s="825">
        <v>4</v>
      </c>
      <c r="B251" s="826">
        <v>3</v>
      </c>
      <c r="C251" s="826" t="s">
        <v>593</v>
      </c>
      <c r="D251" s="546">
        <v>5</v>
      </c>
      <c r="E251" s="546"/>
      <c r="F251" s="546"/>
      <c r="G251" s="546"/>
      <c r="H251" s="930" t="s">
        <v>685</v>
      </c>
      <c r="I251" s="796">
        <f>SUM(I252)</f>
        <v>10000000</v>
      </c>
      <c r="J251" s="1121"/>
      <c r="K251" s="795"/>
      <c r="L251" s="795"/>
      <c r="M251" s="795"/>
      <c r="N251" s="795"/>
      <c r="O251" s="795"/>
      <c r="P251" s="795"/>
      <c r="Q251" s="795"/>
      <c r="R251" s="1105"/>
      <c r="S251" s="1105"/>
      <c r="T251" s="1105"/>
      <c r="U251" s="1105"/>
      <c r="V251" s="1105"/>
      <c r="W251" s="1144">
        <f t="shared" si="31"/>
        <v>0</v>
      </c>
      <c r="X251" s="1140">
        <f t="shared" si="32"/>
        <v>10000000</v>
      </c>
    </row>
    <row r="252" spans="1:24" ht="19.5" customHeight="1">
      <c r="A252" s="575">
        <v>4</v>
      </c>
      <c r="B252" s="573">
        <v>3</v>
      </c>
      <c r="C252" s="573" t="s">
        <v>594</v>
      </c>
      <c r="D252" s="563">
        <v>5</v>
      </c>
      <c r="E252" s="563">
        <v>2</v>
      </c>
      <c r="F252" s="563"/>
      <c r="G252" s="563"/>
      <c r="H252" s="564" t="s">
        <v>8</v>
      </c>
      <c r="I252" s="567">
        <f>I253</f>
        <v>10000000</v>
      </c>
      <c r="J252" s="1118"/>
      <c r="K252" s="564"/>
      <c r="L252" s="564"/>
      <c r="M252" s="564"/>
      <c r="N252" s="564"/>
      <c r="O252" s="564"/>
      <c r="P252" s="564"/>
      <c r="Q252" s="564"/>
      <c r="R252" s="1105"/>
      <c r="S252" s="1105"/>
      <c r="T252" s="1105"/>
      <c r="U252" s="1105"/>
      <c r="V252" s="1105"/>
      <c r="W252" s="1144">
        <f t="shared" si="31"/>
        <v>0</v>
      </c>
      <c r="X252" s="1140">
        <f t="shared" si="32"/>
        <v>10000000</v>
      </c>
    </row>
    <row r="253" spans="1:24" ht="19.5" customHeight="1">
      <c r="A253" s="575">
        <v>4</v>
      </c>
      <c r="B253" s="573">
        <v>3</v>
      </c>
      <c r="C253" s="573" t="s">
        <v>594</v>
      </c>
      <c r="D253" s="563">
        <v>5</v>
      </c>
      <c r="E253" s="563">
        <v>2</v>
      </c>
      <c r="F253" s="563">
        <v>3</v>
      </c>
      <c r="G253" s="563"/>
      <c r="H253" s="564" t="s">
        <v>740</v>
      </c>
      <c r="I253" s="567">
        <f>SUM(I254:I254)</f>
        <v>10000000</v>
      </c>
      <c r="J253" s="1118"/>
      <c r="K253" s="564"/>
      <c r="L253" s="564"/>
      <c r="M253" s="564"/>
      <c r="N253" s="564"/>
      <c r="O253" s="564"/>
      <c r="P253" s="564"/>
      <c r="Q253" s="564"/>
      <c r="R253" s="1105"/>
      <c r="S253" s="1105"/>
      <c r="T253" s="1105"/>
      <c r="U253" s="1105"/>
      <c r="V253" s="1105"/>
      <c r="W253" s="1144">
        <f t="shared" si="31"/>
        <v>0</v>
      </c>
      <c r="X253" s="1140">
        <f t="shared" si="32"/>
        <v>10000000</v>
      </c>
    </row>
    <row r="254" spans="1:24" ht="19.5" customHeight="1">
      <c r="A254" s="575">
        <v>4</v>
      </c>
      <c r="B254" s="573">
        <v>3</v>
      </c>
      <c r="C254" s="573" t="s">
        <v>594</v>
      </c>
      <c r="D254" s="563">
        <v>5</v>
      </c>
      <c r="E254" s="563">
        <v>2</v>
      </c>
      <c r="F254" s="563">
        <v>3</v>
      </c>
      <c r="G254" s="563">
        <v>4</v>
      </c>
      <c r="H254" s="564" t="s">
        <v>754</v>
      </c>
      <c r="I254" s="567">
        <f>'4.2 Prnkt'!H51</f>
        <v>10000000</v>
      </c>
      <c r="J254" s="1118"/>
      <c r="K254" s="564"/>
      <c r="L254" s="564"/>
      <c r="M254" s="564"/>
      <c r="N254" s="564"/>
      <c r="O254" s="564"/>
      <c r="P254" s="564"/>
      <c r="Q254" s="564"/>
      <c r="R254" s="1105"/>
      <c r="S254" s="1105"/>
      <c r="T254" s="1105"/>
      <c r="U254" s="1105"/>
      <c r="V254" s="1105"/>
      <c r="W254" s="1144">
        <f t="shared" si="31"/>
        <v>0</v>
      </c>
      <c r="X254" s="1140">
        <f t="shared" si="32"/>
        <v>10000000</v>
      </c>
    </row>
    <row r="255" spans="1:24" ht="19.5" customHeight="1">
      <c r="A255" s="825">
        <v>4</v>
      </c>
      <c r="B255" s="826">
        <v>3</v>
      </c>
      <c r="C255" s="826" t="s">
        <v>595</v>
      </c>
      <c r="D255" s="546">
        <v>5</v>
      </c>
      <c r="E255" s="546"/>
      <c r="F255" s="546"/>
      <c r="G255" s="546"/>
      <c r="H255" s="930" t="s">
        <v>686</v>
      </c>
      <c r="I255" s="796">
        <f>I256</f>
        <v>7204564</v>
      </c>
      <c r="J255" s="1121"/>
      <c r="K255" s="795"/>
      <c r="L255" s="795"/>
      <c r="M255" s="795"/>
      <c r="N255" s="795"/>
      <c r="O255" s="795"/>
      <c r="P255" s="795"/>
      <c r="Q255" s="795"/>
      <c r="R255" s="1105"/>
      <c r="S255" s="1105"/>
      <c r="T255" s="1105"/>
      <c r="U255" s="1105"/>
      <c r="V255" s="1105"/>
      <c r="W255" s="1144">
        <f t="shared" si="31"/>
        <v>0</v>
      </c>
      <c r="X255" s="1140">
        <f t="shared" si="32"/>
        <v>7204564</v>
      </c>
    </row>
    <row r="256" spans="1:24" ht="19.5" customHeight="1">
      <c r="A256" s="575">
        <v>4</v>
      </c>
      <c r="B256" s="573">
        <v>3</v>
      </c>
      <c r="C256" s="573" t="s">
        <v>595</v>
      </c>
      <c r="D256" s="563">
        <v>5</v>
      </c>
      <c r="E256" s="563">
        <v>2</v>
      </c>
      <c r="F256" s="563"/>
      <c r="G256" s="563"/>
      <c r="H256" s="564" t="s">
        <v>8</v>
      </c>
      <c r="I256" s="567">
        <f>I257</f>
        <v>7204564</v>
      </c>
      <c r="J256" s="1118"/>
      <c r="K256" s="564"/>
      <c r="L256" s="564"/>
      <c r="M256" s="564"/>
      <c r="N256" s="564"/>
      <c r="O256" s="564"/>
      <c r="P256" s="564"/>
      <c r="Q256" s="564"/>
      <c r="R256" s="1105"/>
      <c r="S256" s="1105"/>
      <c r="T256" s="1105"/>
      <c r="U256" s="1105"/>
      <c r="V256" s="1105"/>
      <c r="W256" s="1144">
        <f t="shared" si="31"/>
        <v>0</v>
      </c>
      <c r="X256" s="1140">
        <f t="shared" si="32"/>
        <v>7204564</v>
      </c>
    </row>
    <row r="257" spans="1:24" ht="19.5" customHeight="1">
      <c r="A257" s="575">
        <v>4</v>
      </c>
      <c r="B257" s="573">
        <v>3</v>
      </c>
      <c r="C257" s="573" t="s">
        <v>595</v>
      </c>
      <c r="D257" s="563">
        <v>5</v>
      </c>
      <c r="E257" s="563">
        <v>2</v>
      </c>
      <c r="F257" s="563">
        <v>3</v>
      </c>
      <c r="G257" s="563"/>
      <c r="H257" s="564" t="s">
        <v>740</v>
      </c>
      <c r="I257" s="567">
        <f>SUM(I258:I258)</f>
        <v>7204564</v>
      </c>
      <c r="J257" s="1118"/>
      <c r="K257" s="564"/>
      <c r="L257" s="564"/>
      <c r="M257" s="564"/>
      <c r="N257" s="564"/>
      <c r="O257" s="564"/>
      <c r="P257" s="564"/>
      <c r="Q257" s="564"/>
      <c r="R257" s="1105"/>
      <c r="S257" s="1105"/>
      <c r="T257" s="1105"/>
      <c r="U257" s="1105"/>
      <c r="V257" s="1105"/>
      <c r="W257" s="1144">
        <f t="shared" si="31"/>
        <v>0</v>
      </c>
      <c r="X257" s="1140">
        <f t="shared" si="32"/>
        <v>7204564</v>
      </c>
    </row>
    <row r="258" spans="1:24" ht="19.5" customHeight="1">
      <c r="A258" s="575">
        <v>4</v>
      </c>
      <c r="B258" s="573">
        <v>3</v>
      </c>
      <c r="C258" s="573" t="s">
        <v>595</v>
      </c>
      <c r="D258" s="563">
        <v>5</v>
      </c>
      <c r="E258" s="563">
        <v>2</v>
      </c>
      <c r="F258" s="563">
        <v>3</v>
      </c>
      <c r="G258" s="563">
        <v>4</v>
      </c>
      <c r="H258" s="564" t="s">
        <v>754</v>
      </c>
      <c r="I258" s="567">
        <f>'4.3 Pelatihan karng taruna'!H42</f>
        <v>7204564</v>
      </c>
      <c r="J258" s="1118"/>
      <c r="K258" s="564"/>
      <c r="L258" s="564"/>
      <c r="M258" s="564"/>
      <c r="N258" s="564"/>
      <c r="O258" s="564"/>
      <c r="P258" s="564"/>
      <c r="Q258" s="564"/>
      <c r="R258" s="1105"/>
      <c r="S258" s="1105"/>
      <c r="T258" s="1105"/>
      <c r="U258" s="1105"/>
      <c r="V258" s="1105"/>
      <c r="W258" s="1144">
        <f t="shared" si="31"/>
        <v>0</v>
      </c>
      <c r="X258" s="1140">
        <f t="shared" si="32"/>
        <v>7204564</v>
      </c>
    </row>
    <row r="259" spans="1:24" ht="19.5" customHeight="1">
      <c r="A259" s="800">
        <v>4</v>
      </c>
      <c r="B259" s="818">
        <v>4</v>
      </c>
      <c r="C259" s="818"/>
      <c r="D259" s="800"/>
      <c r="E259" s="800"/>
      <c r="F259" s="800"/>
      <c r="G259" s="800"/>
      <c r="H259" s="934" t="s">
        <v>688</v>
      </c>
      <c r="I259" s="822">
        <f>I260</f>
        <v>17600000</v>
      </c>
      <c r="J259" s="1124"/>
      <c r="K259" s="1109"/>
      <c r="L259" s="1109"/>
      <c r="M259" s="1109"/>
      <c r="N259" s="1109"/>
      <c r="O259" s="1109"/>
      <c r="P259" s="1109"/>
      <c r="Q259" s="1109"/>
      <c r="R259" s="1105"/>
      <c r="S259" s="1105"/>
      <c r="T259" s="1105"/>
      <c r="U259" s="1105"/>
      <c r="V259" s="1105"/>
      <c r="W259" s="1144">
        <f t="shared" si="31"/>
        <v>0</v>
      </c>
      <c r="X259" s="1140">
        <f t="shared" si="32"/>
        <v>17600000</v>
      </c>
    </row>
    <row r="260" spans="1:24">
      <c r="A260" s="546">
        <v>4</v>
      </c>
      <c r="B260" s="794">
        <v>4</v>
      </c>
      <c r="C260" s="794" t="s">
        <v>593</v>
      </c>
      <c r="D260" s="546">
        <v>5</v>
      </c>
      <c r="E260" s="546"/>
      <c r="F260" s="546"/>
      <c r="G260" s="546"/>
      <c r="H260" s="930" t="s">
        <v>450</v>
      </c>
      <c r="I260" s="796">
        <f>I261</f>
        <v>17600000</v>
      </c>
      <c r="J260" s="1121"/>
      <c r="K260" s="795"/>
      <c r="L260" s="795"/>
      <c r="M260" s="795"/>
      <c r="N260" s="795"/>
      <c r="O260" s="795"/>
      <c r="P260" s="795"/>
      <c r="Q260" s="795"/>
      <c r="R260" s="1105"/>
      <c r="S260" s="1105"/>
      <c r="T260" s="1105"/>
      <c r="U260" s="1105"/>
      <c r="V260" s="1105"/>
      <c r="W260" s="1144">
        <f t="shared" si="31"/>
        <v>0</v>
      </c>
      <c r="X260" s="1140">
        <f t="shared" si="32"/>
        <v>17600000</v>
      </c>
    </row>
    <row r="261" spans="1:24">
      <c r="A261" s="575">
        <v>4</v>
      </c>
      <c r="B261" s="569">
        <v>4</v>
      </c>
      <c r="C261" s="569" t="s">
        <v>593</v>
      </c>
      <c r="D261" s="563">
        <v>5</v>
      </c>
      <c r="E261" s="563">
        <v>2</v>
      </c>
      <c r="F261" s="563"/>
      <c r="G261" s="563"/>
      <c r="H261" s="564" t="s">
        <v>8</v>
      </c>
      <c r="I261" s="567">
        <f>I262+I268+I272</f>
        <v>17600000</v>
      </c>
      <c r="J261" s="1118"/>
      <c r="K261" s="564"/>
      <c r="L261" s="564"/>
      <c r="M261" s="564"/>
      <c r="N261" s="564"/>
      <c r="O261" s="564"/>
      <c r="P261" s="564"/>
      <c r="Q261" s="564"/>
      <c r="R261" s="1105"/>
      <c r="S261" s="1105"/>
      <c r="T261" s="1105"/>
      <c r="U261" s="1105"/>
      <c r="V261" s="1105"/>
      <c r="W261" s="1144">
        <f t="shared" si="31"/>
        <v>0</v>
      </c>
      <c r="X261" s="1140">
        <f t="shared" si="32"/>
        <v>17600000</v>
      </c>
    </row>
    <row r="262" spans="1:24">
      <c r="A262" s="575">
        <v>4</v>
      </c>
      <c r="B262" s="569">
        <v>4</v>
      </c>
      <c r="C262" s="569" t="s">
        <v>593</v>
      </c>
      <c r="D262" s="563">
        <v>5</v>
      </c>
      <c r="E262" s="563">
        <v>2</v>
      </c>
      <c r="F262" s="563">
        <v>1</v>
      </c>
      <c r="G262" s="563"/>
      <c r="H262" s="564" t="s">
        <v>731</v>
      </c>
      <c r="I262" s="567">
        <f>SUM(I263:I267)</f>
        <v>6820000</v>
      </c>
      <c r="J262" s="1118"/>
      <c r="K262" s="564"/>
      <c r="L262" s="564"/>
      <c r="M262" s="564"/>
      <c r="N262" s="564"/>
      <c r="O262" s="564"/>
      <c r="P262" s="564"/>
      <c r="Q262" s="564"/>
      <c r="R262" s="1105"/>
      <c r="S262" s="1105"/>
      <c r="T262" s="1105"/>
      <c r="U262" s="1105"/>
      <c r="V262" s="1105"/>
      <c r="W262" s="1144">
        <f t="shared" si="31"/>
        <v>0</v>
      </c>
      <c r="X262" s="1140">
        <f t="shared" si="32"/>
        <v>6820000</v>
      </c>
    </row>
    <row r="263" spans="1:24" ht="22.5" customHeight="1">
      <c r="A263" s="575">
        <v>4</v>
      </c>
      <c r="B263" s="569">
        <v>4</v>
      </c>
      <c r="C263" s="569" t="s">
        <v>593</v>
      </c>
      <c r="D263" s="563">
        <v>5</v>
      </c>
      <c r="E263" s="563">
        <v>2</v>
      </c>
      <c r="F263" s="563">
        <v>1</v>
      </c>
      <c r="G263" s="563">
        <v>1</v>
      </c>
      <c r="H263" s="564" t="s">
        <v>732</v>
      </c>
      <c r="I263" s="567">
        <f>'4.4 Bintek Perikanan'!H31</f>
        <v>1053000</v>
      </c>
      <c r="J263" s="1118"/>
      <c r="K263" s="564"/>
      <c r="L263" s="564"/>
      <c r="M263" s="564"/>
      <c r="N263" s="564"/>
      <c r="O263" s="564"/>
      <c r="P263" s="564"/>
      <c r="Q263" s="564"/>
      <c r="R263" s="1105"/>
      <c r="S263" s="1105"/>
      <c r="T263" s="1105"/>
      <c r="U263" s="1105"/>
      <c r="V263" s="1105"/>
      <c r="W263" s="1144">
        <f t="shared" si="31"/>
        <v>0</v>
      </c>
      <c r="X263" s="1140">
        <f t="shared" si="32"/>
        <v>1053000</v>
      </c>
    </row>
    <row r="264" spans="1:24" ht="31.5">
      <c r="A264" s="575">
        <v>4</v>
      </c>
      <c r="B264" s="569">
        <v>4</v>
      </c>
      <c r="C264" s="569" t="s">
        <v>593</v>
      </c>
      <c r="D264" s="563">
        <v>5</v>
      </c>
      <c r="E264" s="563">
        <v>2</v>
      </c>
      <c r="F264" s="563">
        <v>1</v>
      </c>
      <c r="G264" s="563">
        <v>3</v>
      </c>
      <c r="H264" s="564" t="s">
        <v>734</v>
      </c>
      <c r="I264" s="567">
        <f>'4.4 Bintek Perikanan'!H58</f>
        <v>683000</v>
      </c>
      <c r="J264" s="1118"/>
      <c r="K264" s="564"/>
      <c r="L264" s="564"/>
      <c r="M264" s="564"/>
      <c r="N264" s="564"/>
      <c r="O264" s="564"/>
      <c r="P264" s="564"/>
      <c r="Q264" s="564"/>
      <c r="R264" s="1105"/>
      <c r="S264" s="1105"/>
      <c r="T264" s="1105"/>
      <c r="U264" s="1105"/>
      <c r="V264" s="1105"/>
      <c r="W264" s="1144">
        <f t="shared" si="31"/>
        <v>0</v>
      </c>
      <c r="X264" s="1140">
        <f t="shared" si="32"/>
        <v>683000</v>
      </c>
    </row>
    <row r="265" spans="1:24" ht="31.5">
      <c r="A265" s="575">
        <v>4</v>
      </c>
      <c r="B265" s="569">
        <v>4</v>
      </c>
      <c r="C265" s="569" t="s">
        <v>593</v>
      </c>
      <c r="D265" s="563">
        <v>5</v>
      </c>
      <c r="E265" s="563">
        <v>2</v>
      </c>
      <c r="F265" s="563">
        <v>1</v>
      </c>
      <c r="G265" s="563">
        <v>4</v>
      </c>
      <c r="H265" s="564" t="s">
        <v>735</v>
      </c>
      <c r="I265" s="567">
        <f>'4.4 Bintek Perikanan'!H63</f>
        <v>2604000</v>
      </c>
      <c r="J265" s="1118"/>
      <c r="K265" s="564"/>
      <c r="L265" s="564"/>
      <c r="M265" s="564"/>
      <c r="N265" s="564"/>
      <c r="O265" s="564"/>
      <c r="P265" s="564"/>
      <c r="Q265" s="564"/>
      <c r="R265" s="1105"/>
      <c r="S265" s="1105"/>
      <c r="T265" s="1105"/>
      <c r="U265" s="1105"/>
      <c r="V265" s="1105"/>
      <c r="W265" s="1144">
        <f t="shared" si="31"/>
        <v>0</v>
      </c>
      <c r="X265" s="1140">
        <f t="shared" si="32"/>
        <v>2604000</v>
      </c>
    </row>
    <row r="266" spans="1:24">
      <c r="A266" s="575">
        <v>4</v>
      </c>
      <c r="B266" s="569">
        <v>4</v>
      </c>
      <c r="C266" s="569" t="s">
        <v>593</v>
      </c>
      <c r="D266" s="563">
        <v>5</v>
      </c>
      <c r="E266" s="563">
        <v>2</v>
      </c>
      <c r="F266" s="563">
        <v>1</v>
      </c>
      <c r="G266" s="563">
        <v>5</v>
      </c>
      <c r="H266" s="564" t="s">
        <v>826</v>
      </c>
      <c r="I266" s="567">
        <f>'4.4 Bintek Perikanan'!H45</f>
        <v>2480000</v>
      </c>
      <c r="J266" s="1118"/>
      <c r="K266" s="564"/>
      <c r="L266" s="564"/>
      <c r="M266" s="564"/>
      <c r="N266" s="564"/>
      <c r="O266" s="564"/>
      <c r="P266" s="564"/>
      <c r="Q266" s="564"/>
      <c r="R266" s="1105"/>
      <c r="S266" s="1105"/>
      <c r="T266" s="1105"/>
      <c r="U266" s="1105"/>
      <c r="V266" s="1105"/>
      <c r="W266" s="1144">
        <f t="shared" si="31"/>
        <v>0</v>
      </c>
      <c r="X266" s="1140">
        <f t="shared" si="32"/>
        <v>2480000</v>
      </c>
    </row>
    <row r="267" spans="1:24">
      <c r="A267" s="575">
        <v>4</v>
      </c>
      <c r="B267" s="569">
        <v>4</v>
      </c>
      <c r="C267" s="569" t="s">
        <v>593</v>
      </c>
      <c r="D267" s="563">
        <v>5</v>
      </c>
      <c r="E267" s="563">
        <v>2</v>
      </c>
      <c r="F267" s="563">
        <v>1</v>
      </c>
      <c r="G267" s="563">
        <v>9</v>
      </c>
      <c r="H267" s="564" t="s">
        <v>746</v>
      </c>
      <c r="I267" s="567"/>
      <c r="J267" s="1118"/>
      <c r="K267" s="564"/>
      <c r="L267" s="564"/>
      <c r="M267" s="564"/>
      <c r="N267" s="564"/>
      <c r="O267" s="564"/>
      <c r="P267" s="564"/>
      <c r="Q267" s="564"/>
      <c r="R267" s="1105"/>
      <c r="S267" s="1105"/>
      <c r="T267" s="1105"/>
      <c r="U267" s="1105"/>
      <c r="V267" s="1105"/>
      <c r="W267" s="1144">
        <f t="shared" si="31"/>
        <v>0</v>
      </c>
      <c r="X267" s="1140">
        <f t="shared" si="32"/>
        <v>0</v>
      </c>
    </row>
    <row r="268" spans="1:24">
      <c r="A268" s="575">
        <v>4</v>
      </c>
      <c r="B268" s="569">
        <v>4</v>
      </c>
      <c r="C268" s="569" t="s">
        <v>593</v>
      </c>
      <c r="D268" s="563">
        <v>5</v>
      </c>
      <c r="E268" s="563">
        <v>2</v>
      </c>
      <c r="F268" s="563">
        <v>2</v>
      </c>
      <c r="G268" s="563"/>
      <c r="H268" s="564" t="s">
        <v>736</v>
      </c>
      <c r="I268" s="567">
        <f>SUM(I269:I271)</f>
        <v>8520000</v>
      </c>
      <c r="J268" s="1118"/>
      <c r="K268" s="564"/>
      <c r="L268" s="564"/>
      <c r="M268" s="564"/>
      <c r="N268" s="564"/>
      <c r="O268" s="564"/>
      <c r="P268" s="564"/>
      <c r="Q268" s="564"/>
      <c r="R268" s="1105"/>
      <c r="S268" s="1105"/>
      <c r="T268" s="1105"/>
      <c r="U268" s="1105"/>
      <c r="V268" s="1105"/>
      <c r="W268" s="1144">
        <f t="shared" si="31"/>
        <v>0</v>
      </c>
      <c r="X268" s="1140">
        <f t="shared" si="32"/>
        <v>8520000</v>
      </c>
    </row>
    <row r="269" spans="1:24">
      <c r="A269" s="575">
        <v>4</v>
      </c>
      <c r="B269" s="569">
        <v>4</v>
      </c>
      <c r="C269" s="569" t="s">
        <v>593</v>
      </c>
      <c r="D269" s="563">
        <v>5</v>
      </c>
      <c r="E269" s="563">
        <v>2</v>
      </c>
      <c r="F269" s="563">
        <v>2</v>
      </c>
      <c r="G269" s="563">
        <v>1</v>
      </c>
      <c r="H269" s="564" t="s">
        <v>737</v>
      </c>
      <c r="I269" s="567">
        <f>'4.4 Bintek Perikanan'!H51</f>
        <v>1540000</v>
      </c>
      <c r="J269" s="1118"/>
      <c r="K269" s="564"/>
      <c r="L269" s="564"/>
      <c r="M269" s="564"/>
      <c r="N269" s="564"/>
      <c r="O269" s="564"/>
      <c r="P269" s="564"/>
      <c r="Q269" s="564"/>
      <c r="R269" s="1105"/>
      <c r="S269" s="1105"/>
      <c r="T269" s="1105"/>
      <c r="U269" s="1105"/>
      <c r="V269" s="1105"/>
      <c r="W269" s="1144">
        <f t="shared" si="31"/>
        <v>0</v>
      </c>
      <c r="X269" s="1140">
        <f t="shared" si="32"/>
        <v>1540000</v>
      </c>
    </row>
    <row r="270" spans="1:24">
      <c r="A270" s="575">
        <v>4</v>
      </c>
      <c r="B270" s="569">
        <v>4</v>
      </c>
      <c r="C270" s="569" t="s">
        <v>593</v>
      </c>
      <c r="D270" s="563">
        <v>5</v>
      </c>
      <c r="E270" s="563">
        <v>2</v>
      </c>
      <c r="F270" s="563">
        <v>2</v>
      </c>
      <c r="G270" s="563">
        <v>4</v>
      </c>
      <c r="H270" s="564" t="s">
        <v>753</v>
      </c>
      <c r="I270" s="567">
        <f>'4.4 Bintek Perikanan'!H20</f>
        <v>4900000</v>
      </c>
      <c r="J270" s="1118"/>
      <c r="K270" s="564"/>
      <c r="L270" s="564"/>
      <c r="M270" s="564"/>
      <c r="N270" s="564"/>
      <c r="O270" s="564"/>
      <c r="P270" s="564"/>
      <c r="Q270" s="564"/>
      <c r="R270" s="1105"/>
      <c r="S270" s="1105"/>
      <c r="T270" s="1105"/>
      <c r="U270" s="1105"/>
      <c r="V270" s="1105"/>
      <c r="W270" s="1144">
        <f t="shared" si="31"/>
        <v>0</v>
      </c>
      <c r="X270" s="1140">
        <f t="shared" si="32"/>
        <v>4900000</v>
      </c>
    </row>
    <row r="271" spans="1:24">
      <c r="A271" s="575">
        <v>4</v>
      </c>
      <c r="B271" s="569">
        <v>4</v>
      </c>
      <c r="C271" s="569" t="s">
        <v>593</v>
      </c>
      <c r="D271" s="563">
        <v>5</v>
      </c>
      <c r="E271" s="563">
        <v>2</v>
      </c>
      <c r="F271" s="563">
        <v>2</v>
      </c>
      <c r="G271" s="563">
        <v>9</v>
      </c>
      <c r="H271" s="564" t="s">
        <v>739</v>
      </c>
      <c r="I271" s="567">
        <f>'4.4 Bintek Perikanan'!H54</f>
        <v>2080000</v>
      </c>
      <c r="J271" s="1118"/>
      <c r="K271" s="564"/>
      <c r="L271" s="564"/>
      <c r="M271" s="564"/>
      <c r="N271" s="564"/>
      <c r="O271" s="564"/>
      <c r="P271" s="564"/>
      <c r="Q271" s="564"/>
      <c r="R271" s="1105"/>
      <c r="S271" s="1105"/>
      <c r="T271" s="1105"/>
      <c r="U271" s="1105"/>
      <c r="V271" s="1105"/>
      <c r="W271" s="1144">
        <f t="shared" ref="W271:W302" si="33">J271+K271+L271+M271+N271+O271+P271+Q271+R271+S271+T271+U271</f>
        <v>0</v>
      </c>
      <c r="X271" s="1140">
        <f t="shared" ref="X271:X302" si="34">I271-W271</f>
        <v>2080000</v>
      </c>
    </row>
    <row r="272" spans="1:24">
      <c r="A272" s="575">
        <v>4</v>
      </c>
      <c r="B272" s="573">
        <v>4</v>
      </c>
      <c r="C272" s="573" t="s">
        <v>593</v>
      </c>
      <c r="D272" s="563">
        <v>5</v>
      </c>
      <c r="E272" s="563">
        <v>2</v>
      </c>
      <c r="F272" s="563">
        <v>3</v>
      </c>
      <c r="G272" s="563"/>
      <c r="H272" s="564" t="s">
        <v>740</v>
      </c>
      <c r="I272" s="567">
        <f>SUM(I273:I273)</f>
        <v>2260000</v>
      </c>
      <c r="J272" s="1118"/>
      <c r="K272" s="564"/>
      <c r="L272" s="564"/>
      <c r="M272" s="564"/>
      <c r="N272" s="564"/>
      <c r="O272" s="564"/>
      <c r="P272" s="564"/>
      <c r="Q272" s="564"/>
      <c r="R272" s="1105"/>
      <c r="S272" s="1105"/>
      <c r="T272" s="1105"/>
      <c r="U272" s="1105"/>
      <c r="V272" s="1105"/>
      <c r="W272" s="1144">
        <f t="shared" si="33"/>
        <v>0</v>
      </c>
      <c r="X272" s="1140">
        <f t="shared" si="34"/>
        <v>2260000</v>
      </c>
    </row>
    <row r="273" spans="1:26">
      <c r="A273" s="575">
        <v>4</v>
      </c>
      <c r="B273" s="573">
        <v>4</v>
      </c>
      <c r="C273" s="569" t="s">
        <v>593</v>
      </c>
      <c r="D273" s="563">
        <v>5</v>
      </c>
      <c r="E273" s="563">
        <v>2</v>
      </c>
      <c r="F273" s="563">
        <v>3</v>
      </c>
      <c r="G273" s="563">
        <v>4</v>
      </c>
      <c r="H273" s="564" t="s">
        <v>754</v>
      </c>
      <c r="I273" s="567">
        <f>'4.4 Bintek Perikanan'!H42</f>
        <v>2260000</v>
      </c>
      <c r="J273" s="1118"/>
      <c r="K273" s="564"/>
      <c r="L273" s="564"/>
      <c r="M273" s="564"/>
      <c r="N273" s="564"/>
      <c r="O273" s="564"/>
      <c r="P273" s="564"/>
      <c r="Q273" s="564"/>
      <c r="R273" s="1105"/>
      <c r="S273" s="1105"/>
      <c r="T273" s="1105"/>
      <c r="U273" s="1105"/>
      <c r="V273" s="1105"/>
      <c r="W273" s="1144">
        <f t="shared" si="33"/>
        <v>0</v>
      </c>
      <c r="X273" s="1140">
        <f t="shared" si="34"/>
        <v>2260000</v>
      </c>
    </row>
    <row r="274" spans="1:26">
      <c r="A274" s="975">
        <v>4</v>
      </c>
      <c r="B274" s="976">
        <v>6</v>
      </c>
      <c r="C274" s="977"/>
      <c r="D274" s="978"/>
      <c r="E274" s="978"/>
      <c r="F274" s="978"/>
      <c r="G274" s="978"/>
      <c r="H274" s="979" t="s">
        <v>690</v>
      </c>
      <c r="I274" s="980">
        <f>I275</f>
        <v>40000000</v>
      </c>
      <c r="J274" s="1125"/>
      <c r="K274" s="979"/>
      <c r="L274" s="979"/>
      <c r="M274" s="979"/>
      <c r="N274" s="979"/>
      <c r="O274" s="979"/>
      <c r="P274" s="979"/>
      <c r="Q274" s="979"/>
      <c r="R274" s="1105"/>
      <c r="S274" s="1105"/>
      <c r="T274" s="1105"/>
      <c r="U274" s="1105"/>
      <c r="V274" s="1105"/>
      <c r="W274" s="1144">
        <f t="shared" si="33"/>
        <v>0</v>
      </c>
      <c r="X274" s="1140">
        <f t="shared" si="34"/>
        <v>40000000</v>
      </c>
    </row>
    <row r="275" spans="1:26">
      <c r="A275" s="575">
        <v>4</v>
      </c>
      <c r="B275" s="573">
        <v>6</v>
      </c>
      <c r="C275" s="569">
        <v>90</v>
      </c>
      <c r="D275" s="563"/>
      <c r="E275" s="563"/>
      <c r="F275" s="563"/>
      <c r="G275" s="563"/>
      <c r="H275" s="564" t="s">
        <v>1058</v>
      </c>
      <c r="I275" s="567">
        <v>40000000</v>
      </c>
      <c r="J275" s="1118"/>
      <c r="K275" s="564"/>
      <c r="L275" s="564"/>
      <c r="M275" s="564"/>
      <c r="N275" s="564"/>
      <c r="O275" s="564"/>
      <c r="P275" s="564"/>
      <c r="Q275" s="564"/>
      <c r="R275" s="1105"/>
      <c r="S275" s="1105"/>
      <c r="T275" s="1105"/>
      <c r="U275" s="1105"/>
      <c r="V275" s="1105"/>
      <c r="W275" s="1144">
        <f t="shared" si="33"/>
        <v>0</v>
      </c>
      <c r="X275" s="1140">
        <f t="shared" si="34"/>
        <v>40000000</v>
      </c>
    </row>
    <row r="276" spans="1:26" s="421" customFormat="1" ht="31.5">
      <c r="A276" s="812">
        <v>5</v>
      </c>
      <c r="B276" s="813"/>
      <c r="C276" s="813"/>
      <c r="D276" s="812"/>
      <c r="E276" s="812"/>
      <c r="F276" s="812"/>
      <c r="G276" s="812"/>
      <c r="H276" s="815" t="s">
        <v>694</v>
      </c>
      <c r="I276" s="816">
        <f>I277+I278+I279</f>
        <v>0</v>
      </c>
      <c r="J276" s="1119"/>
      <c r="K276" s="815"/>
      <c r="L276" s="815"/>
      <c r="M276" s="815"/>
      <c r="N276" s="815"/>
      <c r="O276" s="815"/>
      <c r="P276" s="815"/>
      <c r="Q276" s="815"/>
      <c r="R276" s="1105"/>
      <c r="S276" s="1105"/>
      <c r="T276" s="1105"/>
      <c r="U276" s="1105"/>
      <c r="V276" s="1105"/>
      <c r="W276" s="1144">
        <f t="shared" si="33"/>
        <v>0</v>
      </c>
      <c r="X276" s="1140">
        <f t="shared" si="34"/>
        <v>0</v>
      </c>
    </row>
    <row r="277" spans="1:26" s="556" customFormat="1">
      <c r="A277" s="561">
        <v>5</v>
      </c>
      <c r="B277" s="568">
        <v>1</v>
      </c>
      <c r="C277" s="561"/>
      <c r="D277" s="561"/>
      <c r="E277" s="561"/>
      <c r="F277" s="561"/>
      <c r="G277" s="561"/>
      <c r="H277" s="441" t="s">
        <v>435</v>
      </c>
      <c r="I277" s="555">
        <v>0</v>
      </c>
      <c r="J277" s="1117"/>
      <c r="K277" s="441"/>
      <c r="L277" s="441"/>
      <c r="M277" s="441"/>
      <c r="N277" s="441"/>
      <c r="O277" s="441"/>
      <c r="P277" s="441"/>
      <c r="Q277" s="441"/>
      <c r="R277" s="1106"/>
      <c r="S277" s="1106"/>
      <c r="T277" s="1106"/>
      <c r="U277" s="1106"/>
      <c r="V277" s="1106"/>
      <c r="W277" s="1144">
        <f t="shared" si="33"/>
        <v>0</v>
      </c>
      <c r="X277" s="1140">
        <f t="shared" si="34"/>
        <v>0</v>
      </c>
    </row>
    <row r="278" spans="1:26">
      <c r="A278" s="561">
        <v>5</v>
      </c>
      <c r="B278" s="568">
        <v>2</v>
      </c>
      <c r="C278" s="561"/>
      <c r="D278" s="561"/>
      <c r="E278" s="561"/>
      <c r="F278" s="561"/>
      <c r="G278" s="561"/>
      <c r="H278" s="441" t="s">
        <v>434</v>
      </c>
      <c r="I278" s="555">
        <v>0</v>
      </c>
      <c r="J278" s="1117"/>
      <c r="K278" s="441"/>
      <c r="L278" s="441"/>
      <c r="M278" s="441"/>
      <c r="N278" s="441"/>
      <c r="O278" s="441"/>
      <c r="P278" s="441"/>
      <c r="Q278" s="441"/>
      <c r="R278" s="1105"/>
      <c r="S278" s="1105"/>
      <c r="T278" s="1105"/>
      <c r="U278" s="1105"/>
      <c r="V278" s="1105"/>
      <c r="W278" s="1144">
        <f t="shared" si="33"/>
        <v>0</v>
      </c>
      <c r="X278" s="1140">
        <f t="shared" si="34"/>
        <v>0</v>
      </c>
    </row>
    <row r="279" spans="1:26">
      <c r="A279" s="561">
        <v>5</v>
      </c>
      <c r="B279" s="568">
        <v>3</v>
      </c>
      <c r="C279" s="561"/>
      <c r="D279" s="561"/>
      <c r="E279" s="561"/>
      <c r="F279" s="561"/>
      <c r="G279" s="561"/>
      <c r="H279" s="441" t="s">
        <v>697</v>
      </c>
      <c r="I279" s="555">
        <v>0</v>
      </c>
      <c r="J279" s="1117"/>
      <c r="K279" s="441"/>
      <c r="L279" s="441"/>
      <c r="M279" s="441"/>
      <c r="N279" s="441"/>
      <c r="O279" s="441"/>
      <c r="P279" s="441"/>
      <c r="Q279" s="441"/>
      <c r="R279" s="1105"/>
      <c r="S279" s="1105"/>
      <c r="T279" s="1105"/>
      <c r="U279" s="1105"/>
      <c r="V279" s="1105"/>
      <c r="W279" s="1144">
        <f t="shared" si="33"/>
        <v>0</v>
      </c>
      <c r="X279" s="1140">
        <f t="shared" si="34"/>
        <v>0</v>
      </c>
    </row>
    <row r="280" spans="1:26">
      <c r="A280" s="563"/>
      <c r="B280" s="563"/>
      <c r="C280" s="563"/>
      <c r="D280" s="563"/>
      <c r="E280" s="563"/>
      <c r="F280" s="563"/>
      <c r="G280" s="563"/>
      <c r="H280" s="564"/>
      <c r="I280" s="567"/>
      <c r="J280" s="1118"/>
      <c r="K280" s="564"/>
      <c r="L280" s="564"/>
      <c r="M280" s="564"/>
      <c r="N280" s="564"/>
      <c r="O280" s="564"/>
      <c r="P280" s="564"/>
      <c r="Q280" s="564"/>
      <c r="R280" s="1105"/>
      <c r="S280" s="1105"/>
      <c r="T280" s="1105"/>
      <c r="U280" s="1105"/>
      <c r="V280" s="1105"/>
      <c r="W280" s="1144">
        <f t="shared" si="33"/>
        <v>0</v>
      </c>
      <c r="X280" s="1140">
        <f t="shared" si="34"/>
        <v>0</v>
      </c>
    </row>
    <row r="281" spans="1:26">
      <c r="A281" s="981"/>
      <c r="B281" s="981"/>
      <c r="C281" s="981"/>
      <c r="D281" s="981"/>
      <c r="E281" s="981"/>
      <c r="F281" s="981"/>
      <c r="G281" s="981"/>
      <c r="H281" s="982" t="s">
        <v>10</v>
      </c>
      <c r="I281" s="984" t="e">
        <f>I62</f>
        <v>#REF!</v>
      </c>
      <c r="J281" s="1126"/>
      <c r="K281" s="983"/>
      <c r="L281" s="983"/>
      <c r="M281" s="983"/>
      <c r="N281" s="983"/>
      <c r="O281" s="983"/>
      <c r="P281" s="983"/>
      <c r="Q281" s="983"/>
      <c r="R281" s="1105"/>
      <c r="S281" s="1105"/>
      <c r="T281" s="1105"/>
      <c r="U281" s="1105"/>
      <c r="V281" s="1105"/>
      <c r="W281" s="1144">
        <f t="shared" si="33"/>
        <v>0</v>
      </c>
      <c r="X281" s="1140" t="e">
        <f t="shared" si="34"/>
        <v>#REF!</v>
      </c>
    </row>
    <row r="282" spans="1:26">
      <c r="A282" s="981"/>
      <c r="B282" s="981"/>
      <c r="C282" s="981"/>
      <c r="D282" s="981"/>
      <c r="E282" s="981"/>
      <c r="F282" s="981"/>
      <c r="G282" s="981"/>
      <c r="H282" s="982" t="s">
        <v>698</v>
      </c>
      <c r="I282" s="985" t="e">
        <f>I60-I62</f>
        <v>#REF!</v>
      </c>
      <c r="J282" s="1127"/>
      <c r="K282" s="983"/>
      <c r="L282" s="983"/>
      <c r="M282" s="983"/>
      <c r="N282" s="983"/>
      <c r="O282" s="983"/>
      <c r="P282" s="983"/>
      <c r="Q282" s="983"/>
      <c r="R282" s="1105"/>
      <c r="S282" s="1105"/>
      <c r="T282" s="1105"/>
      <c r="U282" s="1105"/>
      <c r="V282" s="1105"/>
      <c r="W282" s="1144">
        <f t="shared" si="33"/>
        <v>0</v>
      </c>
      <c r="X282" s="1140" t="e">
        <f t="shared" si="34"/>
        <v>#REF!</v>
      </c>
    </row>
    <row r="283" spans="1:26">
      <c r="A283" s="563"/>
      <c r="B283" s="563"/>
      <c r="C283" s="563"/>
      <c r="D283" s="563"/>
      <c r="E283" s="563"/>
      <c r="F283" s="563"/>
      <c r="G283" s="563"/>
      <c r="H283" s="564"/>
      <c r="I283" s="567"/>
      <c r="J283" s="1118"/>
      <c r="K283" s="564"/>
      <c r="L283" s="564"/>
      <c r="M283" s="564"/>
      <c r="N283" s="564"/>
      <c r="O283" s="564"/>
      <c r="P283" s="564"/>
      <c r="Q283" s="564"/>
      <c r="R283" s="1105"/>
      <c r="S283" s="1105"/>
      <c r="T283" s="1105"/>
      <c r="U283" s="1105"/>
      <c r="V283" s="1105"/>
      <c r="W283" s="1144">
        <f t="shared" si="33"/>
        <v>0</v>
      </c>
      <c r="X283" s="1140">
        <f t="shared" si="34"/>
        <v>0</v>
      </c>
    </row>
    <row r="284" spans="1:26">
      <c r="A284" s="563"/>
      <c r="B284" s="563"/>
      <c r="C284" s="563"/>
      <c r="D284" s="563">
        <v>6</v>
      </c>
      <c r="E284" s="563"/>
      <c r="F284" s="563"/>
      <c r="G284" s="563"/>
      <c r="H284" s="441" t="s">
        <v>11</v>
      </c>
      <c r="I284" s="567">
        <f>I285-I294</f>
        <v>0</v>
      </c>
      <c r="J284" s="1118"/>
      <c r="K284" s="564"/>
      <c r="L284" s="564"/>
      <c r="M284" s="564"/>
      <c r="N284" s="564"/>
      <c r="O284" s="564"/>
      <c r="P284" s="564"/>
      <c r="Q284" s="564"/>
      <c r="R284" s="1105"/>
      <c r="S284" s="1105"/>
      <c r="T284" s="1105"/>
      <c r="U284" s="1105"/>
      <c r="V284" s="1105"/>
      <c r="W284" s="1144">
        <f t="shared" si="33"/>
        <v>0</v>
      </c>
      <c r="X284" s="1140">
        <f t="shared" si="34"/>
        <v>0</v>
      </c>
    </row>
    <row r="285" spans="1:26">
      <c r="A285" s="563"/>
      <c r="B285" s="563"/>
      <c r="C285" s="563"/>
      <c r="D285" s="563">
        <v>6</v>
      </c>
      <c r="E285" s="563">
        <v>1</v>
      </c>
      <c r="F285" s="563"/>
      <c r="G285" s="563"/>
      <c r="H285" s="441" t="s">
        <v>16</v>
      </c>
      <c r="I285" s="567">
        <f>I286</f>
        <v>0</v>
      </c>
      <c r="J285" s="1118"/>
      <c r="K285" s="564"/>
      <c r="L285" s="564"/>
      <c r="M285" s="564"/>
      <c r="N285" s="564"/>
      <c r="O285" s="564"/>
      <c r="P285" s="564"/>
      <c r="Q285" s="564"/>
      <c r="R285" s="1105"/>
      <c r="S285" s="1105"/>
      <c r="T285" s="1105"/>
      <c r="U285" s="1105"/>
      <c r="V285" s="1105"/>
      <c r="W285" s="1144">
        <f t="shared" si="33"/>
        <v>0</v>
      </c>
      <c r="X285" s="1140">
        <f t="shared" si="34"/>
        <v>0</v>
      </c>
    </row>
    <row r="286" spans="1:26">
      <c r="A286" s="563"/>
      <c r="B286" s="563"/>
      <c r="C286" s="563"/>
      <c r="D286" s="563">
        <v>6</v>
      </c>
      <c r="E286" s="563">
        <v>1</v>
      </c>
      <c r="F286" s="563">
        <v>1</v>
      </c>
      <c r="G286" s="563"/>
      <c r="H286" s="564" t="s">
        <v>756</v>
      </c>
      <c r="I286" s="567">
        <f>I287</f>
        <v>0</v>
      </c>
      <c r="J286" s="1118"/>
      <c r="K286" s="564"/>
      <c r="L286" s="564"/>
      <c r="M286" s="564"/>
      <c r="N286" s="564"/>
      <c r="O286" s="564"/>
      <c r="P286" s="564"/>
      <c r="Q286" s="564"/>
      <c r="R286" s="1105"/>
      <c r="S286" s="1105"/>
      <c r="T286" s="1105"/>
      <c r="U286" s="1105"/>
      <c r="V286" s="1105"/>
      <c r="W286" s="1144">
        <f t="shared" si="33"/>
        <v>0</v>
      </c>
      <c r="X286" s="1140">
        <f t="shared" si="34"/>
        <v>0</v>
      </c>
    </row>
    <row r="287" spans="1:26">
      <c r="A287" s="563"/>
      <c r="B287" s="563"/>
      <c r="C287" s="563"/>
      <c r="D287" s="563">
        <v>6</v>
      </c>
      <c r="E287" s="563">
        <v>1</v>
      </c>
      <c r="F287" s="563">
        <v>1</v>
      </c>
      <c r="G287" s="563">
        <v>1</v>
      </c>
      <c r="H287" s="564" t="s">
        <v>756</v>
      </c>
      <c r="I287" s="567"/>
      <c r="J287" s="1118"/>
      <c r="K287" s="564"/>
      <c r="L287" s="564"/>
      <c r="M287" s="564"/>
      <c r="N287" s="564"/>
      <c r="O287" s="564"/>
      <c r="P287" s="564"/>
      <c r="Q287" s="564"/>
      <c r="R287" s="1105"/>
      <c r="S287" s="1105"/>
      <c r="T287" s="1105"/>
      <c r="U287" s="1105"/>
      <c r="V287" s="1105"/>
      <c r="W287" s="1144">
        <f t="shared" si="33"/>
        <v>0</v>
      </c>
      <c r="X287" s="1140">
        <f t="shared" si="34"/>
        <v>0</v>
      </c>
    </row>
    <row r="288" spans="1:26">
      <c r="A288" s="563"/>
      <c r="B288" s="563"/>
      <c r="C288" s="563"/>
      <c r="D288" s="563">
        <v>6</v>
      </c>
      <c r="E288" s="563">
        <v>1</v>
      </c>
      <c r="F288" s="563">
        <v>2</v>
      </c>
      <c r="G288" s="563"/>
      <c r="H288" s="576" t="s">
        <v>17</v>
      </c>
      <c r="I288" s="567">
        <f>I289</f>
        <v>0</v>
      </c>
      <c r="J288" s="1118"/>
      <c r="K288" s="564"/>
      <c r="L288" s="564"/>
      <c r="M288" s="564"/>
      <c r="N288" s="564"/>
      <c r="O288" s="564"/>
      <c r="P288" s="564"/>
      <c r="Q288" s="564"/>
      <c r="R288" s="1105"/>
      <c r="S288" s="1105"/>
      <c r="T288" s="1105"/>
      <c r="U288" s="1105"/>
      <c r="V288" s="1105"/>
      <c r="W288" s="1144">
        <f t="shared" si="33"/>
        <v>0</v>
      </c>
      <c r="X288" s="1140">
        <f t="shared" si="34"/>
        <v>0</v>
      </c>
      <c r="Z288" s="987"/>
    </row>
    <row r="289" spans="1:25">
      <c r="A289" s="563"/>
      <c r="B289" s="563"/>
      <c r="C289" s="563"/>
      <c r="D289" s="563">
        <v>6</v>
      </c>
      <c r="E289" s="563">
        <v>1</v>
      </c>
      <c r="F289" s="563">
        <v>2</v>
      </c>
      <c r="G289" s="563">
        <v>1</v>
      </c>
      <c r="H289" s="576" t="s">
        <v>17</v>
      </c>
      <c r="I289" s="567"/>
      <c r="J289" s="1118"/>
      <c r="K289" s="564"/>
      <c r="L289" s="564"/>
      <c r="M289" s="564"/>
      <c r="N289" s="564"/>
      <c r="O289" s="564"/>
      <c r="P289" s="564"/>
      <c r="Q289" s="564"/>
      <c r="R289" s="1105"/>
      <c r="S289" s="1105"/>
      <c r="T289" s="1105"/>
      <c r="U289" s="1105"/>
      <c r="V289" s="1105"/>
      <c r="W289" s="1144">
        <f t="shared" si="33"/>
        <v>0</v>
      </c>
      <c r="X289" s="1140">
        <f t="shared" si="34"/>
        <v>0</v>
      </c>
    </row>
    <row r="290" spans="1:25">
      <c r="A290" s="563"/>
      <c r="B290" s="563"/>
      <c r="C290" s="563"/>
      <c r="D290" s="563">
        <v>6</v>
      </c>
      <c r="E290" s="563">
        <v>1</v>
      </c>
      <c r="F290" s="563">
        <v>3</v>
      </c>
      <c r="G290" s="563"/>
      <c r="H290" s="564" t="s">
        <v>757</v>
      </c>
      <c r="I290" s="567">
        <f>I291</f>
        <v>0</v>
      </c>
      <c r="J290" s="1118"/>
      <c r="K290" s="564"/>
      <c r="L290" s="564"/>
      <c r="M290" s="564"/>
      <c r="N290" s="564"/>
      <c r="O290" s="564"/>
      <c r="P290" s="564"/>
      <c r="Q290" s="564"/>
      <c r="R290" s="1105"/>
      <c r="S290" s="1105"/>
      <c r="T290" s="1105"/>
      <c r="U290" s="1105"/>
      <c r="V290" s="1105"/>
      <c r="W290" s="1144">
        <f t="shared" si="33"/>
        <v>0</v>
      </c>
      <c r="X290" s="1140">
        <f t="shared" si="34"/>
        <v>0</v>
      </c>
    </row>
    <row r="291" spans="1:25">
      <c r="A291" s="563"/>
      <c r="B291" s="563"/>
      <c r="C291" s="563"/>
      <c r="D291" s="563">
        <v>6</v>
      </c>
      <c r="E291" s="563">
        <v>1</v>
      </c>
      <c r="F291" s="563">
        <v>3</v>
      </c>
      <c r="G291" s="563">
        <v>1</v>
      </c>
      <c r="H291" s="564" t="s">
        <v>757</v>
      </c>
      <c r="I291" s="567"/>
      <c r="J291" s="1118"/>
      <c r="K291" s="564"/>
      <c r="L291" s="564"/>
      <c r="M291" s="564"/>
      <c r="N291" s="564"/>
      <c r="O291" s="564"/>
      <c r="P291" s="564"/>
      <c r="Q291" s="564"/>
      <c r="R291" s="1105"/>
      <c r="S291" s="1105"/>
      <c r="T291" s="1105"/>
      <c r="U291" s="1105"/>
      <c r="V291" s="1105"/>
      <c r="W291" s="1144">
        <f t="shared" si="33"/>
        <v>0</v>
      </c>
      <c r="X291" s="1140">
        <f t="shared" si="34"/>
        <v>0</v>
      </c>
    </row>
    <row r="292" spans="1:25">
      <c r="A292" s="563"/>
      <c r="B292" s="563"/>
      <c r="C292" s="563"/>
      <c r="D292" s="563">
        <v>6</v>
      </c>
      <c r="E292" s="563">
        <v>1</v>
      </c>
      <c r="F292" s="563">
        <v>9</v>
      </c>
      <c r="G292" s="563"/>
      <c r="H292" s="564" t="s">
        <v>758</v>
      </c>
      <c r="I292" s="567">
        <f>I293</f>
        <v>0</v>
      </c>
      <c r="J292" s="1118"/>
      <c r="K292" s="564"/>
      <c r="L292" s="564"/>
      <c r="M292" s="564"/>
      <c r="N292" s="564"/>
      <c r="O292" s="564"/>
      <c r="P292" s="564"/>
      <c r="Q292" s="564"/>
      <c r="R292" s="1105"/>
      <c r="S292" s="1105"/>
      <c r="T292" s="1105"/>
      <c r="U292" s="1105"/>
      <c r="V292" s="1105"/>
      <c r="W292" s="1144">
        <f t="shared" si="33"/>
        <v>0</v>
      </c>
      <c r="X292" s="1140">
        <f t="shared" si="34"/>
        <v>0</v>
      </c>
    </row>
    <row r="293" spans="1:25">
      <c r="A293" s="563"/>
      <c r="B293" s="563"/>
      <c r="C293" s="563"/>
      <c r="D293" s="563">
        <v>6</v>
      </c>
      <c r="E293" s="563">
        <v>1</v>
      </c>
      <c r="F293" s="563">
        <v>9</v>
      </c>
      <c r="G293" s="563">
        <v>1</v>
      </c>
      <c r="H293" s="564" t="s">
        <v>758</v>
      </c>
      <c r="I293" s="567"/>
      <c r="J293" s="1118"/>
      <c r="K293" s="564"/>
      <c r="L293" s="564"/>
      <c r="M293" s="564"/>
      <c r="N293" s="564"/>
      <c r="O293" s="564"/>
      <c r="P293" s="564"/>
      <c r="Q293" s="564"/>
      <c r="R293" s="1105"/>
      <c r="S293" s="1105"/>
      <c r="T293" s="1105"/>
      <c r="U293" s="1105"/>
      <c r="V293" s="1105"/>
      <c r="W293" s="1144">
        <f t="shared" si="33"/>
        <v>0</v>
      </c>
      <c r="X293" s="1140">
        <f t="shared" si="34"/>
        <v>0</v>
      </c>
    </row>
    <row r="294" spans="1:25">
      <c r="A294" s="563"/>
      <c r="B294" s="563"/>
      <c r="C294" s="563"/>
      <c r="D294" s="563">
        <v>6</v>
      </c>
      <c r="E294" s="563">
        <v>2</v>
      </c>
      <c r="F294" s="563"/>
      <c r="G294" s="563"/>
      <c r="H294" s="441" t="s">
        <v>18</v>
      </c>
      <c r="I294" s="567">
        <f>I295</f>
        <v>0</v>
      </c>
      <c r="J294" s="1118"/>
      <c r="K294" s="564"/>
      <c r="L294" s="564"/>
      <c r="M294" s="564"/>
      <c r="N294" s="564"/>
      <c r="O294" s="564"/>
      <c r="P294" s="564"/>
      <c r="Q294" s="564"/>
      <c r="R294" s="1105"/>
      <c r="S294" s="1105"/>
      <c r="T294" s="1105"/>
      <c r="U294" s="1105"/>
      <c r="V294" s="1105"/>
      <c r="W294" s="1144">
        <f t="shared" si="33"/>
        <v>0</v>
      </c>
      <c r="X294" s="1140">
        <f t="shared" si="34"/>
        <v>0</v>
      </c>
    </row>
    <row r="295" spans="1:25">
      <c r="A295" s="563"/>
      <c r="B295" s="563"/>
      <c r="C295" s="563"/>
      <c r="D295" s="563">
        <v>6</v>
      </c>
      <c r="E295" s="563">
        <v>2</v>
      </c>
      <c r="F295" s="563">
        <v>1</v>
      </c>
      <c r="G295" s="563"/>
      <c r="H295" s="564" t="s">
        <v>19</v>
      </c>
      <c r="I295" s="567">
        <f>I296</f>
        <v>0</v>
      </c>
      <c r="J295" s="1118"/>
      <c r="K295" s="564"/>
      <c r="L295" s="564"/>
      <c r="M295" s="564"/>
      <c r="N295" s="564"/>
      <c r="O295" s="564"/>
      <c r="P295" s="564"/>
      <c r="Q295" s="564"/>
      <c r="R295" s="1105"/>
      <c r="S295" s="1105"/>
      <c r="T295" s="1105"/>
      <c r="U295" s="1105"/>
      <c r="V295" s="1105"/>
      <c r="W295" s="1144">
        <f t="shared" si="33"/>
        <v>0</v>
      </c>
      <c r="X295" s="1140">
        <f t="shared" si="34"/>
        <v>0</v>
      </c>
    </row>
    <row r="296" spans="1:25">
      <c r="A296" s="563"/>
      <c r="B296" s="563"/>
      <c r="C296" s="563"/>
      <c r="D296" s="563">
        <v>6</v>
      </c>
      <c r="E296" s="563">
        <v>2</v>
      </c>
      <c r="F296" s="563">
        <v>1</v>
      </c>
      <c r="G296" s="563">
        <v>1</v>
      </c>
      <c r="H296" s="564" t="s">
        <v>19</v>
      </c>
      <c r="I296" s="567"/>
      <c r="J296" s="1118"/>
      <c r="K296" s="564"/>
      <c r="L296" s="564"/>
      <c r="M296" s="564"/>
      <c r="N296" s="564"/>
      <c r="O296" s="564"/>
      <c r="P296" s="564"/>
      <c r="Q296" s="564"/>
      <c r="R296" s="1105"/>
      <c r="S296" s="1105"/>
      <c r="T296" s="1105"/>
      <c r="U296" s="1105"/>
      <c r="V296" s="1105"/>
      <c r="W296" s="1144">
        <f t="shared" si="33"/>
        <v>0</v>
      </c>
      <c r="X296" s="1140">
        <f t="shared" si="34"/>
        <v>0</v>
      </c>
    </row>
    <row r="297" spans="1:25">
      <c r="A297" s="563"/>
      <c r="B297" s="563"/>
      <c r="C297" s="563"/>
      <c r="D297" s="563">
        <v>6</v>
      </c>
      <c r="E297" s="563">
        <v>2</v>
      </c>
      <c r="F297" s="563">
        <v>2</v>
      </c>
      <c r="G297" s="563"/>
      <c r="H297" s="564" t="s">
        <v>20</v>
      </c>
      <c r="I297" s="567">
        <f>I298</f>
        <v>0</v>
      </c>
      <c r="J297" s="1118"/>
      <c r="K297" s="564"/>
      <c r="L297" s="564"/>
      <c r="M297" s="564"/>
      <c r="N297" s="564"/>
      <c r="O297" s="564"/>
      <c r="P297" s="564"/>
      <c r="Q297" s="564"/>
      <c r="R297" s="1105"/>
      <c r="S297" s="1105"/>
      <c r="T297" s="1105"/>
      <c r="U297" s="1105"/>
      <c r="V297" s="1105"/>
      <c r="W297" s="1144">
        <f t="shared" si="33"/>
        <v>0</v>
      </c>
      <c r="X297" s="1140">
        <f t="shared" si="34"/>
        <v>0</v>
      </c>
    </row>
    <row r="298" spans="1:25">
      <c r="A298" s="563"/>
      <c r="B298" s="563"/>
      <c r="C298" s="563"/>
      <c r="D298" s="563">
        <v>6</v>
      </c>
      <c r="E298" s="563">
        <v>2</v>
      </c>
      <c r="F298" s="563">
        <v>2</v>
      </c>
      <c r="G298" s="563">
        <v>1</v>
      </c>
      <c r="H298" s="564" t="s">
        <v>20</v>
      </c>
      <c r="I298" s="567"/>
      <c r="J298" s="1118"/>
      <c r="K298" s="564"/>
      <c r="L298" s="564"/>
      <c r="M298" s="564"/>
      <c r="N298" s="564"/>
      <c r="O298" s="564"/>
      <c r="P298" s="564"/>
      <c r="Q298" s="564"/>
      <c r="R298" s="1105"/>
      <c r="S298" s="1105"/>
      <c r="T298" s="1105"/>
      <c r="U298" s="1105"/>
      <c r="V298" s="1105"/>
      <c r="W298" s="1144">
        <f t="shared" si="33"/>
        <v>0</v>
      </c>
      <c r="X298" s="1140">
        <f t="shared" si="34"/>
        <v>0</v>
      </c>
    </row>
    <row r="299" spans="1:25">
      <c r="A299" s="563"/>
      <c r="B299" s="563"/>
      <c r="C299" s="563"/>
      <c r="D299" s="563">
        <v>6</v>
      </c>
      <c r="E299" s="563">
        <v>2</v>
      </c>
      <c r="F299" s="563">
        <v>3</v>
      </c>
      <c r="G299" s="563"/>
      <c r="H299" s="564" t="s">
        <v>759</v>
      </c>
      <c r="I299" s="567">
        <f>I300</f>
        <v>0</v>
      </c>
      <c r="J299" s="1118"/>
      <c r="K299" s="564"/>
      <c r="L299" s="564"/>
      <c r="M299" s="564"/>
      <c r="N299" s="564"/>
      <c r="O299" s="564"/>
      <c r="P299" s="564"/>
      <c r="Q299" s="564"/>
      <c r="R299" s="1105"/>
      <c r="S299" s="1105"/>
      <c r="T299" s="1105"/>
      <c r="U299" s="1105"/>
      <c r="V299" s="1105"/>
      <c r="W299" s="1144">
        <f t="shared" si="33"/>
        <v>0</v>
      </c>
      <c r="X299" s="1140">
        <f t="shared" si="34"/>
        <v>0</v>
      </c>
    </row>
    <row r="300" spans="1:25">
      <c r="A300" s="563"/>
      <c r="B300" s="563"/>
      <c r="C300" s="563"/>
      <c r="D300" s="563">
        <v>6</v>
      </c>
      <c r="E300" s="563">
        <v>2</v>
      </c>
      <c r="F300" s="563">
        <v>3</v>
      </c>
      <c r="G300" s="563">
        <v>1</v>
      </c>
      <c r="H300" s="564" t="s">
        <v>759</v>
      </c>
      <c r="I300" s="567"/>
      <c r="J300" s="1118"/>
      <c r="K300" s="564"/>
      <c r="L300" s="564"/>
      <c r="M300" s="564"/>
      <c r="N300" s="564"/>
      <c r="O300" s="564"/>
      <c r="P300" s="564"/>
      <c r="Q300" s="564"/>
      <c r="R300" s="1105"/>
      <c r="S300" s="1105"/>
      <c r="T300" s="1105"/>
      <c r="U300" s="1105"/>
      <c r="V300" s="1105"/>
      <c r="W300" s="1144">
        <f t="shared" si="33"/>
        <v>0</v>
      </c>
      <c r="X300" s="1140">
        <f t="shared" si="34"/>
        <v>0</v>
      </c>
    </row>
    <row r="301" spans="1:25">
      <c r="A301" s="577"/>
      <c r="B301" s="577"/>
      <c r="C301" s="577"/>
      <c r="D301" s="577"/>
      <c r="E301" s="577"/>
      <c r="F301" s="577"/>
      <c r="G301" s="577"/>
      <c r="H301" s="578"/>
      <c r="I301" s="579"/>
      <c r="J301" s="1128"/>
      <c r="K301" s="1110"/>
      <c r="L301" s="1110"/>
      <c r="M301" s="1110"/>
      <c r="N301" s="1110"/>
      <c r="O301" s="1110"/>
      <c r="P301" s="1110"/>
      <c r="Q301" s="1110"/>
      <c r="R301" s="1111"/>
      <c r="S301" s="1111"/>
      <c r="T301" s="1111"/>
      <c r="U301" s="1111"/>
      <c r="V301" s="1111"/>
      <c r="W301" s="1144">
        <f t="shared" si="33"/>
        <v>0</v>
      </c>
      <c r="X301" s="1140">
        <f t="shared" si="34"/>
        <v>0</v>
      </c>
    </row>
    <row r="302" spans="1:25">
      <c r="A302" s="580"/>
      <c r="B302" s="580"/>
      <c r="C302" s="580"/>
      <c r="D302" s="580"/>
      <c r="E302" s="580"/>
      <c r="F302" s="580"/>
      <c r="G302" s="580"/>
      <c r="H302" s="581" t="s">
        <v>760</v>
      </c>
      <c r="I302" s="583" t="e">
        <f>I282+I284</f>
        <v>#REF!</v>
      </c>
      <c r="J302" s="1129"/>
      <c r="K302" s="582"/>
      <c r="L302" s="582"/>
      <c r="M302" s="582"/>
      <c r="N302" s="582"/>
      <c r="O302" s="582"/>
      <c r="P302" s="582"/>
      <c r="Q302" s="582"/>
      <c r="R302" s="1094"/>
      <c r="S302" s="1094"/>
      <c r="T302" s="1094"/>
      <c r="U302" s="1094"/>
      <c r="V302" s="1094"/>
      <c r="W302" s="1144">
        <f t="shared" si="33"/>
        <v>0</v>
      </c>
      <c r="X302" s="1140" t="e">
        <f t="shared" si="34"/>
        <v>#REF!</v>
      </c>
    </row>
    <row r="303" spans="1:25">
      <c r="A303" s="584"/>
      <c r="B303" s="585"/>
      <c r="C303" s="585"/>
      <c r="D303" s="585"/>
      <c r="E303" s="585"/>
      <c r="F303" s="585"/>
      <c r="G303" s="585"/>
      <c r="H303" s="585"/>
      <c r="I303" s="585"/>
      <c r="J303" s="585"/>
      <c r="K303" s="1112"/>
      <c r="L303" s="1112"/>
      <c r="M303" s="1112"/>
      <c r="N303" s="1112"/>
      <c r="O303" s="1112"/>
      <c r="P303" s="1112"/>
      <c r="Q303" s="1112"/>
      <c r="R303" s="828"/>
      <c r="S303" s="828"/>
      <c r="T303" s="828"/>
      <c r="U303" s="828"/>
      <c r="V303" s="828"/>
      <c r="W303" s="1145"/>
      <c r="X303" s="1132"/>
      <c r="Y303" s="828"/>
    </row>
    <row r="304" spans="1:25" ht="23.25" customHeight="1">
      <c r="A304" s="584"/>
      <c r="B304" s="585"/>
      <c r="C304" s="585"/>
      <c r="D304" s="585"/>
      <c r="E304" s="585"/>
      <c r="F304" s="585"/>
      <c r="G304" s="585"/>
      <c r="H304" s="585"/>
      <c r="I304" s="3119"/>
      <c r="J304" s="3119"/>
      <c r="K304" s="1113"/>
      <c r="L304" s="1113"/>
      <c r="M304" s="1113"/>
      <c r="N304" s="1113"/>
      <c r="O304" s="1113"/>
      <c r="P304" s="1113"/>
      <c r="Q304" s="1113"/>
      <c r="R304" s="828"/>
      <c r="S304" s="828"/>
      <c r="T304" s="828"/>
      <c r="U304" s="828"/>
      <c r="V304" s="828"/>
      <c r="W304" s="1145"/>
      <c r="X304" s="1132"/>
      <c r="Y304" s="828"/>
    </row>
    <row r="305" spans="1:25" ht="15.75" customHeight="1">
      <c r="A305" s="584"/>
      <c r="B305" s="585"/>
      <c r="C305" s="585"/>
      <c r="D305" s="585"/>
      <c r="E305" s="585"/>
      <c r="F305" s="585"/>
      <c r="G305" s="585"/>
      <c r="H305" s="585"/>
      <c r="I305" s="3119"/>
      <c r="J305" s="3119"/>
      <c r="K305" s="1113"/>
      <c r="L305" s="1113"/>
      <c r="M305" s="1113"/>
      <c r="N305" s="1113"/>
      <c r="O305" s="1113"/>
      <c r="P305" s="1113"/>
      <c r="Q305" s="1113"/>
      <c r="R305" s="828"/>
      <c r="S305" s="828"/>
      <c r="T305" s="828"/>
      <c r="U305" s="828"/>
      <c r="V305" s="828"/>
      <c r="W305" s="1145"/>
      <c r="X305" s="1132"/>
      <c r="Y305" s="828"/>
    </row>
    <row r="306" spans="1:25" ht="15.75" customHeight="1">
      <c r="A306" s="584"/>
      <c r="B306" s="585"/>
      <c r="C306" s="585"/>
      <c r="D306" s="585"/>
      <c r="E306" s="585"/>
      <c r="F306" s="585"/>
      <c r="G306" s="585"/>
      <c r="H306" s="585"/>
      <c r="I306" s="1093"/>
      <c r="J306" s="1093"/>
      <c r="K306" s="1113"/>
      <c r="L306" s="1113"/>
      <c r="M306" s="1113"/>
      <c r="N306" s="1113"/>
      <c r="O306" s="1113"/>
      <c r="P306" s="1113"/>
      <c r="Q306" s="1113"/>
      <c r="R306" s="828"/>
      <c r="S306" s="828"/>
      <c r="T306" s="828"/>
      <c r="U306" s="828"/>
      <c r="V306" s="828"/>
      <c r="W306" s="1145"/>
      <c r="X306" s="1132"/>
      <c r="Y306" s="828"/>
    </row>
    <row r="307" spans="1:25">
      <c r="A307" s="584"/>
      <c r="B307" s="585"/>
      <c r="C307" s="585"/>
      <c r="D307" s="585"/>
      <c r="E307" s="585"/>
      <c r="F307" s="585"/>
      <c r="G307" s="585"/>
      <c r="H307" s="585"/>
      <c r="I307" s="1093"/>
      <c r="J307" s="1093"/>
      <c r="K307" s="1113"/>
      <c r="L307" s="1113"/>
      <c r="M307" s="1113"/>
      <c r="N307" s="1113"/>
      <c r="O307" s="1113"/>
      <c r="P307" s="1113"/>
      <c r="Q307" s="1113"/>
      <c r="R307" s="828"/>
      <c r="S307" s="828"/>
      <c r="T307" s="828"/>
      <c r="U307" s="828"/>
      <c r="V307" s="828"/>
      <c r="W307" s="1145"/>
      <c r="X307" s="1132"/>
      <c r="Y307" s="828"/>
    </row>
    <row r="308" spans="1:25">
      <c r="A308" s="584"/>
      <c r="B308" s="585"/>
      <c r="C308" s="585"/>
      <c r="D308" s="585"/>
      <c r="E308" s="585"/>
      <c r="F308" s="585"/>
      <c r="G308" s="585"/>
      <c r="H308" s="585"/>
      <c r="I308" s="1093"/>
      <c r="J308" s="1093"/>
      <c r="K308" s="1113"/>
      <c r="L308" s="1113"/>
      <c r="M308" s="1113"/>
      <c r="N308" s="1113"/>
      <c r="O308" s="1113"/>
      <c r="P308" s="1113"/>
      <c r="Q308" s="1113"/>
      <c r="R308" s="828"/>
      <c r="S308" s="828"/>
      <c r="T308" s="828"/>
      <c r="U308" s="828"/>
      <c r="V308" s="828"/>
      <c r="W308" s="1145"/>
      <c r="X308" s="1132"/>
      <c r="Y308" s="828"/>
    </row>
    <row r="309" spans="1:25">
      <c r="A309" s="554"/>
      <c r="B309" s="554"/>
      <c r="C309" s="554"/>
      <c r="D309" s="554"/>
      <c r="E309" s="554"/>
      <c r="F309" s="554"/>
      <c r="G309" s="554"/>
      <c r="H309" s="554"/>
      <c r="I309" s="3119"/>
      <c r="J309" s="3119"/>
      <c r="K309" s="1093"/>
      <c r="L309" s="1093"/>
      <c r="M309" s="1093"/>
      <c r="N309" s="1093"/>
      <c r="O309" s="1093"/>
      <c r="P309" s="1093"/>
      <c r="Q309" s="1093"/>
      <c r="W309" s="1145"/>
    </row>
    <row r="310" spans="1:25" ht="15.75" customHeight="1">
      <c r="A310" s="554"/>
      <c r="B310" s="554"/>
      <c r="C310" s="554"/>
      <c r="D310" s="554"/>
      <c r="E310" s="554"/>
      <c r="F310" s="554"/>
      <c r="G310" s="554"/>
      <c r="H310" s="554"/>
      <c r="I310" s="1093"/>
      <c r="J310" s="1093"/>
      <c r="K310" s="1093"/>
      <c r="L310" s="1093"/>
      <c r="M310" s="1093"/>
      <c r="N310" s="1093"/>
      <c r="O310" s="1093"/>
      <c r="P310" s="1093"/>
      <c r="Q310" s="1093"/>
      <c r="W310" s="1145"/>
    </row>
    <row r="311" spans="1:25">
      <c r="A311" s="554"/>
      <c r="B311" s="554"/>
      <c r="C311" s="554"/>
      <c r="D311" s="554"/>
      <c r="E311" s="554"/>
      <c r="F311" s="554"/>
      <c r="G311" s="554"/>
      <c r="H311" s="554"/>
      <c r="I311" s="1093"/>
      <c r="J311" s="1093"/>
      <c r="K311" s="1093"/>
      <c r="L311" s="1093"/>
      <c r="M311" s="1093"/>
      <c r="N311" s="1093"/>
      <c r="O311" s="1093"/>
      <c r="P311" s="1093"/>
      <c r="Q311" s="1093"/>
      <c r="W311" s="1145"/>
    </row>
    <row r="313" spans="1:25">
      <c r="A313" s="3121" t="s">
        <v>761</v>
      </c>
      <c r="B313" s="3121"/>
      <c r="C313" s="3121"/>
      <c r="D313" s="3121"/>
      <c r="E313" s="3121"/>
      <c r="F313" s="3121"/>
      <c r="G313" s="3121"/>
      <c r="H313" s="3121"/>
      <c r="I313" s="3121"/>
      <c r="J313" s="3121"/>
      <c r="K313" s="1092"/>
      <c r="L313" s="1092"/>
      <c r="M313" s="1092"/>
      <c r="N313" s="1092"/>
      <c r="O313" s="1092"/>
      <c r="P313" s="1092"/>
      <c r="Q313" s="1092"/>
    </row>
    <row r="314" spans="1:25">
      <c r="A314" s="423" t="s">
        <v>762</v>
      </c>
      <c r="B314" s="1092"/>
      <c r="C314" s="424" t="s">
        <v>46</v>
      </c>
      <c r="D314" s="423" t="s">
        <v>763</v>
      </c>
      <c r="E314" s="1092"/>
      <c r="F314" s="1092"/>
      <c r="G314" s="1092"/>
      <c r="H314" s="1092"/>
      <c r="I314" s="1092"/>
      <c r="J314" s="1092"/>
      <c r="K314" s="1092"/>
      <c r="L314" s="1092"/>
      <c r="M314" s="1092"/>
      <c r="N314" s="1092"/>
      <c r="O314" s="1092"/>
      <c r="P314" s="1092"/>
      <c r="Q314" s="1092"/>
    </row>
    <row r="315" spans="1:25">
      <c r="A315" s="1092"/>
      <c r="B315" s="1092"/>
      <c r="C315" s="1092"/>
      <c r="D315" s="423" t="s">
        <v>764</v>
      </c>
      <c r="E315" s="1092"/>
      <c r="F315" s="1092"/>
      <c r="G315" s="1092"/>
      <c r="H315" s="1092"/>
      <c r="I315" s="1092"/>
      <c r="J315" s="1092"/>
      <c r="K315" s="1092"/>
      <c r="L315" s="1092"/>
      <c r="M315" s="1092"/>
      <c r="N315" s="1092"/>
      <c r="O315" s="1092"/>
      <c r="P315" s="1092"/>
      <c r="Q315" s="1092"/>
    </row>
    <row r="316" spans="1:25">
      <c r="A316" s="1092"/>
      <c r="B316" s="1092"/>
      <c r="C316" s="1092"/>
      <c r="D316" s="423" t="s">
        <v>765</v>
      </c>
      <c r="E316" s="1092"/>
      <c r="F316" s="1092"/>
      <c r="G316" s="1092"/>
      <c r="H316" s="1092"/>
      <c r="I316" s="1092"/>
      <c r="J316" s="1092"/>
      <c r="K316" s="1092"/>
      <c r="L316" s="1092"/>
      <c r="M316" s="1092"/>
      <c r="N316" s="1092"/>
      <c r="O316" s="1092"/>
      <c r="P316" s="1092"/>
      <c r="Q316" s="1092"/>
    </row>
    <row r="317" spans="1:25">
      <c r="A317" s="1092"/>
      <c r="B317" s="1092"/>
      <c r="C317" s="1092"/>
      <c r="D317" s="423" t="s">
        <v>766</v>
      </c>
      <c r="E317" s="1092"/>
      <c r="F317" s="1092"/>
      <c r="G317" s="1092"/>
      <c r="H317" s="1092"/>
      <c r="I317" s="1092"/>
      <c r="J317" s="1092"/>
      <c r="K317" s="1092"/>
      <c r="L317" s="1092"/>
      <c r="M317" s="1092"/>
      <c r="N317" s="1092"/>
      <c r="O317" s="1092"/>
      <c r="P317" s="1092"/>
      <c r="Q317" s="1092"/>
    </row>
    <row r="318" spans="1:25">
      <c r="A318" s="423" t="s">
        <v>767</v>
      </c>
      <c r="B318" s="1092"/>
      <c r="C318" s="424" t="s">
        <v>46</v>
      </c>
      <c r="D318" s="423" t="s">
        <v>768</v>
      </c>
      <c r="E318" s="1092"/>
      <c r="F318" s="1092"/>
      <c r="G318" s="1092"/>
      <c r="H318" s="1092"/>
      <c r="I318" s="1092"/>
      <c r="J318" s="1092"/>
      <c r="K318" s="1092"/>
      <c r="L318" s="1092"/>
      <c r="M318" s="1092"/>
      <c r="N318" s="1092"/>
      <c r="O318" s="1092"/>
      <c r="P318" s="1092"/>
      <c r="Q318" s="1092"/>
    </row>
    <row r="319" spans="1:25">
      <c r="A319" s="423"/>
      <c r="B319" s="1092"/>
      <c r="C319" s="424"/>
      <c r="D319" s="423" t="s">
        <v>769</v>
      </c>
      <c r="E319" s="1092"/>
      <c r="F319" s="1092"/>
      <c r="G319" s="1092"/>
      <c r="H319" s="1092"/>
      <c r="I319" s="1092"/>
      <c r="J319" s="1092"/>
      <c r="K319" s="1092"/>
      <c r="L319" s="1092"/>
      <c r="M319" s="1092"/>
      <c r="N319" s="1092"/>
      <c r="O319" s="1092"/>
      <c r="P319" s="1092"/>
      <c r="Q319" s="1092"/>
    </row>
    <row r="320" spans="1:25">
      <c r="A320" s="423"/>
      <c r="B320" s="1092"/>
      <c r="C320" s="424"/>
      <c r="D320" s="425" t="s">
        <v>313</v>
      </c>
      <c r="E320" s="423" t="s">
        <v>770</v>
      </c>
      <c r="F320" s="1092"/>
      <c r="G320" s="1092"/>
      <c r="H320" s="1092"/>
      <c r="I320" s="1092"/>
      <c r="J320" s="1092"/>
      <c r="K320" s="1092"/>
      <c r="L320" s="1092"/>
      <c r="M320" s="1092"/>
      <c r="N320" s="1092"/>
      <c r="O320" s="1092"/>
      <c r="P320" s="1092"/>
      <c r="Q320" s="1092"/>
    </row>
    <row r="321" spans="1:17">
      <c r="A321" s="1092"/>
      <c r="B321" s="1092"/>
      <c r="C321" s="1092"/>
      <c r="E321" s="423" t="s">
        <v>771</v>
      </c>
      <c r="F321" s="1092"/>
      <c r="G321" s="1092"/>
      <c r="H321" s="1092"/>
      <c r="I321" s="1092"/>
      <c r="J321" s="1092"/>
      <c r="K321" s="1092"/>
      <c r="L321" s="1092"/>
      <c r="M321" s="1092"/>
      <c r="N321" s="1092"/>
      <c r="O321" s="1092"/>
      <c r="P321" s="1092"/>
      <c r="Q321" s="1092"/>
    </row>
    <row r="322" spans="1:17" ht="15.75" customHeight="1">
      <c r="A322" s="1092"/>
      <c r="B322" s="1092"/>
      <c r="C322" s="1092"/>
      <c r="E322" s="423" t="s">
        <v>772</v>
      </c>
      <c r="F322" s="1092"/>
      <c r="G322" s="1092"/>
      <c r="H322" s="1092"/>
      <c r="I322" s="1092"/>
      <c r="J322" s="1092"/>
      <c r="K322" s="1092"/>
      <c r="L322" s="1092"/>
      <c r="M322" s="1092"/>
      <c r="N322" s="1092"/>
      <c r="O322" s="1092"/>
      <c r="P322" s="1092"/>
      <c r="Q322" s="1092"/>
    </row>
    <row r="323" spans="1:17">
      <c r="A323" s="1092"/>
      <c r="B323" s="1092"/>
      <c r="C323" s="1092"/>
      <c r="E323" s="423" t="s">
        <v>773</v>
      </c>
      <c r="F323" s="1092"/>
      <c r="G323" s="1092"/>
      <c r="H323" s="1092"/>
      <c r="I323" s="1092"/>
      <c r="J323" s="1092"/>
      <c r="K323" s="1092"/>
      <c r="L323" s="1092"/>
      <c r="M323" s="1092"/>
      <c r="N323" s="1092"/>
      <c r="O323" s="1092"/>
      <c r="P323" s="1092"/>
      <c r="Q323" s="1092"/>
    </row>
    <row r="324" spans="1:17">
      <c r="A324" s="1092"/>
      <c r="B324" s="1092"/>
      <c r="C324" s="1092"/>
      <c r="E324" s="423" t="s">
        <v>774</v>
      </c>
      <c r="F324" s="1092"/>
      <c r="G324" s="1092"/>
      <c r="H324" s="1092"/>
      <c r="I324" s="1092"/>
      <c r="J324" s="1092"/>
      <c r="K324" s="1092"/>
      <c r="L324" s="1092"/>
      <c r="M324" s="1092"/>
      <c r="N324" s="1092"/>
      <c r="O324" s="1092"/>
      <c r="P324" s="1092"/>
      <c r="Q324" s="1092"/>
    </row>
    <row r="325" spans="1:17">
      <c r="A325" s="1092"/>
      <c r="B325" s="1092"/>
      <c r="C325" s="1092"/>
      <c r="D325" s="425" t="s">
        <v>313</v>
      </c>
      <c r="E325" s="423" t="s">
        <v>775</v>
      </c>
      <c r="F325" s="1092"/>
      <c r="G325" s="1092"/>
      <c r="H325" s="1092"/>
      <c r="I325" s="1092"/>
      <c r="J325" s="1092"/>
      <c r="K325" s="1092"/>
      <c r="L325" s="1092"/>
      <c r="M325" s="1092"/>
      <c r="N325" s="1092"/>
      <c r="O325" s="1092"/>
      <c r="P325" s="1092"/>
      <c r="Q325" s="1092"/>
    </row>
    <row r="326" spans="1:17">
      <c r="A326" s="1092"/>
      <c r="B326" s="1092"/>
      <c r="C326" s="1092"/>
      <c r="D326" s="1092"/>
      <c r="E326" s="423" t="s">
        <v>776</v>
      </c>
      <c r="F326" s="1092"/>
      <c r="G326" s="1092"/>
      <c r="H326" s="1092"/>
      <c r="I326" s="1092"/>
      <c r="J326" s="1092"/>
      <c r="K326" s="1092"/>
      <c r="L326" s="1092"/>
      <c r="M326" s="1092"/>
      <c r="N326" s="1092"/>
      <c r="O326" s="1092"/>
      <c r="P326" s="1092"/>
      <c r="Q326" s="1092"/>
    </row>
    <row r="327" spans="1:17">
      <c r="A327" s="1092"/>
      <c r="B327" s="1092"/>
      <c r="C327" s="1092"/>
      <c r="E327" s="423" t="s">
        <v>777</v>
      </c>
      <c r="F327" s="1092"/>
      <c r="G327" s="1092"/>
      <c r="H327" s="1092"/>
      <c r="I327" s="1092"/>
      <c r="J327" s="1092"/>
      <c r="K327" s="1092"/>
      <c r="L327" s="1092"/>
      <c r="M327" s="1092"/>
      <c r="N327" s="1092"/>
      <c r="O327" s="1092"/>
      <c r="P327" s="1092"/>
      <c r="Q327" s="1092"/>
    </row>
    <row r="328" spans="1:17">
      <c r="A328" s="1092"/>
      <c r="B328" s="1092"/>
      <c r="C328" s="1092"/>
      <c r="D328" s="1092"/>
      <c r="E328" s="423" t="s">
        <v>778</v>
      </c>
      <c r="F328" s="1092"/>
      <c r="G328" s="1092"/>
      <c r="H328" s="1092"/>
      <c r="I328" s="1092"/>
      <c r="J328" s="1092"/>
      <c r="K328" s="1092"/>
      <c r="L328" s="1092"/>
      <c r="M328" s="1092"/>
      <c r="N328" s="1092"/>
      <c r="O328" s="1092"/>
      <c r="P328" s="1092"/>
      <c r="Q328" s="1092"/>
    </row>
    <row r="329" spans="1:17">
      <c r="A329" s="1092"/>
      <c r="B329" s="1092"/>
      <c r="C329" s="1092"/>
      <c r="D329" s="1092"/>
      <c r="E329" s="423" t="s">
        <v>779</v>
      </c>
      <c r="F329" s="1092"/>
      <c r="G329" s="1092"/>
      <c r="H329" s="1092"/>
      <c r="I329" s="1092"/>
      <c r="J329" s="1092"/>
      <c r="K329" s="1092"/>
      <c r="L329" s="1092"/>
      <c r="M329" s="1092"/>
      <c r="N329" s="1092"/>
      <c r="O329" s="1092"/>
      <c r="P329" s="1092"/>
      <c r="Q329" s="1092"/>
    </row>
    <row r="330" spans="1:17">
      <c r="A330" s="1092"/>
      <c r="B330" s="1092"/>
      <c r="C330" s="1092"/>
      <c r="D330" s="425" t="s">
        <v>313</v>
      </c>
      <c r="E330" s="423" t="s">
        <v>780</v>
      </c>
      <c r="F330" s="1092"/>
      <c r="G330" s="1092"/>
      <c r="H330" s="1092"/>
      <c r="I330" s="1092"/>
      <c r="J330" s="1092"/>
      <c r="K330" s="1092"/>
      <c r="L330" s="1092"/>
      <c r="M330" s="1092"/>
      <c r="N330" s="1092"/>
      <c r="O330" s="1092"/>
      <c r="P330" s="1092"/>
      <c r="Q330" s="1092"/>
    </row>
    <row r="331" spans="1:17">
      <c r="A331" s="1092"/>
      <c r="B331" s="1092"/>
      <c r="C331" s="1092"/>
      <c r="D331" s="1092"/>
      <c r="E331" s="423" t="s">
        <v>781</v>
      </c>
      <c r="F331" s="1092"/>
      <c r="G331" s="1092"/>
      <c r="H331" s="1092"/>
      <c r="I331" s="1092"/>
      <c r="J331" s="1092"/>
      <c r="K331" s="1092"/>
      <c r="L331" s="1092"/>
      <c r="M331" s="1092"/>
      <c r="N331" s="1092"/>
      <c r="O331" s="1092"/>
      <c r="P331" s="1092"/>
      <c r="Q331" s="1092"/>
    </row>
    <row r="332" spans="1:17">
      <c r="A332" s="1092"/>
      <c r="B332" s="1092"/>
      <c r="C332" s="1092"/>
      <c r="D332" s="1092"/>
      <c r="E332" s="423" t="s">
        <v>782</v>
      </c>
      <c r="F332" s="1092"/>
      <c r="G332" s="1092"/>
      <c r="H332" s="1092"/>
      <c r="I332" s="1092"/>
      <c r="J332" s="1092"/>
      <c r="K332" s="1092"/>
      <c r="L332" s="1092"/>
      <c r="M332" s="1092"/>
      <c r="N332" s="1092"/>
      <c r="O332" s="1092"/>
      <c r="P332" s="1092"/>
      <c r="Q332" s="1092"/>
    </row>
    <row r="333" spans="1:17">
      <c r="A333" s="1092"/>
      <c r="B333" s="1092"/>
      <c r="C333" s="1092"/>
      <c r="D333" s="1092"/>
      <c r="E333" s="423" t="s">
        <v>783</v>
      </c>
      <c r="F333" s="1092"/>
      <c r="G333" s="1092"/>
      <c r="H333" s="1092"/>
      <c r="I333" s="1092"/>
      <c r="J333" s="1092"/>
      <c r="K333" s="1092"/>
      <c r="L333" s="1092"/>
      <c r="M333" s="1092"/>
      <c r="N333" s="1092"/>
      <c r="O333" s="1092"/>
      <c r="P333" s="1092"/>
      <c r="Q333" s="1092"/>
    </row>
    <row r="334" spans="1:17">
      <c r="A334" s="423" t="s">
        <v>784</v>
      </c>
      <c r="B334" s="1092"/>
      <c r="C334" s="424" t="s">
        <v>46</v>
      </c>
      <c r="D334" s="423" t="s">
        <v>785</v>
      </c>
      <c r="E334" s="1092"/>
      <c r="F334" s="1092"/>
      <c r="G334" s="1092"/>
      <c r="H334" s="1092"/>
      <c r="I334" s="1092"/>
      <c r="J334" s="1092"/>
      <c r="K334" s="1092"/>
      <c r="L334" s="1092"/>
      <c r="M334" s="1092"/>
      <c r="N334" s="1092"/>
      <c r="O334" s="1092"/>
      <c r="P334" s="1092"/>
      <c r="Q334" s="1092"/>
    </row>
    <row r="335" spans="1:17">
      <c r="A335" s="423" t="s">
        <v>786</v>
      </c>
      <c r="B335" s="423"/>
      <c r="C335" s="425" t="s">
        <v>46</v>
      </c>
      <c r="D335" s="423" t="s">
        <v>787</v>
      </c>
      <c r="E335" s="423"/>
      <c r="F335" s="423"/>
      <c r="G335" s="423"/>
      <c r="H335" s="423"/>
      <c r="I335" s="1092"/>
      <c r="J335" s="1092"/>
      <c r="K335" s="1092"/>
      <c r="L335" s="1092"/>
      <c r="M335" s="1092"/>
      <c r="N335" s="1092"/>
      <c r="O335" s="1092"/>
      <c r="P335" s="1092"/>
      <c r="Q335" s="1092"/>
    </row>
    <row r="336" spans="1:17">
      <c r="A336" s="423"/>
      <c r="B336" s="423"/>
      <c r="C336" s="423"/>
      <c r="D336" s="423" t="s">
        <v>788</v>
      </c>
      <c r="E336" s="423"/>
      <c r="F336" s="423"/>
      <c r="G336" s="423"/>
      <c r="H336" s="423"/>
      <c r="I336" s="1092"/>
      <c r="J336" s="1092"/>
      <c r="K336" s="1092"/>
      <c r="L336" s="1092"/>
      <c r="M336" s="1092"/>
      <c r="N336" s="1092"/>
      <c r="O336" s="1092"/>
      <c r="P336" s="1092"/>
      <c r="Q336" s="1092"/>
    </row>
    <row r="337" spans="1:24">
      <c r="A337" s="426" t="s">
        <v>789</v>
      </c>
      <c r="B337" s="426"/>
      <c r="C337" s="427" t="s">
        <v>46</v>
      </c>
      <c r="D337" s="426" t="s">
        <v>790</v>
      </c>
      <c r="E337" s="426"/>
      <c r="F337" s="426"/>
      <c r="G337" s="426"/>
      <c r="H337" s="426"/>
      <c r="I337" s="426"/>
      <c r="J337" s="426"/>
      <c r="K337" s="426"/>
      <c r="L337" s="426"/>
      <c r="M337" s="426"/>
      <c r="N337" s="426"/>
      <c r="O337" s="426"/>
      <c r="P337" s="426"/>
      <c r="Q337" s="426"/>
    </row>
    <row r="338" spans="1:24">
      <c r="A338" s="426"/>
      <c r="B338" s="426"/>
      <c r="C338" s="427"/>
      <c r="D338" s="426" t="s">
        <v>791</v>
      </c>
      <c r="E338" s="426"/>
      <c r="F338" s="426"/>
      <c r="G338" s="426"/>
      <c r="H338" s="426"/>
      <c r="I338" s="426"/>
      <c r="J338" s="426"/>
      <c r="K338" s="426"/>
      <c r="L338" s="426"/>
      <c r="M338" s="426"/>
      <c r="N338" s="426"/>
      <c r="O338" s="426"/>
      <c r="P338" s="426"/>
      <c r="Q338" s="426"/>
    </row>
    <row r="339" spans="1:24">
      <c r="A339" s="426" t="s">
        <v>792</v>
      </c>
      <c r="B339" s="428"/>
      <c r="C339" s="552" t="s">
        <v>46</v>
      </c>
      <c r="D339" s="426" t="s">
        <v>793</v>
      </c>
      <c r="E339" s="428"/>
      <c r="F339" s="428"/>
      <c r="G339" s="428"/>
      <c r="H339" s="428"/>
      <c r="I339" s="428"/>
      <c r="J339" s="428"/>
      <c r="K339" s="428"/>
      <c r="L339" s="428"/>
      <c r="M339" s="428"/>
      <c r="N339" s="428"/>
      <c r="O339" s="428"/>
      <c r="P339" s="428"/>
      <c r="Q339" s="428"/>
    </row>
    <row r="340" spans="1:24">
      <c r="A340" s="429" t="s">
        <v>794</v>
      </c>
      <c r="B340" s="426"/>
      <c r="C340" s="427" t="s">
        <v>46</v>
      </c>
      <c r="D340" s="426" t="s">
        <v>795</v>
      </c>
      <c r="E340" s="426"/>
      <c r="F340" s="426"/>
      <c r="G340" s="426"/>
      <c r="H340" s="426"/>
      <c r="I340" s="426"/>
      <c r="J340" s="426"/>
      <c r="K340" s="426"/>
      <c r="L340" s="426"/>
      <c r="M340" s="426"/>
      <c r="N340" s="426"/>
      <c r="O340" s="426"/>
      <c r="P340" s="426"/>
      <c r="Q340" s="426"/>
    </row>
    <row r="345" spans="1:24">
      <c r="R345" s="422"/>
      <c r="S345" s="422"/>
      <c r="T345" s="422"/>
      <c r="U345" s="422"/>
      <c r="V345" s="422"/>
      <c r="W345" s="1133"/>
      <c r="X345" s="1133"/>
    </row>
    <row r="354" spans="18:24">
      <c r="R354" s="422"/>
      <c r="S354" s="422"/>
      <c r="T354" s="422"/>
      <c r="U354" s="422"/>
      <c r="V354" s="422"/>
      <c r="W354" s="1133"/>
      <c r="X354" s="1133"/>
    </row>
    <row r="363" spans="18:24">
      <c r="R363" s="422"/>
      <c r="S363" s="422"/>
      <c r="T363" s="422"/>
      <c r="U363" s="422"/>
      <c r="V363" s="422"/>
      <c r="W363" s="1133"/>
      <c r="X363" s="1133"/>
    </row>
    <row r="370" spans="1:24" s="422" customFormat="1">
      <c r="A370" s="419"/>
      <c r="B370" s="419"/>
      <c r="C370" s="419"/>
      <c r="D370" s="419"/>
      <c r="E370" s="419"/>
      <c r="F370" s="419"/>
      <c r="G370" s="419"/>
      <c r="H370" s="419"/>
      <c r="I370" s="419"/>
      <c r="J370" s="419"/>
      <c r="K370" s="419"/>
      <c r="L370" s="419"/>
      <c r="M370" s="419"/>
      <c r="N370" s="419"/>
      <c r="O370" s="419"/>
      <c r="P370" s="419"/>
      <c r="Q370" s="419"/>
      <c r="R370" s="419"/>
      <c r="S370" s="419"/>
      <c r="T370" s="419"/>
      <c r="U370" s="419"/>
      <c r="V370" s="419"/>
      <c r="W370" s="1130"/>
      <c r="X370" s="1130"/>
    </row>
    <row r="371" spans="1:24" s="422" customFormat="1">
      <c r="A371" s="419"/>
      <c r="B371" s="419"/>
      <c r="C371" s="419"/>
      <c r="D371" s="419"/>
      <c r="E371" s="419"/>
      <c r="F371" s="419"/>
      <c r="G371" s="419"/>
      <c r="H371" s="419"/>
      <c r="I371" s="419"/>
      <c r="J371" s="419"/>
      <c r="K371" s="419"/>
      <c r="L371" s="419"/>
      <c r="M371" s="419"/>
      <c r="N371" s="419"/>
      <c r="O371" s="419"/>
      <c r="P371" s="419"/>
      <c r="Q371" s="419"/>
      <c r="R371" s="419"/>
      <c r="S371" s="419"/>
      <c r="T371" s="419"/>
      <c r="U371" s="419"/>
      <c r="V371" s="419"/>
      <c r="W371" s="1130"/>
      <c r="X371" s="1130"/>
    </row>
    <row r="372" spans="1:24" s="422" customFormat="1">
      <c r="A372" s="419"/>
      <c r="B372" s="419"/>
      <c r="C372" s="419"/>
      <c r="D372" s="419"/>
      <c r="E372" s="419"/>
      <c r="F372" s="419"/>
      <c r="G372" s="419"/>
      <c r="H372" s="419"/>
      <c r="I372" s="419"/>
      <c r="J372" s="419"/>
      <c r="K372" s="419"/>
      <c r="L372" s="419"/>
      <c r="M372" s="419"/>
      <c r="N372" s="419"/>
      <c r="O372" s="419"/>
      <c r="P372" s="419"/>
      <c r="Q372" s="419"/>
      <c r="R372" s="419"/>
      <c r="S372" s="419"/>
      <c r="T372" s="419"/>
      <c r="U372" s="419"/>
      <c r="V372" s="419"/>
      <c r="W372" s="1130"/>
      <c r="X372" s="1130"/>
    </row>
    <row r="375" spans="1:24">
      <c r="R375" s="422"/>
      <c r="S375" s="422"/>
      <c r="T375" s="422"/>
      <c r="U375" s="422"/>
      <c r="V375" s="422"/>
      <c r="W375" s="1133"/>
      <c r="X375" s="1133"/>
    </row>
    <row r="381" spans="1:24" s="422" customFormat="1">
      <c r="A381" s="419"/>
      <c r="B381" s="419"/>
      <c r="C381" s="419"/>
      <c r="D381" s="419"/>
      <c r="E381" s="419"/>
      <c r="F381" s="419"/>
      <c r="G381" s="419"/>
      <c r="H381" s="419"/>
      <c r="I381" s="419"/>
      <c r="J381" s="419"/>
      <c r="K381" s="419"/>
      <c r="L381" s="419"/>
      <c r="M381" s="419"/>
      <c r="N381" s="419"/>
      <c r="O381" s="419"/>
      <c r="P381" s="419"/>
      <c r="Q381" s="419"/>
      <c r="R381" s="419"/>
      <c r="S381" s="419"/>
      <c r="T381" s="419"/>
      <c r="U381" s="419"/>
      <c r="V381" s="419"/>
      <c r="W381" s="1130"/>
      <c r="X381" s="1130"/>
    </row>
    <row r="387" spans="1:24">
      <c r="R387" s="422"/>
      <c r="S387" s="422"/>
      <c r="T387" s="422"/>
      <c r="U387" s="422"/>
      <c r="V387" s="422"/>
      <c r="W387" s="1133"/>
      <c r="X387" s="1133"/>
    </row>
    <row r="388" spans="1:24">
      <c r="R388" s="422"/>
      <c r="S388" s="422"/>
      <c r="T388" s="422"/>
      <c r="U388" s="422"/>
      <c r="V388" s="422"/>
      <c r="W388" s="1133"/>
      <c r="X388" s="1133"/>
    </row>
    <row r="390" spans="1:24" s="422" customFormat="1">
      <c r="A390" s="419"/>
      <c r="B390" s="419"/>
      <c r="C390" s="419"/>
      <c r="D390" s="419"/>
      <c r="E390" s="419"/>
      <c r="F390" s="419"/>
      <c r="G390" s="419"/>
      <c r="H390" s="419"/>
      <c r="I390" s="419"/>
      <c r="J390" s="419"/>
      <c r="K390" s="419"/>
      <c r="L390" s="419"/>
      <c r="M390" s="419"/>
      <c r="N390" s="419"/>
      <c r="O390" s="419"/>
      <c r="P390" s="419"/>
      <c r="Q390" s="419"/>
      <c r="R390" s="419"/>
      <c r="S390" s="419"/>
      <c r="T390" s="419"/>
      <c r="U390" s="419"/>
      <c r="V390" s="419"/>
      <c r="W390" s="1130"/>
      <c r="X390" s="1130"/>
    </row>
    <row r="392" spans="1:24">
      <c r="R392" s="422"/>
      <c r="S392" s="422"/>
      <c r="T392" s="422"/>
      <c r="U392" s="422"/>
      <c r="V392" s="422"/>
      <c r="W392" s="1133"/>
      <c r="X392" s="1133"/>
    </row>
    <row r="399" spans="1:24">
      <c r="R399" s="422"/>
      <c r="S399" s="422"/>
      <c r="T399" s="422"/>
      <c r="U399" s="422"/>
      <c r="V399" s="422"/>
      <c r="W399" s="1133"/>
      <c r="X399" s="1133"/>
    </row>
    <row r="402" spans="1:24" s="422" customFormat="1">
      <c r="A402" s="419"/>
      <c r="B402" s="419"/>
      <c r="C402" s="419"/>
      <c r="D402" s="419"/>
      <c r="E402" s="419"/>
      <c r="F402" s="419"/>
      <c r="G402" s="419"/>
      <c r="H402" s="419"/>
      <c r="I402" s="419"/>
      <c r="J402" s="419"/>
      <c r="K402" s="419"/>
      <c r="L402" s="419"/>
      <c r="M402" s="419"/>
      <c r="N402" s="419"/>
      <c r="O402" s="419"/>
      <c r="P402" s="419"/>
      <c r="Q402" s="419"/>
      <c r="R402" s="419"/>
      <c r="S402" s="419"/>
      <c r="T402" s="419"/>
      <c r="U402" s="419"/>
      <c r="V402" s="419"/>
      <c r="W402" s="1130"/>
      <c r="X402" s="1130"/>
    </row>
    <row r="414" spans="1:24" s="422" customFormat="1">
      <c r="A414" s="419"/>
      <c r="B414" s="419"/>
      <c r="C414" s="419"/>
      <c r="D414" s="419"/>
      <c r="E414" s="419"/>
      <c r="F414" s="419"/>
      <c r="G414" s="419"/>
      <c r="H414" s="419"/>
      <c r="I414" s="419"/>
      <c r="J414" s="419"/>
      <c r="K414" s="419"/>
      <c r="L414" s="419"/>
      <c r="M414" s="419"/>
      <c r="N414" s="419"/>
      <c r="O414" s="419"/>
      <c r="P414" s="419"/>
      <c r="Q414" s="419"/>
      <c r="R414" s="419"/>
      <c r="S414" s="419"/>
      <c r="T414" s="419"/>
      <c r="U414" s="419"/>
      <c r="V414" s="419"/>
      <c r="W414" s="1130"/>
      <c r="X414" s="1130"/>
    </row>
    <row r="415" spans="1:24" s="422" customFormat="1">
      <c r="A415" s="419"/>
      <c r="B415" s="419"/>
      <c r="C415" s="419"/>
      <c r="D415" s="419"/>
      <c r="E415" s="419"/>
      <c r="F415" s="419"/>
      <c r="G415" s="419"/>
      <c r="H415" s="419"/>
      <c r="I415" s="419"/>
      <c r="J415" s="419"/>
      <c r="K415" s="419"/>
      <c r="L415" s="419"/>
      <c r="M415" s="419"/>
      <c r="N415" s="419"/>
      <c r="O415" s="419"/>
      <c r="P415" s="419"/>
      <c r="Q415" s="419"/>
      <c r="R415" s="419"/>
      <c r="S415" s="419"/>
      <c r="T415" s="419"/>
      <c r="U415" s="419"/>
      <c r="V415" s="419"/>
      <c r="W415" s="1130"/>
      <c r="X415" s="1130"/>
    </row>
    <row r="416" spans="1:24">
      <c r="R416" s="422"/>
      <c r="S416" s="422"/>
      <c r="T416" s="422"/>
      <c r="U416" s="422"/>
      <c r="V416" s="422"/>
      <c r="W416" s="1133"/>
      <c r="X416" s="1133"/>
    </row>
    <row r="419" spans="1:24" s="422" customFormat="1">
      <c r="A419" s="419"/>
      <c r="B419" s="419"/>
      <c r="C419" s="419"/>
      <c r="D419" s="419"/>
      <c r="E419" s="419"/>
      <c r="F419" s="419"/>
      <c r="G419" s="419"/>
      <c r="H419" s="419"/>
      <c r="I419" s="419"/>
      <c r="J419" s="419"/>
      <c r="K419" s="419"/>
      <c r="L419" s="419"/>
      <c r="M419" s="419"/>
      <c r="N419" s="419"/>
      <c r="O419" s="419"/>
      <c r="P419" s="419"/>
      <c r="Q419" s="419"/>
      <c r="R419" s="419"/>
      <c r="S419" s="419"/>
      <c r="T419" s="419"/>
      <c r="U419" s="419"/>
      <c r="V419" s="419"/>
      <c r="W419" s="1130"/>
      <c r="X419" s="1130"/>
    </row>
    <row r="426" spans="1:24" s="422" customFormat="1">
      <c r="A426" s="419"/>
      <c r="B426" s="419"/>
      <c r="C426" s="419"/>
      <c r="D426" s="419"/>
      <c r="E426" s="419"/>
      <c r="F426" s="419"/>
      <c r="G426" s="419"/>
      <c r="H426" s="419"/>
      <c r="I426" s="419"/>
      <c r="J426" s="419"/>
      <c r="K426" s="419"/>
      <c r="L426" s="419"/>
      <c r="M426" s="419"/>
      <c r="N426" s="419"/>
      <c r="O426" s="419"/>
      <c r="P426" s="419"/>
      <c r="Q426" s="419"/>
      <c r="R426" s="419"/>
      <c r="S426" s="419"/>
      <c r="T426" s="419"/>
      <c r="U426" s="419"/>
      <c r="V426" s="419"/>
      <c r="W426" s="1130"/>
      <c r="X426" s="1130"/>
    </row>
    <row r="443" spans="1:24" s="422" customFormat="1">
      <c r="A443" s="419"/>
      <c r="B443" s="419"/>
      <c r="C443" s="419"/>
      <c r="D443" s="419"/>
      <c r="E443" s="419"/>
      <c r="F443" s="419"/>
      <c r="G443" s="419"/>
      <c r="H443" s="419"/>
      <c r="I443" s="419"/>
      <c r="J443" s="419"/>
      <c r="K443" s="419"/>
      <c r="L443" s="419"/>
      <c r="M443" s="419"/>
      <c r="N443" s="419"/>
      <c r="O443" s="419"/>
      <c r="P443" s="419"/>
      <c r="Q443" s="419"/>
      <c r="R443" s="419"/>
      <c r="S443" s="419"/>
      <c r="T443" s="419"/>
      <c r="U443" s="419"/>
      <c r="V443" s="419"/>
      <c r="W443" s="1130"/>
      <c r="X443" s="1130"/>
    </row>
    <row r="497" spans="18:24">
      <c r="R497" s="422"/>
      <c r="S497" s="422"/>
      <c r="T497" s="422"/>
      <c r="U497" s="422"/>
      <c r="V497" s="422"/>
      <c r="W497" s="1133"/>
      <c r="X497" s="1133"/>
    </row>
    <row r="512" spans="18:24">
      <c r="R512" s="422"/>
      <c r="S512" s="422"/>
      <c r="T512" s="422"/>
      <c r="U512" s="422"/>
      <c r="V512" s="422"/>
      <c r="W512" s="1133"/>
      <c r="X512" s="1133"/>
    </row>
    <row r="513" spans="1:24">
      <c r="R513" s="544"/>
      <c r="S513" s="544"/>
      <c r="T513" s="544"/>
      <c r="U513" s="544"/>
      <c r="V513" s="544"/>
      <c r="W513" s="1134"/>
      <c r="X513" s="1134"/>
    </row>
    <row r="514" spans="1:24">
      <c r="R514" s="420"/>
      <c r="S514" s="420"/>
      <c r="T514" s="420"/>
      <c r="U514" s="420"/>
      <c r="V514" s="420"/>
      <c r="W514" s="1135"/>
      <c r="X514" s="1135"/>
    </row>
    <row r="524" spans="1:24" s="422" customFormat="1">
      <c r="A524" s="419"/>
      <c r="B524" s="419"/>
      <c r="C524" s="419"/>
      <c r="D524" s="419"/>
      <c r="E524" s="419"/>
      <c r="F524" s="419"/>
      <c r="G524" s="419"/>
      <c r="H524" s="419"/>
      <c r="I524" s="419"/>
      <c r="J524" s="419"/>
      <c r="K524" s="419"/>
      <c r="L524" s="419"/>
      <c r="M524" s="419"/>
      <c r="N524" s="419"/>
      <c r="O524" s="419"/>
      <c r="P524" s="419"/>
      <c r="Q524" s="419"/>
      <c r="R524" s="419"/>
      <c r="S524" s="419"/>
      <c r="T524" s="419"/>
      <c r="U524" s="419"/>
      <c r="V524" s="419"/>
      <c r="W524" s="1130"/>
      <c r="X524" s="1130"/>
    </row>
    <row r="533" spans="1:28">
      <c r="R533" s="540"/>
      <c r="S533" s="540"/>
      <c r="T533" s="540"/>
      <c r="U533" s="540"/>
      <c r="V533" s="540"/>
      <c r="W533" s="1136"/>
      <c r="X533" s="1136"/>
    </row>
    <row r="539" spans="1:28" s="422" customFormat="1">
      <c r="A539" s="419"/>
      <c r="B539" s="419"/>
      <c r="C539" s="419"/>
      <c r="D539" s="419"/>
      <c r="E539" s="419"/>
      <c r="F539" s="419"/>
      <c r="G539" s="419"/>
      <c r="H539" s="419"/>
      <c r="I539" s="419"/>
      <c r="J539" s="419"/>
      <c r="K539" s="419"/>
      <c r="L539" s="419"/>
      <c r="M539" s="419"/>
      <c r="N539" s="419"/>
      <c r="O539" s="419"/>
      <c r="P539" s="419"/>
      <c r="Q539" s="419"/>
      <c r="R539" s="419"/>
      <c r="S539" s="419"/>
      <c r="T539" s="419"/>
      <c r="U539" s="419"/>
      <c r="V539" s="419"/>
      <c r="W539" s="1130"/>
      <c r="X539" s="1130"/>
    </row>
    <row r="540" spans="1:28" s="544" customFormat="1">
      <c r="A540" s="419"/>
      <c r="B540" s="419"/>
      <c r="C540" s="419"/>
      <c r="D540" s="419"/>
      <c r="E540" s="419"/>
      <c r="F540" s="419"/>
      <c r="G540" s="419"/>
      <c r="H540" s="419"/>
      <c r="I540" s="419"/>
      <c r="J540" s="419"/>
      <c r="K540" s="419"/>
      <c r="L540" s="419"/>
      <c r="M540" s="419"/>
      <c r="N540" s="419"/>
      <c r="O540" s="419"/>
      <c r="P540" s="419"/>
      <c r="Q540" s="419"/>
      <c r="R540" s="419"/>
      <c r="S540" s="419"/>
      <c r="T540" s="419"/>
      <c r="U540" s="419"/>
      <c r="V540" s="419"/>
      <c r="W540" s="1130"/>
      <c r="X540" s="1130"/>
      <c r="AA540" s="544">
        <v>111823000</v>
      </c>
      <c r="AB540" s="547">
        <f>AA540-I195</f>
        <v>52553000</v>
      </c>
    </row>
    <row r="541" spans="1:28" s="420" customFormat="1">
      <c r="A541" s="419"/>
      <c r="B541" s="419"/>
      <c r="C541" s="419"/>
      <c r="D541" s="419"/>
      <c r="E541" s="419"/>
      <c r="F541" s="419"/>
      <c r="G541" s="419"/>
      <c r="H541" s="419"/>
      <c r="I541" s="419"/>
      <c r="J541" s="419"/>
      <c r="K541" s="419"/>
      <c r="L541" s="419"/>
      <c r="M541" s="419"/>
      <c r="N541" s="419"/>
      <c r="O541" s="419"/>
      <c r="P541" s="419"/>
      <c r="Q541" s="419"/>
      <c r="R541" s="419"/>
      <c r="S541" s="419"/>
      <c r="T541" s="419"/>
      <c r="U541" s="419"/>
      <c r="V541" s="419"/>
      <c r="W541" s="1130"/>
      <c r="X541" s="1130"/>
    </row>
    <row r="560" spans="1:24" s="540" customFormat="1">
      <c r="A560" s="419"/>
      <c r="B560" s="419"/>
      <c r="C560" s="419"/>
      <c r="D560" s="419"/>
      <c r="E560" s="419"/>
      <c r="F560" s="419"/>
      <c r="G560" s="419"/>
      <c r="H560" s="419"/>
      <c r="I560" s="419"/>
      <c r="J560" s="419"/>
      <c r="K560" s="419"/>
      <c r="L560" s="419"/>
      <c r="M560" s="419"/>
      <c r="N560" s="419"/>
      <c r="O560" s="419"/>
      <c r="P560" s="419"/>
      <c r="Q560" s="419"/>
      <c r="R560" s="419"/>
      <c r="S560" s="419"/>
      <c r="T560" s="419"/>
      <c r="U560" s="419"/>
      <c r="V560" s="419"/>
      <c r="W560" s="1130"/>
      <c r="X560" s="1130"/>
    </row>
    <row r="616" spans="18:24">
      <c r="R616" s="540"/>
      <c r="S616" s="540"/>
      <c r="T616" s="540"/>
      <c r="U616" s="540"/>
      <c r="V616" s="540"/>
      <c r="W616" s="1136"/>
      <c r="X616" s="1136"/>
    </row>
    <row r="622" spans="18:24">
      <c r="R622" s="419" t="s">
        <v>809</v>
      </c>
    </row>
    <row r="623" spans="18:24">
      <c r="R623" s="419" t="s">
        <v>809</v>
      </c>
    </row>
    <row r="626" spans="18:24">
      <c r="R626" s="419" t="s">
        <v>809</v>
      </c>
    </row>
    <row r="628" spans="18:24">
      <c r="R628" s="419" t="s">
        <v>824</v>
      </c>
    </row>
    <row r="629" spans="18:24">
      <c r="R629" s="419" t="s">
        <v>809</v>
      </c>
    </row>
    <row r="632" spans="18:24">
      <c r="R632" s="422"/>
      <c r="S632" s="422"/>
      <c r="T632" s="422"/>
      <c r="U632" s="422"/>
      <c r="V632" s="422"/>
      <c r="W632" s="1133"/>
      <c r="X632" s="1133"/>
    </row>
    <row r="633" spans="18:24">
      <c r="R633" s="540"/>
      <c r="S633" s="540"/>
      <c r="T633" s="540"/>
      <c r="U633" s="540"/>
      <c r="V633" s="540"/>
      <c r="W633" s="1136"/>
      <c r="X633" s="1136"/>
    </row>
    <row r="641" spans="1:25">
      <c r="R641" s="540" t="s">
        <v>806</v>
      </c>
      <c r="S641" s="540"/>
      <c r="T641" s="540"/>
      <c r="U641" s="540"/>
      <c r="V641" s="540"/>
      <c r="W641" s="1136"/>
      <c r="X641" s="1136"/>
    </row>
    <row r="643" spans="1:25" s="540" customFormat="1">
      <c r="A643" s="419"/>
      <c r="B643" s="419"/>
      <c r="C643" s="419"/>
      <c r="D643" s="419"/>
      <c r="E643" s="419"/>
      <c r="F643" s="419"/>
      <c r="G643" s="419"/>
      <c r="H643" s="419"/>
      <c r="I643" s="419"/>
      <c r="J643" s="419"/>
      <c r="K643" s="419"/>
      <c r="L643" s="419"/>
      <c r="M643" s="419"/>
      <c r="N643" s="419"/>
      <c r="O643" s="419"/>
      <c r="P643" s="419"/>
      <c r="Q643" s="419"/>
      <c r="R643" s="419"/>
      <c r="S643" s="419"/>
      <c r="T643" s="419"/>
      <c r="U643" s="419"/>
      <c r="V643" s="419"/>
      <c r="W643" s="1130"/>
      <c r="X643" s="1130"/>
    </row>
    <row r="650" spans="1:25">
      <c r="Y650" s="541"/>
    </row>
    <row r="659" spans="1:24" s="422" customFormat="1">
      <c r="A659" s="419"/>
      <c r="B659" s="419"/>
      <c r="C659" s="419"/>
      <c r="D659" s="419"/>
      <c r="E659" s="419"/>
      <c r="F659" s="419"/>
      <c r="G659" s="419"/>
      <c r="H659" s="419"/>
      <c r="I659" s="419"/>
      <c r="J659" s="419"/>
      <c r="K659" s="419"/>
      <c r="L659" s="419"/>
      <c r="M659" s="419"/>
      <c r="N659" s="419"/>
      <c r="O659" s="419"/>
      <c r="P659" s="419"/>
      <c r="Q659" s="419"/>
      <c r="R659" s="419"/>
      <c r="S659" s="419"/>
      <c r="T659" s="419"/>
      <c r="U659" s="419"/>
      <c r="V659" s="419"/>
      <c r="W659" s="1130"/>
      <c r="X659" s="1130"/>
    </row>
    <row r="660" spans="1:24" s="540" customFormat="1">
      <c r="A660" s="419"/>
      <c r="B660" s="419"/>
      <c r="C660" s="419"/>
      <c r="D660" s="419"/>
      <c r="E660" s="419"/>
      <c r="F660" s="419"/>
      <c r="G660" s="419"/>
      <c r="H660" s="419"/>
      <c r="I660" s="419"/>
      <c r="J660" s="419"/>
      <c r="K660" s="419"/>
      <c r="L660" s="419"/>
      <c r="M660" s="419"/>
      <c r="N660" s="419"/>
      <c r="O660" s="419"/>
      <c r="P660" s="419"/>
      <c r="Q660" s="419"/>
      <c r="R660" s="419"/>
      <c r="S660" s="419"/>
      <c r="T660" s="419"/>
      <c r="U660" s="419"/>
      <c r="V660" s="419"/>
      <c r="W660" s="1130"/>
      <c r="X660" s="1130"/>
    </row>
    <row r="668" spans="1:24" s="540" customFormat="1">
      <c r="A668" s="419"/>
      <c r="B668" s="419"/>
      <c r="C668" s="419"/>
      <c r="D668" s="419"/>
      <c r="E668" s="419"/>
      <c r="F668" s="419"/>
      <c r="G668" s="419"/>
      <c r="H668" s="419"/>
      <c r="I668" s="419"/>
      <c r="J668" s="419"/>
      <c r="K668" s="419"/>
      <c r="L668" s="419"/>
      <c r="M668" s="419"/>
      <c r="N668" s="419"/>
      <c r="O668" s="419"/>
      <c r="P668" s="419"/>
      <c r="Q668" s="419"/>
      <c r="R668" s="419"/>
      <c r="S668" s="419"/>
      <c r="T668" s="419"/>
      <c r="U668" s="419"/>
      <c r="V668" s="419"/>
      <c r="W668" s="1130"/>
      <c r="X668" s="1130"/>
    </row>
    <row r="674" spans="25:25">
      <c r="Y674" s="541"/>
    </row>
    <row r="699" spans="18:24">
      <c r="R699" s="540"/>
      <c r="S699" s="540"/>
      <c r="T699" s="540"/>
      <c r="U699" s="540"/>
      <c r="V699" s="540"/>
      <c r="W699" s="1136"/>
      <c r="X699" s="1136"/>
    </row>
    <row r="726" spans="1:24" s="540" customFormat="1">
      <c r="A726" s="419"/>
      <c r="B726" s="419"/>
      <c r="C726" s="419"/>
      <c r="D726" s="419"/>
      <c r="E726" s="419"/>
      <c r="F726" s="419"/>
      <c r="G726" s="419"/>
      <c r="H726" s="419"/>
      <c r="I726" s="419"/>
      <c r="J726" s="419"/>
      <c r="K726" s="419"/>
      <c r="L726" s="419"/>
      <c r="M726" s="419"/>
      <c r="N726" s="419"/>
      <c r="O726" s="419"/>
      <c r="P726" s="419"/>
      <c r="Q726" s="419"/>
      <c r="R726" s="419"/>
      <c r="S726" s="419"/>
      <c r="T726" s="419"/>
      <c r="U726" s="419"/>
      <c r="V726" s="419"/>
      <c r="W726" s="1130"/>
      <c r="X726" s="1130"/>
    </row>
    <row r="746" spans="18:24">
      <c r="R746" s="540"/>
      <c r="S746" s="540"/>
      <c r="T746" s="540"/>
      <c r="U746" s="540"/>
      <c r="V746" s="540"/>
      <c r="W746" s="1136"/>
      <c r="X746" s="1136"/>
    </row>
    <row r="764" spans="18:24">
      <c r="R764" s="422"/>
      <c r="S764" s="422"/>
      <c r="T764" s="422"/>
      <c r="U764" s="422"/>
      <c r="V764" s="422"/>
      <c r="W764" s="1133"/>
      <c r="X764" s="1133"/>
    </row>
    <row r="773" spans="1:24" s="540" customFormat="1">
      <c r="A773" s="419"/>
      <c r="B773" s="419"/>
      <c r="C773" s="419"/>
      <c r="D773" s="419"/>
      <c r="E773" s="419"/>
      <c r="F773" s="419"/>
      <c r="G773" s="419"/>
      <c r="H773" s="419"/>
      <c r="I773" s="419"/>
      <c r="J773" s="419"/>
      <c r="K773" s="419"/>
      <c r="L773" s="419"/>
      <c r="M773" s="419"/>
      <c r="N773" s="419"/>
      <c r="O773" s="419"/>
      <c r="P773" s="419"/>
      <c r="Q773" s="419"/>
      <c r="W773" s="1136"/>
      <c r="X773" s="1136"/>
    </row>
    <row r="787" spans="1:24">
      <c r="R787" s="540"/>
      <c r="S787" s="540"/>
      <c r="T787" s="540"/>
      <c r="U787" s="540"/>
      <c r="V787" s="540"/>
      <c r="W787" s="1136"/>
      <c r="X787" s="1136"/>
    </row>
    <row r="791" spans="1:24" s="422" customFormat="1">
      <c r="A791" s="419"/>
      <c r="B791" s="419"/>
      <c r="C791" s="419"/>
      <c r="D791" s="419"/>
      <c r="E791" s="419"/>
      <c r="F791" s="419"/>
      <c r="G791" s="419"/>
      <c r="H791" s="419"/>
      <c r="I791" s="419"/>
      <c r="J791" s="419"/>
      <c r="K791" s="419"/>
      <c r="L791" s="419"/>
      <c r="M791" s="419"/>
      <c r="N791" s="419"/>
      <c r="O791" s="419"/>
      <c r="P791" s="419"/>
      <c r="Q791" s="419"/>
      <c r="R791" s="419"/>
      <c r="S791" s="419"/>
      <c r="T791" s="419"/>
      <c r="U791" s="419"/>
      <c r="V791" s="419"/>
      <c r="W791" s="1130"/>
      <c r="X791" s="1130"/>
    </row>
    <row r="800" spans="1:24" s="540" customFormat="1">
      <c r="A800" s="419"/>
      <c r="B800" s="419"/>
      <c r="C800" s="419"/>
      <c r="D800" s="419"/>
      <c r="E800" s="419"/>
      <c r="F800" s="419"/>
      <c r="G800" s="419"/>
      <c r="H800" s="419"/>
      <c r="I800" s="419"/>
      <c r="J800" s="419"/>
      <c r="K800" s="419"/>
      <c r="L800" s="419"/>
      <c r="M800" s="419"/>
      <c r="N800" s="419"/>
      <c r="O800" s="419"/>
      <c r="P800" s="419"/>
      <c r="Q800" s="419"/>
      <c r="R800" s="419"/>
      <c r="S800" s="419"/>
      <c r="T800" s="419"/>
      <c r="U800" s="419"/>
      <c r="V800" s="419"/>
      <c r="W800" s="1130"/>
      <c r="X800" s="1130"/>
    </row>
    <row r="801" spans="1:24">
      <c r="R801" s="540"/>
      <c r="S801" s="540"/>
      <c r="T801" s="540"/>
      <c r="U801" s="540"/>
      <c r="V801" s="540"/>
      <c r="W801" s="1136"/>
      <c r="X801" s="1136"/>
    </row>
    <row r="814" spans="1:24" s="540" customFormat="1">
      <c r="A814" s="419"/>
      <c r="B814" s="419"/>
      <c r="C814" s="419"/>
      <c r="D814" s="419"/>
      <c r="E814" s="419"/>
      <c r="F814" s="419"/>
      <c r="G814" s="419"/>
      <c r="H814" s="419"/>
      <c r="I814" s="419"/>
      <c r="J814" s="419"/>
      <c r="K814" s="419"/>
      <c r="L814" s="419"/>
      <c r="M814" s="419"/>
      <c r="N814" s="419"/>
      <c r="O814" s="419"/>
      <c r="P814" s="419"/>
      <c r="Q814" s="419"/>
      <c r="R814" s="419"/>
      <c r="S814" s="419"/>
      <c r="T814" s="419"/>
      <c r="U814" s="419"/>
      <c r="V814" s="419"/>
      <c r="W814" s="1130"/>
      <c r="X814" s="1130"/>
    </row>
    <row r="815" spans="1:24">
      <c r="R815" s="540"/>
      <c r="S815" s="540"/>
      <c r="T815" s="540"/>
      <c r="U815" s="540"/>
      <c r="V815" s="540"/>
      <c r="W815" s="1136"/>
      <c r="X815" s="1136"/>
    </row>
    <row r="828" spans="1:24" s="540" customFormat="1">
      <c r="A828" s="419"/>
      <c r="B828" s="419"/>
      <c r="C828" s="419"/>
      <c r="D828" s="419"/>
      <c r="E828" s="419"/>
      <c r="F828" s="419"/>
      <c r="G828" s="419"/>
      <c r="H828" s="419"/>
      <c r="I828" s="419"/>
      <c r="J828" s="419"/>
      <c r="K828" s="419"/>
      <c r="L828" s="419"/>
      <c r="M828" s="419"/>
      <c r="N828" s="419"/>
      <c r="O828" s="419"/>
      <c r="P828" s="419"/>
      <c r="Q828" s="419"/>
      <c r="R828" s="419"/>
      <c r="S828" s="419"/>
      <c r="T828" s="419"/>
      <c r="U828" s="419"/>
      <c r="V828" s="419"/>
      <c r="W828" s="1130"/>
      <c r="X828" s="1130"/>
    </row>
    <row r="835" spans="1:26">
      <c r="R835" s="540"/>
      <c r="S835" s="540"/>
      <c r="T835" s="540"/>
      <c r="U835" s="540"/>
      <c r="V835" s="540"/>
      <c r="W835" s="1136"/>
      <c r="X835" s="1136"/>
    </row>
    <row r="842" spans="1:26" s="540" customFormat="1">
      <c r="A842" s="419"/>
      <c r="B842" s="419"/>
      <c r="C842" s="419"/>
      <c r="D842" s="419"/>
      <c r="E842" s="419"/>
      <c r="F842" s="419"/>
      <c r="G842" s="419"/>
      <c r="H842" s="419"/>
      <c r="I842" s="419"/>
      <c r="J842" s="419"/>
      <c r="K842" s="419"/>
      <c r="L842" s="419"/>
      <c r="M842" s="419"/>
      <c r="N842" s="419"/>
      <c r="O842" s="419"/>
      <c r="P842" s="419"/>
      <c r="Q842" s="419"/>
      <c r="R842" s="419"/>
      <c r="S842" s="419"/>
      <c r="T842" s="419"/>
      <c r="U842" s="419"/>
      <c r="V842" s="419"/>
      <c r="W842" s="1130"/>
      <c r="X842" s="1130"/>
      <c r="Z842" s="540" t="s">
        <v>825</v>
      </c>
    </row>
    <row r="853" spans="1:24">
      <c r="R853" s="420"/>
      <c r="S853" s="420"/>
      <c r="T853" s="420"/>
      <c r="U853" s="420"/>
      <c r="V853" s="420"/>
      <c r="W853" s="1135"/>
      <c r="X853" s="1135"/>
    </row>
    <row r="854" spans="1:24">
      <c r="R854" s="544"/>
      <c r="S854" s="544"/>
      <c r="T854" s="544"/>
      <c r="U854" s="544"/>
      <c r="V854" s="544"/>
      <c r="W854" s="1134"/>
      <c r="X854" s="1134"/>
    </row>
    <row r="859" spans="1:24">
      <c r="R859" s="422"/>
      <c r="S859" s="422"/>
      <c r="T859" s="422"/>
      <c r="U859" s="422"/>
      <c r="V859" s="422"/>
      <c r="W859" s="1133"/>
      <c r="X859" s="1133"/>
    </row>
    <row r="862" spans="1:24" s="540" customFormat="1">
      <c r="A862" s="419"/>
      <c r="B862" s="419"/>
      <c r="C862" s="419"/>
      <c r="D862" s="419"/>
      <c r="E862" s="419"/>
      <c r="F862" s="419"/>
      <c r="G862" s="419"/>
      <c r="H862" s="419"/>
      <c r="I862" s="419"/>
      <c r="J862" s="419"/>
      <c r="K862" s="419"/>
      <c r="L862" s="419"/>
      <c r="M862" s="419"/>
      <c r="N862" s="419"/>
      <c r="O862" s="419"/>
      <c r="P862" s="419"/>
      <c r="Q862" s="419"/>
      <c r="R862" s="422"/>
      <c r="S862" s="422"/>
      <c r="T862" s="422"/>
      <c r="U862" s="422"/>
      <c r="V862" s="422"/>
      <c r="W862" s="1133"/>
      <c r="X862" s="1133"/>
    </row>
    <row r="880" spans="1:24" s="420" customFormat="1">
      <c r="A880" s="419"/>
      <c r="B880" s="419"/>
      <c r="C880" s="419"/>
      <c r="D880" s="419"/>
      <c r="E880" s="419"/>
      <c r="F880" s="419"/>
      <c r="G880" s="419"/>
      <c r="H880" s="419"/>
      <c r="I880" s="419"/>
      <c r="J880" s="419"/>
      <c r="K880" s="419"/>
      <c r="L880" s="419"/>
      <c r="M880" s="419"/>
      <c r="N880" s="419"/>
      <c r="O880" s="419"/>
      <c r="P880" s="419"/>
      <c r="Q880" s="419"/>
      <c r="R880" s="419"/>
      <c r="S880" s="419"/>
      <c r="T880" s="419"/>
      <c r="U880" s="419"/>
      <c r="V880" s="419"/>
      <c r="W880" s="1130"/>
      <c r="X880" s="1130"/>
    </row>
    <row r="881" spans="1:24" s="544" customFormat="1">
      <c r="A881" s="419"/>
      <c r="B881" s="419"/>
      <c r="C881" s="419"/>
      <c r="D881" s="419"/>
      <c r="E881" s="419"/>
      <c r="F881" s="419"/>
      <c r="G881" s="419"/>
      <c r="H881" s="419"/>
      <c r="I881" s="419"/>
      <c r="J881" s="419"/>
      <c r="K881" s="419"/>
      <c r="L881" s="419"/>
      <c r="M881" s="419"/>
      <c r="N881" s="419"/>
      <c r="O881" s="419"/>
      <c r="P881" s="419"/>
      <c r="Q881" s="419"/>
      <c r="R881" s="419"/>
      <c r="S881" s="419"/>
      <c r="T881" s="419"/>
      <c r="U881" s="419"/>
      <c r="V881" s="419"/>
      <c r="W881" s="1130"/>
      <c r="X881" s="1130"/>
    </row>
    <row r="886" spans="1:24" s="422" customFormat="1">
      <c r="A886" s="419"/>
      <c r="B886" s="419"/>
      <c r="C886" s="419"/>
      <c r="D886" s="419"/>
      <c r="E886" s="419"/>
      <c r="F886" s="419"/>
      <c r="G886" s="419"/>
      <c r="H886" s="419"/>
      <c r="I886" s="419"/>
      <c r="J886" s="419"/>
      <c r="K886" s="419"/>
      <c r="L886" s="419"/>
      <c r="M886" s="419"/>
      <c r="N886" s="419"/>
      <c r="O886" s="419"/>
      <c r="P886" s="419"/>
      <c r="Q886" s="419"/>
      <c r="R886" s="419"/>
      <c r="S886" s="419"/>
      <c r="T886" s="419"/>
      <c r="U886" s="419"/>
      <c r="V886" s="419"/>
      <c r="W886" s="1130"/>
      <c r="X886" s="1130"/>
    </row>
    <row r="889" spans="1:24" s="422" customFormat="1">
      <c r="A889" s="419"/>
      <c r="B889" s="419"/>
      <c r="C889" s="419"/>
      <c r="D889" s="419"/>
      <c r="E889" s="419"/>
      <c r="F889" s="419"/>
      <c r="G889" s="419"/>
      <c r="H889" s="419"/>
      <c r="I889" s="419"/>
      <c r="J889" s="419"/>
      <c r="K889" s="419"/>
      <c r="L889" s="419"/>
      <c r="M889" s="419"/>
      <c r="N889" s="419"/>
      <c r="O889" s="419"/>
      <c r="P889" s="419"/>
      <c r="Q889" s="419"/>
      <c r="R889" s="419"/>
      <c r="S889" s="419"/>
      <c r="T889" s="419"/>
      <c r="U889" s="419"/>
      <c r="V889" s="419"/>
      <c r="W889" s="1130"/>
      <c r="X889" s="1130"/>
    </row>
    <row r="926" spans="18:24">
      <c r="R926" s="420"/>
      <c r="S926" s="420"/>
      <c r="T926" s="420"/>
      <c r="U926" s="420"/>
      <c r="V926" s="420"/>
      <c r="W926" s="1135"/>
      <c r="X926" s="1135"/>
    </row>
    <row r="931" spans="18:24">
      <c r="R931" s="422"/>
      <c r="S931" s="422"/>
      <c r="T931" s="422"/>
      <c r="U931" s="422"/>
      <c r="V931" s="422"/>
      <c r="W931" s="1133"/>
      <c r="X931" s="1133"/>
    </row>
    <row r="940" spans="18:24">
      <c r="R940" s="422"/>
      <c r="S940" s="422"/>
      <c r="T940" s="422"/>
      <c r="U940" s="422"/>
      <c r="V940" s="422"/>
      <c r="W940" s="1133"/>
      <c r="X940" s="1133"/>
    </row>
    <row r="953" spans="1:24" s="420" customFormat="1">
      <c r="A953" s="419"/>
      <c r="B953" s="419"/>
      <c r="C953" s="419"/>
      <c r="D953" s="419"/>
      <c r="E953" s="419"/>
      <c r="F953" s="419"/>
      <c r="G953" s="419"/>
      <c r="H953" s="419"/>
      <c r="I953" s="419"/>
      <c r="J953" s="419"/>
      <c r="K953" s="419"/>
      <c r="L953" s="419"/>
      <c r="M953" s="419"/>
      <c r="N953" s="419"/>
      <c r="O953" s="419"/>
      <c r="P953" s="419"/>
      <c r="Q953" s="419"/>
      <c r="R953" s="419"/>
      <c r="S953" s="419"/>
      <c r="T953" s="419"/>
      <c r="U953" s="419"/>
      <c r="V953" s="419"/>
      <c r="W953" s="1130"/>
      <c r="X953" s="1130"/>
    </row>
    <row r="958" spans="1:24" s="422" customFormat="1">
      <c r="A958" s="419"/>
      <c r="B958" s="419"/>
      <c r="C958" s="419"/>
      <c r="D958" s="419"/>
      <c r="E958" s="419"/>
      <c r="F958" s="419"/>
      <c r="G958" s="419"/>
      <c r="H958" s="419"/>
      <c r="I958" s="419"/>
      <c r="J958" s="419"/>
      <c r="K958" s="419"/>
      <c r="L958" s="419"/>
      <c r="M958" s="419"/>
      <c r="N958" s="419"/>
      <c r="O958" s="419"/>
      <c r="P958" s="419"/>
      <c r="Q958" s="419"/>
      <c r="R958" s="419"/>
      <c r="S958" s="419"/>
      <c r="T958" s="419"/>
      <c r="U958" s="419"/>
      <c r="V958" s="419"/>
      <c r="W958" s="1130"/>
      <c r="X958" s="1130"/>
    </row>
    <row r="967" spans="1:24" s="422" customFormat="1">
      <c r="A967" s="419"/>
      <c r="B967" s="419"/>
      <c r="C967" s="419"/>
      <c r="D967" s="419"/>
      <c r="E967" s="419"/>
      <c r="F967" s="419"/>
      <c r="G967" s="419"/>
      <c r="H967" s="419"/>
      <c r="I967" s="419"/>
      <c r="J967" s="419"/>
      <c r="K967" s="419"/>
      <c r="L967" s="419"/>
      <c r="M967" s="419"/>
      <c r="N967" s="419"/>
      <c r="O967" s="419"/>
      <c r="P967" s="419"/>
      <c r="Q967" s="419"/>
      <c r="R967" s="419"/>
      <c r="S967" s="419"/>
      <c r="T967" s="419"/>
      <c r="U967" s="419"/>
      <c r="V967" s="419"/>
      <c r="W967" s="1130"/>
      <c r="X967" s="1130"/>
    </row>
    <row r="981" spans="18:24">
      <c r="R981" s="420"/>
      <c r="S981" s="420"/>
      <c r="T981" s="420"/>
      <c r="U981" s="420"/>
      <c r="V981" s="420"/>
      <c r="W981" s="1135"/>
      <c r="X981" s="1135"/>
    </row>
    <row r="982" spans="18:24">
      <c r="R982" s="540"/>
      <c r="S982" s="540"/>
      <c r="T982" s="540"/>
      <c r="U982" s="540"/>
      <c r="V982" s="540"/>
      <c r="W982" s="1136"/>
      <c r="X982" s="1136"/>
    </row>
    <row r="1007" spans="1:24">
      <c r="R1007" s="540" t="s">
        <v>827</v>
      </c>
      <c r="S1007" s="540"/>
      <c r="T1007" s="540"/>
      <c r="U1007" s="540"/>
      <c r="V1007" s="540"/>
      <c r="W1007" s="1136"/>
      <c r="X1007" s="1136"/>
    </row>
    <row r="1008" spans="1:24" s="420" customFormat="1">
      <c r="A1008" s="419"/>
      <c r="B1008" s="419"/>
      <c r="C1008" s="419"/>
      <c r="D1008" s="419"/>
      <c r="E1008" s="419"/>
      <c r="F1008" s="419"/>
      <c r="G1008" s="419"/>
      <c r="H1008" s="419"/>
      <c r="I1008" s="419"/>
      <c r="J1008" s="419"/>
      <c r="K1008" s="419"/>
      <c r="L1008" s="419"/>
      <c r="M1008" s="419"/>
      <c r="N1008" s="419"/>
      <c r="O1008" s="419"/>
      <c r="P1008" s="419"/>
      <c r="Q1008" s="419"/>
      <c r="R1008" s="419"/>
      <c r="S1008" s="419"/>
      <c r="T1008" s="419"/>
      <c r="U1008" s="419"/>
      <c r="V1008" s="419"/>
      <c r="W1008" s="1130"/>
      <c r="X1008" s="1130"/>
    </row>
    <row r="1009" spans="1:24" s="540" customFormat="1">
      <c r="A1009" s="419"/>
      <c r="B1009" s="419"/>
      <c r="C1009" s="419"/>
      <c r="D1009" s="419"/>
      <c r="E1009" s="419"/>
      <c r="F1009" s="419"/>
      <c r="G1009" s="419"/>
      <c r="H1009" s="419"/>
      <c r="I1009" s="419"/>
      <c r="J1009" s="419"/>
      <c r="K1009" s="419"/>
      <c r="L1009" s="419"/>
      <c r="M1009" s="419"/>
      <c r="N1009" s="419"/>
      <c r="O1009" s="419"/>
      <c r="P1009" s="419"/>
      <c r="Q1009" s="419"/>
      <c r="R1009" s="419"/>
      <c r="S1009" s="419"/>
      <c r="T1009" s="419"/>
      <c r="U1009" s="419"/>
      <c r="V1009" s="419"/>
      <c r="W1009" s="1130"/>
      <c r="X1009" s="1130"/>
    </row>
    <row r="1034" spans="1:24" s="540" customFormat="1">
      <c r="A1034" s="419"/>
      <c r="B1034" s="419"/>
      <c r="C1034" s="419"/>
      <c r="D1034" s="419"/>
      <c r="E1034" s="419"/>
      <c r="F1034" s="419"/>
      <c r="G1034" s="419"/>
      <c r="H1034" s="419"/>
      <c r="I1034" s="419"/>
      <c r="J1034" s="419"/>
      <c r="K1034" s="419"/>
      <c r="L1034" s="419"/>
      <c r="M1034" s="419"/>
      <c r="N1034" s="419"/>
      <c r="O1034" s="419"/>
      <c r="P1034" s="419"/>
      <c r="Q1034" s="419"/>
      <c r="R1034" s="419"/>
      <c r="S1034" s="419"/>
      <c r="T1034" s="419"/>
      <c r="U1034" s="419"/>
      <c r="V1034" s="419"/>
      <c r="W1034" s="1130"/>
      <c r="X1034" s="1130"/>
    </row>
    <row r="1058" spans="18:24">
      <c r="R1058" s="422"/>
      <c r="S1058" s="422"/>
      <c r="T1058" s="422"/>
      <c r="U1058" s="422"/>
      <c r="V1058" s="422"/>
      <c r="W1058" s="1133"/>
      <c r="X1058" s="1133"/>
    </row>
    <row r="1085" spans="1:24" s="422" customFormat="1">
      <c r="A1085" s="419"/>
      <c r="B1085" s="419"/>
      <c r="C1085" s="419"/>
      <c r="D1085" s="419"/>
      <c r="E1085" s="419"/>
      <c r="F1085" s="419"/>
      <c r="G1085" s="419"/>
      <c r="H1085" s="419"/>
      <c r="I1085" s="419"/>
      <c r="J1085" s="419"/>
      <c r="K1085" s="419"/>
      <c r="L1085" s="419"/>
      <c r="M1085" s="419"/>
      <c r="N1085" s="419"/>
      <c r="O1085" s="419"/>
      <c r="P1085" s="419"/>
      <c r="Q1085" s="419"/>
      <c r="R1085" s="419"/>
      <c r="S1085" s="419"/>
      <c r="T1085" s="419"/>
      <c r="U1085" s="419"/>
      <c r="V1085" s="419"/>
      <c r="W1085" s="1130"/>
      <c r="X1085" s="1130"/>
    </row>
    <row r="1090" spans="18:24">
      <c r="R1090" s="422"/>
      <c r="S1090" s="422"/>
      <c r="T1090" s="422"/>
      <c r="U1090" s="422"/>
      <c r="V1090" s="422"/>
      <c r="W1090" s="1133"/>
      <c r="X1090" s="1133"/>
    </row>
    <row r="1105" spans="1:24">
      <c r="R1105" s="422"/>
      <c r="S1105" s="422"/>
      <c r="T1105" s="422"/>
      <c r="U1105" s="422"/>
      <c r="V1105" s="422"/>
      <c r="W1105" s="1133"/>
      <c r="X1105" s="1133"/>
    </row>
    <row r="1110" spans="1:24">
      <c r="R1110" s="422"/>
      <c r="S1110" s="422"/>
      <c r="T1110" s="422"/>
      <c r="U1110" s="422"/>
      <c r="V1110" s="422"/>
      <c r="W1110" s="1133"/>
      <c r="X1110" s="1133"/>
    </row>
    <row r="1117" spans="1:24" s="422" customFormat="1">
      <c r="A1117" s="419"/>
      <c r="B1117" s="419"/>
      <c r="C1117" s="419"/>
      <c r="D1117" s="419"/>
      <c r="E1117" s="419"/>
      <c r="F1117" s="419"/>
      <c r="G1117" s="419"/>
      <c r="H1117" s="419"/>
      <c r="I1117" s="419"/>
      <c r="J1117" s="419"/>
      <c r="K1117" s="419"/>
      <c r="L1117" s="419"/>
      <c r="M1117" s="419"/>
      <c r="N1117" s="419"/>
      <c r="O1117" s="419"/>
      <c r="P1117" s="419"/>
      <c r="Q1117" s="419"/>
      <c r="R1117" s="419"/>
      <c r="S1117" s="419"/>
      <c r="T1117" s="419"/>
      <c r="U1117" s="419"/>
      <c r="V1117" s="419"/>
      <c r="W1117" s="1130"/>
      <c r="X1117" s="1130"/>
    </row>
    <row r="1125" spans="1:24">
      <c r="R1125" s="422"/>
      <c r="S1125" s="422"/>
      <c r="T1125" s="422"/>
      <c r="U1125" s="422"/>
      <c r="V1125" s="422"/>
      <c r="W1125" s="1133"/>
      <c r="X1125" s="1133"/>
    </row>
    <row r="1132" spans="1:24" s="422" customFormat="1">
      <c r="A1132" s="419"/>
      <c r="B1132" s="419"/>
      <c r="C1132" s="419"/>
      <c r="D1132" s="419"/>
      <c r="E1132" s="419"/>
      <c r="F1132" s="419"/>
      <c r="G1132" s="419"/>
      <c r="H1132" s="419"/>
      <c r="I1132" s="419"/>
      <c r="J1132" s="419"/>
      <c r="K1132" s="419"/>
      <c r="L1132" s="419"/>
      <c r="M1132" s="419"/>
      <c r="N1132" s="419"/>
      <c r="O1132" s="419"/>
      <c r="P1132" s="419"/>
      <c r="Q1132" s="419"/>
      <c r="R1132" s="419"/>
      <c r="S1132" s="419"/>
      <c r="T1132" s="419"/>
      <c r="U1132" s="419"/>
      <c r="V1132" s="419"/>
      <c r="W1132" s="1130"/>
      <c r="X1132" s="1130"/>
    </row>
    <row r="1137" spans="1:24" s="422" customFormat="1">
      <c r="A1137" s="419"/>
      <c r="B1137" s="419"/>
      <c r="C1137" s="419"/>
      <c r="D1137" s="419"/>
      <c r="E1137" s="419"/>
      <c r="F1137" s="419"/>
      <c r="G1137" s="419"/>
      <c r="H1137" s="419"/>
      <c r="I1137" s="419"/>
      <c r="J1137" s="419"/>
      <c r="K1137" s="419"/>
      <c r="L1137" s="419"/>
      <c r="M1137" s="419"/>
      <c r="N1137" s="419"/>
      <c r="O1137" s="419"/>
      <c r="P1137" s="419"/>
      <c r="Q1137" s="419"/>
      <c r="R1137" s="419"/>
      <c r="S1137" s="419"/>
      <c r="T1137" s="419"/>
      <c r="U1137" s="419"/>
      <c r="V1137" s="419"/>
      <c r="W1137" s="1130"/>
      <c r="X1137" s="1130"/>
    </row>
    <row r="1152" spans="1:24" s="422" customFormat="1">
      <c r="A1152" s="419"/>
      <c r="B1152" s="419"/>
      <c r="C1152" s="419"/>
      <c r="D1152" s="419"/>
      <c r="E1152" s="419"/>
      <c r="F1152" s="419"/>
      <c r="G1152" s="419"/>
      <c r="H1152" s="419"/>
      <c r="I1152" s="419"/>
      <c r="J1152" s="419"/>
      <c r="K1152" s="419"/>
      <c r="L1152" s="419"/>
      <c r="M1152" s="419"/>
      <c r="N1152" s="419"/>
      <c r="O1152" s="419"/>
      <c r="P1152" s="419"/>
      <c r="Q1152" s="419"/>
      <c r="R1152" s="419"/>
      <c r="S1152" s="419"/>
      <c r="T1152" s="419"/>
      <c r="U1152" s="419"/>
      <c r="V1152" s="419"/>
      <c r="W1152" s="1130"/>
      <c r="X1152" s="1130"/>
    </row>
    <row r="1188" spans="18:24">
      <c r="R1188" s="422"/>
      <c r="S1188" s="422"/>
      <c r="T1188" s="422"/>
      <c r="U1188" s="422"/>
      <c r="V1188" s="422"/>
      <c r="W1188" s="1133"/>
      <c r="X1188" s="1133"/>
    </row>
    <row r="1213" spans="1:24">
      <c r="R1213" s="422"/>
      <c r="S1213" s="422"/>
      <c r="T1213" s="422"/>
      <c r="U1213" s="422"/>
      <c r="V1213" s="422"/>
      <c r="W1213" s="1133"/>
      <c r="X1213" s="1133"/>
    </row>
    <row r="1215" spans="1:24" s="422" customFormat="1">
      <c r="A1215" s="419"/>
      <c r="B1215" s="419"/>
      <c r="C1215" s="419"/>
      <c r="D1215" s="419"/>
      <c r="E1215" s="419"/>
      <c r="F1215" s="419"/>
      <c r="G1215" s="419"/>
      <c r="H1215" s="419"/>
      <c r="I1215" s="419"/>
      <c r="J1215" s="419"/>
      <c r="K1215" s="419"/>
      <c r="L1215" s="419"/>
      <c r="M1215" s="419"/>
      <c r="N1215" s="419"/>
      <c r="O1215" s="419"/>
      <c r="P1215" s="419"/>
      <c r="Q1215" s="419"/>
      <c r="R1215" s="419"/>
      <c r="S1215" s="419"/>
      <c r="T1215" s="419"/>
      <c r="U1215" s="419"/>
      <c r="V1215" s="419"/>
      <c r="W1215" s="1130"/>
      <c r="X1215" s="1130"/>
    </row>
    <row r="1228" spans="18:24">
      <c r="R1228" s="422"/>
      <c r="S1228" s="422"/>
      <c r="T1228" s="422"/>
      <c r="U1228" s="422"/>
      <c r="V1228" s="422"/>
      <c r="W1228" s="1133"/>
      <c r="X1228" s="1133"/>
    </row>
    <row r="1229" spans="18:24">
      <c r="R1229" s="420"/>
      <c r="S1229" s="420"/>
      <c r="T1229" s="420"/>
      <c r="U1229" s="420"/>
      <c r="V1229" s="420"/>
      <c r="W1229" s="1135"/>
      <c r="X1229" s="1135"/>
    </row>
    <row r="1230" spans="18:24">
      <c r="R1230" s="420"/>
      <c r="S1230" s="420"/>
      <c r="T1230" s="420"/>
      <c r="U1230" s="420"/>
      <c r="V1230" s="420"/>
      <c r="W1230" s="1135"/>
      <c r="X1230" s="1135"/>
    </row>
    <row r="1231" spans="18:24">
      <c r="R1231" s="420"/>
      <c r="S1231" s="420"/>
      <c r="T1231" s="420"/>
      <c r="U1231" s="420"/>
      <c r="V1231" s="420"/>
      <c r="W1231" s="1135"/>
      <c r="X1231" s="1135"/>
    </row>
    <row r="1235" spans="1:24">
      <c r="R1235" s="420"/>
      <c r="S1235" s="420"/>
      <c r="T1235" s="420"/>
      <c r="U1235" s="420"/>
      <c r="V1235" s="420"/>
      <c r="W1235" s="1135"/>
      <c r="X1235" s="1135"/>
    </row>
    <row r="1236" spans="1:24">
      <c r="R1236" s="420"/>
      <c r="S1236" s="420"/>
      <c r="T1236" s="420"/>
      <c r="U1236" s="420"/>
      <c r="V1236" s="420"/>
      <c r="W1236" s="1135"/>
      <c r="X1236" s="1135"/>
    </row>
    <row r="1240" spans="1:24" s="422" customFormat="1">
      <c r="A1240" s="419"/>
      <c r="B1240" s="419"/>
      <c r="C1240" s="419"/>
      <c r="D1240" s="419"/>
      <c r="E1240" s="419"/>
      <c r="F1240" s="419"/>
      <c r="G1240" s="419"/>
      <c r="H1240" s="419"/>
      <c r="I1240" s="419"/>
      <c r="J1240" s="419"/>
      <c r="K1240" s="419"/>
      <c r="L1240" s="419"/>
      <c r="M1240" s="419"/>
      <c r="N1240" s="419"/>
      <c r="O1240" s="419"/>
      <c r="P1240" s="419"/>
      <c r="Q1240" s="419"/>
      <c r="R1240" s="420"/>
      <c r="S1240" s="420"/>
      <c r="T1240" s="420"/>
      <c r="U1240" s="420"/>
      <c r="V1240" s="420"/>
      <c r="W1240" s="1135"/>
      <c r="X1240" s="1135"/>
    </row>
    <row r="1241" spans="1:24">
      <c r="R1241" s="420"/>
      <c r="S1241" s="420"/>
      <c r="T1241" s="420"/>
      <c r="U1241" s="420"/>
      <c r="V1241" s="420"/>
      <c r="W1241" s="1135"/>
      <c r="X1241" s="1135"/>
    </row>
    <row r="1255" spans="1:24" s="422" customFormat="1">
      <c r="A1255" s="419"/>
      <c r="B1255" s="419"/>
      <c r="C1255" s="419"/>
      <c r="D1255" s="419"/>
      <c r="E1255" s="419"/>
      <c r="F1255" s="419"/>
      <c r="G1255" s="419"/>
      <c r="H1255" s="419"/>
      <c r="I1255" s="419"/>
      <c r="J1255" s="419"/>
      <c r="K1255" s="419"/>
      <c r="L1255" s="419"/>
      <c r="M1255" s="419"/>
      <c r="N1255" s="419"/>
      <c r="O1255" s="419"/>
      <c r="P1255" s="419"/>
      <c r="Q1255" s="419"/>
      <c r="R1255" s="419"/>
      <c r="S1255" s="419"/>
      <c r="T1255" s="419"/>
      <c r="U1255" s="419"/>
      <c r="V1255" s="419"/>
      <c r="W1255" s="1130"/>
      <c r="X1255" s="1130"/>
    </row>
    <row r="1256" spans="1:24" s="420" customFormat="1">
      <c r="A1256" s="419"/>
      <c r="B1256" s="419"/>
      <c r="C1256" s="419"/>
      <c r="D1256" s="419"/>
      <c r="E1256" s="419"/>
      <c r="F1256" s="419"/>
      <c r="G1256" s="419"/>
      <c r="H1256" s="419"/>
      <c r="I1256" s="419"/>
      <c r="J1256" s="419"/>
      <c r="K1256" s="419"/>
      <c r="L1256" s="419"/>
      <c r="M1256" s="419"/>
      <c r="N1256" s="419"/>
      <c r="O1256" s="419"/>
      <c r="P1256" s="419"/>
      <c r="Q1256" s="419"/>
      <c r="R1256" s="419"/>
      <c r="S1256" s="419"/>
      <c r="T1256" s="419"/>
      <c r="U1256" s="419"/>
      <c r="V1256" s="419"/>
      <c r="W1256" s="1130"/>
      <c r="X1256" s="1130"/>
    </row>
    <row r="1257" spans="1:24" s="420" customFormat="1">
      <c r="A1257" s="419"/>
      <c r="B1257" s="419"/>
      <c r="C1257" s="419"/>
      <c r="D1257" s="419"/>
      <c r="E1257" s="419"/>
      <c r="F1257" s="419"/>
      <c r="G1257" s="419"/>
      <c r="H1257" s="419"/>
      <c r="I1257" s="419"/>
      <c r="J1257" s="419"/>
      <c r="K1257" s="419"/>
      <c r="L1257" s="419"/>
      <c r="M1257" s="419"/>
      <c r="N1257" s="419"/>
      <c r="O1257" s="419"/>
      <c r="P1257" s="419"/>
      <c r="Q1257" s="419"/>
      <c r="R1257" s="419"/>
      <c r="S1257" s="419"/>
      <c r="T1257" s="419"/>
      <c r="U1257" s="419"/>
      <c r="V1257" s="419"/>
      <c r="W1257" s="1130"/>
      <c r="X1257" s="1130"/>
    </row>
    <row r="1258" spans="1:24" s="420" customFormat="1">
      <c r="A1258" s="419"/>
      <c r="B1258" s="419"/>
      <c r="C1258" s="419"/>
      <c r="D1258" s="419"/>
      <c r="E1258" s="419"/>
      <c r="F1258" s="419"/>
      <c r="G1258" s="419"/>
      <c r="H1258" s="419"/>
      <c r="I1258" s="419"/>
      <c r="J1258" s="419"/>
      <c r="K1258" s="419"/>
      <c r="L1258" s="419"/>
      <c r="M1258" s="419"/>
      <c r="N1258" s="419"/>
      <c r="O1258" s="419"/>
      <c r="P1258" s="419"/>
      <c r="Q1258" s="419"/>
      <c r="R1258" s="419"/>
      <c r="S1258" s="419"/>
      <c r="T1258" s="419"/>
      <c r="U1258" s="419"/>
      <c r="V1258" s="419"/>
      <c r="W1258" s="1130"/>
      <c r="X1258" s="1130"/>
    </row>
    <row r="1262" spans="1:24" s="420" customFormat="1">
      <c r="A1262" s="419"/>
      <c r="B1262" s="419"/>
      <c r="C1262" s="419"/>
      <c r="D1262" s="419"/>
      <c r="E1262" s="419"/>
      <c r="F1262" s="419"/>
      <c r="G1262" s="419"/>
      <c r="H1262" s="419"/>
      <c r="I1262" s="419"/>
      <c r="J1262" s="419"/>
      <c r="K1262" s="419"/>
      <c r="L1262" s="419"/>
      <c r="M1262" s="419"/>
      <c r="N1262" s="419"/>
      <c r="O1262" s="419"/>
      <c r="P1262" s="419"/>
      <c r="Q1262" s="419"/>
      <c r="R1262" s="419"/>
      <c r="S1262" s="419"/>
      <c r="T1262" s="419"/>
      <c r="U1262" s="419"/>
      <c r="V1262" s="419"/>
      <c r="W1262" s="1130"/>
      <c r="X1262" s="1130"/>
    </row>
    <row r="1263" spans="1:24" s="420" customFormat="1">
      <c r="A1263" s="419"/>
      <c r="B1263" s="419"/>
      <c r="C1263" s="419"/>
      <c r="D1263" s="419"/>
      <c r="E1263" s="419"/>
      <c r="F1263" s="419"/>
      <c r="G1263" s="419"/>
      <c r="H1263" s="419"/>
      <c r="I1263" s="419"/>
      <c r="J1263" s="419"/>
      <c r="K1263" s="419"/>
      <c r="L1263" s="419"/>
      <c r="M1263" s="419"/>
      <c r="N1263" s="419"/>
      <c r="O1263" s="419"/>
      <c r="P1263" s="419"/>
      <c r="Q1263" s="419"/>
      <c r="R1263" s="419"/>
      <c r="S1263" s="419"/>
      <c r="T1263" s="419"/>
      <c r="U1263" s="419"/>
      <c r="V1263" s="419"/>
      <c r="W1263" s="1130"/>
      <c r="X1263" s="1130"/>
    </row>
    <row r="1267" spans="1:24" s="420" customFormat="1">
      <c r="A1267" s="419"/>
      <c r="B1267" s="419"/>
      <c r="C1267" s="419"/>
      <c r="D1267" s="419"/>
      <c r="E1267" s="419"/>
      <c r="F1267" s="419"/>
      <c r="G1267" s="419"/>
      <c r="H1267" s="419"/>
      <c r="I1267" s="419"/>
      <c r="J1267" s="419"/>
      <c r="K1267" s="419"/>
      <c r="L1267" s="419"/>
      <c r="M1267" s="419"/>
      <c r="N1267" s="419"/>
      <c r="O1267" s="419"/>
      <c r="P1267" s="419"/>
      <c r="Q1267" s="419"/>
      <c r="R1267" s="419"/>
      <c r="S1267" s="419"/>
      <c r="T1267" s="419"/>
      <c r="U1267" s="419"/>
      <c r="V1267" s="419"/>
      <c r="W1267" s="1130"/>
      <c r="X1267" s="1130"/>
    </row>
    <row r="1268" spans="1:24" s="420" customFormat="1">
      <c r="A1268" s="419"/>
      <c r="B1268" s="419"/>
      <c r="C1268" s="419"/>
      <c r="D1268" s="419"/>
      <c r="E1268" s="419"/>
      <c r="F1268" s="419"/>
      <c r="G1268" s="419"/>
      <c r="H1268" s="419"/>
      <c r="I1268" s="419"/>
      <c r="J1268" s="419"/>
      <c r="K1268" s="419"/>
      <c r="L1268" s="419"/>
      <c r="M1268" s="419"/>
      <c r="N1268" s="419"/>
      <c r="O1268" s="419"/>
      <c r="P1268" s="419"/>
      <c r="Q1268" s="419"/>
      <c r="R1268" s="419"/>
      <c r="S1268" s="419"/>
      <c r="T1268" s="419"/>
      <c r="U1268" s="419"/>
      <c r="V1268" s="419"/>
      <c r="W1268" s="1130"/>
      <c r="X1268" s="1130"/>
    </row>
  </sheetData>
  <customSheetViews>
    <customSheetView guid="{0F09EDAE-127A-4543-88A5-04139BD32AD8}" showPageBreaks="1" printArea="1" state="hidden">
      <selection sqref="A1:W1"/>
      <rowBreaks count="10" manualBreakCount="10">
        <brk id="379" max="24" man="1"/>
        <brk id="470" max="24" man="1"/>
        <brk id="565" max="24" man="1"/>
        <brk id="658" max="24" man="1"/>
        <brk id="751" max="24" man="1"/>
        <brk id="846" max="24" man="1"/>
        <brk id="956" max="24" man="1"/>
        <brk id="1055" max="23" man="1"/>
        <brk id="1148" max="23" man="1"/>
        <brk id="1245" max="23" man="1"/>
      </rowBreaks>
      <pageMargins left="0.19685039370078741" right="0.23622047244094491" top="0.39370078740157483" bottom="1.1811023622047245" header="0.31496062992125984" footer="0.31496062992125984"/>
      <printOptions horizontalCentered="1"/>
      <pageSetup paperSize="5" scale="40" orientation="landscape" horizontalDpi="360" verticalDpi="360" r:id="rId1"/>
    </customSheetView>
    <customSheetView guid="{C05430D3-5A25-4A4C-823C-7D6EA772E5F0}" showPageBreaks="1" printArea="1" state="hidden">
      <selection sqref="A1:W1"/>
      <rowBreaks count="10" manualBreakCount="10">
        <brk id="379" max="24" man="1"/>
        <brk id="470" max="24" man="1"/>
        <brk id="565" max="24" man="1"/>
        <brk id="658" max="24" man="1"/>
        <brk id="751" max="24" man="1"/>
        <brk id="846" max="24" man="1"/>
        <brk id="956" max="24" man="1"/>
        <brk id="1055" max="23" man="1"/>
        <brk id="1148" max="23" man="1"/>
        <brk id="1245" max="23" man="1"/>
      </rowBreaks>
      <pageMargins left="0.19685039370078741" right="0.23622047244094491" top="0.39370078740157483" bottom="1.1811023622047245" header="0.31496062992125984" footer="0.31496062992125984"/>
      <printOptions horizontalCentered="1"/>
      <pageSetup paperSize="5" scale="40" orientation="landscape" horizontalDpi="360" verticalDpi="360" r:id="rId2"/>
    </customSheetView>
  </customSheetViews>
  <mergeCells count="24">
    <mergeCell ref="A1:W1"/>
    <mergeCell ref="A2:W2"/>
    <mergeCell ref="A3:W3"/>
    <mergeCell ref="I309:J309"/>
    <mergeCell ref="A313:J313"/>
    <mergeCell ref="K10:V10"/>
    <mergeCell ref="W10:W11"/>
    <mergeCell ref="A5:C5"/>
    <mergeCell ref="A6:D6"/>
    <mergeCell ref="A7:D7"/>
    <mergeCell ref="A8:D8"/>
    <mergeCell ref="F5:H5"/>
    <mergeCell ref="F6:H6"/>
    <mergeCell ref="A12:C12"/>
    <mergeCell ref="D12:G12"/>
    <mergeCell ref="F7:H7"/>
    <mergeCell ref="F8:H8"/>
    <mergeCell ref="Y32:AA32"/>
    <mergeCell ref="Z94:AA94"/>
    <mergeCell ref="I304:J304"/>
    <mergeCell ref="I305:J305"/>
    <mergeCell ref="A10:G11"/>
    <mergeCell ref="H10:H11"/>
    <mergeCell ref="I10:I11"/>
  </mergeCells>
  <printOptions horizontalCentered="1"/>
  <pageMargins left="0.19685039370078741" right="0.23622047244094491" top="0.39370078740157483" bottom="1.1811023622047245" header="0.31496062992125984" footer="0.31496062992125984"/>
  <pageSetup paperSize="5" scale="40" orientation="landscape" horizontalDpi="360" verticalDpi="360" r:id="rId3"/>
  <rowBreaks count="10" manualBreakCount="10">
    <brk id="379" max="24" man="1"/>
    <brk id="470" max="24" man="1"/>
    <brk id="565" max="24" man="1"/>
    <brk id="658" max="24" man="1"/>
    <brk id="751" max="24" man="1"/>
    <brk id="846" max="24" man="1"/>
    <brk id="956" max="24" man="1"/>
    <brk id="1055" max="23" man="1"/>
    <brk id="1148" max="23" man="1"/>
    <brk id="1245" max="23" man="1"/>
  </rowBreaks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V33"/>
  <sheetViews>
    <sheetView workbookViewId="0">
      <selection sqref="A1:L1"/>
    </sheetView>
  </sheetViews>
  <sheetFormatPr defaultColWidth="9.140625" defaultRowHeight="15"/>
  <cols>
    <col min="1" max="1" width="4.7109375" style="264" customWidth="1"/>
    <col min="2" max="2" width="14.7109375" style="264" customWidth="1"/>
    <col min="3" max="3" width="2.42578125" style="264" customWidth="1"/>
    <col min="4" max="4" width="12.7109375" style="264" customWidth="1"/>
    <col min="5" max="5" width="8.140625" style="264" bestFit="1" customWidth="1"/>
    <col min="6" max="6" width="8.85546875" style="264" customWidth="1"/>
    <col min="7" max="7" width="17.5703125" style="264" bestFit="1" customWidth="1"/>
    <col min="8" max="8" width="17.5703125" style="264" customWidth="1"/>
    <col min="9" max="9" width="9.140625" style="264"/>
    <col min="10" max="10" width="12.5703125" style="264" bestFit="1" customWidth="1"/>
    <col min="11" max="11" width="12.140625" style="264" customWidth="1"/>
    <col min="12" max="12" width="13.42578125" style="264" bestFit="1" customWidth="1"/>
    <col min="13" max="13" width="12.42578125" style="264" bestFit="1" customWidth="1"/>
    <col min="14" max="14" width="11" style="264" bestFit="1" customWidth="1"/>
    <col min="15" max="16" width="9.140625" style="264"/>
    <col min="17" max="18" width="12" style="264" bestFit="1" customWidth="1"/>
    <col min="19" max="19" width="9.140625" style="264"/>
    <col min="20" max="20" width="12.5703125" style="264" customWidth="1"/>
    <col min="21" max="21" width="13.5703125" style="264" customWidth="1"/>
    <col min="22" max="16384" width="9.140625" style="264"/>
  </cols>
  <sheetData>
    <row r="1" spans="1:22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</row>
    <row r="2" spans="1:22">
      <c r="A2" s="948" t="s">
        <v>1024</v>
      </c>
      <c r="B2" s="948"/>
      <c r="C2" s="948"/>
      <c r="D2" s="948"/>
      <c r="E2" s="948"/>
      <c r="F2" s="948"/>
      <c r="G2" s="948"/>
      <c r="H2" s="948"/>
    </row>
    <row r="3" spans="1:22">
      <c r="A3" s="2961"/>
      <c r="B3" s="2961"/>
      <c r="C3" s="2961"/>
      <c r="D3" s="2961"/>
      <c r="E3" s="2961"/>
      <c r="F3" s="2961"/>
      <c r="G3" s="2961"/>
      <c r="H3" s="2961"/>
    </row>
    <row r="4" spans="1:22">
      <c r="A4" s="276"/>
      <c r="B4" s="277"/>
      <c r="C4" s="277"/>
      <c r="D4" s="277"/>
      <c r="E4" s="277"/>
      <c r="F4" s="277"/>
      <c r="G4" s="277"/>
      <c r="H4" s="277"/>
      <c r="I4" s="2144" t="s">
        <v>1524</v>
      </c>
      <c r="J4" s="2144" t="s">
        <v>1525</v>
      </c>
    </row>
    <row r="5" spans="1:22" ht="15" customHeight="1">
      <c r="A5" s="278"/>
      <c r="B5" s="279"/>
      <c r="C5" s="281"/>
      <c r="D5" s="279"/>
      <c r="E5" s="279"/>
      <c r="F5" s="947"/>
      <c r="G5" s="279"/>
      <c r="I5" s="2144" t="s">
        <v>66</v>
      </c>
      <c r="J5" s="2144" t="s">
        <v>1526</v>
      </c>
    </row>
    <row r="6" spans="1:22">
      <c r="A6" s="617"/>
      <c r="B6" s="279"/>
      <c r="C6" s="281"/>
      <c r="D6" s="351"/>
      <c r="E6" s="351"/>
      <c r="F6" s="279"/>
      <c r="G6" s="351"/>
      <c r="H6" s="351"/>
      <c r="I6" s="2144" t="s">
        <v>96</v>
      </c>
      <c r="J6" s="3132" t="s">
        <v>1527</v>
      </c>
      <c r="K6" s="3132"/>
      <c r="L6" s="3132"/>
    </row>
    <row r="7" spans="1:22">
      <c r="A7" s="278"/>
      <c r="B7" s="279"/>
      <c r="C7" s="281"/>
      <c r="D7" s="618"/>
      <c r="E7" s="279"/>
      <c r="F7" s="947"/>
      <c r="G7" s="351"/>
      <c r="H7" s="351"/>
      <c r="J7" s="3132"/>
      <c r="K7" s="3132"/>
      <c r="L7" s="3132"/>
    </row>
    <row r="8" spans="1:22">
      <c r="A8" s="278"/>
      <c r="B8" s="279"/>
      <c r="C8" s="281"/>
      <c r="D8" s="279"/>
      <c r="E8" s="279"/>
      <c r="F8" s="279"/>
      <c r="G8" s="351"/>
      <c r="H8" s="351"/>
    </row>
    <row r="9" spans="1:22" ht="15" customHeight="1">
      <c r="A9" s="278"/>
      <c r="B9" s="279"/>
      <c r="C9" s="279"/>
      <c r="D9" s="279"/>
      <c r="E9" s="279"/>
      <c r="F9" s="279"/>
      <c r="G9" s="279"/>
      <c r="H9" s="279"/>
    </row>
    <row r="10" spans="1:22">
      <c r="A10" s="3127" t="s">
        <v>111</v>
      </c>
      <c r="B10" s="3127" t="s">
        <v>1</v>
      </c>
      <c r="C10" s="3127"/>
      <c r="D10" s="3127"/>
      <c r="E10" s="3125" t="s">
        <v>1523</v>
      </c>
      <c r="F10" s="3125"/>
      <c r="G10" s="3125"/>
      <c r="H10" s="3125"/>
      <c r="I10" s="3126" t="s">
        <v>1522</v>
      </c>
      <c r="J10" s="3126"/>
      <c r="K10" s="3126"/>
      <c r="L10" s="3126"/>
      <c r="M10" s="3124" t="s">
        <v>1528</v>
      </c>
    </row>
    <row r="11" spans="1:22" ht="15" customHeight="1">
      <c r="A11" s="3127"/>
      <c r="B11" s="3127"/>
      <c r="C11" s="3127"/>
      <c r="D11" s="3127"/>
      <c r="E11" s="3127" t="s">
        <v>60</v>
      </c>
      <c r="F11" s="3127" t="s">
        <v>97</v>
      </c>
      <c r="G11" s="3127" t="s">
        <v>112</v>
      </c>
      <c r="H11" s="3127" t="s">
        <v>831</v>
      </c>
      <c r="I11" s="3127" t="s">
        <v>60</v>
      </c>
      <c r="J11" s="3127" t="s">
        <v>97</v>
      </c>
      <c r="K11" s="3127" t="s">
        <v>112</v>
      </c>
      <c r="L11" s="3127" t="s">
        <v>831</v>
      </c>
      <c r="M11" s="3124"/>
    </row>
    <row r="12" spans="1:22">
      <c r="A12" s="3127"/>
      <c r="B12" s="3127"/>
      <c r="C12" s="3127"/>
      <c r="D12" s="3127"/>
      <c r="E12" s="3127"/>
      <c r="F12" s="3127"/>
      <c r="G12" s="3127"/>
      <c r="H12" s="3127"/>
      <c r="I12" s="3127"/>
      <c r="J12" s="3127"/>
      <c r="K12" s="3127"/>
      <c r="L12" s="3127"/>
      <c r="M12" s="3124"/>
    </row>
    <row r="13" spans="1:22">
      <c r="A13" s="3127"/>
      <c r="B13" s="3127"/>
      <c r="C13" s="3127"/>
      <c r="D13" s="3127"/>
      <c r="E13" s="3127"/>
      <c r="F13" s="3127"/>
      <c r="G13" s="3127"/>
      <c r="H13" s="3127"/>
      <c r="I13" s="3127"/>
      <c r="J13" s="3127"/>
      <c r="K13" s="3127"/>
      <c r="L13" s="3127"/>
      <c r="M13" s="3124"/>
    </row>
    <row r="14" spans="1:22">
      <c r="A14" s="353">
        <v>1</v>
      </c>
      <c r="B14" s="354" t="s">
        <v>563</v>
      </c>
      <c r="C14" s="354"/>
      <c r="D14" s="354"/>
      <c r="E14" s="2135"/>
      <c r="F14" s="354"/>
      <c r="G14" s="298"/>
      <c r="H14" s="62"/>
      <c r="I14" s="2135"/>
      <c r="J14" s="354"/>
      <c r="K14" s="298"/>
      <c r="L14" s="62"/>
      <c r="M14" s="62"/>
      <c r="N14" s="352"/>
      <c r="O14" s="352"/>
      <c r="P14" s="352"/>
      <c r="Q14" s="352"/>
      <c r="R14" s="352"/>
      <c r="S14" s="352"/>
      <c r="T14" s="352"/>
      <c r="U14" s="352"/>
      <c r="V14" s="352"/>
    </row>
    <row r="15" spans="1:22">
      <c r="A15" s="353" t="s">
        <v>115</v>
      </c>
      <c r="B15" s="354" t="s">
        <v>204</v>
      </c>
      <c r="C15" s="354"/>
      <c r="D15" s="354"/>
      <c r="E15" s="2135">
        <v>12</v>
      </c>
      <c r="F15" s="354" t="s">
        <v>116</v>
      </c>
      <c r="G15" s="298">
        <v>2500000</v>
      </c>
      <c r="H15" s="298">
        <f>+G15*E15</f>
        <v>30000000</v>
      </c>
      <c r="I15" s="2135">
        <v>12</v>
      </c>
      <c r="J15" s="354" t="s">
        <v>116</v>
      </c>
      <c r="K15" s="298">
        <v>2400000</v>
      </c>
      <c r="L15" s="298">
        <f>+K15*I15</f>
        <v>28800000</v>
      </c>
      <c r="M15" s="2155">
        <f>H15-L15</f>
        <v>1200000</v>
      </c>
      <c r="N15" s="352"/>
      <c r="O15" s="352"/>
      <c r="P15" s="352"/>
      <c r="Q15" s="352"/>
      <c r="R15" s="352"/>
      <c r="S15" s="352"/>
      <c r="T15" s="352"/>
      <c r="U15" s="352"/>
      <c r="V15" s="352"/>
    </row>
    <row r="16" spans="1:22" s="1991" customFormat="1">
      <c r="A16" s="3129" t="s">
        <v>98</v>
      </c>
      <c r="B16" s="3129"/>
      <c r="C16" s="3129"/>
      <c r="D16" s="3129"/>
      <c r="E16" s="3129"/>
      <c r="F16" s="3129"/>
      <c r="G16" s="3129"/>
      <c r="H16" s="673">
        <f>SUM(H15:H15)</f>
        <v>30000000</v>
      </c>
      <c r="I16" s="2147"/>
      <c r="J16" s="2148"/>
      <c r="K16" s="2149"/>
      <c r="L16" s="673">
        <f>L15</f>
        <v>28800000</v>
      </c>
      <c r="M16" s="2156">
        <f>M15</f>
        <v>1200000</v>
      </c>
      <c r="N16" s="2150"/>
      <c r="O16" s="2150"/>
      <c r="P16" s="2150"/>
      <c r="Q16" s="2150"/>
      <c r="R16" s="2150"/>
      <c r="S16" s="2150"/>
      <c r="T16" s="2150"/>
      <c r="U16" s="2150"/>
      <c r="V16" s="2150"/>
    </row>
    <row r="17" spans="1:22">
      <c r="A17" s="353">
        <v>2</v>
      </c>
      <c r="B17" s="354" t="s">
        <v>564</v>
      </c>
      <c r="C17" s="354"/>
      <c r="D17" s="354"/>
      <c r="E17" s="2135"/>
      <c r="F17" s="354"/>
      <c r="G17" s="298"/>
      <c r="H17" s="298"/>
      <c r="I17" s="2135"/>
      <c r="J17" s="354"/>
      <c r="K17" s="298"/>
      <c r="L17" s="298"/>
      <c r="M17" s="2155">
        <f>F17-K17</f>
        <v>0</v>
      </c>
      <c r="N17" s="310"/>
      <c r="O17" s="311"/>
      <c r="P17" s="305"/>
      <c r="Q17" s="311"/>
      <c r="R17" s="305"/>
      <c r="S17" s="305"/>
      <c r="T17" s="305"/>
      <c r="U17" s="305"/>
      <c r="V17" s="352"/>
    </row>
    <row r="18" spans="1:22">
      <c r="A18" s="353" t="s">
        <v>121</v>
      </c>
      <c r="B18" s="354" t="s">
        <v>328</v>
      </c>
      <c r="C18" s="354"/>
      <c r="D18" s="354"/>
      <c r="E18" s="2135">
        <v>12</v>
      </c>
      <c r="F18" s="354" t="s">
        <v>116</v>
      </c>
      <c r="G18" s="298">
        <v>1000000</v>
      </c>
      <c r="H18" s="298">
        <f>+G18*E18</f>
        <v>12000000</v>
      </c>
      <c r="I18" s="2135">
        <v>12</v>
      </c>
      <c r="J18" s="354" t="s">
        <v>116</v>
      </c>
      <c r="K18" s="298">
        <v>1000000</v>
      </c>
      <c r="L18" s="298">
        <f>+K18*I18</f>
        <v>12000000</v>
      </c>
      <c r="M18" s="2155">
        <f>H18-L18</f>
        <v>0</v>
      </c>
      <c r="N18" s="352"/>
      <c r="O18" s="352"/>
      <c r="P18" s="352"/>
      <c r="Q18" s="352"/>
      <c r="R18" s="352"/>
      <c r="S18" s="352"/>
      <c r="T18" s="352"/>
      <c r="U18" s="352"/>
      <c r="V18" s="352"/>
    </row>
    <row r="19" spans="1:22" s="1991" customFormat="1">
      <c r="A19" s="3129" t="s">
        <v>99</v>
      </c>
      <c r="B19" s="3129"/>
      <c r="C19" s="3129"/>
      <c r="D19" s="3129"/>
      <c r="E19" s="3129"/>
      <c r="F19" s="3129"/>
      <c r="G19" s="3129"/>
      <c r="H19" s="673">
        <f>SUM(H18:H18)</f>
        <v>12000000</v>
      </c>
      <c r="I19" s="2147"/>
      <c r="J19" s="2151"/>
      <c r="K19" s="2151"/>
      <c r="L19" s="2148">
        <f>L18</f>
        <v>12000000</v>
      </c>
      <c r="M19" s="2155">
        <f>G19-K19</f>
        <v>0</v>
      </c>
      <c r="N19" s="2150"/>
      <c r="O19" s="2150"/>
      <c r="P19" s="2150"/>
      <c r="Q19" s="2150"/>
      <c r="R19" s="2150"/>
      <c r="S19" s="2150"/>
      <c r="T19" s="2150"/>
      <c r="U19" s="2150"/>
      <c r="V19" s="2150"/>
    </row>
    <row r="20" spans="1:22">
      <c r="A20" s="353">
        <v>3</v>
      </c>
      <c r="B20" s="354" t="s">
        <v>1451</v>
      </c>
      <c r="C20" s="354"/>
      <c r="D20" s="354"/>
      <c r="E20" s="2135"/>
      <c r="F20" s="354"/>
      <c r="G20" s="298"/>
      <c r="H20" s="298"/>
      <c r="I20" s="2135"/>
      <c r="J20" s="354"/>
      <c r="K20" s="298"/>
      <c r="L20" s="298"/>
      <c r="M20" s="2155">
        <f t="shared" ref="M20" si="0">G20-K20</f>
        <v>0</v>
      </c>
      <c r="N20" s="310"/>
      <c r="O20" s="311"/>
      <c r="P20" s="305"/>
      <c r="Q20" s="311"/>
      <c r="R20" s="305"/>
      <c r="S20" s="305"/>
      <c r="T20" s="305"/>
      <c r="U20" s="305"/>
      <c r="V20" s="352"/>
    </row>
    <row r="21" spans="1:22">
      <c r="A21" s="353">
        <v>2.2000000000000002</v>
      </c>
      <c r="B21" s="354" t="s">
        <v>1452</v>
      </c>
      <c r="C21" s="354"/>
      <c r="D21" s="354"/>
      <c r="E21" s="2135">
        <v>1</v>
      </c>
      <c r="F21" s="354" t="s">
        <v>116</v>
      </c>
      <c r="G21" s="298">
        <v>1250000</v>
      </c>
      <c r="H21" s="298">
        <f>+G21*E21</f>
        <v>1250000</v>
      </c>
      <c r="I21" s="2135">
        <v>1</v>
      </c>
      <c r="J21" s="354" t="s">
        <v>116</v>
      </c>
      <c r="K21" s="298">
        <v>1255000</v>
      </c>
      <c r="L21" s="298">
        <f>+K21*I21</f>
        <v>1255000</v>
      </c>
      <c r="M21" s="2155">
        <f>H21-K21</f>
        <v>-5000</v>
      </c>
      <c r="N21" s="352"/>
      <c r="O21" s="352"/>
      <c r="P21" s="352"/>
      <c r="Q21" s="352"/>
      <c r="R21" s="352"/>
      <c r="S21" s="352"/>
      <c r="T21" s="352"/>
      <c r="U21" s="352"/>
      <c r="V21" s="352"/>
    </row>
    <row r="22" spans="1:22" s="1991" customFormat="1">
      <c r="A22" s="3129" t="s">
        <v>99</v>
      </c>
      <c r="B22" s="3129"/>
      <c r="C22" s="3129"/>
      <c r="D22" s="3129"/>
      <c r="E22" s="3129"/>
      <c r="F22" s="3129"/>
      <c r="G22" s="3129"/>
      <c r="H22" s="673">
        <f>SUM(H21:H21)</f>
        <v>1250000</v>
      </c>
      <c r="I22" s="2147"/>
      <c r="J22" s="2151"/>
      <c r="K22" s="2151"/>
      <c r="L22" s="2148">
        <f>L21</f>
        <v>1255000</v>
      </c>
      <c r="M22" s="2155">
        <f t="shared" ref="M22" si="1">F22-K22</f>
        <v>0</v>
      </c>
      <c r="N22" s="2150"/>
      <c r="O22" s="2150"/>
      <c r="P22" s="2150"/>
      <c r="Q22" s="2150"/>
      <c r="R22" s="2150"/>
      <c r="S22" s="2150"/>
      <c r="T22" s="2150"/>
      <c r="U22" s="2150"/>
      <c r="V22" s="2150"/>
    </row>
    <row r="23" spans="1:22">
      <c r="A23" s="3129" t="s">
        <v>131</v>
      </c>
      <c r="B23" s="3129"/>
      <c r="C23" s="3129"/>
      <c r="D23" s="3129"/>
      <c r="E23" s="3129"/>
      <c r="F23" s="3129"/>
      <c r="G23" s="3129"/>
      <c r="H23" s="303">
        <f>H16+H19+H22</f>
        <v>43250000</v>
      </c>
      <c r="I23" s="62"/>
      <c r="J23" s="2146"/>
      <c r="K23" s="2145"/>
      <c r="L23" s="2148">
        <f>L16+L19+L22</f>
        <v>42055000</v>
      </c>
      <c r="M23" s="2156">
        <f>H23-L23</f>
        <v>1195000</v>
      </c>
      <c r="N23" s="352"/>
      <c r="O23" s="352"/>
      <c r="P23" s="352"/>
      <c r="Q23" s="352"/>
      <c r="R23" s="352"/>
      <c r="S23" s="352"/>
      <c r="T23" s="352"/>
      <c r="U23" s="352"/>
      <c r="V23" s="352"/>
    </row>
    <row r="24" spans="1:22">
      <c r="A24" s="280"/>
      <c r="B24" s="304"/>
      <c r="C24" s="304"/>
      <c r="D24" s="304"/>
      <c r="E24" s="304"/>
      <c r="F24" s="304"/>
      <c r="G24" s="304"/>
      <c r="H24" s="304"/>
      <c r="J24" s="352"/>
      <c r="K24" s="784"/>
      <c r="L24" s="784"/>
      <c r="M24" s="785"/>
      <c r="N24" s="352"/>
      <c r="O24" s="352"/>
      <c r="P24" s="352"/>
      <c r="Q24" s="352"/>
      <c r="R24" s="352"/>
      <c r="S24" s="352"/>
      <c r="T24" s="352"/>
      <c r="U24" s="352"/>
      <c r="V24" s="352"/>
    </row>
    <row r="25" spans="1:22">
      <c r="A25" s="3130"/>
      <c r="B25" s="3130"/>
      <c r="C25" s="3130"/>
      <c r="D25" s="620"/>
      <c r="E25" s="620"/>
      <c r="F25" s="620"/>
      <c r="G25" s="3131"/>
      <c r="H25" s="3131"/>
      <c r="J25" s="352"/>
      <c r="K25" s="3128"/>
      <c r="L25" s="3128"/>
      <c r="M25" s="785"/>
      <c r="N25" s="352"/>
      <c r="O25" s="352"/>
      <c r="P25" s="352"/>
      <c r="Q25" s="352"/>
      <c r="R25" s="352"/>
      <c r="S25" s="352"/>
      <c r="T25" s="352"/>
      <c r="U25" s="352"/>
      <c r="V25" s="352"/>
    </row>
    <row r="26" spans="1:22">
      <c r="A26" s="3130"/>
      <c r="B26" s="3130"/>
      <c r="C26" s="3130"/>
      <c r="D26" s="620"/>
      <c r="E26" s="620"/>
      <c r="F26" s="620"/>
      <c r="G26" s="2962"/>
      <c r="H26" s="2962"/>
      <c r="J26" s="352"/>
      <c r="K26" s="352"/>
      <c r="L26" s="352"/>
      <c r="M26" s="785"/>
      <c r="N26" s="352"/>
      <c r="O26" s="352"/>
      <c r="P26" s="352"/>
      <c r="Q26" s="352"/>
      <c r="R26" s="352"/>
      <c r="S26" s="352"/>
      <c r="T26" s="352"/>
      <c r="U26" s="352"/>
      <c r="V26" s="352"/>
    </row>
    <row r="27" spans="1:22">
      <c r="A27" s="620"/>
      <c r="B27" s="621"/>
      <c r="C27" s="620"/>
      <c r="D27" s="620"/>
      <c r="E27" s="620"/>
      <c r="F27" s="620"/>
      <c r="G27" s="2962"/>
      <c r="H27" s="2962"/>
      <c r="J27" s="352"/>
      <c r="K27" s="352"/>
      <c r="L27" s="352"/>
      <c r="M27" s="785"/>
      <c r="N27" s="352"/>
      <c r="O27" s="352"/>
      <c r="P27" s="352"/>
      <c r="Q27" s="352"/>
      <c r="R27" s="352"/>
      <c r="S27" s="352"/>
      <c r="T27" s="352"/>
      <c r="U27" s="352"/>
      <c r="V27" s="352"/>
    </row>
    <row r="28" spans="1:22">
      <c r="A28" s="620"/>
      <c r="B28" s="621"/>
      <c r="C28" s="620"/>
      <c r="D28" s="620"/>
      <c r="E28" s="620"/>
      <c r="F28" s="620"/>
      <c r="G28" s="615"/>
      <c r="H28" s="620"/>
      <c r="M28" s="785"/>
    </row>
    <row r="29" spans="1:22">
      <c r="A29" s="620"/>
      <c r="B29" s="621"/>
      <c r="C29" s="620"/>
      <c r="D29" s="620"/>
      <c r="E29" s="620"/>
      <c r="F29" s="620"/>
      <c r="G29" s="308"/>
      <c r="H29" s="620"/>
      <c r="M29" s="785"/>
    </row>
    <row r="30" spans="1:22">
      <c r="A30" s="620"/>
      <c r="B30" s="621"/>
      <c r="C30" s="620"/>
      <c r="D30" s="620"/>
      <c r="E30" s="620"/>
      <c r="F30" s="620"/>
      <c r="G30" s="308"/>
      <c r="H30" s="620"/>
      <c r="M30" s="785"/>
    </row>
    <row r="31" spans="1:22">
      <c r="A31" s="3133"/>
      <c r="B31" s="3133"/>
      <c r="C31" s="3133"/>
      <c r="D31" s="620"/>
      <c r="E31" s="620"/>
      <c r="F31" s="620"/>
      <c r="G31" s="2963"/>
      <c r="H31" s="2963"/>
      <c r="M31" s="785"/>
    </row>
    <row r="32" spans="1:22">
      <c r="A32" s="620"/>
      <c r="B32" s="622"/>
      <c r="C32" s="620"/>
      <c r="D32" s="620"/>
      <c r="E32" s="620"/>
      <c r="F32" s="620"/>
      <c r="G32" s="620"/>
      <c r="H32" s="620"/>
      <c r="M32" s="785"/>
    </row>
    <row r="33" spans="1:8">
      <c r="A33" s="620"/>
      <c r="B33" s="620"/>
      <c r="C33" s="620"/>
      <c r="D33" s="620"/>
      <c r="E33" s="620"/>
      <c r="F33" s="620"/>
      <c r="G33" s="620"/>
      <c r="H33" s="620"/>
    </row>
  </sheetData>
  <customSheetViews>
    <customSheetView guid="{0F09EDAE-127A-4543-88A5-04139BD32AD8}" scale="120" showPageBreaks="1" printArea="1">
      <selection activeCell="H33" sqref="A1:H33"/>
      <colBreaks count="1" manualBreakCount="1">
        <brk id="8" max="1048575" man="1"/>
      </colBreaks>
      <pageMargins left="0.51181102362204722" right="0.51181102362204722" top="0.74803149606299213" bottom="0.74803149606299213" header="0.31496062992125984" footer="0.31496062992125984"/>
      <printOptions horizontalCentered="1"/>
      <pageSetup paperSize="5" orientation="portrait" r:id="rId1"/>
    </customSheetView>
    <customSheetView guid="{C05430D3-5A25-4A4C-823C-7D6EA772E5F0}" scale="120" showPageBreaks="1" printArea="1">
      <selection activeCell="H33" sqref="A1:H33"/>
      <colBreaks count="1" manualBreakCount="1">
        <brk id="8" max="1048575" man="1"/>
      </colBreaks>
      <pageMargins left="0.51181102362204722" right="0.51181102362204722" top="0.74803149606299213" bottom="0.74803149606299213" header="0.31496062992125984" footer="0.31496062992125984"/>
      <printOptions horizontalCentered="1"/>
      <pageSetup paperSize="5" orientation="portrait" r:id="rId2"/>
    </customSheetView>
  </customSheetViews>
  <mergeCells count="28">
    <mergeCell ref="A31:C31"/>
    <mergeCell ref="G31:H31"/>
    <mergeCell ref="A16:G16"/>
    <mergeCell ref="A19:G19"/>
    <mergeCell ref="A3:H3"/>
    <mergeCell ref="A26:C26"/>
    <mergeCell ref="G26:H26"/>
    <mergeCell ref="F11:F13"/>
    <mergeCell ref="G11:G13"/>
    <mergeCell ref="H11:H13"/>
    <mergeCell ref="E11:E13"/>
    <mergeCell ref="A22:G22"/>
    <mergeCell ref="G27:H27"/>
    <mergeCell ref="K25:L25"/>
    <mergeCell ref="A23:G23"/>
    <mergeCell ref="A25:C25"/>
    <mergeCell ref="G25:H25"/>
    <mergeCell ref="A1:L1"/>
    <mergeCell ref="J6:L7"/>
    <mergeCell ref="M10:M13"/>
    <mergeCell ref="E10:H10"/>
    <mergeCell ref="I10:L10"/>
    <mergeCell ref="B10:D13"/>
    <mergeCell ref="A10:A13"/>
    <mergeCell ref="I11:I13"/>
    <mergeCell ref="J11:J13"/>
    <mergeCell ref="K11:K13"/>
    <mergeCell ref="L11:L13"/>
  </mergeCells>
  <printOptions horizontalCentered="1"/>
  <pageMargins left="0.51181102362204722" right="0.51181102362204722" top="0.74803149606299213" bottom="0.74803149606299213" header="0.31496062992125984" footer="0.31496062992125984"/>
  <pageSetup paperSize="5" orientation="portrait" r:id="rId3"/>
  <colBreaks count="1" manualBreakCount="1">
    <brk id="8" max="1048575" man="1"/>
  </colBreaks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Y45"/>
  <sheetViews>
    <sheetView workbookViewId="0">
      <selection sqref="A1:M1"/>
    </sheetView>
  </sheetViews>
  <sheetFormatPr defaultColWidth="9.140625" defaultRowHeight="15"/>
  <cols>
    <col min="1" max="1" width="4.7109375" style="264" customWidth="1"/>
    <col min="2" max="2" width="33.28515625" style="264" bestFit="1" customWidth="1"/>
    <col min="3" max="3" width="8.28515625" style="264" customWidth="1"/>
    <col min="4" max="4" width="7.7109375" style="264" customWidth="1"/>
    <col min="5" max="5" width="17.42578125" style="264" bestFit="1" customWidth="1"/>
    <col min="6" max="6" width="14" style="264" customWidth="1"/>
    <col min="7" max="7" width="14.5703125" style="264" customWidth="1"/>
    <col min="8" max="8" width="9.140625" style="264"/>
    <col min="9" max="9" width="7.5703125" style="264" customWidth="1"/>
    <col min="10" max="10" width="17.42578125" style="264" bestFit="1" customWidth="1"/>
    <col min="11" max="11" width="12.85546875" style="264" customWidth="1"/>
    <col min="12" max="12" width="13.85546875" style="264" bestFit="1" customWidth="1"/>
    <col min="13" max="13" width="12.28515625" style="264" bestFit="1" customWidth="1"/>
    <col min="14" max="14" width="11.5703125" style="264" bestFit="1" customWidth="1"/>
    <col min="15" max="16" width="9.140625" style="264"/>
    <col min="17" max="18" width="12" style="264" bestFit="1" customWidth="1"/>
    <col min="19" max="19" width="9.140625" style="264"/>
    <col min="20" max="20" width="12.5703125" style="264" customWidth="1"/>
    <col min="21" max="21" width="13.5703125" style="264" customWidth="1"/>
    <col min="22" max="16384" width="9.140625" style="264"/>
  </cols>
  <sheetData>
    <row r="1" spans="1:2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</row>
    <row r="2" spans="1:2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</row>
    <row r="3" spans="1:24">
      <c r="A3" s="2961"/>
      <c r="B3" s="2961"/>
      <c r="C3" s="2961"/>
      <c r="D3" s="2961"/>
      <c r="E3" s="2961"/>
      <c r="F3" s="2961"/>
      <c r="G3" s="2961"/>
    </row>
    <row r="4" spans="1:24">
      <c r="A4" s="276"/>
      <c r="B4" s="277"/>
      <c r="C4" s="277"/>
      <c r="D4" s="277"/>
      <c r="E4" s="277"/>
      <c r="F4" s="277"/>
      <c r="G4" s="277"/>
      <c r="J4" s="2176" t="s">
        <v>1524</v>
      </c>
      <c r="K4" s="2176" t="s">
        <v>1529</v>
      </c>
    </row>
    <row r="5" spans="1:24">
      <c r="A5" s="278"/>
      <c r="B5" s="279"/>
      <c r="C5" s="279"/>
      <c r="D5" s="279"/>
      <c r="E5" s="947"/>
      <c r="F5" s="279"/>
      <c r="J5" s="2176" t="s">
        <v>66</v>
      </c>
      <c r="K5" s="2176" t="s">
        <v>1526</v>
      </c>
    </row>
    <row r="6" spans="1:24">
      <c r="A6" s="617"/>
      <c r="B6" s="279"/>
      <c r="C6" s="351"/>
      <c r="D6" s="351"/>
      <c r="E6" s="279"/>
      <c r="F6" s="351"/>
      <c r="G6" s="351"/>
      <c r="J6" s="2176" t="s">
        <v>96</v>
      </c>
      <c r="K6" s="3136" t="s">
        <v>1530</v>
      </c>
      <c r="L6" s="3136"/>
      <c r="M6" s="3136"/>
    </row>
    <row r="7" spans="1:24">
      <c r="A7" s="278"/>
      <c r="B7" s="279"/>
      <c r="C7" s="618"/>
      <c r="D7" s="279"/>
      <c r="E7" s="947"/>
      <c r="F7" s="351"/>
      <c r="G7" s="351"/>
      <c r="K7" s="3136"/>
      <c r="L7" s="3136"/>
      <c r="M7" s="3136"/>
    </row>
    <row r="8" spans="1:24" ht="15" customHeight="1">
      <c r="A8" s="278"/>
      <c r="B8" s="279"/>
      <c r="C8" s="279"/>
      <c r="D8" s="279"/>
      <c r="E8" s="279"/>
      <c r="F8" s="351"/>
      <c r="G8" s="351"/>
    </row>
    <row r="9" spans="1:24">
      <c r="A9" s="278"/>
      <c r="B9" s="279"/>
      <c r="C9" s="279"/>
      <c r="D9" s="279"/>
      <c r="E9" s="279"/>
      <c r="F9" s="279"/>
      <c r="G9" s="279"/>
    </row>
    <row r="10" spans="1:24">
      <c r="A10" s="278"/>
      <c r="B10" s="279"/>
      <c r="C10" s="279"/>
      <c r="D10" s="279"/>
      <c r="E10" s="279"/>
      <c r="F10" s="279"/>
      <c r="G10" s="279"/>
    </row>
    <row r="11" spans="1:24" ht="15" customHeight="1">
      <c r="A11" s="3134" t="s">
        <v>111</v>
      </c>
      <c r="B11" s="3134" t="s">
        <v>1</v>
      </c>
      <c r="C11" s="3125" t="s">
        <v>1523</v>
      </c>
      <c r="D11" s="3125"/>
      <c r="E11" s="3125"/>
      <c r="F11" s="3125"/>
      <c r="G11" s="3125"/>
      <c r="H11" s="3126" t="s">
        <v>1522</v>
      </c>
      <c r="I11" s="3126"/>
      <c r="J11" s="3126"/>
      <c r="K11" s="3126"/>
      <c r="L11" s="3126"/>
      <c r="M11" s="3124" t="s">
        <v>1528</v>
      </c>
    </row>
    <row r="12" spans="1:24" ht="15" customHeight="1">
      <c r="A12" s="3134"/>
      <c r="B12" s="3134"/>
      <c r="C12" s="3127" t="s">
        <v>60</v>
      </c>
      <c r="D12" s="3127" t="s">
        <v>97</v>
      </c>
      <c r="E12" s="3127" t="s">
        <v>112</v>
      </c>
      <c r="F12" s="3127" t="s">
        <v>113</v>
      </c>
      <c r="G12" s="3127" t="s">
        <v>114</v>
      </c>
      <c r="H12" s="3127" t="s">
        <v>60</v>
      </c>
      <c r="I12" s="3127" t="s">
        <v>97</v>
      </c>
      <c r="J12" s="3127" t="s">
        <v>112</v>
      </c>
      <c r="K12" s="3127" t="s">
        <v>113</v>
      </c>
      <c r="L12" s="3127" t="s">
        <v>114</v>
      </c>
      <c r="M12" s="3124"/>
    </row>
    <row r="13" spans="1:24" ht="15" customHeight="1">
      <c r="A13" s="3134"/>
      <c r="B13" s="3134"/>
      <c r="C13" s="3127"/>
      <c r="D13" s="3127"/>
      <c r="E13" s="3127"/>
      <c r="F13" s="3127"/>
      <c r="G13" s="3127"/>
      <c r="H13" s="3127"/>
      <c r="I13" s="3127"/>
      <c r="J13" s="3127"/>
      <c r="K13" s="3127"/>
      <c r="L13" s="3127"/>
      <c r="M13" s="3124"/>
    </row>
    <row r="14" spans="1:24">
      <c r="A14" s="3134"/>
      <c r="B14" s="3134"/>
      <c r="C14" s="3127"/>
      <c r="D14" s="3127"/>
      <c r="E14" s="3127"/>
      <c r="F14" s="3127"/>
      <c r="G14" s="3127"/>
      <c r="H14" s="3127"/>
      <c r="I14" s="3127"/>
      <c r="J14" s="3127"/>
      <c r="K14" s="3127"/>
      <c r="L14" s="3127"/>
      <c r="M14" s="3124"/>
    </row>
    <row r="15" spans="1:24">
      <c r="A15" s="2152">
        <v>1</v>
      </c>
      <c r="B15" s="2153" t="s">
        <v>565</v>
      </c>
      <c r="C15" s="2154"/>
      <c r="D15" s="2153"/>
      <c r="E15" s="2011"/>
      <c r="F15" s="2146"/>
      <c r="G15" s="62"/>
      <c r="H15" s="2154"/>
      <c r="I15" s="2153"/>
      <c r="J15" s="2011"/>
      <c r="K15" s="2146"/>
      <c r="L15" s="62"/>
      <c r="M15" s="62"/>
      <c r="N15" s="1779"/>
      <c r="O15" s="1779"/>
      <c r="P15" s="1779"/>
      <c r="Q15" s="1779"/>
      <c r="R15" s="1779"/>
      <c r="S15" s="1779"/>
      <c r="T15" s="1779"/>
      <c r="U15" s="1779"/>
      <c r="V15" s="1779"/>
      <c r="W15" s="1779"/>
      <c r="X15" s="1779"/>
    </row>
    <row r="16" spans="1:24">
      <c r="A16" s="2152">
        <v>1.1000000000000001</v>
      </c>
      <c r="B16" s="2153" t="s">
        <v>1343</v>
      </c>
      <c r="C16" s="2154">
        <v>12</v>
      </c>
      <c r="D16" s="2153" t="s">
        <v>116</v>
      </c>
      <c r="E16" s="2011">
        <v>2250000</v>
      </c>
      <c r="F16" s="2011">
        <f>+E16*C16</f>
        <v>27000000</v>
      </c>
      <c r="G16" s="62"/>
      <c r="H16" s="2154">
        <v>12</v>
      </c>
      <c r="I16" s="2153" t="s">
        <v>116</v>
      </c>
      <c r="J16" s="2011">
        <v>2150000</v>
      </c>
      <c r="K16" s="2011">
        <f>+J16*H16</f>
        <v>25800000</v>
      </c>
      <c r="L16" s="62"/>
      <c r="M16" s="2155">
        <f>F16-K16</f>
        <v>1200000</v>
      </c>
      <c r="N16" s="2166"/>
      <c r="O16" s="1779"/>
      <c r="P16" s="1779"/>
      <c r="Q16" s="1779"/>
      <c r="R16" s="1779"/>
      <c r="S16" s="1779"/>
      <c r="T16" s="1779"/>
      <c r="U16" s="1779"/>
      <c r="V16" s="1779"/>
      <c r="W16" s="1779"/>
      <c r="X16" s="1779"/>
    </row>
    <row r="17" spans="1:25">
      <c r="A17" s="2152">
        <v>1.2</v>
      </c>
      <c r="B17" s="2153" t="s">
        <v>205</v>
      </c>
      <c r="C17" s="2154">
        <v>36</v>
      </c>
      <c r="D17" s="2153" t="s">
        <v>116</v>
      </c>
      <c r="E17" s="2011">
        <v>2050000</v>
      </c>
      <c r="F17" s="2011">
        <f t="shared" ref="F17:F25" si="0">+E17*C17</f>
        <v>73800000</v>
      </c>
      <c r="G17" s="298"/>
      <c r="H17" s="2154">
        <v>36</v>
      </c>
      <c r="I17" s="2153" t="s">
        <v>116</v>
      </c>
      <c r="J17" s="2011">
        <v>1950000</v>
      </c>
      <c r="K17" s="2011">
        <f>+J17*H17</f>
        <v>70200000</v>
      </c>
      <c r="L17" s="298"/>
      <c r="M17" s="2155">
        <f>F17-K17</f>
        <v>3600000</v>
      </c>
      <c r="N17" s="1779"/>
      <c r="O17" s="910"/>
      <c r="P17" s="910"/>
      <c r="Q17" s="910"/>
      <c r="R17" s="910"/>
      <c r="S17" s="910"/>
      <c r="T17" s="910"/>
      <c r="U17" s="910"/>
      <c r="V17" s="1779"/>
      <c r="W17" s="1779"/>
      <c r="X17" s="1779"/>
    </row>
    <row r="18" spans="1:25">
      <c r="A18" s="2152">
        <v>1.3</v>
      </c>
      <c r="B18" s="2153" t="s">
        <v>206</v>
      </c>
      <c r="C18" s="2154">
        <v>36</v>
      </c>
      <c r="D18" s="2153" t="s">
        <v>116</v>
      </c>
      <c r="E18" s="2011">
        <v>2050000</v>
      </c>
      <c r="F18" s="2011">
        <f t="shared" si="0"/>
        <v>73800000</v>
      </c>
      <c r="G18" s="298"/>
      <c r="H18" s="2154">
        <v>36</v>
      </c>
      <c r="I18" s="2153" t="s">
        <v>116</v>
      </c>
      <c r="J18" s="2011">
        <v>1950000</v>
      </c>
      <c r="K18" s="2011">
        <f t="shared" ref="K18" si="1">+J18*H18</f>
        <v>70200000</v>
      </c>
      <c r="L18" s="298"/>
      <c r="M18" s="2155">
        <f>F18-K18</f>
        <v>3600000</v>
      </c>
      <c r="N18" s="1779"/>
      <c r="O18" s="910"/>
      <c r="P18" s="910"/>
      <c r="Q18" s="910"/>
      <c r="R18" s="910"/>
      <c r="S18" s="910"/>
      <c r="T18" s="910"/>
      <c r="U18" s="910"/>
      <c r="V18" s="1779"/>
      <c r="W18" s="1779"/>
      <c r="X18" s="1779"/>
    </row>
    <row r="19" spans="1:25">
      <c r="A19" s="2152">
        <v>1.4</v>
      </c>
      <c r="B19" s="2153" t="s">
        <v>207</v>
      </c>
      <c r="C19" s="2154">
        <v>36</v>
      </c>
      <c r="D19" s="2153" t="s">
        <v>116</v>
      </c>
      <c r="E19" s="2011">
        <v>2050000</v>
      </c>
      <c r="F19" s="2011">
        <f>+E19*C19</f>
        <v>73800000</v>
      </c>
      <c r="G19" s="298"/>
      <c r="H19" s="2154">
        <v>36</v>
      </c>
      <c r="I19" s="2153" t="s">
        <v>116</v>
      </c>
      <c r="J19" s="2011">
        <v>1950000</v>
      </c>
      <c r="K19" s="2011">
        <f>+J19*H19</f>
        <v>70200000</v>
      </c>
      <c r="L19" s="298"/>
      <c r="M19" s="2155">
        <f>F19-K19</f>
        <v>3600000</v>
      </c>
      <c r="N19" s="1779"/>
      <c r="O19" s="910"/>
      <c r="P19" s="910"/>
      <c r="Q19" s="910"/>
      <c r="R19" s="910"/>
      <c r="S19" s="2167"/>
      <c r="T19" s="910"/>
      <c r="U19" s="910"/>
      <c r="V19" s="1779"/>
      <c r="W19" s="1779"/>
      <c r="X19" s="1779"/>
    </row>
    <row r="20" spans="1:25" s="1991" customFormat="1">
      <c r="A20" s="3135" t="s">
        <v>98</v>
      </c>
      <c r="B20" s="3135"/>
      <c r="C20" s="3135"/>
      <c r="D20" s="3135"/>
      <c r="E20" s="3135"/>
      <c r="F20" s="2157">
        <f>SUM(F16:F19)</f>
        <v>248400000</v>
      </c>
      <c r="G20" s="673">
        <f>F20</f>
        <v>248400000</v>
      </c>
      <c r="H20" s="2147"/>
      <c r="I20" s="2148"/>
      <c r="J20" s="2149"/>
      <c r="K20" s="2157">
        <f>SUM(K16:K19)</f>
        <v>236400000</v>
      </c>
      <c r="L20" s="2156">
        <f>K20</f>
        <v>236400000</v>
      </c>
      <c r="M20" s="2156">
        <f>G20-K20</f>
        <v>12000000</v>
      </c>
      <c r="N20" s="2168"/>
      <c r="O20" s="2169"/>
      <c r="P20" s="2169"/>
      <c r="Q20" s="2169"/>
      <c r="R20" s="2169"/>
      <c r="S20" s="2169"/>
      <c r="T20" s="2169"/>
      <c r="U20" s="2169"/>
      <c r="V20" s="2170"/>
      <c r="W20" s="2170"/>
      <c r="X20" s="2170"/>
    </row>
    <row r="21" spans="1:25">
      <c r="A21" s="2152">
        <v>2</v>
      </c>
      <c r="B21" s="2153" t="s">
        <v>566</v>
      </c>
      <c r="C21" s="2154"/>
      <c r="D21" s="2153"/>
      <c r="E21" s="2011"/>
      <c r="F21" s="2011"/>
      <c r="G21" s="298"/>
      <c r="H21" s="2154"/>
      <c r="I21" s="2153"/>
      <c r="J21" s="2011"/>
      <c r="K21" s="2011"/>
      <c r="L21" s="298"/>
      <c r="M21" s="2155">
        <f t="shared" ref="M21" si="2">G21-K21</f>
        <v>0</v>
      </c>
      <c r="N21" s="910"/>
      <c r="O21" s="910"/>
      <c r="P21" s="910"/>
      <c r="Q21" s="910"/>
      <c r="R21" s="910"/>
      <c r="S21" s="910"/>
      <c r="T21" s="910"/>
      <c r="U21" s="910"/>
      <c r="V21" s="1779"/>
      <c r="W21" s="1779"/>
      <c r="X21" s="1779"/>
    </row>
    <row r="22" spans="1:25">
      <c r="A22" s="2152" t="s">
        <v>121</v>
      </c>
      <c r="B22" s="2153" t="s">
        <v>208</v>
      </c>
      <c r="C22" s="2011">
        <v>12</v>
      </c>
      <c r="D22" s="2153" t="s">
        <v>116</v>
      </c>
      <c r="E22" s="2011">
        <v>430000</v>
      </c>
      <c r="F22" s="2011">
        <f t="shared" si="0"/>
        <v>5160000</v>
      </c>
      <c r="G22" s="298"/>
      <c r="H22" s="2011">
        <v>12</v>
      </c>
      <c r="I22" s="2153" t="s">
        <v>116</v>
      </c>
      <c r="J22" s="2011">
        <v>430000</v>
      </c>
      <c r="K22" s="2011">
        <f t="shared" ref="K22:K25" si="3">+J22*H22</f>
        <v>5160000</v>
      </c>
      <c r="L22" s="298"/>
      <c r="M22" s="2155">
        <f>F22-K22</f>
        <v>0</v>
      </c>
      <c r="N22" s="910"/>
      <c r="O22" s="910"/>
      <c r="P22" s="910"/>
      <c r="Q22" s="910"/>
      <c r="R22" s="910"/>
      <c r="S22" s="910"/>
      <c r="T22" s="910"/>
      <c r="U22" s="910"/>
      <c r="V22" s="910"/>
      <c r="W22" s="910"/>
      <c r="X22" s="910"/>
      <c r="Y22" s="352"/>
    </row>
    <row r="23" spans="1:25">
      <c r="A23" s="2152">
        <v>2.2000000000000002</v>
      </c>
      <c r="B23" s="2153" t="s">
        <v>209</v>
      </c>
      <c r="C23" s="2011">
        <v>36</v>
      </c>
      <c r="D23" s="2153" t="s">
        <v>116</v>
      </c>
      <c r="E23" s="2011">
        <v>150000</v>
      </c>
      <c r="F23" s="2011">
        <f t="shared" si="0"/>
        <v>5400000</v>
      </c>
      <c r="G23" s="298"/>
      <c r="H23" s="2011">
        <v>36</v>
      </c>
      <c r="I23" s="2153" t="s">
        <v>116</v>
      </c>
      <c r="J23" s="2011">
        <v>150000</v>
      </c>
      <c r="K23" s="2011">
        <f t="shared" si="3"/>
        <v>5400000</v>
      </c>
      <c r="L23" s="298"/>
      <c r="M23" s="2155">
        <f t="shared" ref="M23:M32" si="4">F23-K23</f>
        <v>0</v>
      </c>
      <c r="N23" s="910"/>
      <c r="O23" s="910"/>
      <c r="P23" s="910"/>
      <c r="Q23" s="910"/>
      <c r="R23" s="910"/>
      <c r="S23" s="910"/>
      <c r="T23" s="910"/>
      <c r="U23" s="910"/>
      <c r="V23" s="1779"/>
      <c r="W23" s="1779"/>
      <c r="X23" s="1779"/>
    </row>
    <row r="24" spans="1:25">
      <c r="A24" s="2152" t="s">
        <v>122</v>
      </c>
      <c r="B24" s="2153" t="s">
        <v>210</v>
      </c>
      <c r="C24" s="2011">
        <v>36</v>
      </c>
      <c r="D24" s="2153" t="s">
        <v>116</v>
      </c>
      <c r="E24" s="2011">
        <v>150000</v>
      </c>
      <c r="F24" s="2011">
        <f t="shared" si="0"/>
        <v>5400000</v>
      </c>
      <c r="G24" s="298"/>
      <c r="H24" s="2011">
        <v>36</v>
      </c>
      <c r="I24" s="2153" t="s">
        <v>116</v>
      </c>
      <c r="J24" s="2011">
        <v>150000</v>
      </c>
      <c r="K24" s="2011">
        <f t="shared" si="3"/>
        <v>5400000</v>
      </c>
      <c r="L24" s="298"/>
      <c r="M24" s="2155">
        <f t="shared" si="4"/>
        <v>0</v>
      </c>
      <c r="N24" s="910"/>
      <c r="O24" s="910"/>
      <c r="P24" s="910"/>
      <c r="Q24" s="910"/>
      <c r="R24" s="910"/>
      <c r="S24" s="910"/>
      <c r="T24" s="910"/>
      <c r="U24" s="910"/>
      <c r="V24" s="1779"/>
      <c r="W24" s="1779"/>
      <c r="X24" s="1779"/>
    </row>
    <row r="25" spans="1:25">
      <c r="A25" s="2152">
        <v>3.2</v>
      </c>
      <c r="B25" s="2153" t="s">
        <v>221</v>
      </c>
      <c r="C25" s="2011">
        <v>36</v>
      </c>
      <c r="D25" s="2153" t="s">
        <v>116</v>
      </c>
      <c r="E25" s="2011">
        <v>150000</v>
      </c>
      <c r="F25" s="2011">
        <f t="shared" si="0"/>
        <v>5400000</v>
      </c>
      <c r="G25" s="298"/>
      <c r="H25" s="2011">
        <v>36</v>
      </c>
      <c r="I25" s="2153" t="s">
        <v>116</v>
      </c>
      <c r="J25" s="2011">
        <v>150000</v>
      </c>
      <c r="K25" s="2011">
        <f t="shared" si="3"/>
        <v>5400000</v>
      </c>
      <c r="L25" s="298"/>
      <c r="M25" s="2155">
        <f t="shared" si="4"/>
        <v>0</v>
      </c>
      <c r="N25" s="2171"/>
      <c r="O25" s="2172"/>
      <c r="P25" s="952"/>
      <c r="Q25" s="2172"/>
      <c r="R25" s="952"/>
      <c r="S25" s="952"/>
      <c r="T25" s="952"/>
      <c r="U25" s="952"/>
      <c r="V25" s="1779"/>
      <c r="W25" s="1779"/>
      <c r="X25" s="1779"/>
    </row>
    <row r="26" spans="1:25" s="1991" customFormat="1">
      <c r="A26" s="3135" t="s">
        <v>99</v>
      </c>
      <c r="B26" s="3135"/>
      <c r="C26" s="3135"/>
      <c r="D26" s="3135"/>
      <c r="E26" s="3135"/>
      <c r="F26" s="2157">
        <f>SUM(F22:F25)</f>
        <v>21360000</v>
      </c>
      <c r="G26" s="673">
        <f>F26</f>
        <v>21360000</v>
      </c>
      <c r="H26" s="2147"/>
      <c r="I26" s="2148"/>
      <c r="J26" s="2149"/>
      <c r="K26" s="2157">
        <f>SUM(K22:K25)</f>
        <v>21360000</v>
      </c>
      <c r="L26" s="2156">
        <f>K26</f>
        <v>21360000</v>
      </c>
      <c r="M26" s="2156">
        <f t="shared" si="4"/>
        <v>0</v>
      </c>
      <c r="N26" s="2173"/>
      <c r="O26" s="2174"/>
      <c r="P26" s="2175"/>
      <c r="Q26" s="2174"/>
      <c r="R26" s="2175"/>
      <c r="S26" s="2175"/>
      <c r="T26" s="2175"/>
      <c r="U26" s="2175"/>
      <c r="V26" s="2170"/>
      <c r="W26" s="2170"/>
      <c r="X26" s="2170"/>
    </row>
    <row r="27" spans="1:25">
      <c r="A27" s="2152">
        <v>2</v>
      </c>
      <c r="B27" s="2153" t="s">
        <v>1451</v>
      </c>
      <c r="C27" s="2154"/>
      <c r="D27" s="2153"/>
      <c r="E27" s="2011"/>
      <c r="F27" s="2011"/>
      <c r="G27" s="298"/>
      <c r="H27" s="2154"/>
      <c r="I27" s="2153"/>
      <c r="J27" s="2011"/>
      <c r="K27" s="2011"/>
      <c r="L27" s="298"/>
      <c r="M27" s="2155">
        <f t="shared" si="4"/>
        <v>0</v>
      </c>
      <c r="N27" s="910"/>
      <c r="O27" s="910"/>
      <c r="P27" s="910"/>
      <c r="Q27" s="910"/>
      <c r="R27" s="910"/>
      <c r="S27" s="910"/>
      <c r="T27" s="910"/>
      <c r="U27" s="910"/>
      <c r="V27" s="1779"/>
      <c r="W27" s="1779"/>
      <c r="X27" s="1779"/>
    </row>
    <row r="28" spans="1:25">
      <c r="A28" s="2152" t="s">
        <v>121</v>
      </c>
      <c r="B28" s="2153" t="s">
        <v>208</v>
      </c>
      <c r="C28" s="2011">
        <v>1</v>
      </c>
      <c r="D28" s="2153" t="s">
        <v>116</v>
      </c>
      <c r="E28" s="2011">
        <v>1125000</v>
      </c>
      <c r="F28" s="2011">
        <f t="shared" ref="F28:F31" si="5">+E28*C28</f>
        <v>1125000</v>
      </c>
      <c r="G28" s="298"/>
      <c r="H28" s="2011">
        <v>1</v>
      </c>
      <c r="I28" s="2153" t="s">
        <v>116</v>
      </c>
      <c r="J28" s="2011">
        <v>1125000</v>
      </c>
      <c r="K28" s="2011">
        <f t="shared" ref="K28:K31" si="6">+J28*H28</f>
        <v>1125000</v>
      </c>
      <c r="L28" s="298"/>
      <c r="M28" s="2155">
        <f t="shared" si="4"/>
        <v>0</v>
      </c>
      <c r="N28" s="352"/>
      <c r="O28" s="352"/>
      <c r="P28" s="352"/>
      <c r="Q28" s="352"/>
      <c r="R28" s="352"/>
      <c r="S28" s="352"/>
      <c r="T28" s="352"/>
      <c r="U28" s="352"/>
    </row>
    <row r="29" spans="1:25">
      <c r="A29" s="2152">
        <v>2.2000000000000002</v>
      </c>
      <c r="B29" s="2153" t="s">
        <v>209</v>
      </c>
      <c r="C29" s="2011">
        <v>3</v>
      </c>
      <c r="D29" s="2153" t="s">
        <v>116</v>
      </c>
      <c r="E29" s="2011">
        <v>1025000</v>
      </c>
      <c r="F29" s="2011">
        <f t="shared" si="5"/>
        <v>3075000</v>
      </c>
      <c r="G29" s="298"/>
      <c r="H29" s="2011">
        <v>3</v>
      </c>
      <c r="I29" s="2153" t="s">
        <v>116</v>
      </c>
      <c r="J29" s="2011">
        <v>1025000</v>
      </c>
      <c r="K29" s="2011">
        <f t="shared" si="6"/>
        <v>3075000</v>
      </c>
      <c r="L29" s="298"/>
      <c r="M29" s="2155">
        <f t="shared" si="4"/>
        <v>0</v>
      </c>
      <c r="N29" s="352"/>
      <c r="O29" s="352"/>
      <c r="P29" s="352"/>
      <c r="Q29" s="352"/>
      <c r="R29" s="352"/>
      <c r="S29" s="352"/>
      <c r="T29" s="352"/>
      <c r="U29" s="352"/>
    </row>
    <row r="30" spans="1:25">
      <c r="A30" s="353" t="s">
        <v>122</v>
      </c>
      <c r="B30" s="354" t="s">
        <v>210</v>
      </c>
      <c r="C30" s="298">
        <v>3</v>
      </c>
      <c r="D30" s="354" t="s">
        <v>116</v>
      </c>
      <c r="E30" s="298">
        <v>1025000</v>
      </c>
      <c r="F30" s="298">
        <f t="shared" si="5"/>
        <v>3075000</v>
      </c>
      <c r="G30" s="298"/>
      <c r="H30" s="298">
        <v>3</v>
      </c>
      <c r="I30" s="354" t="s">
        <v>116</v>
      </c>
      <c r="J30" s="298">
        <v>1025000</v>
      </c>
      <c r="K30" s="298">
        <f t="shared" si="6"/>
        <v>3075000</v>
      </c>
      <c r="L30" s="298"/>
      <c r="M30" s="2155">
        <f t="shared" si="4"/>
        <v>0</v>
      </c>
      <c r="N30" s="352"/>
      <c r="O30" s="352"/>
      <c r="P30" s="352"/>
      <c r="Q30" s="352"/>
      <c r="R30" s="352"/>
      <c r="S30" s="352"/>
      <c r="T30" s="352"/>
      <c r="U30" s="352"/>
    </row>
    <row r="31" spans="1:25">
      <c r="A31" s="353">
        <v>3.2</v>
      </c>
      <c r="B31" s="354" t="s">
        <v>221</v>
      </c>
      <c r="C31" s="298">
        <v>3</v>
      </c>
      <c r="D31" s="354" t="s">
        <v>116</v>
      </c>
      <c r="E31" s="298">
        <v>1025000</v>
      </c>
      <c r="F31" s="298">
        <f t="shared" si="5"/>
        <v>3075000</v>
      </c>
      <c r="G31" s="298"/>
      <c r="H31" s="298">
        <v>3</v>
      </c>
      <c r="I31" s="354" t="s">
        <v>116</v>
      </c>
      <c r="J31" s="298">
        <v>1025000</v>
      </c>
      <c r="K31" s="298">
        <f t="shared" si="6"/>
        <v>3075000</v>
      </c>
      <c r="L31" s="298"/>
      <c r="M31" s="2155">
        <f t="shared" si="4"/>
        <v>0</v>
      </c>
      <c r="N31" s="310"/>
      <c r="O31" s="311"/>
      <c r="P31" s="305"/>
      <c r="Q31" s="311"/>
      <c r="R31" s="305"/>
      <c r="S31" s="305"/>
      <c r="T31" s="305"/>
      <c r="U31" s="305"/>
    </row>
    <row r="32" spans="1:25" s="1991" customFormat="1">
      <c r="A32" s="3129" t="s">
        <v>102</v>
      </c>
      <c r="B32" s="3129"/>
      <c r="C32" s="3129"/>
      <c r="D32" s="3129"/>
      <c r="E32" s="3129"/>
      <c r="F32" s="673">
        <f>SUM(F28:F31)</f>
        <v>10350000</v>
      </c>
      <c r="G32" s="673">
        <f>F32</f>
        <v>10350000</v>
      </c>
      <c r="H32" s="2147"/>
      <c r="I32" s="2148"/>
      <c r="J32" s="2149"/>
      <c r="K32" s="673">
        <f>SUM(K28:K31)</f>
        <v>10350000</v>
      </c>
      <c r="L32" s="2156">
        <f>K32</f>
        <v>10350000</v>
      </c>
      <c r="M32" s="2156">
        <f t="shared" si="4"/>
        <v>0</v>
      </c>
      <c r="N32" s="2158"/>
      <c r="O32" s="2159"/>
      <c r="P32" s="2160"/>
      <c r="Q32" s="2159"/>
      <c r="R32" s="2160"/>
      <c r="S32" s="2160"/>
      <c r="T32" s="2160"/>
      <c r="U32" s="2160"/>
    </row>
    <row r="33" spans="1:21" s="1991" customFormat="1">
      <c r="A33" s="3129" t="s">
        <v>131</v>
      </c>
      <c r="B33" s="3129"/>
      <c r="C33" s="3129"/>
      <c r="D33" s="3129"/>
      <c r="E33" s="3129"/>
      <c r="F33" s="303">
        <f>F20+F26+F32</f>
        <v>280110000</v>
      </c>
      <c r="G33" s="303">
        <f>SUM(G17:G32)</f>
        <v>280110000</v>
      </c>
      <c r="H33" s="2147"/>
      <c r="I33" s="2151"/>
      <c r="J33" s="2149"/>
      <c r="K33" s="2151"/>
      <c r="L33" s="303">
        <f>SUM(L15:L32)</f>
        <v>268110000</v>
      </c>
      <c r="M33" s="2156">
        <f>F33-L33</f>
        <v>12000000</v>
      </c>
      <c r="N33" s="2150"/>
      <c r="O33" s="2150"/>
      <c r="P33" s="2150"/>
      <c r="Q33" s="2150"/>
      <c r="R33" s="2150"/>
      <c r="S33" s="2150"/>
      <c r="T33" s="2150"/>
      <c r="U33" s="2150"/>
    </row>
    <row r="34" spans="1:21">
      <c r="A34" s="280"/>
      <c r="B34" s="304"/>
      <c r="C34" s="304"/>
      <c r="D34" s="304"/>
      <c r="E34" s="304"/>
      <c r="F34" s="304"/>
      <c r="I34" s="352"/>
      <c r="J34" s="784"/>
      <c r="K34" s="784"/>
      <c r="L34" s="352"/>
      <c r="M34" s="352"/>
      <c r="N34" s="352"/>
      <c r="O34" s="352"/>
      <c r="P34" s="352"/>
      <c r="Q34" s="352"/>
      <c r="R34" s="352"/>
      <c r="S34" s="352"/>
      <c r="T34" s="352"/>
      <c r="U34" s="352"/>
    </row>
    <row r="35" spans="1:21">
      <c r="A35" s="327"/>
      <c r="B35" s="263"/>
      <c r="C35" s="263"/>
      <c r="D35" s="263"/>
      <c r="E35" s="263"/>
      <c r="F35" s="263"/>
      <c r="G35" s="328"/>
      <c r="I35" s="352"/>
      <c r="J35" s="3128"/>
      <c r="K35" s="3128"/>
      <c r="L35" s="352"/>
      <c r="M35" s="352"/>
      <c r="N35" s="352"/>
      <c r="O35" s="352"/>
      <c r="P35" s="352"/>
      <c r="Q35" s="352"/>
      <c r="R35" s="352"/>
      <c r="S35" s="352"/>
      <c r="T35" s="352"/>
      <c r="U35" s="352"/>
    </row>
    <row r="36" spans="1:21">
      <c r="A36" s="2962"/>
      <c r="B36" s="2962"/>
      <c r="C36" s="2962"/>
      <c r="D36" s="2962"/>
      <c r="E36" s="2962"/>
      <c r="F36" s="2962"/>
      <c r="G36" s="275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2"/>
      <c r="U36" s="352"/>
    </row>
    <row r="37" spans="1:21">
      <c r="A37" s="2962"/>
      <c r="B37" s="2962"/>
      <c r="C37" s="2962"/>
      <c r="D37" s="2962"/>
      <c r="E37" s="2962"/>
      <c r="F37" s="2962"/>
      <c r="G37" s="275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</row>
    <row r="38" spans="1:21">
      <c r="A38" s="306"/>
      <c r="B38" s="949"/>
      <c r="C38" s="307"/>
      <c r="D38" s="308"/>
      <c r="E38" s="953"/>
      <c r="F38" s="308"/>
      <c r="G38" s="328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2"/>
      <c r="U38" s="352"/>
    </row>
    <row r="39" spans="1:21">
      <c r="A39" s="306"/>
      <c r="B39" s="949"/>
      <c r="C39" s="949"/>
      <c r="D39" s="308"/>
      <c r="E39" s="308"/>
      <c r="F39" s="308"/>
      <c r="G39" s="328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</row>
    <row r="40" spans="1:21">
      <c r="A40" s="306"/>
      <c r="B40" s="307"/>
      <c r="C40" s="308"/>
      <c r="D40" s="308"/>
      <c r="E40" s="308"/>
      <c r="F40" s="308"/>
      <c r="G40" s="328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2"/>
      <c r="U40" s="352"/>
    </row>
    <row r="41" spans="1:21">
      <c r="A41" s="306"/>
      <c r="B41" s="307"/>
      <c r="C41" s="308"/>
      <c r="D41" s="308"/>
      <c r="E41" s="308"/>
      <c r="F41" s="308"/>
      <c r="G41" s="328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</row>
    <row r="42" spans="1:21">
      <c r="A42" s="2963"/>
      <c r="B42" s="2963"/>
      <c r="C42" s="2963"/>
      <c r="D42" s="2963"/>
      <c r="E42" s="2963"/>
      <c r="F42" s="2963"/>
      <c r="G42" s="432"/>
    </row>
    <row r="43" spans="1:21">
      <c r="A43" s="306"/>
      <c r="B43" s="949"/>
      <c r="C43" s="2962"/>
      <c r="D43" s="2962"/>
      <c r="E43" s="2962"/>
      <c r="F43" s="2962"/>
      <c r="G43" s="328"/>
      <c r="J43" s="309"/>
    </row>
    <row r="45" spans="1:21">
      <c r="L45" s="264" t="s">
        <v>21</v>
      </c>
    </row>
  </sheetData>
  <customSheetViews>
    <customSheetView guid="{0F09EDAE-127A-4543-88A5-04139BD32AD8}" scale="115" showPageBreaks="1" fitToPage="1" printArea="1">
      <selection activeCell="H44" sqref="A1:H44"/>
      <colBreaks count="1" manualBreakCount="1">
        <brk id="8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91" fitToHeight="0" orientation="portrait" r:id="rId1"/>
    </customSheetView>
    <customSheetView guid="{C05430D3-5A25-4A4C-823C-7D6EA772E5F0}" scale="115" showPageBreaks="1" fitToPage="1" printArea="1">
      <selection activeCell="H44" sqref="A1:H44"/>
      <colBreaks count="1" manualBreakCount="1">
        <brk id="8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92" fitToHeight="0" orientation="portrait" r:id="rId2"/>
    </customSheetView>
  </customSheetViews>
  <mergeCells count="31">
    <mergeCell ref="K6:M7"/>
    <mergeCell ref="A1:M1"/>
    <mergeCell ref="A2:M2"/>
    <mergeCell ref="C43:F43"/>
    <mergeCell ref="A33:E33"/>
    <mergeCell ref="J35:K35"/>
    <mergeCell ref="A36:B36"/>
    <mergeCell ref="C36:F36"/>
    <mergeCell ref="A37:B37"/>
    <mergeCell ref="C37:F37"/>
    <mergeCell ref="C12:C14"/>
    <mergeCell ref="D12:D14"/>
    <mergeCell ref="E12:E14"/>
    <mergeCell ref="F12:F14"/>
    <mergeCell ref="G12:G14"/>
    <mergeCell ref="A3:G3"/>
    <mergeCell ref="A11:A14"/>
    <mergeCell ref="A32:E32"/>
    <mergeCell ref="A20:E20"/>
    <mergeCell ref="A26:E26"/>
    <mergeCell ref="A42:B42"/>
    <mergeCell ref="C42:F42"/>
    <mergeCell ref="L12:L14"/>
    <mergeCell ref="C11:G11"/>
    <mergeCell ref="H11:L11"/>
    <mergeCell ref="M11:M14"/>
    <mergeCell ref="B11:B14"/>
    <mergeCell ref="H12:H14"/>
    <mergeCell ref="I12:I14"/>
    <mergeCell ref="J12:J14"/>
    <mergeCell ref="K12:K14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fitToHeight="0" orientation="portrait" r:id="rId3"/>
  <colBreaks count="1" manualBreakCount="1">
    <brk id="7" max="1048575" man="1"/>
  </colBreaks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O48"/>
  <sheetViews>
    <sheetView workbookViewId="0">
      <selection sqref="A1:H1"/>
    </sheetView>
  </sheetViews>
  <sheetFormatPr defaultColWidth="9.140625" defaultRowHeight="15"/>
  <cols>
    <col min="1" max="1" width="4.7109375" style="264" customWidth="1"/>
    <col min="2" max="2" width="40.5703125" style="264" customWidth="1"/>
    <col min="3" max="3" width="2.42578125" style="264" customWidth="1"/>
    <col min="4" max="4" width="8.28515625" style="264" customWidth="1"/>
    <col min="5" max="5" width="7.7109375" style="264" customWidth="1"/>
    <col min="6" max="6" width="10.7109375" style="264" customWidth="1"/>
    <col min="7" max="7" width="14" style="264" customWidth="1"/>
    <col min="8" max="8" width="14.5703125" style="264" customWidth="1"/>
    <col min="9" max="9" width="12.5703125" style="264" customWidth="1"/>
    <col min="10" max="10" width="16" style="264" bestFit="1" customWidth="1"/>
    <col min="11" max="11" width="14" style="264" bestFit="1" customWidth="1"/>
    <col min="12" max="12" width="12.28515625" style="264" bestFit="1" customWidth="1"/>
    <col min="13" max="13" width="13.28515625" style="264" bestFit="1" customWidth="1"/>
    <col min="14" max="14" width="13.28515625" style="264" customWidth="1"/>
    <col min="15" max="16384" width="9.140625" style="264"/>
  </cols>
  <sheetData>
    <row r="1" spans="1:15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5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15">
      <c r="A3" s="2961"/>
      <c r="B3" s="2961"/>
      <c r="C3" s="2961"/>
      <c r="D3" s="2961"/>
      <c r="E3" s="2961"/>
      <c r="F3" s="2961"/>
      <c r="G3" s="2961"/>
      <c r="H3" s="2961"/>
    </row>
    <row r="4" spans="1:15">
      <c r="A4" s="276"/>
      <c r="B4" s="277"/>
      <c r="C4" s="277"/>
      <c r="D4" s="277"/>
      <c r="E4" s="277"/>
      <c r="F4" s="277"/>
      <c r="G4" s="277"/>
      <c r="H4" s="277"/>
    </row>
    <row r="5" spans="1:15">
      <c r="A5" s="278"/>
      <c r="B5" s="279"/>
      <c r="C5" s="281"/>
      <c r="D5" s="279"/>
      <c r="E5" s="279"/>
      <c r="F5" s="947"/>
      <c r="G5" s="279"/>
    </row>
    <row r="6" spans="1:15">
      <c r="A6" s="617"/>
      <c r="B6" s="279"/>
      <c r="C6" s="281"/>
      <c r="D6" s="351"/>
      <c r="E6" s="351"/>
      <c r="F6" s="279"/>
      <c r="G6" s="351"/>
      <c r="H6" s="351"/>
    </row>
    <row r="7" spans="1:15">
      <c r="A7" s="278"/>
      <c r="B7" s="279"/>
      <c r="C7" s="281"/>
      <c r="D7" s="618"/>
      <c r="E7" s="279"/>
      <c r="F7" s="947"/>
      <c r="G7" s="351"/>
      <c r="H7" s="351"/>
    </row>
    <row r="8" spans="1:15" ht="15" customHeight="1">
      <c r="A8" s="278"/>
      <c r="B8" s="279"/>
      <c r="C8" s="281"/>
      <c r="D8" s="279"/>
      <c r="E8" s="279"/>
      <c r="F8" s="279"/>
      <c r="G8" s="351"/>
      <c r="H8" s="351"/>
    </row>
    <row r="9" spans="1:15">
      <c r="A9" s="278"/>
      <c r="B9" s="279"/>
      <c r="C9" s="279"/>
      <c r="D9" s="279"/>
      <c r="E9" s="279"/>
      <c r="F9" s="279"/>
      <c r="G9" s="279"/>
      <c r="H9" s="279"/>
    </row>
    <row r="10" spans="1:15">
      <c r="A10" s="278"/>
      <c r="B10" s="279"/>
      <c r="C10" s="279"/>
      <c r="D10" s="279"/>
      <c r="E10" s="279"/>
      <c r="F10" s="279"/>
      <c r="G10" s="279"/>
      <c r="H10" s="279"/>
    </row>
    <row r="11" spans="1:15">
      <c r="A11" s="3147" t="s">
        <v>110</v>
      </c>
      <c r="B11" s="3147"/>
      <c r="C11" s="281" t="s">
        <v>46</v>
      </c>
      <c r="D11" s="3140">
        <f>H24</f>
        <v>29676000</v>
      </c>
      <c r="E11" s="3140"/>
      <c r="F11" s="619"/>
      <c r="G11" s="282"/>
      <c r="H11" s="282"/>
    </row>
    <row r="12" spans="1:15" ht="15" customHeight="1">
      <c r="A12" s="3148" t="s">
        <v>111</v>
      </c>
      <c r="B12" s="3151" t="s">
        <v>1</v>
      </c>
      <c r="C12" s="3152"/>
      <c r="D12" s="3141" t="s">
        <v>60</v>
      </c>
      <c r="E12" s="3141" t="s">
        <v>97</v>
      </c>
      <c r="F12" s="3144" t="s">
        <v>112</v>
      </c>
      <c r="G12" s="3144" t="s">
        <v>113</v>
      </c>
      <c r="H12" s="3141" t="s">
        <v>114</v>
      </c>
      <c r="J12" s="3124" t="s">
        <v>1369</v>
      </c>
      <c r="K12" s="3124" t="s">
        <v>1370</v>
      </c>
      <c r="L12" s="1800" t="s">
        <v>1135</v>
      </c>
      <c r="M12" s="3124" t="s">
        <v>1371</v>
      </c>
      <c r="N12" s="1800" t="s">
        <v>1136</v>
      </c>
    </row>
    <row r="13" spans="1:15">
      <c r="A13" s="3149"/>
      <c r="B13" s="3153"/>
      <c r="C13" s="3154"/>
      <c r="D13" s="3142"/>
      <c r="E13" s="3142"/>
      <c r="F13" s="3145"/>
      <c r="G13" s="3145"/>
      <c r="H13" s="3142"/>
      <c r="J13" s="3124"/>
      <c r="K13" s="3124"/>
      <c r="L13" s="1801">
        <v>0.04</v>
      </c>
      <c r="M13" s="3124"/>
      <c r="N13" s="1801">
        <v>0.01</v>
      </c>
    </row>
    <row r="14" spans="1:15">
      <c r="A14" s="3150"/>
      <c r="B14" s="3155"/>
      <c r="C14" s="3156"/>
      <c r="D14" s="3143"/>
      <c r="E14" s="3143"/>
      <c r="F14" s="3146"/>
      <c r="G14" s="3146"/>
      <c r="H14" s="3143"/>
      <c r="J14" s="1798" t="s">
        <v>1137</v>
      </c>
      <c r="K14" s="298">
        <v>3500000</v>
      </c>
      <c r="L14" s="1799">
        <f>K14*$L$13</f>
        <v>140000</v>
      </c>
      <c r="M14" s="1799">
        <v>140000</v>
      </c>
      <c r="N14" s="1799">
        <f>K14*$N$13</f>
        <v>35000</v>
      </c>
      <c r="O14" s="295"/>
    </row>
    <row r="15" spans="1:15">
      <c r="A15" s="284">
        <v>1</v>
      </c>
      <c r="B15" s="314" t="s">
        <v>726</v>
      </c>
      <c r="C15" s="285"/>
      <c r="D15" s="286"/>
      <c r="E15" s="287"/>
      <c r="F15" s="288"/>
      <c r="G15" s="288"/>
      <c r="H15" s="299"/>
      <c r="J15" s="1798" t="s">
        <v>1372</v>
      </c>
      <c r="K15" s="298">
        <v>2680000</v>
      </c>
      <c r="L15" s="1799">
        <f t="shared" ref="L15:L16" si="0">K15*$L$13</f>
        <v>107200</v>
      </c>
      <c r="M15" s="1799">
        <v>108000</v>
      </c>
      <c r="N15" s="1799">
        <f t="shared" ref="N15:N16" si="1">K15*$N$13</f>
        <v>26800</v>
      </c>
      <c r="O15" s="295"/>
    </row>
    <row r="16" spans="1:15">
      <c r="A16" s="289" t="s">
        <v>115</v>
      </c>
      <c r="B16" s="314" t="s">
        <v>816</v>
      </c>
      <c r="C16" s="291"/>
      <c r="D16" s="292">
        <v>12</v>
      </c>
      <c r="E16" s="293" t="s">
        <v>116</v>
      </c>
      <c r="F16" s="294">
        <f>M14</f>
        <v>140000</v>
      </c>
      <c r="G16" s="293">
        <f>D16*F16</f>
        <v>1680000</v>
      </c>
      <c r="H16" s="296"/>
      <c r="J16" s="1798" t="s">
        <v>1138</v>
      </c>
      <c r="K16" s="1799">
        <v>2630162.13</v>
      </c>
      <c r="L16" s="1799">
        <f t="shared" si="0"/>
        <v>105206.4852</v>
      </c>
      <c r="M16" s="298">
        <v>106000</v>
      </c>
      <c r="N16" s="1799">
        <f t="shared" si="1"/>
        <v>26301.621299999999</v>
      </c>
      <c r="O16" s="1797"/>
    </row>
    <row r="17" spans="1:15">
      <c r="A17" s="516"/>
      <c r="B17" s="314" t="s">
        <v>1367</v>
      </c>
      <c r="C17" s="300"/>
      <c r="D17" s="292">
        <v>12</v>
      </c>
      <c r="E17" s="293" t="s">
        <v>116</v>
      </c>
      <c r="F17" s="294">
        <f>M15</f>
        <v>108000</v>
      </c>
      <c r="G17" s="293">
        <f t="shared" ref="G17:G21" si="2">D17*F17</f>
        <v>1296000</v>
      </c>
      <c r="H17" s="301"/>
      <c r="K17" s="305"/>
      <c r="L17" s="305"/>
      <c r="M17" s="305"/>
      <c r="N17" s="305"/>
      <c r="O17" s="305"/>
    </row>
    <row r="18" spans="1:15">
      <c r="A18" s="516" t="s">
        <v>117</v>
      </c>
      <c r="B18" s="521" t="s">
        <v>817</v>
      </c>
      <c r="C18" s="1767"/>
      <c r="D18" s="1768">
        <f>9*12</f>
        <v>108</v>
      </c>
      <c r="E18" s="293" t="s">
        <v>116</v>
      </c>
      <c r="F18" s="294">
        <f>M16</f>
        <v>106000</v>
      </c>
      <c r="G18" s="293">
        <f t="shared" si="2"/>
        <v>11448000</v>
      </c>
      <c r="H18" s="301"/>
      <c r="K18" s="305"/>
      <c r="L18" s="305"/>
      <c r="M18" s="305"/>
      <c r="N18" s="305"/>
      <c r="O18" s="305"/>
    </row>
    <row r="19" spans="1:15">
      <c r="A19" s="289" t="s">
        <v>118</v>
      </c>
      <c r="B19" s="520" t="s">
        <v>818</v>
      </c>
      <c r="C19" s="1770"/>
      <c r="D19" s="1771">
        <v>12</v>
      </c>
      <c r="E19" s="293" t="s">
        <v>116</v>
      </c>
      <c r="F19" s="294">
        <f>M21</f>
        <v>149000</v>
      </c>
      <c r="G19" s="293">
        <f t="shared" si="2"/>
        <v>1788000</v>
      </c>
      <c r="H19" s="296"/>
      <c r="J19" s="3124" t="s">
        <v>1373</v>
      </c>
      <c r="K19" s="3124" t="s">
        <v>1370</v>
      </c>
      <c r="L19" s="1800" t="s">
        <v>1135</v>
      </c>
      <c r="M19" s="3124" t="s">
        <v>1371</v>
      </c>
      <c r="N19" s="1800" t="s">
        <v>1136</v>
      </c>
      <c r="O19" s="305"/>
    </row>
    <row r="20" spans="1:15">
      <c r="A20" s="516"/>
      <c r="B20" s="520" t="s">
        <v>1368</v>
      </c>
      <c r="C20" s="1770"/>
      <c r="D20" s="1771">
        <v>12</v>
      </c>
      <c r="E20" s="293" t="s">
        <v>116</v>
      </c>
      <c r="F20" s="294">
        <f>M22</f>
        <v>114000</v>
      </c>
      <c r="G20" s="293">
        <f t="shared" si="2"/>
        <v>1368000</v>
      </c>
      <c r="H20" s="296"/>
      <c r="J20" s="3124"/>
      <c r="K20" s="3124"/>
      <c r="L20" s="1801">
        <v>4.24E-2</v>
      </c>
      <c r="M20" s="3124"/>
      <c r="N20" s="1801">
        <v>0.02</v>
      </c>
      <c r="O20" s="305"/>
    </row>
    <row r="21" spans="1:15">
      <c r="A21" s="516" t="s">
        <v>119</v>
      </c>
      <c r="B21" s="520" t="s">
        <v>819</v>
      </c>
      <c r="C21" s="1770"/>
      <c r="D21" s="1771">
        <f>9*12</f>
        <v>108</v>
      </c>
      <c r="E21" s="293" t="s">
        <v>116</v>
      </c>
      <c r="F21" s="1769">
        <f>M23</f>
        <v>112000</v>
      </c>
      <c r="G21" s="293">
        <f t="shared" si="2"/>
        <v>12096000</v>
      </c>
      <c r="H21" s="296"/>
      <c r="J21" s="1798" t="s">
        <v>1137</v>
      </c>
      <c r="K21" s="298">
        <v>3500000</v>
      </c>
      <c r="L21" s="1799">
        <f>K21*$L$20</f>
        <v>148400</v>
      </c>
      <c r="M21" s="1799">
        <v>149000</v>
      </c>
      <c r="N21" s="1799">
        <f>K21*$N$20</f>
        <v>70000</v>
      </c>
      <c r="O21" s="305"/>
    </row>
    <row r="22" spans="1:15">
      <c r="A22" s="517"/>
      <c r="B22" s="518"/>
      <c r="C22" s="1772"/>
      <c r="D22" s="1773"/>
      <c r="E22" s="1774"/>
      <c r="F22" s="1773"/>
      <c r="G22" s="1773"/>
      <c r="H22" s="519"/>
      <c r="J22" s="1798" t="s">
        <v>1372</v>
      </c>
      <c r="K22" s="298">
        <v>2680000</v>
      </c>
      <c r="L22" s="1799">
        <f>K22*$L$20</f>
        <v>113632</v>
      </c>
      <c r="M22" s="1799">
        <v>114000</v>
      </c>
      <c r="N22" s="1799">
        <f t="shared" ref="N22:N23" si="3">K22*$N$20</f>
        <v>53600</v>
      </c>
      <c r="O22" s="305"/>
    </row>
    <row r="23" spans="1:15">
      <c r="A23" s="3137" t="s">
        <v>98</v>
      </c>
      <c r="B23" s="3138"/>
      <c r="C23" s="3138"/>
      <c r="D23" s="3138"/>
      <c r="E23" s="3138"/>
      <c r="F23" s="3139"/>
      <c r="G23" s="297">
        <f>SUM(G16:G22)</f>
        <v>29676000</v>
      </c>
      <c r="H23" s="298">
        <f>G23</f>
        <v>29676000</v>
      </c>
      <c r="J23" s="1798" t="s">
        <v>1138</v>
      </c>
      <c r="K23" s="1799">
        <v>2630162.13</v>
      </c>
      <c r="L23" s="1799">
        <f t="shared" ref="L23" si="4">K23*$L$20</f>
        <v>111518.874312</v>
      </c>
      <c r="M23" s="1799">
        <v>112000</v>
      </c>
      <c r="N23" s="1799">
        <f t="shared" si="3"/>
        <v>52603.242599999998</v>
      </c>
      <c r="O23" s="305"/>
    </row>
    <row r="24" spans="1:15">
      <c r="A24" s="3157" t="s">
        <v>131</v>
      </c>
      <c r="B24" s="3158"/>
      <c r="C24" s="3158"/>
      <c r="D24" s="3158"/>
      <c r="E24" s="3158"/>
      <c r="F24" s="3158"/>
      <c r="G24" s="303">
        <f>G23</f>
        <v>29676000</v>
      </c>
      <c r="H24" s="303">
        <f>SUM(H15:H23)</f>
        <v>29676000</v>
      </c>
    </row>
    <row r="25" spans="1:15">
      <c r="A25" s="280"/>
      <c r="B25" s="304"/>
      <c r="C25" s="304"/>
      <c r="D25" s="304"/>
      <c r="E25" s="304"/>
      <c r="F25" s="304"/>
      <c r="G25" s="304"/>
    </row>
    <row r="26" spans="1:15">
      <c r="A26" s="327"/>
      <c r="B26" s="263"/>
      <c r="C26" s="263"/>
      <c r="D26" s="263"/>
      <c r="E26" s="263"/>
      <c r="F26" s="263"/>
      <c r="G26" s="263"/>
      <c r="H26" s="328"/>
    </row>
    <row r="27" spans="1:15">
      <c r="A27" s="2962"/>
      <c r="B27" s="2962"/>
      <c r="C27" s="949"/>
      <c r="D27" s="2962"/>
      <c r="E27" s="2962"/>
      <c r="F27" s="2962"/>
      <c r="G27" s="2962"/>
      <c r="H27" s="275"/>
    </row>
    <row r="28" spans="1:15">
      <c r="A28" s="2962"/>
      <c r="B28" s="2962"/>
      <c r="C28" s="949"/>
      <c r="D28" s="2962"/>
      <c r="E28" s="2962"/>
      <c r="F28" s="2962"/>
      <c r="G28" s="2962"/>
      <c r="H28" s="275"/>
    </row>
    <row r="29" spans="1:15">
      <c r="A29" s="306"/>
      <c r="B29" s="949"/>
      <c r="C29" s="949"/>
      <c r="D29" s="307"/>
      <c r="E29" s="308"/>
      <c r="F29" s="953"/>
      <c r="G29" s="308"/>
      <c r="H29" s="328"/>
    </row>
    <row r="30" spans="1:15">
      <c r="A30" s="306"/>
      <c r="B30" s="949"/>
      <c r="C30" s="949"/>
      <c r="D30" s="949"/>
      <c r="E30" s="308"/>
      <c r="F30" s="308"/>
      <c r="G30" s="308"/>
      <c r="H30" s="328"/>
    </row>
    <row r="31" spans="1:15">
      <c r="A31" s="306"/>
      <c r="B31" s="307"/>
      <c r="C31" s="307"/>
      <c r="D31" s="308"/>
      <c r="E31" s="308"/>
      <c r="F31" s="308"/>
      <c r="G31" s="308"/>
      <c r="H31" s="328"/>
    </row>
    <row r="32" spans="1:15">
      <c r="A32" s="306"/>
      <c r="B32" s="307"/>
      <c r="C32" s="307"/>
      <c r="D32" s="308"/>
      <c r="E32" s="308"/>
      <c r="F32" s="308"/>
      <c r="G32" s="308"/>
      <c r="H32" s="328"/>
    </row>
    <row r="33" spans="1:10">
      <c r="A33" s="2963"/>
      <c r="B33" s="2963"/>
      <c r="C33" s="950"/>
      <c r="D33" s="2963"/>
      <c r="E33" s="2963"/>
      <c r="F33" s="2963"/>
      <c r="G33" s="2963"/>
      <c r="H33" s="432"/>
    </row>
    <row r="34" spans="1:10">
      <c r="A34" s="306"/>
      <c r="B34" s="949"/>
      <c r="C34" s="949"/>
      <c r="D34" s="2962"/>
      <c r="E34" s="2962"/>
      <c r="F34" s="2962"/>
      <c r="G34" s="2962"/>
      <c r="H34" s="328"/>
    </row>
    <row r="36" spans="1:10" ht="15" customHeight="1"/>
    <row r="41" spans="1:10" ht="15" customHeight="1"/>
    <row r="42" spans="1:10">
      <c r="I42" s="294" t="e">
        <f>#REF!*#REF!</f>
        <v>#REF!</v>
      </c>
      <c r="J42" s="296"/>
    </row>
    <row r="43" spans="1:10">
      <c r="I43" s="294" t="e">
        <f>#REF!*#REF!</f>
        <v>#REF!</v>
      </c>
      <c r="J43" s="296"/>
    </row>
    <row r="44" spans="1:10">
      <c r="I44" s="312"/>
      <c r="J44" s="313"/>
    </row>
    <row r="45" spans="1:10">
      <c r="I45" s="312"/>
      <c r="J45" s="313"/>
    </row>
    <row r="46" spans="1:10">
      <c r="I46" s="312"/>
      <c r="J46" s="313"/>
    </row>
    <row r="47" spans="1:10">
      <c r="I47" s="312"/>
      <c r="J47" s="313"/>
    </row>
    <row r="48" spans="1:10">
      <c r="I48" s="297" t="e">
        <f>SUM(I40:I43)</f>
        <v>#REF!</v>
      </c>
      <c r="J48" s="298" t="e">
        <f>ROUNDUP(I48,0)</f>
        <v>#REF!</v>
      </c>
    </row>
  </sheetData>
  <customSheetViews>
    <customSheetView guid="{0F09EDAE-127A-4543-88A5-04139BD32AD8}" scale="115" showPageBreaks="1" fitToPage="1" printArea="1">
      <selection activeCell="H35" sqref="A1:H35"/>
      <pageMargins left="0.70866141732283472" right="0.70866141732283472" top="0.74803149606299213" bottom="0.74803149606299213" header="0.31496062992125984" footer="0.31496062992125984"/>
      <printOptions horizontalCentered="1"/>
      <pageSetup paperSize="5" scale="87" fitToHeight="0" orientation="portrait" r:id="rId1"/>
    </customSheetView>
    <customSheetView guid="{C05430D3-5A25-4A4C-823C-7D6EA772E5F0}" scale="115" showPageBreaks="1" fitToPage="1" printArea="1">
      <selection activeCell="H35" sqref="A1:H35"/>
      <pageMargins left="0.70866141732283472" right="0.70866141732283472" top="0.74803149606299213" bottom="0.74803149606299213" header="0.31496062992125984" footer="0.31496062992125984"/>
      <printOptions horizontalCentered="1"/>
      <pageSetup paperSize="5" scale="88" fitToHeight="0" orientation="portrait" r:id="rId2"/>
    </customSheetView>
  </customSheetViews>
  <mergeCells count="27">
    <mergeCell ref="J12:J13"/>
    <mergeCell ref="K12:K13"/>
    <mergeCell ref="M12:M13"/>
    <mergeCell ref="J19:J20"/>
    <mergeCell ref="K19:K20"/>
    <mergeCell ref="M19:M20"/>
    <mergeCell ref="A33:B33"/>
    <mergeCell ref="D33:G33"/>
    <mergeCell ref="D34:G34"/>
    <mergeCell ref="A24:F24"/>
    <mergeCell ref="A27:B27"/>
    <mergeCell ref="D27:G27"/>
    <mergeCell ref="A28:B28"/>
    <mergeCell ref="D28:G28"/>
    <mergeCell ref="A1:H1"/>
    <mergeCell ref="A23:F23"/>
    <mergeCell ref="A2:H2"/>
    <mergeCell ref="D11:E11"/>
    <mergeCell ref="D12:D14"/>
    <mergeCell ref="E12:E14"/>
    <mergeCell ref="F12:F14"/>
    <mergeCell ref="G12:G14"/>
    <mergeCell ref="H12:H14"/>
    <mergeCell ref="A3:H3"/>
    <mergeCell ref="A11:B11"/>
    <mergeCell ref="A12:A14"/>
    <mergeCell ref="B12:C14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8" fitToHeight="0" orientation="portrait" r:id="rId3"/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S113"/>
  <sheetViews>
    <sheetView topLeftCell="B60" zoomScale="85" zoomScaleNormal="85" workbookViewId="0">
      <selection activeCell="B62" sqref="B62:C62"/>
    </sheetView>
  </sheetViews>
  <sheetFormatPr defaultColWidth="9.140625" defaultRowHeight="15"/>
  <cols>
    <col min="1" max="1" width="4.7109375" style="2262" customWidth="1"/>
    <col min="2" max="2" width="52.7109375" style="328" bestFit="1" customWidth="1"/>
    <col min="3" max="3" width="1.85546875" style="328" customWidth="1"/>
    <col min="4" max="4" width="8.28515625" style="1796" customWidth="1"/>
    <col min="5" max="5" width="8.85546875" style="1796" customWidth="1"/>
    <col min="6" max="6" width="12.5703125" style="1789" customWidth="1"/>
    <col min="7" max="7" width="13" style="1789" customWidth="1"/>
    <col min="8" max="8" width="18.7109375" style="1789" customWidth="1"/>
    <col min="9" max="9" width="9.140625" style="328"/>
    <col min="10" max="10" width="10.28515625" style="328" customWidth="1"/>
    <col min="11" max="11" width="18.140625" style="328" customWidth="1"/>
    <col min="12" max="12" width="12" style="328" customWidth="1"/>
    <col min="13" max="14" width="13.28515625" style="328" customWidth="1"/>
    <col min="15" max="15" width="12.140625" style="328" bestFit="1" customWidth="1"/>
    <col min="16" max="16" width="11.5703125" style="328" bestFit="1" customWidth="1"/>
    <col min="17" max="16384" width="9.140625" style="328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260"/>
      <c r="B4" s="277"/>
      <c r="C4" s="277"/>
      <c r="D4" s="1775"/>
      <c r="E4" s="1775"/>
      <c r="F4" s="1776"/>
      <c r="G4" s="1776"/>
      <c r="H4" s="1776"/>
      <c r="K4" s="328" t="s">
        <v>1535</v>
      </c>
      <c r="L4" s="328" t="s">
        <v>1536</v>
      </c>
    </row>
    <row r="5" spans="1:14">
      <c r="A5" s="2260"/>
      <c r="B5" s="279"/>
      <c r="C5" s="279"/>
      <c r="D5" s="1775"/>
      <c r="E5" s="1775"/>
      <c r="F5" s="1777"/>
      <c r="G5" s="1778"/>
      <c r="H5" s="1779"/>
      <c r="K5" s="328" t="s">
        <v>66</v>
      </c>
      <c r="L5" s="328" t="s">
        <v>1526</v>
      </c>
    </row>
    <row r="6" spans="1:14">
      <c r="A6" s="2261"/>
      <c r="B6" s="279"/>
      <c r="C6" s="279"/>
      <c r="D6" s="1775"/>
      <c r="E6" s="1775"/>
      <c r="F6" s="1778"/>
      <c r="G6" s="1780"/>
      <c r="H6" s="1780"/>
      <c r="K6" s="328" t="s">
        <v>96</v>
      </c>
      <c r="L6" s="3171" t="s">
        <v>1537</v>
      </c>
      <c r="M6" s="3171"/>
      <c r="N6" s="3171"/>
    </row>
    <row r="7" spans="1:14">
      <c r="A7" s="2260"/>
      <c r="B7" s="279"/>
      <c r="C7" s="279"/>
      <c r="D7" s="1781"/>
      <c r="E7" s="1775"/>
      <c r="F7" s="1777"/>
      <c r="G7" s="1780"/>
      <c r="H7" s="1780"/>
      <c r="L7" s="3171"/>
      <c r="M7" s="3171"/>
      <c r="N7" s="3171"/>
    </row>
    <row r="8" spans="1:14">
      <c r="D8" s="1775"/>
      <c r="E8" s="1775"/>
      <c r="F8" s="1778"/>
      <c r="G8" s="1780"/>
      <c r="H8" s="1780"/>
    </row>
    <row r="9" spans="1:14">
      <c r="A9" s="2980" t="s">
        <v>110</v>
      </c>
      <c r="B9" s="2980"/>
      <c r="C9" s="2140" t="s">
        <v>46</v>
      </c>
      <c r="D9" s="3168">
        <f>M103</f>
        <v>58543151</v>
      </c>
      <c r="E9" s="3168"/>
      <c r="F9" s="1778"/>
      <c r="G9" s="1778"/>
      <c r="H9" s="1778"/>
    </row>
    <row r="10" spans="1:14">
      <c r="A10" s="2269"/>
      <c r="B10" s="1182"/>
      <c r="C10" s="1182"/>
      <c r="D10" s="3177"/>
      <c r="E10" s="3177"/>
      <c r="F10" s="1778"/>
      <c r="G10" s="1778"/>
      <c r="H10" s="1778"/>
    </row>
    <row r="11" spans="1:14">
      <c r="A11" s="3134" t="s">
        <v>111</v>
      </c>
      <c r="B11" s="3151" t="s">
        <v>1</v>
      </c>
      <c r="C11" s="3152"/>
      <c r="D11" s="3178" t="s">
        <v>1523</v>
      </c>
      <c r="E11" s="3178"/>
      <c r="F11" s="3178"/>
      <c r="G11" s="3178"/>
      <c r="H11" s="3178"/>
      <c r="I11" s="3172" t="s">
        <v>1522</v>
      </c>
      <c r="J11" s="3172"/>
      <c r="K11" s="3172"/>
      <c r="L11" s="3172"/>
      <c r="M11" s="3172"/>
      <c r="N11" s="3173" t="s">
        <v>1531</v>
      </c>
    </row>
    <row r="12" spans="1:14" ht="15" customHeight="1">
      <c r="A12" s="3134"/>
      <c r="B12" s="3153"/>
      <c r="C12" s="3154"/>
      <c r="D12" s="3176" t="s">
        <v>60</v>
      </c>
      <c r="E12" s="3176" t="s">
        <v>97</v>
      </c>
      <c r="F12" s="3176" t="s">
        <v>112</v>
      </c>
      <c r="G12" s="3176" t="s">
        <v>113</v>
      </c>
      <c r="H12" s="3176" t="s">
        <v>114</v>
      </c>
      <c r="I12" s="3176" t="s">
        <v>60</v>
      </c>
      <c r="J12" s="3176" t="s">
        <v>97</v>
      </c>
      <c r="K12" s="3176" t="s">
        <v>112</v>
      </c>
      <c r="L12" s="3176" t="s">
        <v>113</v>
      </c>
      <c r="M12" s="3176" t="s">
        <v>114</v>
      </c>
      <c r="N12" s="3174"/>
    </row>
    <row r="13" spans="1:14">
      <c r="A13" s="3134"/>
      <c r="B13" s="3153"/>
      <c r="C13" s="3154"/>
      <c r="D13" s="3176"/>
      <c r="E13" s="3176"/>
      <c r="F13" s="3176"/>
      <c r="G13" s="3176"/>
      <c r="H13" s="3176"/>
      <c r="I13" s="3176"/>
      <c r="J13" s="3176"/>
      <c r="K13" s="3176"/>
      <c r="L13" s="3176"/>
      <c r="M13" s="3176"/>
      <c r="N13" s="3174"/>
    </row>
    <row r="14" spans="1:14">
      <c r="A14" s="3134"/>
      <c r="B14" s="3155"/>
      <c r="C14" s="3156"/>
      <c r="D14" s="3176"/>
      <c r="E14" s="3176"/>
      <c r="F14" s="3176"/>
      <c r="G14" s="3176"/>
      <c r="H14" s="3176"/>
      <c r="I14" s="3176"/>
      <c r="J14" s="3176"/>
      <c r="K14" s="3176"/>
      <c r="L14" s="3176"/>
      <c r="M14" s="3176"/>
      <c r="N14" s="3175"/>
    </row>
    <row r="15" spans="1:14">
      <c r="A15" s="2178">
        <v>1</v>
      </c>
      <c r="B15" s="3169" t="s">
        <v>832</v>
      </c>
      <c r="C15" s="3170"/>
      <c r="D15" s="2179"/>
      <c r="E15" s="2179"/>
      <c r="F15" s="1782"/>
      <c r="G15" s="2180"/>
      <c r="H15" s="2180"/>
      <c r="I15" s="2179"/>
      <c r="J15" s="2179"/>
      <c r="K15" s="1782"/>
      <c r="L15" s="2180"/>
      <c r="M15" s="2180"/>
      <c r="N15" s="2180"/>
    </row>
    <row r="16" spans="1:14">
      <c r="A16" s="2193" t="s">
        <v>115</v>
      </c>
      <c r="B16" s="3179" t="s">
        <v>132</v>
      </c>
      <c r="C16" s="3180"/>
      <c r="D16" s="2194">
        <v>45</v>
      </c>
      <c r="E16" s="2194" t="s">
        <v>101</v>
      </c>
      <c r="F16" s="2195">
        <v>60000</v>
      </c>
      <c r="G16" s="2196">
        <f>+F16*D16</f>
        <v>2700000</v>
      </c>
      <c r="H16" s="2196"/>
      <c r="I16" s="2194">
        <v>60</v>
      </c>
      <c r="J16" s="2194" t="s">
        <v>101</v>
      </c>
      <c r="K16" s="2195">
        <v>60000</v>
      </c>
      <c r="L16" s="2196">
        <f t="shared" ref="L16:L43" si="0">+K16*I16</f>
        <v>3600000</v>
      </c>
      <c r="M16" s="2196"/>
      <c r="N16" s="2196">
        <f>G16-L16</f>
        <v>-900000</v>
      </c>
    </row>
    <row r="17" spans="1:14">
      <c r="A17" s="2197" t="s">
        <v>117</v>
      </c>
      <c r="B17" s="3159" t="s">
        <v>133</v>
      </c>
      <c r="C17" s="3160"/>
      <c r="D17" s="2198">
        <v>5</v>
      </c>
      <c r="E17" s="2198" t="s">
        <v>101</v>
      </c>
      <c r="F17" s="2199">
        <v>50000</v>
      </c>
      <c r="G17" s="2200">
        <f>+F17*D17</f>
        <v>250000</v>
      </c>
      <c r="H17" s="2200"/>
      <c r="I17" s="2198">
        <v>5</v>
      </c>
      <c r="J17" s="2198" t="s">
        <v>101</v>
      </c>
      <c r="K17" s="2199">
        <v>50000</v>
      </c>
      <c r="L17" s="2200">
        <f t="shared" si="0"/>
        <v>250000</v>
      </c>
      <c r="M17" s="2200"/>
      <c r="N17" s="2200">
        <f t="shared" ref="N17:N86" si="1">G17-L17</f>
        <v>0</v>
      </c>
    </row>
    <row r="18" spans="1:14">
      <c r="A18" s="2197" t="s">
        <v>118</v>
      </c>
      <c r="B18" s="3159" t="s">
        <v>1172</v>
      </c>
      <c r="C18" s="3160"/>
      <c r="D18" s="2198">
        <v>1</v>
      </c>
      <c r="E18" s="2198" t="s">
        <v>101</v>
      </c>
      <c r="F18" s="2199">
        <v>69500</v>
      </c>
      <c r="G18" s="2200">
        <f t="shared" ref="G18:G43" si="2">+F18*D18</f>
        <v>69500</v>
      </c>
      <c r="H18" s="2200"/>
      <c r="I18" s="2198"/>
      <c r="J18" s="2198" t="s">
        <v>101</v>
      </c>
      <c r="K18" s="2199">
        <v>69500</v>
      </c>
      <c r="L18" s="2200">
        <f t="shared" si="0"/>
        <v>0</v>
      </c>
      <c r="M18" s="2200"/>
      <c r="N18" s="2200">
        <f t="shared" si="1"/>
        <v>69500</v>
      </c>
    </row>
    <row r="19" spans="1:14">
      <c r="A19" s="2197" t="s">
        <v>119</v>
      </c>
      <c r="B19" s="3159" t="s">
        <v>1161</v>
      </c>
      <c r="C19" s="3160"/>
      <c r="D19" s="2198">
        <v>2</v>
      </c>
      <c r="E19" s="2198" t="s">
        <v>101</v>
      </c>
      <c r="F19" s="2199">
        <v>65000</v>
      </c>
      <c r="G19" s="2200">
        <f t="shared" si="2"/>
        <v>130000</v>
      </c>
      <c r="H19" s="2200"/>
      <c r="I19" s="2198"/>
      <c r="J19" s="2198" t="s">
        <v>101</v>
      </c>
      <c r="K19" s="2199">
        <v>65000</v>
      </c>
      <c r="L19" s="2200">
        <f t="shared" si="0"/>
        <v>0</v>
      </c>
      <c r="M19" s="2200"/>
      <c r="N19" s="2200">
        <f t="shared" si="1"/>
        <v>130000</v>
      </c>
    </row>
    <row r="20" spans="1:14">
      <c r="A20" s="2197" t="s">
        <v>120</v>
      </c>
      <c r="B20" s="3159" t="s">
        <v>1173</v>
      </c>
      <c r="C20" s="3160"/>
      <c r="D20" s="2198">
        <v>2</v>
      </c>
      <c r="E20" s="2198" t="s">
        <v>101</v>
      </c>
      <c r="F20" s="2199">
        <v>85000</v>
      </c>
      <c r="G20" s="2200">
        <f t="shared" si="2"/>
        <v>170000</v>
      </c>
      <c r="H20" s="2200"/>
      <c r="I20" s="2198"/>
      <c r="J20" s="2198" t="s">
        <v>101</v>
      </c>
      <c r="K20" s="2199">
        <v>85000</v>
      </c>
      <c r="L20" s="2200">
        <f t="shared" si="0"/>
        <v>0</v>
      </c>
      <c r="M20" s="2200"/>
      <c r="N20" s="2200">
        <f t="shared" si="1"/>
        <v>170000</v>
      </c>
    </row>
    <row r="21" spans="1:14">
      <c r="A21" s="2197" t="s">
        <v>134</v>
      </c>
      <c r="B21" s="3159" t="s">
        <v>135</v>
      </c>
      <c r="C21" s="3160"/>
      <c r="D21" s="2471">
        <v>9</v>
      </c>
      <c r="E21" s="2198" t="s">
        <v>1158</v>
      </c>
      <c r="F21" s="2199">
        <v>15000</v>
      </c>
      <c r="G21" s="2200">
        <f t="shared" si="2"/>
        <v>135000</v>
      </c>
      <c r="H21" s="2200"/>
      <c r="I21" s="2471"/>
      <c r="J21" s="2198" t="s">
        <v>1158</v>
      </c>
      <c r="K21" s="2199">
        <v>15000</v>
      </c>
      <c r="L21" s="2200">
        <f t="shared" si="0"/>
        <v>0</v>
      </c>
      <c r="M21" s="2200"/>
      <c r="N21" s="2200">
        <f t="shared" si="1"/>
        <v>135000</v>
      </c>
    </row>
    <row r="22" spans="1:14">
      <c r="A22" s="2197" t="s">
        <v>137</v>
      </c>
      <c r="B22" s="3159" t="s">
        <v>138</v>
      </c>
      <c r="C22" s="3160"/>
      <c r="D22" s="2198">
        <v>31</v>
      </c>
      <c r="E22" s="2198" t="s">
        <v>1158</v>
      </c>
      <c r="F22" s="2199">
        <v>3000</v>
      </c>
      <c r="G22" s="2200">
        <f t="shared" si="2"/>
        <v>93000</v>
      </c>
      <c r="H22" s="2200"/>
      <c r="I22" s="2198"/>
      <c r="J22" s="2198" t="s">
        <v>1158</v>
      </c>
      <c r="K22" s="2199">
        <v>3000</v>
      </c>
      <c r="L22" s="2200">
        <f t="shared" si="0"/>
        <v>0</v>
      </c>
      <c r="M22" s="2200"/>
      <c r="N22" s="2200">
        <f t="shared" si="1"/>
        <v>93000</v>
      </c>
    </row>
    <row r="23" spans="1:14">
      <c r="A23" s="2197" t="s">
        <v>139</v>
      </c>
      <c r="B23" s="3159" t="s">
        <v>918</v>
      </c>
      <c r="C23" s="3160"/>
      <c r="D23" s="2198">
        <v>41</v>
      </c>
      <c r="E23" s="2198" t="s">
        <v>1158</v>
      </c>
      <c r="F23" s="2199">
        <v>8000</v>
      </c>
      <c r="G23" s="2200">
        <f t="shared" si="2"/>
        <v>328000</v>
      </c>
      <c r="H23" s="2200"/>
      <c r="I23" s="2198"/>
      <c r="J23" s="2198" t="s">
        <v>1158</v>
      </c>
      <c r="K23" s="2199">
        <v>8000</v>
      </c>
      <c r="L23" s="2200">
        <f t="shared" si="0"/>
        <v>0</v>
      </c>
      <c r="M23" s="2200"/>
      <c r="N23" s="2200">
        <f t="shared" si="1"/>
        <v>328000</v>
      </c>
    </row>
    <row r="24" spans="1:14">
      <c r="A24" s="2197" t="s">
        <v>140</v>
      </c>
      <c r="B24" s="3159" t="s">
        <v>920</v>
      </c>
      <c r="C24" s="3160"/>
      <c r="D24" s="2472">
        <v>2</v>
      </c>
      <c r="E24" s="2198" t="s">
        <v>1158</v>
      </c>
      <c r="F24" s="2199">
        <v>17500</v>
      </c>
      <c r="G24" s="2200">
        <f t="shared" si="2"/>
        <v>35000</v>
      </c>
      <c r="H24" s="2200"/>
      <c r="I24" s="2472"/>
      <c r="J24" s="2198" t="s">
        <v>1158</v>
      </c>
      <c r="K24" s="2199">
        <v>17500</v>
      </c>
      <c r="L24" s="2200">
        <f t="shared" si="0"/>
        <v>0</v>
      </c>
      <c r="M24" s="2200"/>
      <c r="N24" s="2200">
        <f t="shared" si="1"/>
        <v>35000</v>
      </c>
    </row>
    <row r="25" spans="1:14">
      <c r="A25" s="2197" t="s">
        <v>142</v>
      </c>
      <c r="B25" s="3159" t="s">
        <v>1174</v>
      </c>
      <c r="C25" s="3160"/>
      <c r="D25" s="2198">
        <v>12</v>
      </c>
      <c r="E25" s="2198" t="s">
        <v>1158</v>
      </c>
      <c r="F25" s="2199">
        <v>30000</v>
      </c>
      <c r="G25" s="2200">
        <f t="shared" si="2"/>
        <v>360000</v>
      </c>
      <c r="H25" s="2200"/>
      <c r="I25" s="2198"/>
      <c r="J25" s="2198" t="s">
        <v>1158</v>
      </c>
      <c r="K25" s="2199">
        <v>30000</v>
      </c>
      <c r="L25" s="2200">
        <f t="shared" si="0"/>
        <v>0</v>
      </c>
      <c r="M25" s="2200"/>
      <c r="N25" s="2200">
        <f t="shared" si="1"/>
        <v>360000</v>
      </c>
    </row>
    <row r="26" spans="1:14">
      <c r="A26" s="2197" t="s">
        <v>143</v>
      </c>
      <c r="B26" s="3159" t="s">
        <v>1183</v>
      </c>
      <c r="C26" s="3160"/>
      <c r="D26" s="2198">
        <v>2</v>
      </c>
      <c r="E26" s="2198" t="s">
        <v>1177</v>
      </c>
      <c r="F26" s="2199">
        <v>5000</v>
      </c>
      <c r="G26" s="2200">
        <f t="shared" si="2"/>
        <v>10000</v>
      </c>
      <c r="H26" s="2200"/>
      <c r="I26" s="2198"/>
      <c r="J26" s="2198" t="s">
        <v>1177</v>
      </c>
      <c r="K26" s="2199">
        <v>5000</v>
      </c>
      <c r="L26" s="2200">
        <f t="shared" si="0"/>
        <v>0</v>
      </c>
      <c r="M26" s="2200"/>
      <c r="N26" s="2200">
        <f t="shared" si="1"/>
        <v>10000</v>
      </c>
    </row>
    <row r="27" spans="1:14">
      <c r="A27" s="2197" t="s">
        <v>274</v>
      </c>
      <c r="B27" s="3159" t="s">
        <v>1184</v>
      </c>
      <c r="C27" s="3160"/>
      <c r="D27" s="2198">
        <v>5</v>
      </c>
      <c r="E27" s="2198" t="s">
        <v>1177</v>
      </c>
      <c r="F27" s="2199">
        <v>3000</v>
      </c>
      <c r="G27" s="2200">
        <f t="shared" si="2"/>
        <v>15000</v>
      </c>
      <c r="H27" s="2200"/>
      <c r="I27" s="2198"/>
      <c r="J27" s="2198" t="s">
        <v>1177</v>
      </c>
      <c r="K27" s="2199">
        <v>3000</v>
      </c>
      <c r="L27" s="2200">
        <f t="shared" si="0"/>
        <v>0</v>
      </c>
      <c r="M27" s="2200"/>
      <c r="N27" s="2200">
        <f t="shared" si="1"/>
        <v>15000</v>
      </c>
    </row>
    <row r="28" spans="1:14">
      <c r="A28" s="2197" t="s">
        <v>144</v>
      </c>
      <c r="B28" s="3159" t="s">
        <v>147</v>
      </c>
      <c r="C28" s="3160"/>
      <c r="D28" s="2198">
        <v>5</v>
      </c>
      <c r="E28" s="2198" t="s">
        <v>1177</v>
      </c>
      <c r="F28" s="2199">
        <v>24000</v>
      </c>
      <c r="G28" s="2200">
        <f t="shared" si="2"/>
        <v>120000</v>
      </c>
      <c r="H28" s="2200"/>
      <c r="I28" s="2198"/>
      <c r="J28" s="2198" t="s">
        <v>1177</v>
      </c>
      <c r="K28" s="2199">
        <v>24000</v>
      </c>
      <c r="L28" s="2200">
        <f t="shared" si="0"/>
        <v>0</v>
      </c>
      <c r="M28" s="2200"/>
      <c r="N28" s="2200">
        <f t="shared" si="1"/>
        <v>120000</v>
      </c>
    </row>
    <row r="29" spans="1:14">
      <c r="A29" s="2197" t="s">
        <v>145</v>
      </c>
      <c r="B29" s="3159" t="s">
        <v>1175</v>
      </c>
      <c r="C29" s="3160"/>
      <c r="D29" s="2198">
        <v>2</v>
      </c>
      <c r="E29" s="2198" t="s">
        <v>1177</v>
      </c>
      <c r="F29" s="2199">
        <v>90000</v>
      </c>
      <c r="G29" s="2200">
        <f t="shared" si="2"/>
        <v>180000</v>
      </c>
      <c r="H29" s="2200"/>
      <c r="I29" s="2198"/>
      <c r="J29" s="2198" t="s">
        <v>1177</v>
      </c>
      <c r="K29" s="2199">
        <v>90000</v>
      </c>
      <c r="L29" s="2200">
        <f t="shared" si="0"/>
        <v>0</v>
      </c>
      <c r="M29" s="2200"/>
      <c r="N29" s="2200">
        <f t="shared" si="1"/>
        <v>180000</v>
      </c>
    </row>
    <row r="30" spans="1:14">
      <c r="A30" s="2197" t="s">
        <v>146</v>
      </c>
      <c r="B30" s="3159" t="s">
        <v>1176</v>
      </c>
      <c r="C30" s="3160"/>
      <c r="D30" s="2472">
        <v>5</v>
      </c>
      <c r="E30" s="2198" t="s">
        <v>1177</v>
      </c>
      <c r="F30" s="2199">
        <v>30000</v>
      </c>
      <c r="G30" s="2200">
        <f t="shared" si="2"/>
        <v>150000</v>
      </c>
      <c r="H30" s="2200"/>
      <c r="I30" s="2472"/>
      <c r="J30" s="2198" t="s">
        <v>1177</v>
      </c>
      <c r="K30" s="2199">
        <v>30000</v>
      </c>
      <c r="L30" s="2200">
        <f t="shared" si="0"/>
        <v>0</v>
      </c>
      <c r="M30" s="2200"/>
      <c r="N30" s="2200">
        <f t="shared" si="1"/>
        <v>150000</v>
      </c>
    </row>
    <row r="31" spans="1:14">
      <c r="A31" s="2197" t="s">
        <v>149</v>
      </c>
      <c r="B31" s="3159" t="s">
        <v>922</v>
      </c>
      <c r="C31" s="3160"/>
      <c r="D31" s="2198">
        <v>8</v>
      </c>
      <c r="E31" s="2198" t="s">
        <v>1177</v>
      </c>
      <c r="F31" s="2199">
        <v>15000</v>
      </c>
      <c r="G31" s="2200">
        <f t="shared" si="2"/>
        <v>120000</v>
      </c>
      <c r="H31" s="2200"/>
      <c r="I31" s="2198"/>
      <c r="J31" s="2198" t="s">
        <v>1177</v>
      </c>
      <c r="K31" s="2199">
        <v>15000</v>
      </c>
      <c r="L31" s="2200">
        <f t="shared" si="0"/>
        <v>0</v>
      </c>
      <c r="M31" s="2200"/>
      <c r="N31" s="2200">
        <f t="shared" si="1"/>
        <v>120000</v>
      </c>
    </row>
    <row r="32" spans="1:14">
      <c r="A32" s="2197" t="s">
        <v>150</v>
      </c>
      <c r="B32" s="3159" t="s">
        <v>1162</v>
      </c>
      <c r="C32" s="3160"/>
      <c r="D32" s="2198">
        <v>2</v>
      </c>
      <c r="E32" s="2198" t="s">
        <v>1158</v>
      </c>
      <c r="F32" s="2199">
        <v>25000</v>
      </c>
      <c r="G32" s="2200">
        <f t="shared" si="2"/>
        <v>50000</v>
      </c>
      <c r="H32" s="2200"/>
      <c r="I32" s="2198"/>
      <c r="J32" s="2198" t="s">
        <v>1158</v>
      </c>
      <c r="K32" s="2199">
        <v>25000</v>
      </c>
      <c r="L32" s="2200">
        <f t="shared" si="0"/>
        <v>0</v>
      </c>
      <c r="M32" s="2200"/>
      <c r="N32" s="2200">
        <f t="shared" si="1"/>
        <v>50000</v>
      </c>
    </row>
    <row r="33" spans="1:14">
      <c r="A33" s="2197" t="s">
        <v>151</v>
      </c>
      <c r="B33" s="3159" t="s">
        <v>1164</v>
      </c>
      <c r="C33" s="3160"/>
      <c r="D33" s="2198">
        <v>22</v>
      </c>
      <c r="E33" s="2198" t="s">
        <v>1177</v>
      </c>
      <c r="F33" s="2199">
        <v>6000</v>
      </c>
      <c r="G33" s="2200">
        <f t="shared" si="2"/>
        <v>132000</v>
      </c>
      <c r="H33" s="2200"/>
      <c r="I33" s="2198"/>
      <c r="J33" s="2198" t="s">
        <v>1177</v>
      </c>
      <c r="K33" s="2199">
        <v>6000</v>
      </c>
      <c r="L33" s="2200">
        <f t="shared" si="0"/>
        <v>0</v>
      </c>
      <c r="M33" s="2200"/>
      <c r="N33" s="2200">
        <f t="shared" si="1"/>
        <v>132000</v>
      </c>
    </row>
    <row r="34" spans="1:14">
      <c r="A34" s="2197" t="s">
        <v>284</v>
      </c>
      <c r="B34" s="3159" t="s">
        <v>1163</v>
      </c>
      <c r="C34" s="3160"/>
      <c r="D34" s="2198">
        <v>15</v>
      </c>
      <c r="E34" s="2198" t="s">
        <v>1177</v>
      </c>
      <c r="F34" s="2199">
        <v>16000</v>
      </c>
      <c r="G34" s="2200">
        <f t="shared" si="2"/>
        <v>240000</v>
      </c>
      <c r="H34" s="2200"/>
      <c r="I34" s="2198"/>
      <c r="J34" s="2198" t="s">
        <v>1177</v>
      </c>
      <c r="K34" s="2199">
        <v>16000</v>
      </c>
      <c r="L34" s="2200">
        <f t="shared" si="0"/>
        <v>0</v>
      </c>
      <c r="M34" s="2200"/>
      <c r="N34" s="2200">
        <f t="shared" si="1"/>
        <v>240000</v>
      </c>
    </row>
    <row r="35" spans="1:14">
      <c r="A35" s="2197" t="s">
        <v>152</v>
      </c>
      <c r="B35" s="3159" t="s">
        <v>1165</v>
      </c>
      <c r="C35" s="3160"/>
      <c r="D35" s="2198">
        <v>9</v>
      </c>
      <c r="E35" s="2198" t="s">
        <v>1177</v>
      </c>
      <c r="F35" s="2199">
        <v>25000</v>
      </c>
      <c r="G35" s="2200">
        <f t="shared" si="2"/>
        <v>225000</v>
      </c>
      <c r="H35" s="2200"/>
      <c r="I35" s="2198"/>
      <c r="J35" s="2198" t="s">
        <v>1177</v>
      </c>
      <c r="K35" s="2199">
        <v>25000</v>
      </c>
      <c r="L35" s="2200">
        <f t="shared" si="0"/>
        <v>0</v>
      </c>
      <c r="M35" s="2200"/>
      <c r="N35" s="2200">
        <f t="shared" si="1"/>
        <v>225000</v>
      </c>
    </row>
    <row r="36" spans="1:14">
      <c r="A36" s="2197" t="s">
        <v>153</v>
      </c>
      <c r="B36" s="3159" t="s">
        <v>1166</v>
      </c>
      <c r="C36" s="3160"/>
      <c r="D36" s="2198">
        <v>9</v>
      </c>
      <c r="E36" s="2198" t="s">
        <v>1178</v>
      </c>
      <c r="F36" s="2199">
        <v>90000</v>
      </c>
      <c r="G36" s="2200">
        <f t="shared" si="2"/>
        <v>810000</v>
      </c>
      <c r="H36" s="2200"/>
      <c r="I36" s="2198">
        <v>9</v>
      </c>
      <c r="J36" s="2198" t="s">
        <v>1178</v>
      </c>
      <c r="K36" s="2199">
        <v>90000</v>
      </c>
      <c r="L36" s="2200">
        <f t="shared" si="0"/>
        <v>810000</v>
      </c>
      <c r="M36" s="2200"/>
      <c r="N36" s="2200">
        <f t="shared" si="1"/>
        <v>0</v>
      </c>
    </row>
    <row r="37" spans="1:14">
      <c r="A37" s="2197" t="s">
        <v>154</v>
      </c>
      <c r="B37" s="3159" t="s">
        <v>1167</v>
      </c>
      <c r="C37" s="3160"/>
      <c r="D37" s="2198">
        <v>2</v>
      </c>
      <c r="E37" s="2198" t="s">
        <v>1179</v>
      </c>
      <c r="F37" s="2199">
        <v>140000</v>
      </c>
      <c r="G37" s="2200">
        <f t="shared" si="2"/>
        <v>280000</v>
      </c>
      <c r="H37" s="2200"/>
      <c r="I37" s="2198">
        <v>2</v>
      </c>
      <c r="J37" s="2198" t="s">
        <v>1179</v>
      </c>
      <c r="K37" s="2199">
        <v>140000</v>
      </c>
      <c r="L37" s="2200">
        <f t="shared" si="0"/>
        <v>280000</v>
      </c>
      <c r="M37" s="2200"/>
      <c r="N37" s="2200">
        <f t="shared" si="1"/>
        <v>0</v>
      </c>
    </row>
    <row r="38" spans="1:14">
      <c r="A38" s="2197" t="s">
        <v>155</v>
      </c>
      <c r="B38" s="3159" t="s">
        <v>159</v>
      </c>
      <c r="C38" s="3160"/>
      <c r="D38" s="2198">
        <v>10</v>
      </c>
      <c r="E38" s="2198" t="s">
        <v>1158</v>
      </c>
      <c r="F38" s="2199">
        <v>8000</v>
      </c>
      <c r="G38" s="2200">
        <f t="shared" si="2"/>
        <v>80000</v>
      </c>
      <c r="H38" s="2200"/>
      <c r="I38" s="2198"/>
      <c r="J38" s="2198" t="s">
        <v>1158</v>
      </c>
      <c r="K38" s="2199">
        <v>8000</v>
      </c>
      <c r="L38" s="2200">
        <f t="shared" si="0"/>
        <v>0</v>
      </c>
      <c r="M38" s="2200"/>
      <c r="N38" s="2200">
        <f t="shared" si="1"/>
        <v>80000</v>
      </c>
    </row>
    <row r="39" spans="1:14">
      <c r="A39" s="2197" t="s">
        <v>156</v>
      </c>
      <c r="B39" s="3159" t="s">
        <v>160</v>
      </c>
      <c r="C39" s="3160"/>
      <c r="D39" s="2472">
        <v>10</v>
      </c>
      <c r="E39" s="2198" t="s">
        <v>1158</v>
      </c>
      <c r="F39" s="2199">
        <v>12000</v>
      </c>
      <c r="G39" s="2200">
        <f t="shared" si="2"/>
        <v>120000</v>
      </c>
      <c r="H39" s="2200"/>
      <c r="I39" s="2472"/>
      <c r="J39" s="2198" t="s">
        <v>1158</v>
      </c>
      <c r="K39" s="2199">
        <v>12000</v>
      </c>
      <c r="L39" s="2200">
        <f t="shared" si="0"/>
        <v>0</v>
      </c>
      <c r="M39" s="2200"/>
      <c r="N39" s="2200">
        <f t="shared" si="1"/>
        <v>120000</v>
      </c>
    </row>
    <row r="40" spans="1:14">
      <c r="A40" s="2197" t="s">
        <v>157</v>
      </c>
      <c r="B40" s="3159" t="s">
        <v>1168</v>
      </c>
      <c r="C40" s="3160"/>
      <c r="D40" s="2198">
        <v>9</v>
      </c>
      <c r="E40" s="2198" t="s">
        <v>1158</v>
      </c>
      <c r="F40" s="2199">
        <v>15000</v>
      </c>
      <c r="G40" s="2200">
        <f t="shared" si="2"/>
        <v>135000</v>
      </c>
      <c r="H40" s="2200"/>
      <c r="I40" s="2198"/>
      <c r="J40" s="2198" t="s">
        <v>1158</v>
      </c>
      <c r="K40" s="2199">
        <v>15000</v>
      </c>
      <c r="L40" s="2200">
        <f t="shared" si="0"/>
        <v>0</v>
      </c>
      <c r="M40" s="2200"/>
      <c r="N40" s="2200">
        <f t="shared" si="1"/>
        <v>135000</v>
      </c>
    </row>
    <row r="41" spans="1:14">
      <c r="A41" s="2197" t="s">
        <v>833</v>
      </c>
      <c r="B41" s="3159" t="s">
        <v>1169</v>
      </c>
      <c r="C41" s="3160"/>
      <c r="D41" s="2198">
        <v>4</v>
      </c>
      <c r="E41" s="2198" t="s">
        <v>1158</v>
      </c>
      <c r="F41" s="2199">
        <v>20000</v>
      </c>
      <c r="G41" s="2200">
        <f t="shared" si="2"/>
        <v>80000</v>
      </c>
      <c r="H41" s="2200"/>
      <c r="I41" s="2198"/>
      <c r="J41" s="2198" t="s">
        <v>1158</v>
      </c>
      <c r="K41" s="2199">
        <v>20000</v>
      </c>
      <c r="L41" s="2200">
        <f t="shared" si="0"/>
        <v>0</v>
      </c>
      <c r="M41" s="2200"/>
      <c r="N41" s="2200">
        <f t="shared" si="1"/>
        <v>80000</v>
      </c>
    </row>
    <row r="42" spans="1:14">
      <c r="A42" s="2197" t="s">
        <v>890</v>
      </c>
      <c r="B42" s="3159" t="s">
        <v>1170</v>
      </c>
      <c r="C42" s="3160"/>
      <c r="D42" s="2198">
        <v>20</v>
      </c>
      <c r="E42" s="2198" t="s">
        <v>1158</v>
      </c>
      <c r="F42" s="2199">
        <v>8000</v>
      </c>
      <c r="G42" s="2200">
        <f t="shared" si="2"/>
        <v>160000</v>
      </c>
      <c r="H42" s="2200"/>
      <c r="I42" s="2198"/>
      <c r="J42" s="2198" t="s">
        <v>1158</v>
      </c>
      <c r="K42" s="2199">
        <v>8000</v>
      </c>
      <c r="L42" s="2200">
        <f t="shared" si="0"/>
        <v>0</v>
      </c>
      <c r="M42" s="2200"/>
      <c r="N42" s="2200">
        <f t="shared" si="1"/>
        <v>160000</v>
      </c>
    </row>
    <row r="43" spans="1:14">
      <c r="A43" s="2197" t="s">
        <v>892</v>
      </c>
      <c r="B43" s="3159" t="s">
        <v>907</v>
      </c>
      <c r="C43" s="3160"/>
      <c r="D43" s="2472">
        <v>18</v>
      </c>
      <c r="E43" s="2198" t="s">
        <v>1158</v>
      </c>
      <c r="F43" s="2199">
        <v>40000</v>
      </c>
      <c r="G43" s="2200">
        <f t="shared" si="2"/>
        <v>720000</v>
      </c>
      <c r="H43" s="2200"/>
      <c r="I43" s="2472"/>
      <c r="J43" s="2198" t="s">
        <v>1158</v>
      </c>
      <c r="K43" s="2199">
        <v>40000</v>
      </c>
      <c r="L43" s="2200">
        <f t="shared" si="0"/>
        <v>0</v>
      </c>
      <c r="M43" s="2200"/>
      <c r="N43" s="2200">
        <f t="shared" si="1"/>
        <v>720000</v>
      </c>
    </row>
    <row r="44" spans="1:14">
      <c r="A44" s="2197" t="s">
        <v>893</v>
      </c>
      <c r="B44" s="3159" t="s">
        <v>891</v>
      </c>
      <c r="C44" s="3160"/>
      <c r="D44" s="2198">
        <v>1</v>
      </c>
      <c r="E44" s="2198" t="s">
        <v>1180</v>
      </c>
      <c r="F44" s="2199">
        <v>400000</v>
      </c>
      <c r="G44" s="2200">
        <f>+F44*D44</f>
        <v>400000</v>
      </c>
      <c r="H44" s="2200"/>
      <c r="I44" s="2198">
        <v>1</v>
      </c>
      <c r="J44" s="2198" t="s">
        <v>1180</v>
      </c>
      <c r="K44" s="2199">
        <v>400000</v>
      </c>
      <c r="L44" s="2200">
        <f>+K44*I44</f>
        <v>400000</v>
      </c>
      <c r="M44" s="2200"/>
      <c r="N44" s="2200">
        <f t="shared" si="1"/>
        <v>0</v>
      </c>
    </row>
    <row r="45" spans="1:14">
      <c r="A45" s="2197" t="s">
        <v>908</v>
      </c>
      <c r="B45" s="3159" t="s">
        <v>162</v>
      </c>
      <c r="C45" s="3160"/>
      <c r="D45" s="2198">
        <v>1</v>
      </c>
      <c r="E45" s="2198" t="s">
        <v>1180</v>
      </c>
      <c r="F45" s="2199">
        <v>700000</v>
      </c>
      <c r="G45" s="2200">
        <f>+F45*D45</f>
        <v>700000</v>
      </c>
      <c r="H45" s="2200"/>
      <c r="I45" s="2198">
        <v>1</v>
      </c>
      <c r="J45" s="2198" t="s">
        <v>1180</v>
      </c>
      <c r="K45" s="2199">
        <v>700000</v>
      </c>
      <c r="L45" s="2200">
        <f>+K45*I45</f>
        <v>700000</v>
      </c>
      <c r="M45" s="2200"/>
      <c r="N45" s="2200">
        <f t="shared" si="1"/>
        <v>0</v>
      </c>
    </row>
    <row r="46" spans="1:14">
      <c r="A46" s="2201" t="s">
        <v>1134</v>
      </c>
      <c r="B46" s="3159" t="s">
        <v>1171</v>
      </c>
      <c r="C46" s="3160"/>
      <c r="D46" s="2202">
        <v>1</v>
      </c>
      <c r="E46" s="2202" t="s">
        <v>1158</v>
      </c>
      <c r="F46" s="2203">
        <v>80000</v>
      </c>
      <c r="G46" s="2204">
        <f>+F46*D46</f>
        <v>80000</v>
      </c>
      <c r="H46" s="2204"/>
      <c r="I46" s="2202"/>
      <c r="J46" s="2202" t="s">
        <v>1158</v>
      </c>
      <c r="K46" s="2203">
        <v>80000</v>
      </c>
      <c r="L46" s="2204">
        <f>+K46*I46</f>
        <v>0</v>
      </c>
      <c r="M46" s="2204"/>
      <c r="N46" s="2204">
        <f t="shared" si="1"/>
        <v>80000</v>
      </c>
    </row>
    <row r="47" spans="1:14" s="2255" customFormat="1">
      <c r="A47" s="3161" t="s">
        <v>161</v>
      </c>
      <c r="B47" s="3161"/>
      <c r="C47" s="3161"/>
      <c r="D47" s="3161"/>
      <c r="E47" s="3161"/>
      <c r="F47" s="3161"/>
      <c r="G47" s="2251">
        <f>SUM(G16:G46)</f>
        <v>9077500</v>
      </c>
      <c r="H47" s="2251">
        <f>G47</f>
        <v>9077500</v>
      </c>
      <c r="I47" s="2252"/>
      <c r="J47" s="2253"/>
      <c r="K47" s="2252"/>
      <c r="L47" s="2254">
        <f>SUM(L16:L46)</f>
        <v>6040000</v>
      </c>
      <c r="M47" s="2254">
        <f>L47</f>
        <v>6040000</v>
      </c>
      <c r="N47" s="2254">
        <f>G47-L47</f>
        <v>3037500</v>
      </c>
    </row>
    <row r="48" spans="1:14">
      <c r="A48" s="2178">
        <v>2</v>
      </c>
      <c r="B48" s="3162" t="s">
        <v>913</v>
      </c>
      <c r="C48" s="3163"/>
      <c r="D48" s="2179"/>
      <c r="E48" s="2179"/>
      <c r="F48" s="1782"/>
      <c r="G48" s="1782"/>
      <c r="H48" s="1782"/>
      <c r="I48" s="2179"/>
      <c r="J48" s="2179"/>
      <c r="K48" s="1782"/>
      <c r="L48" s="1782"/>
      <c r="M48" s="1782"/>
      <c r="N48" s="1782">
        <f t="shared" si="1"/>
        <v>0</v>
      </c>
    </row>
    <row r="49" spans="1:16">
      <c r="A49" s="2182" t="s">
        <v>121</v>
      </c>
      <c r="B49" s="3189" t="s">
        <v>1187</v>
      </c>
      <c r="C49" s="3190"/>
      <c r="D49" s="2183">
        <v>3</v>
      </c>
      <c r="E49" s="2183" t="s">
        <v>136</v>
      </c>
      <c r="F49" s="2184">
        <v>80000</v>
      </c>
      <c r="G49" s="1782">
        <f>+F49*D49</f>
        <v>240000</v>
      </c>
      <c r="H49" s="1782"/>
      <c r="I49" s="2183">
        <v>3</v>
      </c>
      <c r="J49" s="2183" t="s">
        <v>136</v>
      </c>
      <c r="K49" s="2184">
        <v>80000</v>
      </c>
      <c r="L49" s="1782">
        <f>+K49*I49</f>
        <v>240000</v>
      </c>
      <c r="M49" s="1782"/>
      <c r="N49" s="1782">
        <f t="shared" si="1"/>
        <v>0</v>
      </c>
    </row>
    <row r="50" spans="1:16" s="2255" customFormat="1">
      <c r="A50" s="3167" t="s">
        <v>163</v>
      </c>
      <c r="B50" s="3167"/>
      <c r="C50" s="3167"/>
      <c r="D50" s="3167"/>
      <c r="E50" s="3167"/>
      <c r="F50" s="3167"/>
      <c r="G50" s="2251">
        <f>SUM(G49:G49)</f>
        <v>240000</v>
      </c>
      <c r="H50" s="2251">
        <f>G50</f>
        <v>240000</v>
      </c>
      <c r="I50" s="2252"/>
      <c r="J50" s="2252"/>
      <c r="K50" s="2252"/>
      <c r="L50" s="2254">
        <f>L49</f>
        <v>240000</v>
      </c>
      <c r="M50" s="2254">
        <f>L50</f>
        <v>240000</v>
      </c>
      <c r="N50" s="2254">
        <f t="shared" si="1"/>
        <v>0</v>
      </c>
    </row>
    <row r="51" spans="1:16">
      <c r="A51" s="2182">
        <v>3</v>
      </c>
      <c r="B51" s="3181" t="s">
        <v>914</v>
      </c>
      <c r="C51" s="3182"/>
      <c r="D51" s="2179"/>
      <c r="E51" s="2179"/>
      <c r="F51" s="1782"/>
      <c r="G51" s="1782"/>
      <c r="H51" s="1782"/>
      <c r="I51" s="2179"/>
      <c r="J51" s="2179"/>
      <c r="K51" s="1782"/>
      <c r="L51" s="1782"/>
      <c r="M51" s="1782"/>
      <c r="N51" s="1782">
        <f t="shared" si="1"/>
        <v>0</v>
      </c>
    </row>
    <row r="52" spans="1:16">
      <c r="A52" s="2205" t="s">
        <v>126</v>
      </c>
      <c r="B52" s="3183" t="s">
        <v>901</v>
      </c>
      <c r="C52" s="3184"/>
      <c r="D52" s="2206">
        <v>2</v>
      </c>
      <c r="E52" s="2207" t="s">
        <v>267</v>
      </c>
      <c r="F52" s="2207">
        <v>35000</v>
      </c>
      <c r="G52" s="2208">
        <f>D52*F52</f>
        <v>70000</v>
      </c>
      <c r="H52" s="2208"/>
      <c r="I52" s="2206">
        <v>2</v>
      </c>
      <c r="J52" s="2207" t="s">
        <v>267</v>
      </c>
      <c r="K52" s="2207">
        <v>35000</v>
      </c>
      <c r="L52" s="2208">
        <f>I52*K52</f>
        <v>70000</v>
      </c>
      <c r="M52" s="2208"/>
      <c r="N52" s="2208">
        <f t="shared" si="1"/>
        <v>0</v>
      </c>
    </row>
    <row r="53" spans="1:16">
      <c r="A53" s="2209" t="s">
        <v>127</v>
      </c>
      <c r="B53" s="3191" t="s">
        <v>902</v>
      </c>
      <c r="C53" s="3192"/>
      <c r="D53" s="2210">
        <v>2</v>
      </c>
      <c r="E53" s="2210" t="s">
        <v>267</v>
      </c>
      <c r="F53" s="2211">
        <v>50000</v>
      </c>
      <c r="G53" s="2212">
        <f>D53*F53</f>
        <v>100000</v>
      </c>
      <c r="H53" s="2212"/>
      <c r="I53" s="2210">
        <v>1</v>
      </c>
      <c r="J53" s="2210" t="s">
        <v>267</v>
      </c>
      <c r="K53" s="2211">
        <v>50000</v>
      </c>
      <c r="L53" s="2212">
        <f>I53*K53</f>
        <v>50000</v>
      </c>
      <c r="M53" s="2212"/>
      <c r="N53" s="2212">
        <f t="shared" si="1"/>
        <v>50000</v>
      </c>
    </row>
    <row r="54" spans="1:16">
      <c r="A54" s="2209" t="s">
        <v>225</v>
      </c>
      <c r="B54" s="3191" t="s">
        <v>1108</v>
      </c>
      <c r="C54" s="3192"/>
      <c r="D54" s="2210">
        <v>2</v>
      </c>
      <c r="E54" s="2210" t="s">
        <v>904</v>
      </c>
      <c r="F54" s="2211">
        <v>20000</v>
      </c>
      <c r="G54" s="2212">
        <f>D54*F54</f>
        <v>40000</v>
      </c>
      <c r="H54" s="2212"/>
      <c r="I54" s="2210">
        <v>4</v>
      </c>
      <c r="J54" s="2210" t="s">
        <v>904</v>
      </c>
      <c r="K54" s="2211">
        <v>20000</v>
      </c>
      <c r="L54" s="2212">
        <f>I54*K54</f>
        <v>80000</v>
      </c>
      <c r="M54" s="2212"/>
      <c r="N54" s="2212">
        <f t="shared" si="1"/>
        <v>-40000</v>
      </c>
    </row>
    <row r="55" spans="1:16">
      <c r="A55" s="2209" t="s">
        <v>226</v>
      </c>
      <c r="B55" s="3191" t="s">
        <v>903</v>
      </c>
      <c r="C55" s="3192"/>
      <c r="D55" s="2210">
        <v>2</v>
      </c>
      <c r="E55" s="2210" t="s">
        <v>267</v>
      </c>
      <c r="F55" s="2211">
        <v>50000</v>
      </c>
      <c r="G55" s="2212">
        <f>D55*F55</f>
        <v>100000</v>
      </c>
      <c r="H55" s="2212"/>
      <c r="I55" s="2210">
        <v>2</v>
      </c>
      <c r="J55" s="2210" t="s">
        <v>267</v>
      </c>
      <c r="K55" s="2211">
        <v>50000</v>
      </c>
      <c r="L55" s="2212">
        <f>I55*K55</f>
        <v>100000</v>
      </c>
      <c r="M55" s="2212"/>
      <c r="N55" s="2212">
        <f t="shared" si="1"/>
        <v>0</v>
      </c>
    </row>
    <row r="56" spans="1:16">
      <c r="A56" s="2213" t="s">
        <v>227</v>
      </c>
      <c r="B56" s="3185" t="s">
        <v>1109</v>
      </c>
      <c r="C56" s="3186"/>
      <c r="D56" s="2214">
        <v>4</v>
      </c>
      <c r="E56" s="2214" t="s">
        <v>904</v>
      </c>
      <c r="F56" s="2215">
        <v>10000</v>
      </c>
      <c r="G56" s="2216">
        <f>D56*F56</f>
        <v>40000</v>
      </c>
      <c r="H56" s="2216"/>
      <c r="I56" s="2214">
        <v>15</v>
      </c>
      <c r="J56" s="2214" t="s">
        <v>904</v>
      </c>
      <c r="K56" s="2215">
        <v>10000</v>
      </c>
      <c r="L56" s="2216">
        <f>I56*K56</f>
        <v>150000</v>
      </c>
      <c r="M56" s="2216"/>
      <c r="N56" s="2216">
        <f t="shared" si="1"/>
        <v>-110000</v>
      </c>
    </row>
    <row r="57" spans="1:16" s="2255" customFormat="1">
      <c r="A57" s="3167" t="s">
        <v>165</v>
      </c>
      <c r="B57" s="3167"/>
      <c r="C57" s="3167"/>
      <c r="D57" s="3167"/>
      <c r="E57" s="3167"/>
      <c r="F57" s="3167"/>
      <c r="G57" s="2251">
        <f>SUM(G52:G56)</f>
        <v>350000</v>
      </c>
      <c r="H57" s="2256">
        <f>G57</f>
        <v>350000</v>
      </c>
      <c r="I57" s="2252"/>
      <c r="J57" s="2252"/>
      <c r="K57" s="2252"/>
      <c r="L57" s="2254">
        <f>SUM(L52:L56)</f>
        <v>450000</v>
      </c>
      <c r="M57" s="2254">
        <f>L57</f>
        <v>450000</v>
      </c>
      <c r="N57" s="2254">
        <f t="shared" si="1"/>
        <v>-100000</v>
      </c>
    </row>
    <row r="58" spans="1:16">
      <c r="A58" s="2182">
        <v>4</v>
      </c>
      <c r="B58" s="3181" t="s">
        <v>915</v>
      </c>
      <c r="C58" s="3182"/>
      <c r="D58" s="2179"/>
      <c r="E58" s="2179"/>
      <c r="F58" s="1782"/>
      <c r="G58" s="1782"/>
      <c r="H58" s="1782"/>
      <c r="I58" s="2179"/>
      <c r="J58" s="2179"/>
      <c r="K58" s="1782"/>
      <c r="L58" s="1782"/>
      <c r="M58" s="1782"/>
      <c r="N58" s="1782">
        <f t="shared" si="1"/>
        <v>0</v>
      </c>
    </row>
    <row r="59" spans="1:16">
      <c r="A59" s="2205" t="s">
        <v>128</v>
      </c>
      <c r="B59" s="3183" t="s">
        <v>1181</v>
      </c>
      <c r="C59" s="3184"/>
      <c r="D59" s="2206">
        <v>40</v>
      </c>
      <c r="E59" s="2206" t="s">
        <v>1110</v>
      </c>
      <c r="F59" s="2207">
        <v>10000</v>
      </c>
      <c r="G59" s="2208">
        <f>+F59*D59</f>
        <v>400000</v>
      </c>
      <c r="H59" s="2208"/>
      <c r="I59" s="2206">
        <v>0</v>
      </c>
      <c r="J59" s="2206" t="s">
        <v>1110</v>
      </c>
      <c r="K59" s="2207">
        <v>10000</v>
      </c>
      <c r="L59" s="2208">
        <f>+K59*I59</f>
        <v>0</v>
      </c>
      <c r="M59" s="2208"/>
      <c r="N59" s="2208">
        <f t="shared" si="1"/>
        <v>400000</v>
      </c>
      <c r="O59" s="1182"/>
      <c r="P59" s="1182"/>
    </row>
    <row r="60" spans="1:16">
      <c r="A60" s="2213" t="s">
        <v>129</v>
      </c>
      <c r="B60" s="3185" t="s">
        <v>1119</v>
      </c>
      <c r="C60" s="3186"/>
      <c r="D60" s="2214">
        <v>10</v>
      </c>
      <c r="E60" s="2214" t="s">
        <v>1110</v>
      </c>
      <c r="F60" s="2215">
        <v>10000</v>
      </c>
      <c r="G60" s="2216">
        <f>+F60*D60</f>
        <v>100000</v>
      </c>
      <c r="H60" s="2216"/>
      <c r="I60" s="2214">
        <v>0</v>
      </c>
      <c r="J60" s="2214" t="s">
        <v>1110</v>
      </c>
      <c r="K60" s="2215">
        <v>10000</v>
      </c>
      <c r="L60" s="2216">
        <f>+K60*I60</f>
        <v>0</v>
      </c>
      <c r="M60" s="2216"/>
      <c r="N60" s="2216">
        <f t="shared" si="1"/>
        <v>100000</v>
      </c>
      <c r="O60" s="1182"/>
      <c r="P60" s="1182"/>
    </row>
    <row r="61" spans="1:16" s="2255" customFormat="1">
      <c r="A61" s="3161" t="s">
        <v>169</v>
      </c>
      <c r="B61" s="3161"/>
      <c r="C61" s="3161"/>
      <c r="D61" s="3161"/>
      <c r="E61" s="3161"/>
      <c r="F61" s="3161"/>
      <c r="G61" s="2251">
        <f>SUM(G59:G60)</f>
        <v>500000</v>
      </c>
      <c r="H61" s="2251">
        <f>G61</f>
        <v>500000</v>
      </c>
      <c r="I61" s="2252"/>
      <c r="J61" s="2252"/>
      <c r="K61" s="2252"/>
      <c r="L61" s="2254">
        <f>SUM(L59:L60)</f>
        <v>0</v>
      </c>
      <c r="M61" s="2254">
        <f>L61</f>
        <v>0</v>
      </c>
      <c r="N61" s="2254">
        <f t="shared" si="1"/>
        <v>500000</v>
      </c>
      <c r="O61" s="2257"/>
      <c r="P61" s="2257"/>
    </row>
    <row r="62" spans="1:16">
      <c r="A62" s="2474">
        <v>5</v>
      </c>
      <c r="B62" s="3187" t="s">
        <v>820</v>
      </c>
      <c r="C62" s="3188"/>
      <c r="D62" s="2475"/>
      <c r="E62" s="2475"/>
      <c r="F62" s="2476"/>
      <c r="G62" s="2476"/>
      <c r="H62" s="2476"/>
      <c r="I62" s="2475"/>
      <c r="J62" s="2475"/>
      <c r="K62" s="2476"/>
      <c r="L62" s="2476"/>
      <c r="M62" s="2476"/>
      <c r="N62" s="2476">
        <f t="shared" si="1"/>
        <v>0</v>
      </c>
      <c r="O62" s="1182"/>
      <c r="P62" s="1182"/>
    </row>
    <row r="63" spans="1:16">
      <c r="A63" s="2178">
        <v>5.0999999999999996</v>
      </c>
      <c r="B63" s="3169" t="s">
        <v>319</v>
      </c>
      <c r="C63" s="3170"/>
      <c r="D63" s="2183">
        <v>1</v>
      </c>
      <c r="E63" s="2183" t="s">
        <v>164</v>
      </c>
      <c r="F63" s="2184">
        <v>4800000</v>
      </c>
      <c r="G63" s="1782">
        <f>F63*D63</f>
        <v>4800000</v>
      </c>
      <c r="H63" s="1782"/>
      <c r="I63" s="2183">
        <v>1</v>
      </c>
      <c r="J63" s="2183" t="s">
        <v>164</v>
      </c>
      <c r="K63" s="2184">
        <f>1436651-859500+600000</f>
        <v>1177151</v>
      </c>
      <c r="L63" s="1782">
        <f>K63*I63</f>
        <v>1177151</v>
      </c>
      <c r="M63" s="1782"/>
      <c r="N63" s="1782">
        <f t="shared" si="1"/>
        <v>3622849</v>
      </c>
      <c r="O63" s="1182"/>
      <c r="P63" s="1182"/>
    </row>
    <row r="64" spans="1:16" s="2255" customFormat="1">
      <c r="A64" s="3161" t="s">
        <v>172</v>
      </c>
      <c r="B64" s="3161"/>
      <c r="C64" s="3161"/>
      <c r="D64" s="3161"/>
      <c r="E64" s="3161"/>
      <c r="F64" s="3161"/>
      <c r="G64" s="2251">
        <f>SUM(G63:G63)</f>
        <v>4800000</v>
      </c>
      <c r="H64" s="2251">
        <f>G64</f>
        <v>4800000</v>
      </c>
      <c r="I64" s="2252"/>
      <c r="J64" s="2252"/>
      <c r="K64" s="2258"/>
      <c r="L64" s="2258">
        <f>L63</f>
        <v>1177151</v>
      </c>
      <c r="M64" s="2258">
        <f>L64</f>
        <v>1177151</v>
      </c>
      <c r="N64" s="2258">
        <f t="shared" si="1"/>
        <v>3622849</v>
      </c>
      <c r="O64" s="2259"/>
      <c r="P64" s="2259"/>
    </row>
    <row r="65" spans="1:19">
      <c r="A65" s="2187">
        <v>6</v>
      </c>
      <c r="B65" s="3199" t="s">
        <v>308</v>
      </c>
      <c r="C65" s="3200"/>
      <c r="D65" s="2183"/>
      <c r="E65" s="2183"/>
      <c r="F65" s="2188"/>
      <c r="G65" s="1782"/>
      <c r="H65" s="1782"/>
      <c r="I65" s="2183"/>
      <c r="J65" s="2183"/>
      <c r="K65" s="2188"/>
      <c r="L65" s="1782"/>
      <c r="M65" s="1782"/>
      <c r="N65" s="1782">
        <f t="shared" si="1"/>
        <v>0</v>
      </c>
      <c r="O65" s="1182"/>
      <c r="P65" s="1182"/>
    </row>
    <row r="66" spans="1:19">
      <c r="A66" s="2217" t="s">
        <v>243</v>
      </c>
      <c r="B66" s="3193" t="s">
        <v>257</v>
      </c>
      <c r="C66" s="3194"/>
      <c r="D66" s="2194">
        <v>45</v>
      </c>
      <c r="E66" s="2194" t="s">
        <v>148</v>
      </c>
      <c r="F66" s="2218">
        <v>7000</v>
      </c>
      <c r="G66" s="2196">
        <f>+F66*D66</f>
        <v>315000</v>
      </c>
      <c r="H66" s="2196"/>
      <c r="I66" s="2194"/>
      <c r="J66" s="2194" t="s">
        <v>148</v>
      </c>
      <c r="K66" s="2218">
        <v>7000</v>
      </c>
      <c r="L66" s="2196">
        <f>+K66*I66</f>
        <v>0</v>
      </c>
      <c r="M66" s="2196"/>
      <c r="N66" s="2196">
        <f t="shared" si="1"/>
        <v>315000</v>
      </c>
      <c r="O66" s="1182"/>
      <c r="P66" s="1182"/>
    </row>
    <row r="67" spans="1:19">
      <c r="A67" s="2219" t="s">
        <v>244</v>
      </c>
      <c r="B67" s="3195" t="s">
        <v>249</v>
      </c>
      <c r="C67" s="3196"/>
      <c r="D67" s="2198">
        <v>45</v>
      </c>
      <c r="E67" s="2198" t="s">
        <v>148</v>
      </c>
      <c r="F67" s="2220">
        <v>20000</v>
      </c>
      <c r="G67" s="2200">
        <f>+F67*D67</f>
        <v>900000</v>
      </c>
      <c r="H67" s="2200"/>
      <c r="I67" s="2198">
        <v>10</v>
      </c>
      <c r="J67" s="2198" t="s">
        <v>148</v>
      </c>
      <c r="K67" s="2220">
        <v>20000</v>
      </c>
      <c r="L67" s="2200">
        <f>+K67*I67</f>
        <v>200000</v>
      </c>
      <c r="M67" s="2200"/>
      <c r="N67" s="2200">
        <f t="shared" si="1"/>
        <v>700000</v>
      </c>
      <c r="O67" s="1182"/>
      <c r="P67" s="1182"/>
    </row>
    <row r="68" spans="1:19">
      <c r="A68" s="2221" t="s">
        <v>245</v>
      </c>
      <c r="B68" s="3201" t="s">
        <v>254</v>
      </c>
      <c r="C68" s="3202"/>
      <c r="D68" s="2202">
        <v>11</v>
      </c>
      <c r="E68" s="2202" t="s">
        <v>255</v>
      </c>
      <c r="F68" s="2222">
        <v>25000</v>
      </c>
      <c r="G68" s="2204">
        <f>+F68*D68</f>
        <v>275000</v>
      </c>
      <c r="H68" s="2204"/>
      <c r="I68" s="2202"/>
      <c r="J68" s="2202" t="s">
        <v>255</v>
      </c>
      <c r="K68" s="2222">
        <v>25000</v>
      </c>
      <c r="L68" s="2204">
        <f>+K68*I68</f>
        <v>0</v>
      </c>
      <c r="M68" s="2204"/>
      <c r="N68" s="2204">
        <f t="shared" si="1"/>
        <v>275000</v>
      </c>
      <c r="O68" s="1182"/>
      <c r="P68" s="1182"/>
    </row>
    <row r="69" spans="1:19" s="2255" customFormat="1">
      <c r="A69" s="3161" t="s">
        <v>585</v>
      </c>
      <c r="B69" s="3161"/>
      <c r="C69" s="3161"/>
      <c r="D69" s="3161"/>
      <c r="E69" s="3161"/>
      <c r="F69" s="3161"/>
      <c r="G69" s="2251">
        <f>SUM(G66:G68)</f>
        <v>1490000</v>
      </c>
      <c r="H69" s="2251">
        <f>G69</f>
        <v>1490000</v>
      </c>
      <c r="I69" s="2252"/>
      <c r="J69" s="2252"/>
      <c r="K69" s="2254"/>
      <c r="L69" s="2254">
        <f>SUM(L66:L68)</f>
        <v>200000</v>
      </c>
      <c r="M69" s="2254">
        <f>L69</f>
        <v>200000</v>
      </c>
      <c r="N69" s="2254">
        <f t="shared" si="1"/>
        <v>1290000</v>
      </c>
      <c r="O69" s="2473"/>
      <c r="P69" s="2257"/>
    </row>
    <row r="70" spans="1:19">
      <c r="A70" s="2181">
        <v>7</v>
      </c>
      <c r="B70" s="3199" t="s">
        <v>570</v>
      </c>
      <c r="C70" s="3200"/>
      <c r="D70" s="2179"/>
      <c r="E70" s="2189"/>
      <c r="F70" s="2189"/>
      <c r="G70" s="1782"/>
      <c r="H70" s="1783"/>
      <c r="I70" s="2179"/>
      <c r="J70" s="2189"/>
      <c r="K70" s="2189"/>
      <c r="L70" s="1782"/>
      <c r="M70" s="1783"/>
      <c r="N70" s="1783">
        <f t="shared" si="1"/>
        <v>0</v>
      </c>
      <c r="O70" s="1182"/>
      <c r="P70" s="1182"/>
    </row>
    <row r="71" spans="1:19">
      <c r="A71" s="2263" t="s">
        <v>242</v>
      </c>
      <c r="B71" s="3193" t="s">
        <v>1133</v>
      </c>
      <c r="C71" s="3194"/>
      <c r="D71" s="2223">
        <f>1*12</f>
        <v>12</v>
      </c>
      <c r="E71" s="2224" t="s">
        <v>1099</v>
      </c>
      <c r="F71" s="2225">
        <v>800000</v>
      </c>
      <c r="G71" s="2196">
        <f t="shared" ref="G71:G78" si="3">D71*F71</f>
        <v>9600000</v>
      </c>
      <c r="H71" s="2226"/>
      <c r="I71" s="2223">
        <v>4</v>
      </c>
      <c r="J71" s="2224" t="s">
        <v>1099</v>
      </c>
      <c r="K71" s="2225">
        <v>800000</v>
      </c>
      <c r="L71" s="2196">
        <f t="shared" ref="L71:L78" si="4">I71*K71</f>
        <v>3200000</v>
      </c>
      <c r="M71" s="2226"/>
      <c r="N71" s="2226">
        <f t="shared" si="1"/>
        <v>6400000</v>
      </c>
      <c r="O71" s="1182"/>
      <c r="P71" s="1182"/>
    </row>
    <row r="72" spans="1:19">
      <c r="A72" s="2264" t="s">
        <v>333</v>
      </c>
      <c r="B72" s="3195" t="s">
        <v>822</v>
      </c>
      <c r="C72" s="3196"/>
      <c r="D72" s="2227">
        <f>1*12</f>
        <v>12</v>
      </c>
      <c r="E72" s="2228" t="s">
        <v>1099</v>
      </c>
      <c r="F72" s="2229">
        <v>500000</v>
      </c>
      <c r="G72" s="2200">
        <f t="shared" si="3"/>
        <v>6000000</v>
      </c>
      <c r="H72" s="2230"/>
      <c r="I72" s="2227">
        <v>4</v>
      </c>
      <c r="J72" s="2228" t="s">
        <v>1099</v>
      </c>
      <c r="K72" s="2229">
        <v>500000</v>
      </c>
      <c r="L72" s="2200">
        <f t="shared" si="4"/>
        <v>2000000</v>
      </c>
      <c r="M72" s="2230"/>
      <c r="N72" s="2230">
        <f t="shared" si="1"/>
        <v>4000000</v>
      </c>
      <c r="O72" s="1182"/>
      <c r="P72" s="1182"/>
      <c r="S72" s="328">
        <v>4000000</v>
      </c>
    </row>
    <row r="73" spans="1:19">
      <c r="A73" s="2264" t="s">
        <v>1344</v>
      </c>
      <c r="B73" s="3195" t="s">
        <v>180</v>
      </c>
      <c r="C73" s="3196"/>
      <c r="D73" s="2227">
        <f>12*5</f>
        <v>60</v>
      </c>
      <c r="E73" s="2228" t="s">
        <v>1099</v>
      </c>
      <c r="F73" s="2229">
        <v>250000</v>
      </c>
      <c r="G73" s="2200">
        <f t="shared" si="3"/>
        <v>15000000</v>
      </c>
      <c r="H73" s="2230"/>
      <c r="I73" s="2227">
        <v>20</v>
      </c>
      <c r="J73" s="2228" t="s">
        <v>1099</v>
      </c>
      <c r="K73" s="2229">
        <v>250000</v>
      </c>
      <c r="L73" s="2200">
        <f t="shared" si="4"/>
        <v>5000000</v>
      </c>
      <c r="M73" s="2230"/>
      <c r="N73" s="2230">
        <f t="shared" si="1"/>
        <v>10000000</v>
      </c>
      <c r="O73" s="1182"/>
      <c r="P73" s="1182"/>
      <c r="S73" s="328">
        <f>S72/50000</f>
        <v>80</v>
      </c>
    </row>
    <row r="74" spans="1:19">
      <c r="A74" s="2265" t="s">
        <v>1345</v>
      </c>
      <c r="B74" s="3197" t="s">
        <v>187</v>
      </c>
      <c r="C74" s="3198"/>
      <c r="D74" s="2231">
        <f>1*12</f>
        <v>12</v>
      </c>
      <c r="E74" s="2232" t="s">
        <v>1099</v>
      </c>
      <c r="F74" s="2233">
        <v>250000</v>
      </c>
      <c r="G74" s="2204">
        <f t="shared" si="3"/>
        <v>3000000</v>
      </c>
      <c r="H74" s="2234"/>
      <c r="I74" s="2231">
        <v>4</v>
      </c>
      <c r="J74" s="2232" t="s">
        <v>1099</v>
      </c>
      <c r="K74" s="2233">
        <v>250000</v>
      </c>
      <c r="L74" s="2204">
        <f t="shared" si="4"/>
        <v>1000000</v>
      </c>
      <c r="M74" s="2234"/>
      <c r="N74" s="2234">
        <f t="shared" si="1"/>
        <v>2000000</v>
      </c>
      <c r="O74" s="1182"/>
      <c r="P74" s="1182"/>
    </row>
    <row r="75" spans="1:19">
      <c r="A75" s="2678"/>
      <c r="B75" s="3193" t="s">
        <v>1133</v>
      </c>
      <c r="C75" s="3194"/>
      <c r="D75" s="2223"/>
      <c r="E75" s="2224" t="s">
        <v>1099</v>
      </c>
      <c r="F75" s="2225">
        <v>800000</v>
      </c>
      <c r="G75" s="2196">
        <f t="shared" si="3"/>
        <v>0</v>
      </c>
      <c r="H75" s="2685"/>
      <c r="I75" s="2223">
        <v>8</v>
      </c>
      <c r="J75" s="2224" t="s">
        <v>1099</v>
      </c>
      <c r="K75" s="2225">
        <v>720000</v>
      </c>
      <c r="L75" s="2196">
        <f t="shared" si="4"/>
        <v>5760000</v>
      </c>
      <c r="M75" s="2685"/>
      <c r="N75" s="2234">
        <f t="shared" si="1"/>
        <v>-5760000</v>
      </c>
      <c r="O75" s="1182"/>
      <c r="P75" s="1182"/>
    </row>
    <row r="76" spans="1:19">
      <c r="A76" s="2678"/>
      <c r="B76" s="3195" t="s">
        <v>822</v>
      </c>
      <c r="C76" s="3196"/>
      <c r="D76" s="2227"/>
      <c r="E76" s="2228" t="s">
        <v>1099</v>
      </c>
      <c r="F76" s="2229">
        <v>500000</v>
      </c>
      <c r="G76" s="2200">
        <f t="shared" si="3"/>
        <v>0</v>
      </c>
      <c r="H76" s="2685"/>
      <c r="I76" s="2227">
        <v>8</v>
      </c>
      <c r="J76" s="2228" t="s">
        <v>1099</v>
      </c>
      <c r="K76" s="2229">
        <v>450000</v>
      </c>
      <c r="L76" s="2200">
        <f t="shared" si="4"/>
        <v>3600000</v>
      </c>
      <c r="M76" s="2685"/>
      <c r="N76" s="2234">
        <f t="shared" si="1"/>
        <v>-3600000</v>
      </c>
      <c r="O76" s="1182"/>
      <c r="P76" s="1182"/>
    </row>
    <row r="77" spans="1:19">
      <c r="A77" s="2678"/>
      <c r="B77" s="3195" t="s">
        <v>180</v>
      </c>
      <c r="C77" s="3196"/>
      <c r="D77" s="2227"/>
      <c r="E77" s="2228" t="s">
        <v>1099</v>
      </c>
      <c r="F77" s="2229">
        <v>250000</v>
      </c>
      <c r="G77" s="2200">
        <f t="shared" si="3"/>
        <v>0</v>
      </c>
      <c r="H77" s="2685"/>
      <c r="I77" s="2227">
        <v>40</v>
      </c>
      <c r="J77" s="2228" t="s">
        <v>1099</v>
      </c>
      <c r="K77" s="2229">
        <v>230000</v>
      </c>
      <c r="L77" s="2200">
        <f t="shared" si="4"/>
        <v>9200000</v>
      </c>
      <c r="M77" s="2685"/>
      <c r="N77" s="2234">
        <f t="shared" si="1"/>
        <v>-9200000</v>
      </c>
      <c r="O77" s="1182"/>
      <c r="P77" s="1182"/>
    </row>
    <row r="78" spans="1:19">
      <c r="A78" s="2678"/>
      <c r="B78" s="3197" t="s">
        <v>187</v>
      </c>
      <c r="C78" s="3198"/>
      <c r="D78" s="2231"/>
      <c r="E78" s="2232" t="s">
        <v>1099</v>
      </c>
      <c r="F78" s="2233">
        <v>250000</v>
      </c>
      <c r="G78" s="2204">
        <f t="shared" si="3"/>
        <v>0</v>
      </c>
      <c r="H78" s="2685"/>
      <c r="I78" s="2231">
        <v>8</v>
      </c>
      <c r="J78" s="2232" t="s">
        <v>1099</v>
      </c>
      <c r="K78" s="2229">
        <v>230000</v>
      </c>
      <c r="L78" s="2204">
        <f t="shared" si="4"/>
        <v>1840000</v>
      </c>
      <c r="M78" s="2685"/>
      <c r="N78" s="2234">
        <f t="shared" si="1"/>
        <v>-1840000</v>
      </c>
      <c r="O78" s="1182"/>
      <c r="P78" s="1182"/>
    </row>
    <row r="79" spans="1:19">
      <c r="A79" s="2678"/>
      <c r="B79" s="2679"/>
      <c r="C79" s="2680"/>
      <c r="D79" s="2681"/>
      <c r="E79" s="2682"/>
      <c r="F79" s="2683"/>
      <c r="G79" s="2684"/>
      <c r="H79" s="2685"/>
      <c r="I79" s="2681"/>
      <c r="J79" s="2682"/>
      <c r="K79" s="2686"/>
      <c r="L79" s="2684"/>
      <c r="M79" s="2685"/>
      <c r="N79" s="2685"/>
      <c r="O79" s="1182"/>
      <c r="P79" s="1182"/>
    </row>
    <row r="80" spans="1:19">
      <c r="A80" s="2678"/>
      <c r="B80" s="2679"/>
      <c r="C80" s="2680"/>
      <c r="D80" s="2681"/>
      <c r="E80" s="2682"/>
      <c r="F80" s="2683"/>
      <c r="G80" s="2684"/>
      <c r="H80" s="2685"/>
      <c r="I80" s="2681"/>
      <c r="J80" s="2682"/>
      <c r="K80" s="2686"/>
      <c r="L80" s="2684"/>
      <c r="M80" s="2685"/>
      <c r="N80" s="2685"/>
      <c r="O80" s="1182"/>
      <c r="P80" s="1182"/>
    </row>
    <row r="81" spans="1:16">
      <c r="A81" s="2678"/>
      <c r="B81" s="2679"/>
      <c r="C81" s="2680"/>
      <c r="D81" s="2681"/>
      <c r="E81" s="2682"/>
      <c r="F81" s="2683"/>
      <c r="G81" s="2684"/>
      <c r="H81" s="2685"/>
      <c r="I81" s="2681"/>
      <c r="J81" s="2682"/>
      <c r="K81" s="2686"/>
      <c r="L81" s="2684"/>
      <c r="M81" s="2685"/>
      <c r="N81" s="2685"/>
      <c r="O81" s="1182"/>
      <c r="P81" s="1183">
        <f>H82-2250000</f>
        <v>31350000</v>
      </c>
    </row>
    <row r="82" spans="1:16" s="2255" customFormat="1">
      <c r="A82" s="3161" t="s">
        <v>586</v>
      </c>
      <c r="B82" s="3161"/>
      <c r="C82" s="3161"/>
      <c r="D82" s="3161"/>
      <c r="E82" s="3161"/>
      <c r="F82" s="3161"/>
      <c r="G82" s="2251">
        <f>SUM(G71:G74)</f>
        <v>33600000</v>
      </c>
      <c r="H82" s="2256">
        <f>G82</f>
        <v>33600000</v>
      </c>
      <c r="I82" s="2252"/>
      <c r="J82" s="2252"/>
      <c r="K82" s="2252"/>
      <c r="L82" s="2254">
        <f>SUM(L71:L78)</f>
        <v>31600000</v>
      </c>
      <c r="M82" s="2254">
        <f>L82</f>
        <v>31600000</v>
      </c>
      <c r="N82" s="2254">
        <f>G82-L82</f>
        <v>2000000</v>
      </c>
      <c r="O82" s="2257"/>
      <c r="P82" s="2259">
        <f>P81-N82</f>
        <v>29350000</v>
      </c>
    </row>
    <row r="83" spans="1:16">
      <c r="A83" s="2181">
        <v>8</v>
      </c>
      <c r="B83" s="3162" t="s">
        <v>1182</v>
      </c>
      <c r="C83" s="3163"/>
      <c r="D83" s="2179"/>
      <c r="E83" s="2189"/>
      <c r="F83" s="2189"/>
      <c r="G83" s="1782"/>
      <c r="H83" s="1782"/>
      <c r="I83" s="2179"/>
      <c r="J83" s="2189"/>
      <c r="K83" s="2189"/>
      <c r="L83" s="1782"/>
      <c r="M83" s="1782"/>
      <c r="N83" s="1782">
        <f t="shared" si="1"/>
        <v>0</v>
      </c>
      <c r="O83" s="1182"/>
      <c r="P83" s="1182"/>
    </row>
    <row r="84" spans="1:16">
      <c r="A84" s="2266" t="s">
        <v>216</v>
      </c>
      <c r="B84" s="3162" t="s">
        <v>1155</v>
      </c>
      <c r="C84" s="3163"/>
      <c r="D84" s="2179">
        <v>12</v>
      </c>
      <c r="E84" s="2189" t="s">
        <v>116</v>
      </c>
      <c r="F84" s="2189">
        <v>500000</v>
      </c>
      <c r="G84" s="1782">
        <f>D84*F84</f>
        <v>6000000</v>
      </c>
      <c r="H84" s="1782"/>
      <c r="I84" s="2179">
        <v>12</v>
      </c>
      <c r="J84" s="2189" t="s">
        <v>116</v>
      </c>
      <c r="K84" s="2189">
        <v>500000</v>
      </c>
      <c r="L84" s="1782">
        <f>I84*K84</f>
        <v>6000000</v>
      </c>
      <c r="M84" s="1782"/>
      <c r="N84" s="1782">
        <f t="shared" si="1"/>
        <v>0</v>
      </c>
      <c r="O84" s="1182"/>
      <c r="P84" s="1182"/>
    </row>
    <row r="85" spans="1:16" s="2255" customFormat="1">
      <c r="A85" s="3161" t="s">
        <v>1115</v>
      </c>
      <c r="B85" s="3161"/>
      <c r="C85" s="3161"/>
      <c r="D85" s="3161"/>
      <c r="E85" s="3161"/>
      <c r="F85" s="3161"/>
      <c r="G85" s="2251">
        <f>G84</f>
        <v>6000000</v>
      </c>
      <c r="H85" s="2256">
        <f>G85</f>
        <v>6000000</v>
      </c>
      <c r="I85" s="2252"/>
      <c r="J85" s="2252"/>
      <c r="K85" s="2252"/>
      <c r="L85" s="2254">
        <f>SUM(L84)</f>
        <v>6000000</v>
      </c>
      <c r="M85" s="2254">
        <f>L85</f>
        <v>6000000</v>
      </c>
      <c r="N85" s="2254">
        <f t="shared" si="1"/>
        <v>0</v>
      </c>
      <c r="O85" s="2257"/>
      <c r="P85" s="2257"/>
    </row>
    <row r="86" spans="1:16">
      <c r="A86" s="2235">
        <v>9</v>
      </c>
      <c r="B86" s="3209" t="s">
        <v>195</v>
      </c>
      <c r="C86" s="3210"/>
      <c r="D86" s="2236"/>
      <c r="E86" s="2236"/>
      <c r="F86" s="2208"/>
      <c r="G86" s="2208"/>
      <c r="H86" s="2208"/>
      <c r="I86" s="2236"/>
      <c r="J86" s="2236"/>
      <c r="K86" s="2208"/>
      <c r="L86" s="2208"/>
      <c r="M86" s="2208"/>
      <c r="N86" s="2208">
        <f t="shared" si="1"/>
        <v>0</v>
      </c>
      <c r="O86" s="1182"/>
      <c r="P86" s="1182"/>
    </row>
    <row r="87" spans="1:16" ht="15.75">
      <c r="A87" s="2237" t="s">
        <v>1114</v>
      </c>
      <c r="B87" s="3211" t="s">
        <v>1185</v>
      </c>
      <c r="C87" s="3212"/>
      <c r="D87" s="2238">
        <v>1</v>
      </c>
      <c r="E87" s="2239" t="s">
        <v>164</v>
      </c>
      <c r="F87" s="2240">
        <v>6200000</v>
      </c>
      <c r="G87" s="2212">
        <f>+F87*D87</f>
        <v>6200000</v>
      </c>
      <c r="H87" s="2212"/>
      <c r="I87" s="2238">
        <v>1</v>
      </c>
      <c r="J87" s="2239" t="s">
        <v>164</v>
      </c>
      <c r="K87" s="2240">
        <f>6200000-600000-200000</f>
        <v>5400000</v>
      </c>
      <c r="L87" s="2212">
        <f>+K87*I87</f>
        <v>5400000</v>
      </c>
      <c r="M87" s="2212"/>
      <c r="N87" s="2212">
        <f t="shared" ref="N87:N102" si="5">G87-L87</f>
        <v>800000</v>
      </c>
      <c r="O87" s="1183"/>
      <c r="P87" s="1183"/>
    </row>
    <row r="88" spans="1:16" s="2255" customFormat="1">
      <c r="A88" s="3161" t="s">
        <v>1116</v>
      </c>
      <c r="B88" s="3161"/>
      <c r="C88" s="3161"/>
      <c r="D88" s="3161"/>
      <c r="E88" s="3161"/>
      <c r="F88" s="3161"/>
      <c r="G88" s="2251">
        <f>SUM(G87:G87)</f>
        <v>6200000</v>
      </c>
      <c r="H88" s="2256">
        <f>G88</f>
        <v>6200000</v>
      </c>
      <c r="I88" s="2252"/>
      <c r="J88" s="2252"/>
      <c r="K88" s="2252"/>
      <c r="L88" s="2254">
        <f>SUM(L87)</f>
        <v>5400000</v>
      </c>
      <c r="M88" s="2254">
        <f>L88</f>
        <v>5400000</v>
      </c>
      <c r="N88" s="2254">
        <f t="shared" si="5"/>
        <v>800000</v>
      </c>
      <c r="O88" s="2257"/>
    </row>
    <row r="89" spans="1:16">
      <c r="A89" s="2178">
        <v>10</v>
      </c>
      <c r="B89" s="3162" t="s">
        <v>1394</v>
      </c>
      <c r="C89" s="3163"/>
      <c r="D89" s="2179"/>
      <c r="E89" s="2179"/>
      <c r="F89" s="1782"/>
      <c r="G89" s="1782"/>
      <c r="H89" s="1782"/>
      <c r="I89" s="2179"/>
      <c r="J89" s="2179"/>
      <c r="K89" s="1782"/>
      <c r="L89" s="1782"/>
      <c r="M89" s="1782"/>
      <c r="N89" s="1782">
        <f t="shared" si="5"/>
        <v>0</v>
      </c>
      <c r="O89" s="1182"/>
    </row>
    <row r="90" spans="1:16" ht="15.75">
      <c r="A90" s="2190" t="s">
        <v>1120</v>
      </c>
      <c r="B90" s="3169" t="s">
        <v>1395</v>
      </c>
      <c r="C90" s="3170"/>
      <c r="D90" s="2191">
        <v>11</v>
      </c>
      <c r="E90" s="2192" t="s">
        <v>164</v>
      </c>
      <c r="F90" s="2184">
        <v>500000</v>
      </c>
      <c r="G90" s="1782">
        <f>+F90*D90</f>
        <v>5500000</v>
      </c>
      <c r="H90" s="1782"/>
      <c r="I90" s="2191">
        <v>11</v>
      </c>
      <c r="J90" s="2192" t="s">
        <v>164</v>
      </c>
      <c r="K90" s="2184">
        <v>500000</v>
      </c>
      <c r="L90" s="1782">
        <f>+K90*I90</f>
        <v>5500000</v>
      </c>
      <c r="M90" s="1782"/>
      <c r="N90" s="1782">
        <f t="shared" si="5"/>
        <v>0</v>
      </c>
      <c r="O90" s="1182"/>
    </row>
    <row r="91" spans="1:16" s="2255" customFormat="1">
      <c r="A91" s="3161" t="s">
        <v>1574</v>
      </c>
      <c r="B91" s="3161"/>
      <c r="C91" s="3161"/>
      <c r="D91" s="3161"/>
      <c r="E91" s="3161"/>
      <c r="F91" s="3161"/>
      <c r="G91" s="2251">
        <f>SUM(G90:G90)</f>
        <v>5500000</v>
      </c>
      <c r="H91" s="2256">
        <f>G91</f>
        <v>5500000</v>
      </c>
      <c r="I91" s="2252"/>
      <c r="J91" s="2252"/>
      <c r="K91" s="2252"/>
      <c r="L91" s="2254">
        <f>SUM(L90)</f>
        <v>5500000</v>
      </c>
      <c r="M91" s="2254">
        <f>L91</f>
        <v>5500000</v>
      </c>
      <c r="N91" s="2254">
        <f t="shared" si="5"/>
        <v>0</v>
      </c>
      <c r="O91" s="2257"/>
    </row>
    <row r="92" spans="1:16">
      <c r="A92" s="2178">
        <v>11</v>
      </c>
      <c r="B92" s="3162" t="s">
        <v>916</v>
      </c>
      <c r="C92" s="3163"/>
      <c r="D92" s="2179"/>
      <c r="E92" s="2179"/>
      <c r="F92" s="1782"/>
      <c r="G92" s="1782"/>
      <c r="H92" s="1782"/>
      <c r="I92" s="2179"/>
      <c r="J92" s="2179"/>
      <c r="K92" s="1782"/>
      <c r="L92" s="1782"/>
      <c r="M92" s="1782"/>
      <c r="N92" s="1782">
        <f t="shared" si="5"/>
        <v>0</v>
      </c>
      <c r="O92" s="1182"/>
    </row>
    <row r="93" spans="1:16">
      <c r="A93" s="2241" t="s">
        <v>1156</v>
      </c>
      <c r="B93" s="3203" t="s">
        <v>905</v>
      </c>
      <c r="C93" s="3204"/>
      <c r="D93" s="2242">
        <v>12</v>
      </c>
      <c r="E93" s="2243" t="s">
        <v>173</v>
      </c>
      <c r="F93" s="2243">
        <v>75000</v>
      </c>
      <c r="G93" s="2196">
        <f>D93*F93</f>
        <v>900000</v>
      </c>
      <c r="H93" s="2196"/>
      <c r="I93" s="2242">
        <v>12</v>
      </c>
      <c r="J93" s="2243" t="s">
        <v>173</v>
      </c>
      <c r="K93" s="2243">
        <v>75000</v>
      </c>
      <c r="L93" s="2196">
        <f>I93*K93</f>
        <v>900000</v>
      </c>
      <c r="M93" s="2196"/>
      <c r="N93" s="2196">
        <f t="shared" si="5"/>
        <v>0</v>
      </c>
      <c r="O93" s="1182"/>
    </row>
    <row r="94" spans="1:16">
      <c r="A94" s="2244" t="s">
        <v>1532</v>
      </c>
      <c r="B94" s="3205" t="s">
        <v>906</v>
      </c>
      <c r="C94" s="3206"/>
      <c r="D94" s="2245"/>
      <c r="E94" s="2245" t="s">
        <v>103</v>
      </c>
      <c r="F94" s="2246">
        <v>100000</v>
      </c>
      <c r="G94" s="2200">
        <f>D94*F94</f>
        <v>0</v>
      </c>
      <c r="H94" s="2200"/>
      <c r="I94" s="2245"/>
      <c r="J94" s="2245" t="s">
        <v>1186</v>
      </c>
      <c r="K94" s="2246">
        <v>100000</v>
      </c>
      <c r="L94" s="2200">
        <f>I94*K94</f>
        <v>0</v>
      </c>
      <c r="M94" s="2200"/>
      <c r="N94" s="2200">
        <f t="shared" si="5"/>
        <v>0</v>
      </c>
      <c r="O94" s="1182"/>
    </row>
    <row r="95" spans="1:16">
      <c r="A95" s="2247" t="s">
        <v>1533</v>
      </c>
      <c r="B95" s="3207" t="s">
        <v>1111</v>
      </c>
      <c r="C95" s="3208"/>
      <c r="D95" s="2248">
        <v>1</v>
      </c>
      <c r="E95" s="2249" t="s">
        <v>164</v>
      </c>
      <c r="F95" s="2249">
        <v>276000</v>
      </c>
      <c r="G95" s="2204">
        <f>D95*F95</f>
        <v>276000</v>
      </c>
      <c r="H95" s="2204"/>
      <c r="I95" s="2248">
        <v>1</v>
      </c>
      <c r="J95" s="2249" t="s">
        <v>164</v>
      </c>
      <c r="K95" s="2249">
        <v>276000</v>
      </c>
      <c r="L95" s="2204">
        <f>I95*K95</f>
        <v>276000</v>
      </c>
      <c r="M95" s="2204"/>
      <c r="N95" s="2204">
        <f t="shared" si="5"/>
        <v>0</v>
      </c>
      <c r="O95" s="1182"/>
    </row>
    <row r="96" spans="1:16" s="2255" customFormat="1">
      <c r="A96" s="3161" t="s">
        <v>1575</v>
      </c>
      <c r="B96" s="3161"/>
      <c r="C96" s="3161"/>
      <c r="D96" s="3161"/>
      <c r="E96" s="3161"/>
      <c r="F96" s="3161"/>
      <c r="G96" s="2251">
        <f>SUM(G93:G95)</f>
        <v>1176000</v>
      </c>
      <c r="H96" s="2256">
        <f>G96</f>
        <v>1176000</v>
      </c>
      <c r="I96" s="2252"/>
      <c r="J96" s="2252"/>
      <c r="K96" s="2252"/>
      <c r="L96" s="2254">
        <f>SUM(L93:L95)</f>
        <v>1176000</v>
      </c>
      <c r="M96" s="2254">
        <f>L96</f>
        <v>1176000</v>
      </c>
      <c r="N96" s="2254">
        <f t="shared" si="5"/>
        <v>0</v>
      </c>
    </row>
    <row r="97" spans="1:15">
      <c r="A97" s="2178">
        <v>12</v>
      </c>
      <c r="B97" s="3162" t="s">
        <v>1112</v>
      </c>
      <c r="C97" s="3163"/>
      <c r="D97" s="2179"/>
      <c r="E97" s="2179"/>
      <c r="F97" s="1782"/>
      <c r="G97" s="1782"/>
      <c r="H97" s="1782"/>
      <c r="I97" s="2179"/>
      <c r="J97" s="2179"/>
      <c r="K97" s="1782"/>
      <c r="L97" s="1782"/>
      <c r="M97" s="1782"/>
      <c r="N97" s="1782">
        <f t="shared" si="5"/>
        <v>0</v>
      </c>
    </row>
    <row r="98" spans="1:15">
      <c r="A98" s="2190" t="s">
        <v>1534</v>
      </c>
      <c r="B98" s="3169" t="s">
        <v>1113</v>
      </c>
      <c r="C98" s="3170"/>
      <c r="D98" s="2185">
        <v>1</v>
      </c>
      <c r="E98" s="2186" t="s">
        <v>164</v>
      </c>
      <c r="F98" s="2186">
        <v>1000000</v>
      </c>
      <c r="G98" s="1782">
        <f>D98*F98</f>
        <v>1000000</v>
      </c>
      <c r="H98" s="1782"/>
      <c r="I98" s="2185">
        <v>1</v>
      </c>
      <c r="J98" s="2186" t="s">
        <v>164</v>
      </c>
      <c r="K98" s="2186">
        <v>760000</v>
      </c>
      <c r="L98" s="1782">
        <f>I98*K98</f>
        <v>760000</v>
      </c>
      <c r="M98" s="1782"/>
      <c r="N98" s="1782">
        <f t="shared" si="5"/>
        <v>240000</v>
      </c>
    </row>
    <row r="99" spans="1:15" s="2255" customFormat="1">
      <c r="A99" s="3161" t="s">
        <v>1576</v>
      </c>
      <c r="B99" s="3161"/>
      <c r="C99" s="3161"/>
      <c r="D99" s="3161"/>
      <c r="E99" s="3161"/>
      <c r="F99" s="3161"/>
      <c r="G99" s="2251">
        <f>SUM(G98)</f>
        <v>1000000</v>
      </c>
      <c r="H99" s="2256">
        <f>G99</f>
        <v>1000000</v>
      </c>
      <c r="I99" s="2252"/>
      <c r="J99" s="2252"/>
      <c r="K99" s="2252"/>
      <c r="L99" s="2254">
        <f>SUM(L98)</f>
        <v>760000</v>
      </c>
      <c r="M99" s="2254">
        <f>L99</f>
        <v>760000</v>
      </c>
      <c r="N99" s="2254">
        <f>M99-H99</f>
        <v>-240000</v>
      </c>
    </row>
    <row r="100" spans="1:15">
      <c r="A100" s="2178">
        <v>13</v>
      </c>
      <c r="B100" s="3162" t="s">
        <v>1578</v>
      </c>
      <c r="C100" s="3163"/>
      <c r="D100" s="2179"/>
      <c r="E100" s="2179"/>
      <c r="F100" s="1782"/>
      <c r="G100" s="1782"/>
      <c r="H100" s="1782"/>
      <c r="I100" s="2179"/>
      <c r="J100" s="2179"/>
      <c r="K100" s="1782"/>
      <c r="L100" s="1782"/>
      <c r="M100" s="1782"/>
      <c r="N100" s="1782">
        <f t="shared" ref="N100:N101" si="6">G100-L100</f>
        <v>0</v>
      </c>
    </row>
    <row r="101" spans="1:15">
      <c r="A101" s="2190" t="s">
        <v>1534</v>
      </c>
      <c r="B101" s="3164" t="s">
        <v>1579</v>
      </c>
      <c r="C101" s="3165"/>
      <c r="D101" s="2507"/>
      <c r="E101" s="2508" t="s">
        <v>1158</v>
      </c>
      <c r="F101" s="2508">
        <v>1500000</v>
      </c>
      <c r="G101" s="2509">
        <f>D101*F101</f>
        <v>0</v>
      </c>
      <c r="H101" s="2509"/>
      <c r="I101" s="2507">
        <v>2</v>
      </c>
      <c r="J101" s="2508" t="s">
        <v>1158</v>
      </c>
      <c r="K101" s="2508">
        <v>750000</v>
      </c>
      <c r="L101" s="2509"/>
      <c r="M101" s="2509"/>
      <c r="N101" s="2509">
        <f t="shared" si="6"/>
        <v>0</v>
      </c>
    </row>
    <row r="102" spans="1:15" s="2255" customFormat="1">
      <c r="A102" s="3161" t="s">
        <v>1577</v>
      </c>
      <c r="B102" s="3161"/>
      <c r="C102" s="3161"/>
      <c r="D102" s="3161"/>
      <c r="E102" s="3161"/>
      <c r="F102" s="3161"/>
      <c r="G102" s="2251">
        <f>SUM(G101)</f>
        <v>0</v>
      </c>
      <c r="H102" s="2256">
        <f>G102</f>
        <v>0</v>
      </c>
      <c r="I102" s="2252"/>
      <c r="J102" s="2252"/>
      <c r="K102" s="2252"/>
      <c r="L102" s="2254">
        <f>SUM(L101)</f>
        <v>0</v>
      </c>
      <c r="M102" s="2254">
        <f>L102</f>
        <v>0</v>
      </c>
      <c r="N102" s="2254">
        <f t="shared" si="5"/>
        <v>0</v>
      </c>
    </row>
    <row r="103" spans="1:15" s="2255" customFormat="1">
      <c r="A103" s="3129" t="s">
        <v>131</v>
      </c>
      <c r="B103" s="3129"/>
      <c r="C103" s="3129"/>
      <c r="D103" s="3129"/>
      <c r="E103" s="3129"/>
      <c r="F103" s="3129"/>
      <c r="G103" s="1784"/>
      <c r="H103" s="1784">
        <f>SUM(H47:H102)</f>
        <v>69933500</v>
      </c>
      <c r="I103" s="2252"/>
      <c r="J103" s="2252"/>
      <c r="K103" s="2252"/>
      <c r="L103" s="2252"/>
      <c r="M103" s="2254">
        <f>M47+M50+M57+M64+M69+M82+M85+M88+M91+M96+M102+M61+M99</f>
        <v>58543151</v>
      </c>
      <c r="N103" s="2254">
        <f>H103-M103</f>
        <v>11390349</v>
      </c>
    </row>
    <row r="104" spans="1:15">
      <c r="A104" s="2962"/>
      <c r="B104" s="2962"/>
      <c r="C104" s="2137"/>
      <c r="D104" s="3166"/>
      <c r="E104" s="3166"/>
      <c r="F104" s="3166"/>
      <c r="G104" s="3166"/>
      <c r="H104" s="1785"/>
      <c r="O104" s="345"/>
    </row>
    <row r="105" spans="1:15">
      <c r="A105" s="2962"/>
      <c r="B105" s="2962"/>
      <c r="C105" s="2137"/>
      <c r="D105" s="3166"/>
      <c r="E105" s="3166"/>
      <c r="F105" s="3166"/>
      <c r="G105" s="3166"/>
      <c r="H105" s="1785"/>
    </row>
    <row r="106" spans="1:15">
      <c r="A106" s="2267"/>
      <c r="B106" s="515"/>
      <c r="C106" s="2137"/>
      <c r="D106" s="1786"/>
      <c r="E106" s="1786"/>
      <c r="F106" s="1787"/>
      <c r="G106" s="1788"/>
    </row>
    <row r="107" spans="1:15">
      <c r="A107" s="2267"/>
      <c r="B107" s="1178"/>
      <c r="C107" s="2137"/>
      <c r="D107" s="1786"/>
      <c r="E107" s="1786"/>
      <c r="F107" s="1788"/>
      <c r="G107" s="1788"/>
      <c r="J107" s="328" t="s">
        <v>21</v>
      </c>
    </row>
    <row r="108" spans="1:15">
      <c r="A108" s="2267"/>
      <c r="B108" s="307"/>
      <c r="C108" s="307"/>
      <c r="D108" s="1786"/>
      <c r="E108" s="1786"/>
      <c r="F108" s="1788"/>
      <c r="G108" s="1788">
        <v>60873151</v>
      </c>
      <c r="K108" s="328" t="s">
        <v>21</v>
      </c>
    </row>
    <row r="109" spans="1:15">
      <c r="A109" s="2267"/>
      <c r="B109" s="307"/>
      <c r="C109" s="307"/>
      <c r="D109" s="1786"/>
      <c r="E109" s="1786"/>
      <c r="F109" s="1788"/>
      <c r="G109" s="2529">
        <f>M103-G108</f>
        <v>-2330000</v>
      </c>
    </row>
    <row r="110" spans="1:15">
      <c r="A110" s="2139"/>
      <c r="B110" s="1179"/>
      <c r="C110" s="2139"/>
      <c r="D110" s="1790"/>
      <c r="E110" s="1790"/>
      <c r="F110" s="1790"/>
      <c r="G110" s="1790"/>
      <c r="H110" s="1791"/>
      <c r="J110" s="345"/>
    </row>
    <row r="111" spans="1:15">
      <c r="A111" s="2267"/>
      <c r="B111" s="1178"/>
      <c r="C111" s="2137"/>
      <c r="D111" s="1786"/>
      <c r="E111" s="1786"/>
      <c r="F111" s="1786"/>
      <c r="G111" s="1786"/>
      <c r="J111" s="341"/>
    </row>
    <row r="112" spans="1:15" ht="15.75">
      <c r="A112" s="2268"/>
      <c r="B112" s="347"/>
      <c r="C112" s="347"/>
      <c r="D112" s="1792"/>
      <c r="E112" s="1793"/>
      <c r="F112" s="1794"/>
      <c r="G112" s="1795"/>
      <c r="J112" s="341"/>
    </row>
    <row r="113" spans="10:10">
      <c r="J113" s="341"/>
    </row>
  </sheetData>
  <customSheetViews>
    <customSheetView guid="{0F09EDAE-127A-4543-88A5-04139BD32AD8}" scale="130" fitToPage="1">
      <selection activeCell="H104" sqref="A1:H104"/>
      <pageMargins left="0.7" right="0.7" top="0.75" bottom="0.75" header="0.3" footer="0.3"/>
      <printOptions horizontalCentered="1"/>
      <pageSetup paperSize="256" scale="46" fitToHeight="0" orientation="portrait" r:id="rId1"/>
    </customSheetView>
    <customSheetView guid="{C05430D3-5A25-4A4C-823C-7D6EA772E5F0}" scale="130" showPageBreaks="1" fitToPage="1">
      <selection activeCell="H104" sqref="A1:H104"/>
      <pageMargins left="0.7" right="0.7" top="0.75" bottom="0.75" header="0.3" footer="0.3"/>
      <printOptions horizontalCentered="1"/>
      <pageSetup paperSize="256" scale="46" fitToHeight="0" orientation="portrait" r:id="rId2"/>
    </customSheetView>
  </customSheetViews>
  <mergeCells count="112">
    <mergeCell ref="B98:C98"/>
    <mergeCell ref="B92:C92"/>
    <mergeCell ref="B93:C93"/>
    <mergeCell ref="B94:C94"/>
    <mergeCell ref="B95:C95"/>
    <mergeCell ref="B97:C97"/>
    <mergeCell ref="B84:C84"/>
    <mergeCell ref="B86:C86"/>
    <mergeCell ref="B87:C87"/>
    <mergeCell ref="B89:C89"/>
    <mergeCell ref="B90:C90"/>
    <mergeCell ref="B71:C71"/>
    <mergeCell ref="B72:C72"/>
    <mergeCell ref="B73:C73"/>
    <mergeCell ref="B74:C74"/>
    <mergeCell ref="B83:C83"/>
    <mergeCell ref="B65:C65"/>
    <mergeCell ref="B66:C66"/>
    <mergeCell ref="B67:C67"/>
    <mergeCell ref="B68:C68"/>
    <mergeCell ref="B70:C70"/>
    <mergeCell ref="B75:C75"/>
    <mergeCell ref="B76:C76"/>
    <mergeCell ref="B77:C77"/>
    <mergeCell ref="B78:C78"/>
    <mergeCell ref="B58:C58"/>
    <mergeCell ref="B59:C59"/>
    <mergeCell ref="B60:C60"/>
    <mergeCell ref="B62:C62"/>
    <mergeCell ref="B63:C63"/>
    <mergeCell ref="B49:C49"/>
    <mergeCell ref="B52:C52"/>
    <mergeCell ref="B53:C53"/>
    <mergeCell ref="B54:C54"/>
    <mergeCell ref="B55:C55"/>
    <mergeCell ref="B56:C56"/>
    <mergeCell ref="B51:C51"/>
    <mergeCell ref="A50:F50"/>
    <mergeCell ref="B21:C21"/>
    <mergeCell ref="B22:C22"/>
    <mergeCell ref="B23:C23"/>
    <mergeCell ref="B24:C24"/>
    <mergeCell ref="B25:C25"/>
    <mergeCell ref="B16:C16"/>
    <mergeCell ref="B17:C17"/>
    <mergeCell ref="B18:C18"/>
    <mergeCell ref="B19:C19"/>
    <mergeCell ref="B20:C20"/>
    <mergeCell ref="B45:C45"/>
    <mergeCell ref="B46:C46"/>
    <mergeCell ref="B48:C48"/>
    <mergeCell ref="B39:C39"/>
    <mergeCell ref="B40:C40"/>
    <mergeCell ref="B41:C41"/>
    <mergeCell ref="B42:C42"/>
    <mergeCell ref="B43:C43"/>
    <mergeCell ref="A47:F47"/>
    <mergeCell ref="B36:C36"/>
    <mergeCell ref="B37:C37"/>
    <mergeCell ref="B38:C38"/>
    <mergeCell ref="B29:C29"/>
    <mergeCell ref="B30:C30"/>
    <mergeCell ref="B31:C31"/>
    <mergeCell ref="B32:C32"/>
    <mergeCell ref="B33:C33"/>
    <mergeCell ref="B44:C44"/>
    <mergeCell ref="A1:N1"/>
    <mergeCell ref="A2:N2"/>
    <mergeCell ref="D9:E9"/>
    <mergeCell ref="B11:C14"/>
    <mergeCell ref="B15:C15"/>
    <mergeCell ref="L6:N7"/>
    <mergeCell ref="I11:M11"/>
    <mergeCell ref="N11:N14"/>
    <mergeCell ref="I12:I14"/>
    <mergeCell ref="J12:J14"/>
    <mergeCell ref="K12:K14"/>
    <mergeCell ref="L12:L14"/>
    <mergeCell ref="M12:M14"/>
    <mergeCell ref="D10:E10"/>
    <mergeCell ref="D12:D14"/>
    <mergeCell ref="E12:E14"/>
    <mergeCell ref="F12:F14"/>
    <mergeCell ref="G12:G14"/>
    <mergeCell ref="H12:H14"/>
    <mergeCell ref="A3:H3"/>
    <mergeCell ref="A9:B9"/>
    <mergeCell ref="D11:H11"/>
    <mergeCell ref="B26:C26"/>
    <mergeCell ref="B27:C27"/>
    <mergeCell ref="B28:C28"/>
    <mergeCell ref="A11:A14"/>
    <mergeCell ref="A99:F99"/>
    <mergeCell ref="B100:C100"/>
    <mergeCell ref="B101:C101"/>
    <mergeCell ref="A105:B105"/>
    <mergeCell ref="D105:G105"/>
    <mergeCell ref="A102:F102"/>
    <mergeCell ref="A85:F85"/>
    <mergeCell ref="A57:F57"/>
    <mergeCell ref="A96:F96"/>
    <mergeCell ref="A104:B104"/>
    <mergeCell ref="D104:G104"/>
    <mergeCell ref="A103:F103"/>
    <mergeCell ref="A69:F69"/>
    <mergeCell ref="A88:F88"/>
    <mergeCell ref="A64:F64"/>
    <mergeCell ref="A82:F82"/>
    <mergeCell ref="A91:F91"/>
    <mergeCell ref="A61:F61"/>
    <mergeCell ref="B34:C34"/>
    <mergeCell ref="B35:C35"/>
  </mergeCells>
  <printOptions horizontalCentered="1"/>
  <pageMargins left="0.7" right="0.7" top="0.75" bottom="0.75" header="0.3" footer="0.3"/>
  <pageSetup paperSize="256" scale="36" fitToHeight="0" orientation="portrait" r:id="rId3"/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S106"/>
  <sheetViews>
    <sheetView workbookViewId="0">
      <selection sqref="A1:N1"/>
    </sheetView>
  </sheetViews>
  <sheetFormatPr defaultColWidth="9.140625" defaultRowHeight="15"/>
  <cols>
    <col min="1" max="1" width="4.7109375" style="2262" customWidth="1"/>
    <col min="2" max="2" width="52.7109375" style="328" bestFit="1" customWidth="1"/>
    <col min="3" max="3" width="1.85546875" style="328" customWidth="1"/>
    <col min="4" max="4" width="8.28515625" style="1796" customWidth="1"/>
    <col min="5" max="5" width="8.85546875" style="1796" customWidth="1"/>
    <col min="6" max="6" width="12.5703125" style="1789" customWidth="1"/>
    <col min="7" max="7" width="13" style="1789" customWidth="1"/>
    <col min="8" max="8" width="18.7109375" style="1789" bestFit="1" customWidth="1"/>
    <col min="9" max="9" width="9.140625" style="328"/>
    <col min="10" max="10" width="10.28515625" style="328" bestFit="1" customWidth="1"/>
    <col min="11" max="11" width="18.140625" style="328" customWidth="1"/>
    <col min="12" max="12" width="12" style="328" customWidth="1"/>
    <col min="13" max="14" width="13.28515625" style="328" customWidth="1"/>
    <col min="15" max="15" width="12.140625" style="328" bestFit="1" customWidth="1"/>
    <col min="16" max="16384" width="9.140625" style="328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260"/>
      <c r="B4" s="277"/>
      <c r="C4" s="277"/>
      <c r="D4" s="1775"/>
      <c r="E4" s="1775"/>
      <c r="F4" s="1776"/>
      <c r="G4" s="1776"/>
      <c r="H4" s="1776"/>
      <c r="K4" s="328" t="s">
        <v>1535</v>
      </c>
      <c r="L4" s="328" t="s">
        <v>1536</v>
      </c>
    </row>
    <row r="5" spans="1:14">
      <c r="A5" s="2260"/>
      <c r="B5" s="279"/>
      <c r="C5" s="279"/>
      <c r="D5" s="1775"/>
      <c r="E5" s="1775"/>
      <c r="F5" s="1777"/>
      <c r="G5" s="1778"/>
      <c r="H5" s="1779"/>
      <c r="K5" s="328" t="s">
        <v>66</v>
      </c>
      <c r="L5" s="328" t="s">
        <v>1526</v>
      </c>
    </row>
    <row r="6" spans="1:14">
      <c r="A6" s="2261"/>
      <c r="B6" s="279"/>
      <c r="C6" s="279"/>
      <c r="D6" s="1775"/>
      <c r="E6" s="1775"/>
      <c r="F6" s="1778"/>
      <c r="G6" s="1780"/>
      <c r="H6" s="1780"/>
      <c r="K6" s="328" t="s">
        <v>96</v>
      </c>
      <c r="L6" s="3171" t="s">
        <v>1537</v>
      </c>
      <c r="M6" s="3171"/>
      <c r="N6" s="3171"/>
    </row>
    <row r="7" spans="1:14">
      <c r="A7" s="2260"/>
      <c r="B7" s="279"/>
      <c r="C7" s="279"/>
      <c r="D7" s="1781"/>
      <c r="E7" s="1775"/>
      <c r="F7" s="1777"/>
      <c r="G7" s="1780"/>
      <c r="H7" s="1780"/>
      <c r="L7" s="3171"/>
      <c r="M7" s="3171"/>
      <c r="N7" s="3171"/>
    </row>
    <row r="8" spans="1:14">
      <c r="D8" s="1775"/>
      <c r="E8" s="1775"/>
      <c r="F8" s="1778"/>
      <c r="G8" s="1780"/>
      <c r="H8" s="1780"/>
    </row>
    <row r="9" spans="1:14">
      <c r="A9" s="2980" t="s">
        <v>110</v>
      </c>
      <c r="B9" s="2980"/>
      <c r="C9" s="2505" t="s">
        <v>46</v>
      </c>
      <c r="D9" s="3168">
        <f>M96</f>
        <v>60502651</v>
      </c>
      <c r="E9" s="3168"/>
      <c r="F9" s="1778"/>
      <c r="G9" s="1778"/>
      <c r="H9" s="1778"/>
    </row>
    <row r="10" spans="1:14">
      <c r="A10" s="2269"/>
      <c r="B10" s="1182"/>
      <c r="C10" s="1182"/>
      <c r="D10" s="3177"/>
      <c r="E10" s="3177"/>
      <c r="F10" s="1778"/>
      <c r="G10" s="1778"/>
      <c r="H10" s="1778"/>
    </row>
    <row r="11" spans="1:14">
      <c r="A11" s="3134" t="s">
        <v>111</v>
      </c>
      <c r="B11" s="3151" t="s">
        <v>1</v>
      </c>
      <c r="C11" s="3152"/>
      <c r="D11" s="3178" t="s">
        <v>1523</v>
      </c>
      <c r="E11" s="3178"/>
      <c r="F11" s="3178"/>
      <c r="G11" s="3178"/>
      <c r="H11" s="3178"/>
      <c r="I11" s="3172" t="s">
        <v>1522</v>
      </c>
      <c r="J11" s="3172"/>
      <c r="K11" s="3172"/>
      <c r="L11" s="3172"/>
      <c r="M11" s="3172"/>
      <c r="N11" s="3173" t="s">
        <v>1531</v>
      </c>
    </row>
    <row r="12" spans="1:14" ht="15" customHeight="1">
      <c r="A12" s="3134"/>
      <c r="B12" s="3153"/>
      <c r="C12" s="3154"/>
      <c r="D12" s="3176" t="s">
        <v>60</v>
      </c>
      <c r="E12" s="3176" t="s">
        <v>97</v>
      </c>
      <c r="F12" s="3176" t="s">
        <v>112</v>
      </c>
      <c r="G12" s="3176" t="s">
        <v>113</v>
      </c>
      <c r="H12" s="3176" t="s">
        <v>114</v>
      </c>
      <c r="I12" s="3176" t="s">
        <v>60</v>
      </c>
      <c r="J12" s="3176" t="s">
        <v>97</v>
      </c>
      <c r="K12" s="3176" t="s">
        <v>112</v>
      </c>
      <c r="L12" s="3176" t="s">
        <v>113</v>
      </c>
      <c r="M12" s="3176" t="s">
        <v>114</v>
      </c>
      <c r="N12" s="3174"/>
    </row>
    <row r="13" spans="1:14">
      <c r="A13" s="3134"/>
      <c r="B13" s="3153"/>
      <c r="C13" s="3154"/>
      <c r="D13" s="3176"/>
      <c r="E13" s="3176"/>
      <c r="F13" s="3176"/>
      <c r="G13" s="3176"/>
      <c r="H13" s="3176"/>
      <c r="I13" s="3176"/>
      <c r="J13" s="3176"/>
      <c r="K13" s="3176"/>
      <c r="L13" s="3176"/>
      <c r="M13" s="3176"/>
      <c r="N13" s="3174"/>
    </row>
    <row r="14" spans="1:14">
      <c r="A14" s="3134"/>
      <c r="B14" s="3155"/>
      <c r="C14" s="3156"/>
      <c r="D14" s="3176"/>
      <c r="E14" s="3176"/>
      <c r="F14" s="3176"/>
      <c r="G14" s="3176"/>
      <c r="H14" s="3176"/>
      <c r="I14" s="3176"/>
      <c r="J14" s="3176"/>
      <c r="K14" s="3176"/>
      <c r="L14" s="3176"/>
      <c r="M14" s="3176"/>
      <c r="N14" s="3175"/>
    </row>
    <row r="15" spans="1:14">
      <c r="A15" s="2178">
        <v>1</v>
      </c>
      <c r="B15" s="3169" t="s">
        <v>832</v>
      </c>
      <c r="C15" s="3170"/>
      <c r="D15" s="2179"/>
      <c r="E15" s="2179"/>
      <c r="F15" s="1782"/>
      <c r="G15" s="2180"/>
      <c r="H15" s="2180"/>
      <c r="I15" s="2179"/>
      <c r="J15" s="2179"/>
      <c r="K15" s="1782"/>
      <c r="L15" s="2180"/>
      <c r="M15" s="2180"/>
      <c r="N15" s="2180"/>
    </row>
    <row r="16" spans="1:14">
      <c r="A16" s="2193" t="s">
        <v>115</v>
      </c>
      <c r="B16" s="3179" t="s">
        <v>132</v>
      </c>
      <c r="C16" s="3180"/>
      <c r="D16" s="2194">
        <v>45</v>
      </c>
      <c r="E16" s="2194" t="s">
        <v>101</v>
      </c>
      <c r="F16" s="2195">
        <v>60000</v>
      </c>
      <c r="G16" s="2196">
        <f>+F16*D16</f>
        <v>2700000</v>
      </c>
      <c r="H16" s="2196"/>
      <c r="I16" s="2194">
        <v>45</v>
      </c>
      <c r="J16" s="2194" t="s">
        <v>101</v>
      </c>
      <c r="K16" s="2195">
        <v>60000</v>
      </c>
      <c r="L16" s="2196">
        <f t="shared" ref="L16:L43" si="0">+K16*I16</f>
        <v>2700000</v>
      </c>
      <c r="M16" s="2196"/>
      <c r="N16" s="2196">
        <f>G16-L16</f>
        <v>0</v>
      </c>
    </row>
    <row r="17" spans="1:14">
      <c r="A17" s="2197" t="s">
        <v>117</v>
      </c>
      <c r="B17" s="3159" t="s">
        <v>133</v>
      </c>
      <c r="C17" s="3160"/>
      <c r="D17" s="2198">
        <v>5</v>
      </c>
      <c r="E17" s="2198" t="s">
        <v>101</v>
      </c>
      <c r="F17" s="2199">
        <v>50000</v>
      </c>
      <c r="G17" s="2200">
        <f>+F17*D17</f>
        <v>250000</v>
      </c>
      <c r="H17" s="2200"/>
      <c r="I17" s="2198">
        <v>5</v>
      </c>
      <c r="J17" s="2198" t="s">
        <v>101</v>
      </c>
      <c r="K17" s="2199">
        <v>50000</v>
      </c>
      <c r="L17" s="2200">
        <f t="shared" si="0"/>
        <v>250000</v>
      </c>
      <c r="M17" s="2200"/>
      <c r="N17" s="2200">
        <f t="shared" ref="N17:N80" si="1">G17-L17</f>
        <v>0</v>
      </c>
    </row>
    <row r="18" spans="1:14">
      <c r="A18" s="2197" t="s">
        <v>118</v>
      </c>
      <c r="B18" s="3159" t="s">
        <v>1172</v>
      </c>
      <c r="C18" s="3160"/>
      <c r="D18" s="2198">
        <v>1</v>
      </c>
      <c r="E18" s="2198" t="s">
        <v>101</v>
      </c>
      <c r="F18" s="2199">
        <v>69500</v>
      </c>
      <c r="G18" s="2200">
        <f t="shared" ref="G18:G43" si="2">+F18*D18</f>
        <v>69500</v>
      </c>
      <c r="H18" s="2200"/>
      <c r="I18" s="2198"/>
      <c r="J18" s="2198" t="s">
        <v>101</v>
      </c>
      <c r="K18" s="2199">
        <v>69500</v>
      </c>
      <c r="L18" s="2200">
        <f t="shared" si="0"/>
        <v>0</v>
      </c>
      <c r="M18" s="2200"/>
      <c r="N18" s="2200">
        <f t="shared" si="1"/>
        <v>69500</v>
      </c>
    </row>
    <row r="19" spans="1:14">
      <c r="A19" s="2197" t="s">
        <v>119</v>
      </c>
      <c r="B19" s="3159" t="s">
        <v>1161</v>
      </c>
      <c r="C19" s="3160"/>
      <c r="D19" s="2198">
        <v>2</v>
      </c>
      <c r="E19" s="2198" t="s">
        <v>101</v>
      </c>
      <c r="F19" s="2199">
        <v>65000</v>
      </c>
      <c r="G19" s="2200">
        <f t="shared" si="2"/>
        <v>130000</v>
      </c>
      <c r="H19" s="2200"/>
      <c r="I19" s="2198"/>
      <c r="J19" s="2198" t="s">
        <v>101</v>
      </c>
      <c r="K19" s="2199">
        <v>65000</v>
      </c>
      <c r="L19" s="2200">
        <f t="shared" si="0"/>
        <v>0</v>
      </c>
      <c r="M19" s="2200"/>
      <c r="N19" s="2200">
        <f t="shared" si="1"/>
        <v>130000</v>
      </c>
    </row>
    <row r="20" spans="1:14">
      <c r="A20" s="2197" t="s">
        <v>120</v>
      </c>
      <c r="B20" s="3159" t="s">
        <v>1173</v>
      </c>
      <c r="C20" s="3160"/>
      <c r="D20" s="2198">
        <v>2</v>
      </c>
      <c r="E20" s="2198" t="s">
        <v>101</v>
      </c>
      <c r="F20" s="2199">
        <v>85000</v>
      </c>
      <c r="G20" s="2200">
        <f t="shared" si="2"/>
        <v>170000</v>
      </c>
      <c r="H20" s="2200"/>
      <c r="I20" s="2198"/>
      <c r="J20" s="2198" t="s">
        <v>101</v>
      </c>
      <c r="K20" s="2199">
        <v>85000</v>
      </c>
      <c r="L20" s="2200">
        <f t="shared" si="0"/>
        <v>0</v>
      </c>
      <c r="M20" s="2200"/>
      <c r="N20" s="2200">
        <f t="shared" si="1"/>
        <v>170000</v>
      </c>
    </row>
    <row r="21" spans="1:14">
      <c r="A21" s="2197" t="s">
        <v>134</v>
      </c>
      <c r="B21" s="3159" t="s">
        <v>135</v>
      </c>
      <c r="C21" s="3160"/>
      <c r="D21" s="2471">
        <v>9</v>
      </c>
      <c r="E21" s="2198" t="s">
        <v>1158</v>
      </c>
      <c r="F21" s="2199">
        <v>15000</v>
      </c>
      <c r="G21" s="2200">
        <f t="shared" si="2"/>
        <v>135000</v>
      </c>
      <c r="H21" s="2200"/>
      <c r="I21" s="2471"/>
      <c r="J21" s="2198" t="s">
        <v>1158</v>
      </c>
      <c r="K21" s="2199">
        <v>15000</v>
      </c>
      <c r="L21" s="2200">
        <f t="shared" si="0"/>
        <v>0</v>
      </c>
      <c r="M21" s="2200"/>
      <c r="N21" s="2200">
        <f t="shared" si="1"/>
        <v>135000</v>
      </c>
    </row>
    <row r="22" spans="1:14">
      <c r="A22" s="2197" t="s">
        <v>137</v>
      </c>
      <c r="B22" s="3159" t="s">
        <v>138</v>
      </c>
      <c r="C22" s="3160"/>
      <c r="D22" s="2198">
        <v>31</v>
      </c>
      <c r="E22" s="2198" t="s">
        <v>1158</v>
      </c>
      <c r="F22" s="2199">
        <v>3000</v>
      </c>
      <c r="G22" s="2200">
        <f t="shared" si="2"/>
        <v>93000</v>
      </c>
      <c r="H22" s="2200"/>
      <c r="I22" s="2198"/>
      <c r="J22" s="2198" t="s">
        <v>1158</v>
      </c>
      <c r="K22" s="2199">
        <v>3000</v>
      </c>
      <c r="L22" s="2200">
        <f t="shared" si="0"/>
        <v>0</v>
      </c>
      <c r="M22" s="2200"/>
      <c r="N22" s="2200">
        <f t="shared" si="1"/>
        <v>93000</v>
      </c>
    </row>
    <row r="23" spans="1:14">
      <c r="A23" s="2197" t="s">
        <v>139</v>
      </c>
      <c r="B23" s="3159" t="s">
        <v>918</v>
      </c>
      <c r="C23" s="3160"/>
      <c r="D23" s="2198">
        <v>41</v>
      </c>
      <c r="E23" s="2198" t="s">
        <v>1158</v>
      </c>
      <c r="F23" s="2199">
        <v>8000</v>
      </c>
      <c r="G23" s="2200">
        <f t="shared" si="2"/>
        <v>328000</v>
      </c>
      <c r="H23" s="2200"/>
      <c r="I23" s="2198"/>
      <c r="J23" s="2198" t="s">
        <v>1158</v>
      </c>
      <c r="K23" s="2199">
        <v>8000</v>
      </c>
      <c r="L23" s="2200">
        <f t="shared" si="0"/>
        <v>0</v>
      </c>
      <c r="M23" s="2200"/>
      <c r="N23" s="2200">
        <f t="shared" si="1"/>
        <v>328000</v>
      </c>
    </row>
    <row r="24" spans="1:14">
      <c r="A24" s="2197" t="s">
        <v>140</v>
      </c>
      <c r="B24" s="3159" t="s">
        <v>920</v>
      </c>
      <c r="C24" s="3160"/>
      <c r="D24" s="2472">
        <v>2</v>
      </c>
      <c r="E24" s="2198" t="s">
        <v>1158</v>
      </c>
      <c r="F24" s="2199">
        <v>17500</v>
      </c>
      <c r="G24" s="2200">
        <f t="shared" si="2"/>
        <v>35000</v>
      </c>
      <c r="H24" s="2200"/>
      <c r="I24" s="2472"/>
      <c r="J24" s="2198" t="s">
        <v>1158</v>
      </c>
      <c r="K24" s="2199">
        <v>17500</v>
      </c>
      <c r="L24" s="2200">
        <f t="shared" si="0"/>
        <v>0</v>
      </c>
      <c r="M24" s="2200"/>
      <c r="N24" s="2200">
        <f t="shared" si="1"/>
        <v>35000</v>
      </c>
    </row>
    <row r="25" spans="1:14">
      <c r="A25" s="2197" t="s">
        <v>142</v>
      </c>
      <c r="B25" s="3159" t="s">
        <v>1174</v>
      </c>
      <c r="C25" s="3160"/>
      <c r="D25" s="2198">
        <v>12</v>
      </c>
      <c r="E25" s="2198" t="s">
        <v>1158</v>
      </c>
      <c r="F25" s="2199">
        <v>30000</v>
      </c>
      <c r="G25" s="2200">
        <f t="shared" si="2"/>
        <v>360000</v>
      </c>
      <c r="H25" s="2200"/>
      <c r="I25" s="2198"/>
      <c r="J25" s="2198" t="s">
        <v>1158</v>
      </c>
      <c r="K25" s="2199">
        <v>30000</v>
      </c>
      <c r="L25" s="2200">
        <f t="shared" si="0"/>
        <v>0</v>
      </c>
      <c r="M25" s="2200"/>
      <c r="N25" s="2200">
        <f t="shared" si="1"/>
        <v>360000</v>
      </c>
    </row>
    <row r="26" spans="1:14">
      <c r="A26" s="2197" t="s">
        <v>143</v>
      </c>
      <c r="B26" s="3159" t="s">
        <v>1183</v>
      </c>
      <c r="C26" s="3160"/>
      <c r="D26" s="2198">
        <v>2</v>
      </c>
      <c r="E26" s="2198" t="s">
        <v>1177</v>
      </c>
      <c r="F26" s="2199">
        <v>5000</v>
      </c>
      <c r="G26" s="2200">
        <f t="shared" si="2"/>
        <v>10000</v>
      </c>
      <c r="H26" s="2200"/>
      <c r="I26" s="2198"/>
      <c r="J26" s="2198" t="s">
        <v>1177</v>
      </c>
      <c r="K26" s="2199">
        <v>5000</v>
      </c>
      <c r="L26" s="2200">
        <f t="shared" si="0"/>
        <v>0</v>
      </c>
      <c r="M26" s="2200"/>
      <c r="N26" s="2200">
        <f t="shared" si="1"/>
        <v>10000</v>
      </c>
    </row>
    <row r="27" spans="1:14">
      <c r="A27" s="2197" t="s">
        <v>274</v>
      </c>
      <c r="B27" s="3159" t="s">
        <v>1184</v>
      </c>
      <c r="C27" s="3160"/>
      <c r="D27" s="2198">
        <v>5</v>
      </c>
      <c r="E27" s="2198" t="s">
        <v>1177</v>
      </c>
      <c r="F27" s="2199">
        <v>3000</v>
      </c>
      <c r="G27" s="2200">
        <f t="shared" si="2"/>
        <v>15000</v>
      </c>
      <c r="H27" s="2200"/>
      <c r="I27" s="2198"/>
      <c r="J27" s="2198" t="s">
        <v>1177</v>
      </c>
      <c r="K27" s="2199">
        <v>3000</v>
      </c>
      <c r="L27" s="2200">
        <f t="shared" si="0"/>
        <v>0</v>
      </c>
      <c r="M27" s="2200"/>
      <c r="N27" s="2200">
        <f t="shared" si="1"/>
        <v>15000</v>
      </c>
    </row>
    <row r="28" spans="1:14">
      <c r="A28" s="2197" t="s">
        <v>144</v>
      </c>
      <c r="B28" s="3159" t="s">
        <v>147</v>
      </c>
      <c r="C28" s="3160"/>
      <c r="D28" s="2198">
        <v>5</v>
      </c>
      <c r="E28" s="2198" t="s">
        <v>1177</v>
      </c>
      <c r="F28" s="2199">
        <v>24000</v>
      </c>
      <c r="G28" s="2200">
        <f t="shared" si="2"/>
        <v>120000</v>
      </c>
      <c r="H28" s="2200"/>
      <c r="I28" s="2198"/>
      <c r="J28" s="2198" t="s">
        <v>1177</v>
      </c>
      <c r="K28" s="2199">
        <v>24000</v>
      </c>
      <c r="L28" s="2200">
        <f t="shared" si="0"/>
        <v>0</v>
      </c>
      <c r="M28" s="2200"/>
      <c r="N28" s="2200">
        <f t="shared" si="1"/>
        <v>120000</v>
      </c>
    </row>
    <row r="29" spans="1:14">
      <c r="A29" s="2197" t="s">
        <v>145</v>
      </c>
      <c r="B29" s="3159" t="s">
        <v>1175</v>
      </c>
      <c r="C29" s="3160"/>
      <c r="D29" s="2198">
        <v>2</v>
      </c>
      <c r="E29" s="2198" t="s">
        <v>1177</v>
      </c>
      <c r="F29" s="2199">
        <v>90000</v>
      </c>
      <c r="G29" s="2200">
        <f t="shared" si="2"/>
        <v>180000</v>
      </c>
      <c r="H29" s="2200"/>
      <c r="I29" s="2198"/>
      <c r="J29" s="2198" t="s">
        <v>1177</v>
      </c>
      <c r="K29" s="2199">
        <v>90000</v>
      </c>
      <c r="L29" s="2200">
        <f t="shared" si="0"/>
        <v>0</v>
      </c>
      <c r="M29" s="2200"/>
      <c r="N29" s="2200">
        <f t="shared" si="1"/>
        <v>180000</v>
      </c>
    </row>
    <row r="30" spans="1:14">
      <c r="A30" s="2197" t="s">
        <v>146</v>
      </c>
      <c r="B30" s="3159" t="s">
        <v>1176</v>
      </c>
      <c r="C30" s="3160"/>
      <c r="D30" s="2472">
        <v>5</v>
      </c>
      <c r="E30" s="2198" t="s">
        <v>1177</v>
      </c>
      <c r="F30" s="2199">
        <v>30000</v>
      </c>
      <c r="G30" s="2200">
        <f t="shared" si="2"/>
        <v>150000</v>
      </c>
      <c r="H30" s="2200"/>
      <c r="I30" s="2472"/>
      <c r="J30" s="2198" t="s">
        <v>1177</v>
      </c>
      <c r="K30" s="2199">
        <v>30000</v>
      </c>
      <c r="L30" s="2200">
        <f t="shared" si="0"/>
        <v>0</v>
      </c>
      <c r="M30" s="2200"/>
      <c r="N30" s="2200">
        <f t="shared" si="1"/>
        <v>150000</v>
      </c>
    </row>
    <row r="31" spans="1:14">
      <c r="A31" s="2197" t="s">
        <v>149</v>
      </c>
      <c r="B31" s="3159" t="s">
        <v>922</v>
      </c>
      <c r="C31" s="3160"/>
      <c r="D31" s="2198">
        <v>8</v>
      </c>
      <c r="E31" s="2198" t="s">
        <v>1177</v>
      </c>
      <c r="F31" s="2199">
        <v>15000</v>
      </c>
      <c r="G31" s="2200">
        <f t="shared" si="2"/>
        <v>120000</v>
      </c>
      <c r="H31" s="2200"/>
      <c r="I31" s="2198"/>
      <c r="J31" s="2198" t="s">
        <v>1177</v>
      </c>
      <c r="K31" s="2199">
        <v>15000</v>
      </c>
      <c r="L31" s="2200">
        <f t="shared" si="0"/>
        <v>0</v>
      </c>
      <c r="M31" s="2200"/>
      <c r="N31" s="2200">
        <f t="shared" si="1"/>
        <v>120000</v>
      </c>
    </row>
    <row r="32" spans="1:14">
      <c r="A32" s="2197" t="s">
        <v>150</v>
      </c>
      <c r="B32" s="3159" t="s">
        <v>1162</v>
      </c>
      <c r="C32" s="3160"/>
      <c r="D32" s="2198">
        <v>2</v>
      </c>
      <c r="E32" s="2198" t="s">
        <v>1158</v>
      </c>
      <c r="F32" s="2199">
        <v>25000</v>
      </c>
      <c r="G32" s="2200">
        <f t="shared" si="2"/>
        <v>50000</v>
      </c>
      <c r="H32" s="2200"/>
      <c r="I32" s="2198"/>
      <c r="J32" s="2198" t="s">
        <v>1158</v>
      </c>
      <c r="K32" s="2199">
        <v>25000</v>
      </c>
      <c r="L32" s="2200">
        <f t="shared" si="0"/>
        <v>0</v>
      </c>
      <c r="M32" s="2200"/>
      <c r="N32" s="2200">
        <f t="shared" si="1"/>
        <v>50000</v>
      </c>
    </row>
    <row r="33" spans="1:14">
      <c r="A33" s="2197" t="s">
        <v>151</v>
      </c>
      <c r="B33" s="3159" t="s">
        <v>1164</v>
      </c>
      <c r="C33" s="3160"/>
      <c r="D33" s="2198">
        <v>22</v>
      </c>
      <c r="E33" s="2198" t="s">
        <v>1177</v>
      </c>
      <c r="F33" s="2199">
        <v>6000</v>
      </c>
      <c r="G33" s="2200">
        <f t="shared" si="2"/>
        <v>132000</v>
      </c>
      <c r="H33" s="2200"/>
      <c r="I33" s="2198"/>
      <c r="J33" s="2198" t="s">
        <v>1177</v>
      </c>
      <c r="K33" s="2199">
        <v>6000</v>
      </c>
      <c r="L33" s="2200">
        <f t="shared" si="0"/>
        <v>0</v>
      </c>
      <c r="M33" s="2200"/>
      <c r="N33" s="2200">
        <f t="shared" si="1"/>
        <v>132000</v>
      </c>
    </row>
    <row r="34" spans="1:14">
      <c r="A34" s="2197" t="s">
        <v>284</v>
      </c>
      <c r="B34" s="3159" t="s">
        <v>1163</v>
      </c>
      <c r="C34" s="3160"/>
      <c r="D34" s="2198">
        <v>15</v>
      </c>
      <c r="E34" s="2198" t="s">
        <v>1177</v>
      </c>
      <c r="F34" s="2199">
        <v>16000</v>
      </c>
      <c r="G34" s="2200">
        <f t="shared" si="2"/>
        <v>240000</v>
      </c>
      <c r="H34" s="2200"/>
      <c r="I34" s="2198"/>
      <c r="J34" s="2198" t="s">
        <v>1177</v>
      </c>
      <c r="K34" s="2199">
        <v>16000</v>
      </c>
      <c r="L34" s="2200">
        <f t="shared" si="0"/>
        <v>0</v>
      </c>
      <c r="M34" s="2200"/>
      <c r="N34" s="2200">
        <f t="shared" si="1"/>
        <v>240000</v>
      </c>
    </row>
    <row r="35" spans="1:14">
      <c r="A35" s="2197" t="s">
        <v>152</v>
      </c>
      <c r="B35" s="3159" t="s">
        <v>1165</v>
      </c>
      <c r="C35" s="3160"/>
      <c r="D35" s="2198">
        <v>9</v>
      </c>
      <c r="E35" s="2198" t="s">
        <v>1177</v>
      </c>
      <c r="F35" s="2199">
        <v>25000</v>
      </c>
      <c r="G35" s="2200">
        <f t="shared" si="2"/>
        <v>225000</v>
      </c>
      <c r="H35" s="2200"/>
      <c r="I35" s="2198"/>
      <c r="J35" s="2198" t="s">
        <v>1177</v>
      </c>
      <c r="K35" s="2199">
        <v>25000</v>
      </c>
      <c r="L35" s="2200">
        <f t="shared" si="0"/>
        <v>0</v>
      </c>
      <c r="M35" s="2200"/>
      <c r="N35" s="2200">
        <f t="shared" si="1"/>
        <v>225000</v>
      </c>
    </row>
    <row r="36" spans="1:14">
      <c r="A36" s="2197" t="s">
        <v>153</v>
      </c>
      <c r="B36" s="3159" t="s">
        <v>1166</v>
      </c>
      <c r="C36" s="3160"/>
      <c r="D36" s="2198">
        <v>9</v>
      </c>
      <c r="E36" s="2198" t="s">
        <v>1178</v>
      </c>
      <c r="F36" s="2199">
        <v>90000</v>
      </c>
      <c r="G36" s="2200">
        <f t="shared" si="2"/>
        <v>810000</v>
      </c>
      <c r="H36" s="2200"/>
      <c r="I36" s="2198">
        <v>9</v>
      </c>
      <c r="J36" s="2198" t="s">
        <v>1178</v>
      </c>
      <c r="K36" s="2199">
        <v>90000</v>
      </c>
      <c r="L36" s="2200">
        <f t="shared" si="0"/>
        <v>810000</v>
      </c>
      <c r="M36" s="2200"/>
      <c r="N36" s="2200">
        <f t="shared" si="1"/>
        <v>0</v>
      </c>
    </row>
    <row r="37" spans="1:14">
      <c r="A37" s="2197" t="s">
        <v>154</v>
      </c>
      <c r="B37" s="3159" t="s">
        <v>1167</v>
      </c>
      <c r="C37" s="3160"/>
      <c r="D37" s="2198">
        <v>2</v>
      </c>
      <c r="E37" s="2198" t="s">
        <v>1179</v>
      </c>
      <c r="F37" s="2199">
        <v>140000</v>
      </c>
      <c r="G37" s="2200">
        <f t="shared" si="2"/>
        <v>280000</v>
      </c>
      <c r="H37" s="2200"/>
      <c r="I37" s="2198">
        <v>2</v>
      </c>
      <c r="J37" s="2198" t="s">
        <v>1179</v>
      </c>
      <c r="K37" s="2199">
        <v>140000</v>
      </c>
      <c r="L37" s="2200">
        <f t="shared" si="0"/>
        <v>280000</v>
      </c>
      <c r="M37" s="2200"/>
      <c r="N37" s="2200">
        <f t="shared" si="1"/>
        <v>0</v>
      </c>
    </row>
    <row r="38" spans="1:14">
      <c r="A38" s="2197" t="s">
        <v>155</v>
      </c>
      <c r="B38" s="3159" t="s">
        <v>159</v>
      </c>
      <c r="C38" s="3160"/>
      <c r="D38" s="2198">
        <v>10</v>
      </c>
      <c r="E38" s="2198" t="s">
        <v>1158</v>
      </c>
      <c r="F38" s="2199">
        <v>8000</v>
      </c>
      <c r="G38" s="2200">
        <f t="shared" si="2"/>
        <v>80000</v>
      </c>
      <c r="H38" s="2200"/>
      <c r="I38" s="2198"/>
      <c r="J38" s="2198" t="s">
        <v>1158</v>
      </c>
      <c r="K38" s="2199">
        <v>8000</v>
      </c>
      <c r="L38" s="2200">
        <f t="shared" si="0"/>
        <v>0</v>
      </c>
      <c r="M38" s="2200"/>
      <c r="N38" s="2200">
        <f t="shared" si="1"/>
        <v>80000</v>
      </c>
    </row>
    <row r="39" spans="1:14">
      <c r="A39" s="2197" t="s">
        <v>156</v>
      </c>
      <c r="B39" s="3159" t="s">
        <v>160</v>
      </c>
      <c r="C39" s="3160"/>
      <c r="D39" s="2472">
        <v>10</v>
      </c>
      <c r="E39" s="2198" t="s">
        <v>1158</v>
      </c>
      <c r="F39" s="2199">
        <v>12000</v>
      </c>
      <c r="G39" s="2200">
        <f t="shared" si="2"/>
        <v>120000</v>
      </c>
      <c r="H39" s="2200"/>
      <c r="I39" s="2472"/>
      <c r="J39" s="2198" t="s">
        <v>1158</v>
      </c>
      <c r="K39" s="2199">
        <v>12000</v>
      </c>
      <c r="L39" s="2200">
        <f t="shared" si="0"/>
        <v>0</v>
      </c>
      <c r="M39" s="2200"/>
      <c r="N39" s="2200">
        <f t="shared" si="1"/>
        <v>120000</v>
      </c>
    </row>
    <row r="40" spans="1:14">
      <c r="A40" s="2197" t="s">
        <v>157</v>
      </c>
      <c r="B40" s="3159" t="s">
        <v>1168</v>
      </c>
      <c r="C40" s="3160"/>
      <c r="D40" s="2198">
        <v>9</v>
      </c>
      <c r="E40" s="2198" t="s">
        <v>1158</v>
      </c>
      <c r="F40" s="2199">
        <v>15000</v>
      </c>
      <c r="G40" s="2200">
        <f t="shared" si="2"/>
        <v>135000</v>
      </c>
      <c r="H40" s="2200"/>
      <c r="I40" s="2198"/>
      <c r="J40" s="2198" t="s">
        <v>1158</v>
      </c>
      <c r="K40" s="2199">
        <v>15000</v>
      </c>
      <c r="L40" s="2200">
        <f t="shared" si="0"/>
        <v>0</v>
      </c>
      <c r="M40" s="2200"/>
      <c r="N40" s="2200">
        <f t="shared" si="1"/>
        <v>135000</v>
      </c>
    </row>
    <row r="41" spans="1:14">
      <c r="A41" s="2197" t="s">
        <v>833</v>
      </c>
      <c r="B41" s="3159" t="s">
        <v>1169</v>
      </c>
      <c r="C41" s="3160"/>
      <c r="D41" s="2198">
        <v>4</v>
      </c>
      <c r="E41" s="2198" t="s">
        <v>1158</v>
      </c>
      <c r="F41" s="2199">
        <v>20000</v>
      </c>
      <c r="G41" s="2200">
        <f t="shared" si="2"/>
        <v>80000</v>
      </c>
      <c r="H41" s="2200"/>
      <c r="I41" s="2198"/>
      <c r="J41" s="2198" t="s">
        <v>1158</v>
      </c>
      <c r="K41" s="2199">
        <v>20000</v>
      </c>
      <c r="L41" s="2200">
        <f t="shared" si="0"/>
        <v>0</v>
      </c>
      <c r="M41" s="2200"/>
      <c r="N41" s="2200">
        <f t="shared" si="1"/>
        <v>80000</v>
      </c>
    </row>
    <row r="42" spans="1:14">
      <c r="A42" s="2197" t="s">
        <v>890</v>
      </c>
      <c r="B42" s="3159" t="s">
        <v>1170</v>
      </c>
      <c r="C42" s="3160"/>
      <c r="D42" s="2198">
        <v>20</v>
      </c>
      <c r="E42" s="2198" t="s">
        <v>1158</v>
      </c>
      <c r="F42" s="2199">
        <v>8000</v>
      </c>
      <c r="G42" s="2200">
        <f t="shared" si="2"/>
        <v>160000</v>
      </c>
      <c r="H42" s="2200"/>
      <c r="I42" s="2198"/>
      <c r="J42" s="2198" t="s">
        <v>1158</v>
      </c>
      <c r="K42" s="2199">
        <v>8000</v>
      </c>
      <c r="L42" s="2200">
        <f t="shared" si="0"/>
        <v>0</v>
      </c>
      <c r="M42" s="2200"/>
      <c r="N42" s="2200">
        <f t="shared" si="1"/>
        <v>160000</v>
      </c>
    </row>
    <row r="43" spans="1:14">
      <c r="A43" s="2197" t="s">
        <v>892</v>
      </c>
      <c r="B43" s="3159" t="s">
        <v>907</v>
      </c>
      <c r="C43" s="3160"/>
      <c r="D43" s="2472">
        <v>18</v>
      </c>
      <c r="E43" s="2198" t="s">
        <v>1158</v>
      </c>
      <c r="F43" s="2199">
        <v>40000</v>
      </c>
      <c r="G43" s="2200">
        <f t="shared" si="2"/>
        <v>720000</v>
      </c>
      <c r="H43" s="2200"/>
      <c r="I43" s="2472"/>
      <c r="J43" s="2198" t="s">
        <v>1158</v>
      </c>
      <c r="K43" s="2199">
        <v>40000</v>
      </c>
      <c r="L43" s="2200">
        <f t="shared" si="0"/>
        <v>0</v>
      </c>
      <c r="M43" s="2200"/>
      <c r="N43" s="2200">
        <f t="shared" si="1"/>
        <v>720000</v>
      </c>
    </row>
    <row r="44" spans="1:14">
      <c r="A44" s="2197" t="s">
        <v>893</v>
      </c>
      <c r="B44" s="3159" t="s">
        <v>891</v>
      </c>
      <c r="C44" s="3160"/>
      <c r="D44" s="2198">
        <v>1</v>
      </c>
      <c r="E44" s="2198" t="s">
        <v>1180</v>
      </c>
      <c r="F44" s="2199">
        <v>400000</v>
      </c>
      <c r="G44" s="2200">
        <f>+F44*D44</f>
        <v>400000</v>
      </c>
      <c r="H44" s="2200"/>
      <c r="I44" s="2198">
        <v>1</v>
      </c>
      <c r="J44" s="2198" t="s">
        <v>1180</v>
      </c>
      <c r="K44" s="2199">
        <v>400000</v>
      </c>
      <c r="L44" s="2200">
        <f>+K44*I44</f>
        <v>400000</v>
      </c>
      <c r="M44" s="2200"/>
      <c r="N44" s="2200">
        <f t="shared" si="1"/>
        <v>0</v>
      </c>
    </row>
    <row r="45" spans="1:14">
      <c r="A45" s="2197" t="s">
        <v>908</v>
      </c>
      <c r="B45" s="3159" t="s">
        <v>162</v>
      </c>
      <c r="C45" s="3160"/>
      <c r="D45" s="2198">
        <v>1</v>
      </c>
      <c r="E45" s="2198" t="s">
        <v>1180</v>
      </c>
      <c r="F45" s="2199">
        <v>700000</v>
      </c>
      <c r="G45" s="2200">
        <f>+F45*D45</f>
        <v>700000</v>
      </c>
      <c r="H45" s="2200"/>
      <c r="I45" s="2198">
        <v>1</v>
      </c>
      <c r="J45" s="2198" t="s">
        <v>1180</v>
      </c>
      <c r="K45" s="2199">
        <v>700000</v>
      </c>
      <c r="L45" s="2200">
        <f>+K45*I45</f>
        <v>700000</v>
      </c>
      <c r="M45" s="2200"/>
      <c r="N45" s="2200">
        <f t="shared" si="1"/>
        <v>0</v>
      </c>
    </row>
    <row r="46" spans="1:14">
      <c r="A46" s="2201" t="s">
        <v>1134</v>
      </c>
      <c r="B46" s="3159" t="s">
        <v>1171</v>
      </c>
      <c r="C46" s="3160"/>
      <c r="D46" s="2202">
        <v>1</v>
      </c>
      <c r="E46" s="2202" t="s">
        <v>1158</v>
      </c>
      <c r="F46" s="2203">
        <v>80000</v>
      </c>
      <c r="G46" s="2204">
        <f>+F46*D46</f>
        <v>80000</v>
      </c>
      <c r="H46" s="2204"/>
      <c r="I46" s="2202"/>
      <c r="J46" s="2202" t="s">
        <v>1158</v>
      </c>
      <c r="K46" s="2203">
        <v>80000</v>
      </c>
      <c r="L46" s="2204">
        <f>+K46*I46</f>
        <v>0</v>
      </c>
      <c r="M46" s="2204"/>
      <c r="N46" s="2204">
        <f t="shared" si="1"/>
        <v>80000</v>
      </c>
    </row>
    <row r="47" spans="1:14" s="2255" customFormat="1">
      <c r="A47" s="3161" t="s">
        <v>161</v>
      </c>
      <c r="B47" s="3161"/>
      <c r="C47" s="3161"/>
      <c r="D47" s="3161"/>
      <c r="E47" s="3161"/>
      <c r="F47" s="3161"/>
      <c r="G47" s="2251">
        <f>SUM(G16:G46)</f>
        <v>9077500</v>
      </c>
      <c r="H47" s="2251">
        <f>G47</f>
        <v>9077500</v>
      </c>
      <c r="I47" s="2252"/>
      <c r="J47" s="2253"/>
      <c r="K47" s="2252"/>
      <c r="L47" s="2254">
        <f>SUM(L16:L46)</f>
        <v>5140000</v>
      </c>
      <c r="M47" s="2254">
        <f>L47</f>
        <v>5140000</v>
      </c>
      <c r="N47" s="2254">
        <f t="shared" si="1"/>
        <v>3937500</v>
      </c>
    </row>
    <row r="48" spans="1:14">
      <c r="A48" s="2178">
        <v>2</v>
      </c>
      <c r="B48" s="3162" t="s">
        <v>913</v>
      </c>
      <c r="C48" s="3163"/>
      <c r="D48" s="2179"/>
      <c r="E48" s="2179"/>
      <c r="F48" s="1782"/>
      <c r="G48" s="1782"/>
      <c r="H48" s="1782"/>
      <c r="I48" s="2179"/>
      <c r="J48" s="2179"/>
      <c r="K48" s="1782"/>
      <c r="L48" s="1782"/>
      <c r="M48" s="1782"/>
      <c r="N48" s="1782">
        <f t="shared" si="1"/>
        <v>0</v>
      </c>
    </row>
    <row r="49" spans="1:16">
      <c r="A49" s="2182" t="s">
        <v>121</v>
      </c>
      <c r="B49" s="3189" t="s">
        <v>1187</v>
      </c>
      <c r="C49" s="3190"/>
      <c r="D49" s="2183">
        <v>3</v>
      </c>
      <c r="E49" s="2183" t="s">
        <v>136</v>
      </c>
      <c r="F49" s="2184">
        <v>80000</v>
      </c>
      <c r="G49" s="1782">
        <f>+F49*D49</f>
        <v>240000</v>
      </c>
      <c r="H49" s="1782"/>
      <c r="I49" s="2183"/>
      <c r="J49" s="2183" t="s">
        <v>136</v>
      </c>
      <c r="K49" s="2184">
        <v>80000</v>
      </c>
      <c r="L49" s="1782">
        <f>+K49*I49</f>
        <v>0</v>
      </c>
      <c r="M49" s="1782"/>
      <c r="N49" s="1782">
        <f t="shared" si="1"/>
        <v>240000</v>
      </c>
    </row>
    <row r="50" spans="1:16" s="2255" customFormat="1">
      <c r="A50" s="3167" t="s">
        <v>163</v>
      </c>
      <c r="B50" s="3167"/>
      <c r="C50" s="3167"/>
      <c r="D50" s="3167"/>
      <c r="E50" s="3167"/>
      <c r="F50" s="3167"/>
      <c r="G50" s="2251">
        <f>SUM(G49:G49)</f>
        <v>240000</v>
      </c>
      <c r="H50" s="2251">
        <f>G50</f>
        <v>240000</v>
      </c>
      <c r="I50" s="2252"/>
      <c r="J50" s="2252"/>
      <c r="K50" s="2252"/>
      <c r="L50" s="2254">
        <f>L49</f>
        <v>0</v>
      </c>
      <c r="M50" s="2254">
        <f>L50</f>
        <v>0</v>
      </c>
      <c r="N50" s="2254">
        <f t="shared" si="1"/>
        <v>240000</v>
      </c>
    </row>
    <row r="51" spans="1:16">
      <c r="A51" s="2182">
        <v>3</v>
      </c>
      <c r="B51" s="3181" t="s">
        <v>914</v>
      </c>
      <c r="C51" s="3182"/>
      <c r="D51" s="2179"/>
      <c r="E51" s="2179"/>
      <c r="F51" s="1782"/>
      <c r="G51" s="1782"/>
      <c r="H51" s="1782"/>
      <c r="I51" s="2179"/>
      <c r="J51" s="2179"/>
      <c r="K51" s="1782"/>
      <c r="L51" s="1782"/>
      <c r="M51" s="1782"/>
      <c r="N51" s="1782">
        <f t="shared" si="1"/>
        <v>0</v>
      </c>
    </row>
    <row r="52" spans="1:16">
      <c r="A52" s="2205" t="s">
        <v>126</v>
      </c>
      <c r="B52" s="3183" t="s">
        <v>901</v>
      </c>
      <c r="C52" s="3184"/>
      <c r="D52" s="2206">
        <v>2</v>
      </c>
      <c r="E52" s="2207" t="s">
        <v>267</v>
      </c>
      <c r="F52" s="2207">
        <v>35000</v>
      </c>
      <c r="G52" s="2208">
        <f>D52*F52</f>
        <v>70000</v>
      </c>
      <c r="H52" s="2208"/>
      <c r="I52" s="2206">
        <v>2</v>
      </c>
      <c r="J52" s="2207" t="s">
        <v>267</v>
      </c>
      <c r="K52" s="2207">
        <v>35000</v>
      </c>
      <c r="L52" s="2208">
        <f>I52*K52</f>
        <v>70000</v>
      </c>
      <c r="M52" s="2208"/>
      <c r="N52" s="2208">
        <f t="shared" si="1"/>
        <v>0</v>
      </c>
    </row>
    <row r="53" spans="1:16">
      <c r="A53" s="2209" t="s">
        <v>127</v>
      </c>
      <c r="B53" s="3191" t="s">
        <v>902</v>
      </c>
      <c r="C53" s="3192"/>
      <c r="D53" s="2210">
        <v>2</v>
      </c>
      <c r="E53" s="2210" t="s">
        <v>267</v>
      </c>
      <c r="F53" s="2211">
        <v>50000</v>
      </c>
      <c r="G53" s="2212">
        <f>D53*F53</f>
        <v>100000</v>
      </c>
      <c r="H53" s="2212"/>
      <c r="I53" s="2210">
        <v>1</v>
      </c>
      <c r="J53" s="2210" t="s">
        <v>267</v>
      </c>
      <c r="K53" s="2211">
        <v>50000</v>
      </c>
      <c r="L53" s="2212">
        <f>I53*K53</f>
        <v>50000</v>
      </c>
      <c r="M53" s="2212"/>
      <c r="N53" s="2212">
        <f t="shared" si="1"/>
        <v>50000</v>
      </c>
    </row>
    <row r="54" spans="1:16">
      <c r="A54" s="2209" t="s">
        <v>225</v>
      </c>
      <c r="B54" s="3191" t="s">
        <v>1108</v>
      </c>
      <c r="C54" s="3192"/>
      <c r="D54" s="2210">
        <v>2</v>
      </c>
      <c r="E54" s="2210" t="s">
        <v>904</v>
      </c>
      <c r="F54" s="2211">
        <v>20000</v>
      </c>
      <c r="G54" s="2212">
        <f>D54*F54</f>
        <v>40000</v>
      </c>
      <c r="H54" s="2212"/>
      <c r="I54" s="2210">
        <v>10</v>
      </c>
      <c r="J54" s="2210" t="s">
        <v>904</v>
      </c>
      <c r="K54" s="2211">
        <v>20000</v>
      </c>
      <c r="L54" s="2212">
        <f>I54*K54</f>
        <v>200000</v>
      </c>
      <c r="M54" s="2212"/>
      <c r="N54" s="2212">
        <f t="shared" si="1"/>
        <v>-160000</v>
      </c>
    </row>
    <row r="55" spans="1:16">
      <c r="A55" s="2209" t="s">
        <v>226</v>
      </c>
      <c r="B55" s="3191" t="s">
        <v>903</v>
      </c>
      <c r="C55" s="3192"/>
      <c r="D55" s="2210">
        <v>2</v>
      </c>
      <c r="E55" s="2210" t="s">
        <v>267</v>
      </c>
      <c r="F55" s="2211">
        <v>50000</v>
      </c>
      <c r="G55" s="2212">
        <f>D55*F55</f>
        <v>100000</v>
      </c>
      <c r="H55" s="2212"/>
      <c r="I55" s="2210">
        <v>2</v>
      </c>
      <c r="J55" s="2210" t="s">
        <v>267</v>
      </c>
      <c r="K55" s="2211">
        <v>50000</v>
      </c>
      <c r="L55" s="2212">
        <f>I55*K55</f>
        <v>100000</v>
      </c>
      <c r="M55" s="2212"/>
      <c r="N55" s="2212">
        <f t="shared" si="1"/>
        <v>0</v>
      </c>
    </row>
    <row r="56" spans="1:16">
      <c r="A56" s="2213" t="s">
        <v>227</v>
      </c>
      <c r="B56" s="3185" t="s">
        <v>1109</v>
      </c>
      <c r="C56" s="3186"/>
      <c r="D56" s="2214">
        <v>4</v>
      </c>
      <c r="E56" s="2214" t="s">
        <v>904</v>
      </c>
      <c r="F56" s="2215">
        <v>10000</v>
      </c>
      <c r="G56" s="2216">
        <f>D56*F56</f>
        <v>40000</v>
      </c>
      <c r="H56" s="2216"/>
      <c r="I56" s="2214">
        <v>3</v>
      </c>
      <c r="J56" s="2214" t="s">
        <v>904</v>
      </c>
      <c r="K56" s="2215">
        <v>10000</v>
      </c>
      <c r="L56" s="2216">
        <f>I56*K56</f>
        <v>30000</v>
      </c>
      <c r="M56" s="2216"/>
      <c r="N56" s="2216">
        <f t="shared" si="1"/>
        <v>10000</v>
      </c>
    </row>
    <row r="57" spans="1:16" s="2255" customFormat="1">
      <c r="A57" s="3167" t="s">
        <v>165</v>
      </c>
      <c r="B57" s="3167"/>
      <c r="C57" s="3167"/>
      <c r="D57" s="3167"/>
      <c r="E57" s="3167"/>
      <c r="F57" s="3167"/>
      <c r="G57" s="2251">
        <f>SUM(G52:G56)</f>
        <v>350000</v>
      </c>
      <c r="H57" s="2256">
        <f>G57</f>
        <v>350000</v>
      </c>
      <c r="I57" s="2252"/>
      <c r="J57" s="2252"/>
      <c r="K57" s="2252"/>
      <c r="L57" s="2254">
        <f>SUM(L52:L56)</f>
        <v>450000</v>
      </c>
      <c r="M57" s="2254">
        <f>L57</f>
        <v>450000</v>
      </c>
      <c r="N57" s="2254">
        <f t="shared" si="1"/>
        <v>-100000</v>
      </c>
    </row>
    <row r="58" spans="1:16">
      <c r="A58" s="2182">
        <v>4</v>
      </c>
      <c r="B58" s="3181" t="s">
        <v>915</v>
      </c>
      <c r="C58" s="3182"/>
      <c r="D58" s="2179"/>
      <c r="E58" s="2179"/>
      <c r="F58" s="1782"/>
      <c r="G58" s="1782"/>
      <c r="H58" s="1782"/>
      <c r="I58" s="2179"/>
      <c r="J58" s="2179"/>
      <c r="K58" s="1782"/>
      <c r="L58" s="1782"/>
      <c r="M58" s="1782"/>
      <c r="N58" s="1782">
        <f t="shared" si="1"/>
        <v>0</v>
      </c>
    </row>
    <row r="59" spans="1:16">
      <c r="A59" s="2205" t="s">
        <v>128</v>
      </c>
      <c r="B59" s="3183" t="s">
        <v>1181</v>
      </c>
      <c r="C59" s="3184"/>
      <c r="D59" s="2206">
        <v>40</v>
      </c>
      <c r="E59" s="2206" t="s">
        <v>1110</v>
      </c>
      <c r="F59" s="2207">
        <v>10000</v>
      </c>
      <c r="G59" s="2208">
        <f>+F59*D59</f>
        <v>400000</v>
      </c>
      <c r="H59" s="2208"/>
      <c r="I59" s="2206">
        <v>0</v>
      </c>
      <c r="J59" s="2206" t="s">
        <v>1110</v>
      </c>
      <c r="K59" s="2207">
        <v>10000</v>
      </c>
      <c r="L59" s="2208">
        <f>+K59*I59</f>
        <v>0</v>
      </c>
      <c r="M59" s="2208"/>
      <c r="N59" s="2208">
        <f t="shared" si="1"/>
        <v>400000</v>
      </c>
      <c r="O59" s="1182"/>
      <c r="P59" s="1182"/>
    </row>
    <row r="60" spans="1:16">
      <c r="A60" s="2213" t="s">
        <v>129</v>
      </c>
      <c r="B60" s="3185" t="s">
        <v>1119</v>
      </c>
      <c r="C60" s="3186"/>
      <c r="D60" s="2214">
        <v>10</v>
      </c>
      <c r="E60" s="2214" t="s">
        <v>1110</v>
      </c>
      <c r="F60" s="2215">
        <v>10000</v>
      </c>
      <c r="G60" s="2216">
        <f>+F60*D60</f>
        <v>100000</v>
      </c>
      <c r="H60" s="2216"/>
      <c r="I60" s="2214">
        <v>0</v>
      </c>
      <c r="J60" s="2214" t="s">
        <v>1110</v>
      </c>
      <c r="K60" s="2215">
        <v>10000</v>
      </c>
      <c r="L60" s="2216">
        <f>+K60*I60</f>
        <v>0</v>
      </c>
      <c r="M60" s="2216"/>
      <c r="N60" s="2216">
        <f t="shared" si="1"/>
        <v>100000</v>
      </c>
      <c r="O60" s="1182"/>
      <c r="P60" s="1182"/>
    </row>
    <row r="61" spans="1:16" s="2255" customFormat="1">
      <c r="A61" s="3161" t="s">
        <v>169</v>
      </c>
      <c r="B61" s="3161"/>
      <c r="C61" s="3161"/>
      <c r="D61" s="3161"/>
      <c r="E61" s="3161"/>
      <c r="F61" s="3161"/>
      <c r="G61" s="2251">
        <f>SUM(G59:G60)</f>
        <v>500000</v>
      </c>
      <c r="H61" s="2251">
        <f>G61</f>
        <v>500000</v>
      </c>
      <c r="I61" s="2252"/>
      <c r="J61" s="2252"/>
      <c r="K61" s="2252"/>
      <c r="L61" s="2254">
        <f>SUM(L59:L60)</f>
        <v>0</v>
      </c>
      <c r="M61" s="2254">
        <f>L61</f>
        <v>0</v>
      </c>
      <c r="N61" s="2254">
        <f t="shared" si="1"/>
        <v>500000</v>
      </c>
      <c r="O61" s="2257"/>
      <c r="P61" s="2257"/>
    </row>
    <row r="62" spans="1:16">
      <c r="A62" s="2474">
        <v>5</v>
      </c>
      <c r="B62" s="3187" t="s">
        <v>820</v>
      </c>
      <c r="C62" s="3188"/>
      <c r="D62" s="2475"/>
      <c r="E62" s="2475"/>
      <c r="F62" s="2476"/>
      <c r="G62" s="2476"/>
      <c r="H62" s="2476"/>
      <c r="I62" s="2475"/>
      <c r="J62" s="2475"/>
      <c r="K62" s="2476"/>
      <c r="L62" s="2476"/>
      <c r="M62" s="2476"/>
      <c r="N62" s="2476">
        <f t="shared" si="1"/>
        <v>0</v>
      </c>
      <c r="O62" s="1182"/>
      <c r="P62" s="1182"/>
    </row>
    <row r="63" spans="1:16">
      <c r="A63" s="2178">
        <v>5.0999999999999996</v>
      </c>
      <c r="B63" s="3169" t="s">
        <v>319</v>
      </c>
      <c r="C63" s="3170"/>
      <c r="D63" s="2183">
        <v>1</v>
      </c>
      <c r="E63" s="2183" t="s">
        <v>164</v>
      </c>
      <c r="F63" s="2184">
        <v>4800000</v>
      </c>
      <c r="G63" s="1782">
        <f>F63*D63</f>
        <v>4800000</v>
      </c>
      <c r="H63" s="1782"/>
      <c r="I63" s="2183">
        <v>1</v>
      </c>
      <c r="J63" s="2183" t="s">
        <v>164</v>
      </c>
      <c r="K63" s="2184">
        <f>2914000-1477349</f>
        <v>1436651</v>
      </c>
      <c r="L63" s="1782">
        <f>K63*I63</f>
        <v>1436651</v>
      </c>
      <c r="M63" s="1782"/>
      <c r="N63" s="1782">
        <f t="shared" si="1"/>
        <v>3363349</v>
      </c>
      <c r="O63" s="1182"/>
      <c r="P63" s="1182"/>
    </row>
    <row r="64" spans="1:16" s="2255" customFormat="1">
      <c r="A64" s="3161" t="s">
        <v>172</v>
      </c>
      <c r="B64" s="3161"/>
      <c r="C64" s="3161"/>
      <c r="D64" s="3161"/>
      <c r="E64" s="3161"/>
      <c r="F64" s="3161"/>
      <c r="G64" s="2251">
        <f>SUM(G63:G63)</f>
        <v>4800000</v>
      </c>
      <c r="H64" s="2251">
        <f>G64</f>
        <v>4800000</v>
      </c>
      <c r="I64" s="2252"/>
      <c r="J64" s="2252"/>
      <c r="K64" s="2258"/>
      <c r="L64" s="2258">
        <f>L63</f>
        <v>1436651</v>
      </c>
      <c r="M64" s="2258">
        <f>L64</f>
        <v>1436651</v>
      </c>
      <c r="N64" s="2258">
        <f t="shared" si="1"/>
        <v>3363349</v>
      </c>
      <c r="O64" s="2259"/>
      <c r="P64" s="2259"/>
    </row>
    <row r="65" spans="1:19">
      <c r="A65" s="2187">
        <v>6</v>
      </c>
      <c r="B65" s="3199" t="s">
        <v>308</v>
      </c>
      <c r="C65" s="3200"/>
      <c r="D65" s="2183"/>
      <c r="E65" s="2183"/>
      <c r="F65" s="2188"/>
      <c r="G65" s="1782"/>
      <c r="H65" s="1782"/>
      <c r="I65" s="2183"/>
      <c r="J65" s="2183"/>
      <c r="K65" s="2188"/>
      <c r="L65" s="1782"/>
      <c r="M65" s="1782"/>
      <c r="N65" s="1782">
        <f t="shared" si="1"/>
        <v>0</v>
      </c>
      <c r="O65" s="1182"/>
      <c r="P65" s="1182"/>
    </row>
    <row r="66" spans="1:19">
      <c r="A66" s="2217" t="s">
        <v>243</v>
      </c>
      <c r="B66" s="3193" t="s">
        <v>257</v>
      </c>
      <c r="C66" s="3194"/>
      <c r="D66" s="2194">
        <v>45</v>
      </c>
      <c r="E66" s="2194" t="s">
        <v>148</v>
      </c>
      <c r="F66" s="2218">
        <v>7000</v>
      </c>
      <c r="G66" s="2196">
        <f>+F66*D66</f>
        <v>315000</v>
      </c>
      <c r="H66" s="2196"/>
      <c r="I66" s="2194"/>
      <c r="J66" s="2194" t="s">
        <v>148</v>
      </c>
      <c r="K66" s="2218">
        <v>7000</v>
      </c>
      <c r="L66" s="2196">
        <f>+K66*I66</f>
        <v>0</v>
      </c>
      <c r="M66" s="2196"/>
      <c r="N66" s="2196">
        <f t="shared" si="1"/>
        <v>315000</v>
      </c>
      <c r="O66" s="1182"/>
      <c r="P66" s="1182"/>
    </row>
    <row r="67" spans="1:19">
      <c r="A67" s="2219" t="s">
        <v>244</v>
      </c>
      <c r="B67" s="3195" t="s">
        <v>249</v>
      </c>
      <c r="C67" s="3196"/>
      <c r="D67" s="2198">
        <v>45</v>
      </c>
      <c r="E67" s="2198" t="s">
        <v>148</v>
      </c>
      <c r="F67" s="2220">
        <v>20000</v>
      </c>
      <c r="G67" s="2200">
        <f>+F67*D67</f>
        <v>900000</v>
      </c>
      <c r="H67" s="2200"/>
      <c r="I67" s="2198"/>
      <c r="J67" s="2198" t="s">
        <v>148</v>
      </c>
      <c r="K67" s="2220">
        <v>20000</v>
      </c>
      <c r="L67" s="2200">
        <f>+K67*I67</f>
        <v>0</v>
      </c>
      <c r="M67" s="2200"/>
      <c r="N67" s="2200">
        <f t="shared" si="1"/>
        <v>900000</v>
      </c>
      <c r="O67" s="1182"/>
      <c r="P67" s="1182"/>
    </row>
    <row r="68" spans="1:19">
      <c r="A68" s="2221" t="s">
        <v>245</v>
      </c>
      <c r="B68" s="3201" t="s">
        <v>254</v>
      </c>
      <c r="C68" s="3202"/>
      <c r="D68" s="2202">
        <v>11</v>
      </c>
      <c r="E68" s="2202" t="s">
        <v>255</v>
      </c>
      <c r="F68" s="2222">
        <v>25000</v>
      </c>
      <c r="G68" s="2204">
        <f>+F68*D68</f>
        <v>275000</v>
      </c>
      <c r="H68" s="2204"/>
      <c r="I68" s="2202"/>
      <c r="J68" s="2202" t="s">
        <v>255</v>
      </c>
      <c r="K68" s="2222">
        <v>25000</v>
      </c>
      <c r="L68" s="2204">
        <f>+K68*I68</f>
        <v>0</v>
      </c>
      <c r="M68" s="2204"/>
      <c r="N68" s="2204">
        <f t="shared" si="1"/>
        <v>275000</v>
      </c>
      <c r="O68" s="1182"/>
      <c r="P68" s="1182"/>
    </row>
    <row r="69" spans="1:19" s="2255" customFormat="1">
      <c r="A69" s="3161" t="s">
        <v>585</v>
      </c>
      <c r="B69" s="3161"/>
      <c r="C69" s="3161"/>
      <c r="D69" s="3161"/>
      <c r="E69" s="3161"/>
      <c r="F69" s="3161"/>
      <c r="G69" s="2251">
        <f>SUM(G66:G68)</f>
        <v>1490000</v>
      </c>
      <c r="H69" s="2251">
        <f>G69</f>
        <v>1490000</v>
      </c>
      <c r="I69" s="2252"/>
      <c r="J69" s="2252"/>
      <c r="K69" s="2254"/>
      <c r="L69" s="2254">
        <f>SUM(L66:L68)</f>
        <v>0</v>
      </c>
      <c r="M69" s="2254">
        <f>L69</f>
        <v>0</v>
      </c>
      <c r="N69" s="2254">
        <f t="shared" si="1"/>
        <v>1490000</v>
      </c>
      <c r="O69" s="2473"/>
      <c r="P69" s="2257"/>
    </row>
    <row r="70" spans="1:19">
      <c r="A70" s="2181">
        <v>7</v>
      </c>
      <c r="B70" s="3199" t="s">
        <v>570</v>
      </c>
      <c r="C70" s="3200"/>
      <c r="D70" s="2179"/>
      <c r="E70" s="2189"/>
      <c r="F70" s="2189"/>
      <c r="G70" s="1782"/>
      <c r="H70" s="1783"/>
      <c r="I70" s="2179"/>
      <c r="J70" s="2189"/>
      <c r="K70" s="2189"/>
      <c r="L70" s="1782"/>
      <c r="M70" s="1783"/>
      <c r="N70" s="1783">
        <f t="shared" si="1"/>
        <v>0</v>
      </c>
      <c r="O70" s="1182"/>
      <c r="P70" s="1182"/>
    </row>
    <row r="71" spans="1:19">
      <c r="A71" s="2263" t="s">
        <v>242</v>
      </c>
      <c r="B71" s="3193" t="s">
        <v>1133</v>
      </c>
      <c r="C71" s="3194"/>
      <c r="D71" s="2223">
        <f>1*12</f>
        <v>12</v>
      </c>
      <c r="E71" s="2224" t="s">
        <v>1099</v>
      </c>
      <c r="F71" s="2225">
        <v>800000</v>
      </c>
      <c r="G71" s="2196">
        <f>D71*F71</f>
        <v>9600000</v>
      </c>
      <c r="H71" s="2226"/>
      <c r="I71" s="2223">
        <f>1*12</f>
        <v>12</v>
      </c>
      <c r="J71" s="2224" t="s">
        <v>1099</v>
      </c>
      <c r="K71" s="2225">
        <v>800000</v>
      </c>
      <c r="L71" s="2196">
        <f>I71*K71</f>
        <v>9600000</v>
      </c>
      <c r="M71" s="2226"/>
      <c r="N71" s="2226">
        <f t="shared" si="1"/>
        <v>0</v>
      </c>
      <c r="O71" s="1182"/>
      <c r="P71" s="1182"/>
    </row>
    <row r="72" spans="1:19">
      <c r="A72" s="2264" t="s">
        <v>333</v>
      </c>
      <c r="B72" s="3195" t="s">
        <v>822</v>
      </c>
      <c r="C72" s="3196"/>
      <c r="D72" s="2227">
        <f>1*12</f>
        <v>12</v>
      </c>
      <c r="E72" s="2228" t="s">
        <v>1099</v>
      </c>
      <c r="F72" s="2229">
        <v>500000</v>
      </c>
      <c r="G72" s="2200">
        <f>D72*F72</f>
        <v>6000000</v>
      </c>
      <c r="H72" s="2230"/>
      <c r="I72" s="2227">
        <f>1*12</f>
        <v>12</v>
      </c>
      <c r="J72" s="2228" t="s">
        <v>1099</v>
      </c>
      <c r="K72" s="2229">
        <v>500000</v>
      </c>
      <c r="L72" s="2200">
        <f>I72*K72</f>
        <v>6000000</v>
      </c>
      <c r="M72" s="2230"/>
      <c r="N72" s="2230">
        <f t="shared" si="1"/>
        <v>0</v>
      </c>
      <c r="O72" s="1182"/>
      <c r="P72" s="1182"/>
      <c r="S72" s="328">
        <v>4000000</v>
      </c>
    </row>
    <row r="73" spans="1:19">
      <c r="A73" s="2264" t="s">
        <v>1344</v>
      </c>
      <c r="B73" s="3195" t="s">
        <v>180</v>
      </c>
      <c r="C73" s="3196"/>
      <c r="D73" s="2227">
        <f>12*5</f>
        <v>60</v>
      </c>
      <c r="E73" s="2228" t="s">
        <v>1099</v>
      </c>
      <c r="F73" s="2229">
        <v>250000</v>
      </c>
      <c r="G73" s="2200">
        <f>D73*F73</f>
        <v>15000000</v>
      </c>
      <c r="H73" s="2230"/>
      <c r="I73" s="2227">
        <f>12*5</f>
        <v>60</v>
      </c>
      <c r="J73" s="2228" t="s">
        <v>1099</v>
      </c>
      <c r="K73" s="2229">
        <v>250000</v>
      </c>
      <c r="L73" s="2200">
        <f>I73*K73</f>
        <v>15000000</v>
      </c>
      <c r="M73" s="2230"/>
      <c r="N73" s="2230">
        <f t="shared" si="1"/>
        <v>0</v>
      </c>
      <c r="O73" s="1182"/>
      <c r="P73" s="1182"/>
      <c r="S73" s="328">
        <f>S72/50000</f>
        <v>80</v>
      </c>
    </row>
    <row r="74" spans="1:19">
      <c r="A74" s="2265" t="s">
        <v>1345</v>
      </c>
      <c r="B74" s="3197" t="s">
        <v>187</v>
      </c>
      <c r="C74" s="3198"/>
      <c r="D74" s="2231">
        <f>1*12</f>
        <v>12</v>
      </c>
      <c r="E74" s="2232" t="s">
        <v>1099</v>
      </c>
      <c r="F74" s="2233">
        <v>250000</v>
      </c>
      <c r="G74" s="2204">
        <f>D74*F74</f>
        <v>3000000</v>
      </c>
      <c r="H74" s="2234"/>
      <c r="I74" s="2231">
        <f>1*12</f>
        <v>12</v>
      </c>
      <c r="J74" s="2232" t="s">
        <v>1099</v>
      </c>
      <c r="K74" s="2233">
        <v>250000</v>
      </c>
      <c r="L74" s="2204">
        <f>I74*K74</f>
        <v>3000000</v>
      </c>
      <c r="M74" s="2234"/>
      <c r="N74" s="2234">
        <f t="shared" si="1"/>
        <v>0</v>
      </c>
      <c r="O74" s="1182"/>
      <c r="P74" s="1182"/>
    </row>
    <row r="75" spans="1:19" s="2255" customFormat="1">
      <c r="A75" s="3161" t="s">
        <v>586</v>
      </c>
      <c r="B75" s="3161"/>
      <c r="C75" s="3161"/>
      <c r="D75" s="3161"/>
      <c r="E75" s="3161"/>
      <c r="F75" s="3161"/>
      <c r="G75" s="2251">
        <f>SUM(G71:G74)</f>
        <v>33600000</v>
      </c>
      <c r="H75" s="2256">
        <f>G75</f>
        <v>33600000</v>
      </c>
      <c r="I75" s="2252"/>
      <c r="J75" s="2252"/>
      <c r="K75" s="2252"/>
      <c r="L75" s="2254">
        <f>SUM(L71:L74)</f>
        <v>33600000</v>
      </c>
      <c r="M75" s="2254">
        <f>L75</f>
        <v>33600000</v>
      </c>
      <c r="N75" s="2254">
        <f t="shared" si="1"/>
        <v>0</v>
      </c>
      <c r="O75" s="2257"/>
      <c r="P75" s="2257"/>
    </row>
    <row r="76" spans="1:19">
      <c r="A76" s="2181">
        <v>8</v>
      </c>
      <c r="B76" s="3162" t="s">
        <v>1182</v>
      </c>
      <c r="C76" s="3163"/>
      <c r="D76" s="2179"/>
      <c r="E76" s="2189"/>
      <c r="F76" s="2189"/>
      <c r="G76" s="1782"/>
      <c r="H76" s="1782"/>
      <c r="I76" s="2179"/>
      <c r="J76" s="2189"/>
      <c r="K76" s="2189"/>
      <c r="L76" s="1782"/>
      <c r="M76" s="1782"/>
      <c r="N76" s="1782">
        <f t="shared" si="1"/>
        <v>0</v>
      </c>
      <c r="O76" s="1182"/>
      <c r="P76" s="1182"/>
    </row>
    <row r="77" spans="1:19">
      <c r="A77" s="2266" t="s">
        <v>216</v>
      </c>
      <c r="B77" s="3162" t="s">
        <v>1155</v>
      </c>
      <c r="C77" s="3163"/>
      <c r="D77" s="2179">
        <v>12</v>
      </c>
      <c r="E77" s="2189" t="s">
        <v>116</v>
      </c>
      <c r="F77" s="2189">
        <v>500000</v>
      </c>
      <c r="G77" s="1782">
        <f>D77*F77</f>
        <v>6000000</v>
      </c>
      <c r="H77" s="1782"/>
      <c r="I77" s="2179">
        <v>12</v>
      </c>
      <c r="J77" s="2189" t="s">
        <v>116</v>
      </c>
      <c r="K77" s="2189">
        <v>500000</v>
      </c>
      <c r="L77" s="1782">
        <f>I77*K77</f>
        <v>6000000</v>
      </c>
      <c r="M77" s="1782"/>
      <c r="N77" s="1782">
        <f t="shared" si="1"/>
        <v>0</v>
      </c>
      <c r="O77" s="1182"/>
      <c r="P77" s="1182"/>
    </row>
    <row r="78" spans="1:19" s="2255" customFormat="1">
      <c r="A78" s="3161" t="s">
        <v>1115</v>
      </c>
      <c r="B78" s="3161"/>
      <c r="C78" s="3161"/>
      <c r="D78" s="3161"/>
      <c r="E78" s="3161"/>
      <c r="F78" s="3161"/>
      <c r="G78" s="2251">
        <f>G77</f>
        <v>6000000</v>
      </c>
      <c r="H78" s="2256">
        <f>G78</f>
        <v>6000000</v>
      </c>
      <c r="I78" s="2252"/>
      <c r="J78" s="2252"/>
      <c r="K78" s="2252"/>
      <c r="L78" s="2254">
        <f>SUM(L77)</f>
        <v>6000000</v>
      </c>
      <c r="M78" s="2254">
        <f>L78</f>
        <v>6000000</v>
      </c>
      <c r="N78" s="2254">
        <f t="shared" si="1"/>
        <v>0</v>
      </c>
      <c r="O78" s="2257"/>
      <c r="P78" s="2257"/>
    </row>
    <row r="79" spans="1:19">
      <c r="A79" s="2235">
        <v>9</v>
      </c>
      <c r="B79" s="3209" t="s">
        <v>195</v>
      </c>
      <c r="C79" s="3210"/>
      <c r="D79" s="2236"/>
      <c r="E79" s="2236"/>
      <c r="F79" s="2208"/>
      <c r="G79" s="2208"/>
      <c r="H79" s="2208"/>
      <c r="I79" s="2236"/>
      <c r="J79" s="2236"/>
      <c r="K79" s="2208"/>
      <c r="L79" s="2208"/>
      <c r="M79" s="2208"/>
      <c r="N79" s="2208">
        <f t="shared" si="1"/>
        <v>0</v>
      </c>
      <c r="O79" s="1182"/>
      <c r="P79" s="1182"/>
    </row>
    <row r="80" spans="1:19" ht="15.75">
      <c r="A80" s="2237" t="s">
        <v>1114</v>
      </c>
      <c r="B80" s="3211" t="s">
        <v>1185</v>
      </c>
      <c r="C80" s="3212"/>
      <c r="D80" s="2238">
        <v>1</v>
      </c>
      <c r="E80" s="2239" t="s">
        <v>164</v>
      </c>
      <c r="F80" s="2240">
        <v>6200000</v>
      </c>
      <c r="G80" s="2212">
        <f>+F80*D80</f>
        <v>6200000</v>
      </c>
      <c r="H80" s="2212"/>
      <c r="I80" s="2238">
        <v>1</v>
      </c>
      <c r="J80" s="2239" t="s">
        <v>164</v>
      </c>
      <c r="K80" s="2240">
        <v>6200000</v>
      </c>
      <c r="L80" s="2212">
        <f>+K80*I80</f>
        <v>6200000</v>
      </c>
      <c r="M80" s="2212"/>
      <c r="N80" s="2212">
        <f t="shared" si="1"/>
        <v>0</v>
      </c>
      <c r="O80" s="1183"/>
      <c r="P80" s="1183"/>
    </row>
    <row r="81" spans="1:15" s="2255" customFormat="1">
      <c r="A81" s="3161" t="s">
        <v>1116</v>
      </c>
      <c r="B81" s="3161"/>
      <c r="C81" s="3161"/>
      <c r="D81" s="3161"/>
      <c r="E81" s="3161"/>
      <c r="F81" s="3161"/>
      <c r="G81" s="2251">
        <f>SUM(G80:G80)</f>
        <v>6200000</v>
      </c>
      <c r="H81" s="2513">
        <f>G81</f>
        <v>6200000</v>
      </c>
      <c r="I81" s="2252"/>
      <c r="J81" s="2252"/>
      <c r="K81" s="2252"/>
      <c r="L81" s="2254">
        <f>SUM(L80)</f>
        <v>6200000</v>
      </c>
      <c r="M81" s="2254">
        <f>L81</f>
        <v>6200000</v>
      </c>
      <c r="N81" s="2254">
        <f t="shared" ref="N81:N95" si="3">G81-L81</f>
        <v>0</v>
      </c>
      <c r="O81" s="2257"/>
    </row>
    <row r="82" spans="1:15">
      <c r="A82" s="2178">
        <v>10</v>
      </c>
      <c r="B82" s="3162" t="s">
        <v>1394</v>
      </c>
      <c r="C82" s="3163"/>
      <c r="D82" s="2179"/>
      <c r="E82" s="2179"/>
      <c r="F82" s="1782"/>
      <c r="G82" s="1782"/>
      <c r="H82" s="1782"/>
      <c r="I82" s="2179"/>
      <c r="J82" s="2179"/>
      <c r="K82" s="1782"/>
      <c r="L82" s="1782"/>
      <c r="M82" s="1782"/>
      <c r="N82" s="1782">
        <f t="shared" si="3"/>
        <v>0</v>
      </c>
      <c r="O82" s="1182"/>
    </row>
    <row r="83" spans="1:15" ht="15.75">
      <c r="A83" s="2190" t="s">
        <v>1120</v>
      </c>
      <c r="B83" s="3169" t="s">
        <v>1395</v>
      </c>
      <c r="C83" s="3170"/>
      <c r="D83" s="2191">
        <v>11</v>
      </c>
      <c r="E83" s="2192" t="s">
        <v>164</v>
      </c>
      <c r="F83" s="2184">
        <v>500000</v>
      </c>
      <c r="G83" s="1782">
        <f>+F83*D83</f>
        <v>5500000</v>
      </c>
      <c r="H83" s="1782"/>
      <c r="I83" s="2191">
        <v>11</v>
      </c>
      <c r="J83" s="2192" t="s">
        <v>164</v>
      </c>
      <c r="K83" s="2184">
        <v>500000</v>
      </c>
      <c r="L83" s="1782">
        <f>+K83*I83</f>
        <v>5500000</v>
      </c>
      <c r="M83" s="1782"/>
      <c r="N83" s="1782">
        <f t="shared" si="3"/>
        <v>0</v>
      </c>
      <c r="O83" s="1182"/>
    </row>
    <row r="84" spans="1:15" s="2255" customFormat="1">
      <c r="A84" s="3161" t="s">
        <v>1574</v>
      </c>
      <c r="B84" s="3161"/>
      <c r="C84" s="3161"/>
      <c r="D84" s="3161"/>
      <c r="E84" s="3161"/>
      <c r="F84" s="3161"/>
      <c r="G84" s="2251">
        <f>SUM(G83:G83)</f>
        <v>5500000</v>
      </c>
      <c r="H84" s="2256">
        <f>G84</f>
        <v>5500000</v>
      </c>
      <c r="I84" s="2252"/>
      <c r="J84" s="2252"/>
      <c r="K84" s="2252"/>
      <c r="L84" s="2254">
        <f>SUM(L83)</f>
        <v>5500000</v>
      </c>
      <c r="M84" s="2254">
        <f>L84</f>
        <v>5500000</v>
      </c>
      <c r="N84" s="2254">
        <f t="shared" si="3"/>
        <v>0</v>
      </c>
      <c r="O84" s="2257"/>
    </row>
    <row r="85" spans="1:15">
      <c r="A85" s="2178">
        <v>11</v>
      </c>
      <c r="B85" s="3162" t="s">
        <v>916</v>
      </c>
      <c r="C85" s="3163"/>
      <c r="D85" s="2179"/>
      <c r="E85" s="2179"/>
      <c r="F85" s="1782"/>
      <c r="G85" s="1782"/>
      <c r="H85" s="1782"/>
      <c r="I85" s="2179"/>
      <c r="J85" s="2179"/>
      <c r="K85" s="1782"/>
      <c r="L85" s="1782"/>
      <c r="M85" s="1782"/>
      <c r="N85" s="1782">
        <f t="shared" si="3"/>
        <v>0</v>
      </c>
      <c r="O85" s="1182"/>
    </row>
    <row r="86" spans="1:15">
      <c r="A86" s="2241" t="s">
        <v>1156</v>
      </c>
      <c r="B86" s="3203" t="s">
        <v>905</v>
      </c>
      <c r="C86" s="3204"/>
      <c r="D86" s="2242">
        <v>12</v>
      </c>
      <c r="E86" s="2243" t="s">
        <v>173</v>
      </c>
      <c r="F86" s="2243">
        <v>75000</v>
      </c>
      <c r="G86" s="2196">
        <f>D86*F86</f>
        <v>900000</v>
      </c>
      <c r="H86" s="2196"/>
      <c r="I86" s="2242">
        <v>12</v>
      </c>
      <c r="J86" s="2243" t="s">
        <v>173</v>
      </c>
      <c r="K86" s="2243">
        <v>75000</v>
      </c>
      <c r="L86" s="2196">
        <f>I86*K86</f>
        <v>900000</v>
      </c>
      <c r="M86" s="2196"/>
      <c r="N86" s="2196">
        <f t="shared" si="3"/>
        <v>0</v>
      </c>
      <c r="O86" s="1182"/>
    </row>
    <row r="87" spans="1:15">
      <c r="A87" s="2244" t="s">
        <v>1532</v>
      </c>
      <c r="B87" s="3205" t="s">
        <v>906</v>
      </c>
      <c r="C87" s="3206"/>
      <c r="D87" s="2245"/>
      <c r="E87" s="2245" t="s">
        <v>103</v>
      </c>
      <c r="F87" s="2246">
        <v>100000</v>
      </c>
      <c r="G87" s="2200">
        <f>D87*F87</f>
        <v>0</v>
      </c>
      <c r="H87" s="2200"/>
      <c r="I87" s="2245"/>
      <c r="J87" s="2245" t="s">
        <v>1186</v>
      </c>
      <c r="K87" s="2246">
        <v>100000</v>
      </c>
      <c r="L87" s="2200">
        <f>I87*K87</f>
        <v>0</v>
      </c>
      <c r="M87" s="2200"/>
      <c r="N87" s="2200">
        <f t="shared" si="3"/>
        <v>0</v>
      </c>
      <c r="O87" s="1182"/>
    </row>
    <row r="88" spans="1:15">
      <c r="A88" s="2247" t="s">
        <v>1533</v>
      </c>
      <c r="B88" s="3207" t="s">
        <v>1111</v>
      </c>
      <c r="C88" s="3208"/>
      <c r="D88" s="2248">
        <v>1</v>
      </c>
      <c r="E88" s="2249" t="s">
        <v>164</v>
      </c>
      <c r="F88" s="2249">
        <v>276000</v>
      </c>
      <c r="G88" s="2204">
        <f>D88*F88</f>
        <v>276000</v>
      </c>
      <c r="H88" s="2204"/>
      <c r="I88" s="2248">
        <v>1</v>
      </c>
      <c r="J88" s="2249" t="s">
        <v>164</v>
      </c>
      <c r="K88" s="2249">
        <v>276000</v>
      </c>
      <c r="L88" s="2204">
        <f>I88*K88</f>
        <v>276000</v>
      </c>
      <c r="M88" s="2204"/>
      <c r="N88" s="2204">
        <f t="shared" si="3"/>
        <v>0</v>
      </c>
      <c r="O88" s="1182"/>
    </row>
    <row r="89" spans="1:15" s="2255" customFormat="1">
      <c r="A89" s="3161" t="s">
        <v>1575</v>
      </c>
      <c r="B89" s="3161"/>
      <c r="C89" s="3161"/>
      <c r="D89" s="3161"/>
      <c r="E89" s="3161"/>
      <c r="F89" s="3161"/>
      <c r="G89" s="2251">
        <f>SUM(G86:G88)</f>
        <v>1176000</v>
      </c>
      <c r="H89" s="2256">
        <f>G89</f>
        <v>1176000</v>
      </c>
      <c r="I89" s="2252"/>
      <c r="J89" s="2252"/>
      <c r="K89" s="2252"/>
      <c r="L89" s="2254">
        <f>SUM(L86:L88)</f>
        <v>1176000</v>
      </c>
      <c r="M89" s="2254">
        <f>L89</f>
        <v>1176000</v>
      </c>
      <c r="N89" s="2254">
        <f t="shared" si="3"/>
        <v>0</v>
      </c>
    </row>
    <row r="90" spans="1:15">
      <c r="A90" s="2178">
        <v>12</v>
      </c>
      <c r="B90" s="3162" t="s">
        <v>1112</v>
      </c>
      <c r="C90" s="3163"/>
      <c r="D90" s="2179"/>
      <c r="E90" s="2179"/>
      <c r="F90" s="1782"/>
      <c r="G90" s="1782"/>
      <c r="H90" s="1782"/>
      <c r="I90" s="2179"/>
      <c r="J90" s="2179"/>
      <c r="K90" s="1782"/>
      <c r="L90" s="1782"/>
      <c r="M90" s="1782"/>
      <c r="N90" s="1782">
        <f t="shared" si="3"/>
        <v>0</v>
      </c>
    </row>
    <row r="91" spans="1:15">
      <c r="A91" s="2190" t="s">
        <v>1534</v>
      </c>
      <c r="B91" s="3169" t="s">
        <v>1113</v>
      </c>
      <c r="C91" s="3170"/>
      <c r="D91" s="2185">
        <v>1</v>
      </c>
      <c r="E91" s="2186" t="s">
        <v>164</v>
      </c>
      <c r="F91" s="2186">
        <v>1000000</v>
      </c>
      <c r="G91" s="1782">
        <f>D91*F91</f>
        <v>1000000</v>
      </c>
      <c r="H91" s="1782"/>
      <c r="I91" s="2185">
        <v>1</v>
      </c>
      <c r="J91" s="2186" t="s">
        <v>164</v>
      </c>
      <c r="K91" s="2186">
        <v>1000000</v>
      </c>
      <c r="L91" s="1782">
        <f>I91*K91</f>
        <v>1000000</v>
      </c>
      <c r="M91" s="1782"/>
      <c r="N91" s="1782">
        <f t="shared" si="3"/>
        <v>0</v>
      </c>
    </row>
    <row r="92" spans="1:15" s="2255" customFormat="1">
      <c r="A92" s="3161" t="s">
        <v>1576</v>
      </c>
      <c r="B92" s="3161"/>
      <c r="C92" s="3161"/>
      <c r="D92" s="3161"/>
      <c r="E92" s="3161"/>
      <c r="F92" s="3161"/>
      <c r="G92" s="2251">
        <f>SUM(G91)</f>
        <v>1000000</v>
      </c>
      <c r="H92" s="2256">
        <f>G92</f>
        <v>1000000</v>
      </c>
      <c r="I92" s="2252"/>
      <c r="J92" s="2252"/>
      <c r="K92" s="2252"/>
      <c r="L92" s="2254">
        <f>SUM(L91)</f>
        <v>1000000</v>
      </c>
      <c r="M92" s="2254">
        <f>L92</f>
        <v>1000000</v>
      </c>
      <c r="N92" s="2254">
        <f t="shared" si="3"/>
        <v>0</v>
      </c>
    </row>
    <row r="93" spans="1:15">
      <c r="A93" s="2178">
        <v>13</v>
      </c>
      <c r="B93" s="3162" t="s">
        <v>1578</v>
      </c>
      <c r="C93" s="3163"/>
      <c r="D93" s="2179"/>
      <c r="E93" s="2179"/>
      <c r="F93" s="1782"/>
      <c r="G93" s="1782"/>
      <c r="H93" s="1782"/>
      <c r="I93" s="2179"/>
      <c r="J93" s="2179"/>
      <c r="K93" s="1782"/>
      <c r="L93" s="1782"/>
      <c r="M93" s="1782"/>
      <c r="N93" s="1782">
        <f t="shared" si="3"/>
        <v>0</v>
      </c>
    </row>
    <row r="94" spans="1:15">
      <c r="A94" s="2190" t="s">
        <v>1534</v>
      </c>
      <c r="B94" s="3164" t="s">
        <v>1579</v>
      </c>
      <c r="C94" s="3165"/>
      <c r="D94" s="2507"/>
      <c r="E94" s="2508" t="s">
        <v>1158</v>
      </c>
      <c r="F94" s="2508">
        <v>1500000</v>
      </c>
      <c r="G94" s="2509">
        <f>D94*F94</f>
        <v>0</v>
      </c>
      <c r="H94" s="2509"/>
      <c r="I94" s="2507">
        <v>2</v>
      </c>
      <c r="J94" s="2508" t="s">
        <v>1158</v>
      </c>
      <c r="K94" s="2508">
        <v>750000</v>
      </c>
      <c r="L94" s="2509"/>
      <c r="M94" s="2509"/>
      <c r="N94" s="2509">
        <f t="shared" si="3"/>
        <v>0</v>
      </c>
    </row>
    <row r="95" spans="1:15" s="2255" customFormat="1">
      <c r="A95" s="3161" t="s">
        <v>1577</v>
      </c>
      <c r="B95" s="3161"/>
      <c r="C95" s="3161"/>
      <c r="D95" s="3161"/>
      <c r="E95" s="3161"/>
      <c r="F95" s="3161"/>
      <c r="G95" s="2251">
        <f>SUM(G94)</f>
        <v>0</v>
      </c>
      <c r="H95" s="2256">
        <f>G95</f>
        <v>0</v>
      </c>
      <c r="I95" s="2252"/>
      <c r="J95" s="2252"/>
      <c r="K95" s="2252"/>
      <c r="L95" s="2254">
        <f>SUM(L94)</f>
        <v>0</v>
      </c>
      <c r="M95" s="2254">
        <f>L95</f>
        <v>0</v>
      </c>
      <c r="N95" s="2254">
        <f t="shared" si="3"/>
        <v>0</v>
      </c>
    </row>
    <row r="96" spans="1:15" s="2255" customFormat="1">
      <c r="A96" s="3129" t="s">
        <v>131</v>
      </c>
      <c r="B96" s="3129"/>
      <c r="C96" s="3129"/>
      <c r="D96" s="3129"/>
      <c r="E96" s="3129"/>
      <c r="F96" s="3129"/>
      <c r="G96" s="1784"/>
      <c r="H96" s="1784">
        <f>SUM(H47:H95)</f>
        <v>69933500</v>
      </c>
      <c r="I96" s="2252"/>
      <c r="J96" s="2252"/>
      <c r="K96" s="2252"/>
      <c r="L96" s="2252"/>
      <c r="M96" s="2254">
        <f>M47+M50+M57+M64+M69+M75+M78+M81+M84+M89+M95+M61+M92</f>
        <v>60502651</v>
      </c>
      <c r="N96" s="2254">
        <f>H96-M96</f>
        <v>9430849</v>
      </c>
    </row>
    <row r="97" spans="1:15">
      <c r="A97" s="2962"/>
      <c r="B97" s="2962"/>
      <c r="C97" s="2503"/>
      <c r="D97" s="3166"/>
      <c r="E97" s="3166"/>
      <c r="F97" s="3166"/>
      <c r="G97" s="3166"/>
      <c r="H97" s="1785"/>
      <c r="O97" s="345"/>
    </row>
    <row r="98" spans="1:15">
      <c r="A98" s="2962"/>
      <c r="B98" s="2962"/>
      <c r="C98" s="2503"/>
      <c r="D98" s="3166"/>
      <c r="E98" s="3166"/>
      <c r="F98" s="3166"/>
      <c r="G98" s="3166"/>
      <c r="H98" s="1785"/>
    </row>
    <row r="99" spans="1:15">
      <c r="A99" s="2267"/>
      <c r="B99" s="2503"/>
      <c r="C99" s="2503"/>
      <c r="D99" s="2506"/>
      <c r="E99" s="2506"/>
      <c r="F99" s="1787"/>
      <c r="G99" s="1788"/>
    </row>
    <row r="100" spans="1:15">
      <c r="A100" s="2267"/>
      <c r="B100" s="2503"/>
      <c r="C100" s="2503"/>
      <c r="D100" s="2506"/>
      <c r="E100" s="2506"/>
      <c r="F100" s="1788"/>
      <c r="G100" s="1788"/>
      <c r="J100" s="328" t="s">
        <v>21</v>
      </c>
    </row>
    <row r="101" spans="1:15">
      <c r="A101" s="2267"/>
      <c r="B101" s="307"/>
      <c r="C101" s="307"/>
      <c r="D101" s="2506"/>
      <c r="E101" s="2506"/>
      <c r="F101" s="1788"/>
      <c r="G101" s="1788"/>
      <c r="K101" s="328" t="s">
        <v>21</v>
      </c>
    </row>
    <row r="102" spans="1:15">
      <c r="A102" s="2267"/>
      <c r="B102" s="307"/>
      <c r="C102" s="307"/>
      <c r="D102" s="2506"/>
      <c r="E102" s="2506"/>
      <c r="F102" s="1788"/>
      <c r="G102" s="1788"/>
    </row>
    <row r="103" spans="1:15">
      <c r="A103" s="2504"/>
      <c r="B103" s="2504"/>
      <c r="C103" s="2504"/>
      <c r="D103" s="1790"/>
      <c r="E103" s="1790"/>
      <c r="F103" s="1790"/>
      <c r="G103" s="1790"/>
      <c r="H103" s="1791"/>
      <c r="J103" s="345"/>
    </row>
    <row r="104" spans="1:15">
      <c r="A104" s="2267"/>
      <c r="B104" s="2503"/>
      <c r="C104" s="2503"/>
      <c r="D104" s="2506"/>
      <c r="E104" s="2506"/>
      <c r="F104" s="2506"/>
      <c r="G104" s="2506"/>
      <c r="J104" s="341"/>
    </row>
    <row r="105" spans="1:15" ht="15.75">
      <c r="A105" s="2268"/>
      <c r="B105" s="347"/>
      <c r="C105" s="347"/>
      <c r="D105" s="1792"/>
      <c r="E105" s="1793"/>
      <c r="F105" s="1794"/>
      <c r="G105" s="1795"/>
      <c r="J105" s="341"/>
    </row>
    <row r="106" spans="1:15">
      <c r="J106" s="341"/>
    </row>
  </sheetData>
  <mergeCells count="108">
    <mergeCell ref="A98:B98"/>
    <mergeCell ref="D98:G98"/>
    <mergeCell ref="B93:C93"/>
    <mergeCell ref="B94:C94"/>
    <mergeCell ref="A95:F95"/>
    <mergeCell ref="A96:F96"/>
    <mergeCell ref="A97:B97"/>
    <mergeCell ref="D97:G97"/>
    <mergeCell ref="B87:C87"/>
    <mergeCell ref="B88:C88"/>
    <mergeCell ref="A89:F89"/>
    <mergeCell ref="B90:C90"/>
    <mergeCell ref="B91:C91"/>
    <mergeCell ref="A92:F92"/>
    <mergeCell ref="A81:F81"/>
    <mergeCell ref="B82:C82"/>
    <mergeCell ref="B83:C83"/>
    <mergeCell ref="A84:F84"/>
    <mergeCell ref="B85:C85"/>
    <mergeCell ref="B86:C86"/>
    <mergeCell ref="A75:F75"/>
    <mergeCell ref="B76:C76"/>
    <mergeCell ref="B77:C77"/>
    <mergeCell ref="A78:F78"/>
    <mergeCell ref="B79:C79"/>
    <mergeCell ref="B80:C80"/>
    <mergeCell ref="A69:F69"/>
    <mergeCell ref="B70:C70"/>
    <mergeCell ref="B71:C71"/>
    <mergeCell ref="B72:C72"/>
    <mergeCell ref="B73:C73"/>
    <mergeCell ref="B74:C74"/>
    <mergeCell ref="B63:C63"/>
    <mergeCell ref="A64:F64"/>
    <mergeCell ref="B65:C65"/>
    <mergeCell ref="B66:C66"/>
    <mergeCell ref="B67:C67"/>
    <mergeCell ref="B68:C68"/>
    <mergeCell ref="A57:F57"/>
    <mergeCell ref="B58:C58"/>
    <mergeCell ref="B59:C59"/>
    <mergeCell ref="B60:C60"/>
    <mergeCell ref="A61:F61"/>
    <mergeCell ref="B62:C62"/>
    <mergeCell ref="B51:C51"/>
    <mergeCell ref="B52:C52"/>
    <mergeCell ref="B53:C53"/>
    <mergeCell ref="B54:C54"/>
    <mergeCell ref="B55:C55"/>
    <mergeCell ref="B56:C56"/>
    <mergeCell ref="B45:C45"/>
    <mergeCell ref="B46:C46"/>
    <mergeCell ref="A47:F47"/>
    <mergeCell ref="B48:C48"/>
    <mergeCell ref="B49:C49"/>
    <mergeCell ref="A50:F50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B27:C27"/>
    <mergeCell ref="B28:C28"/>
    <mergeCell ref="B29:C29"/>
    <mergeCell ref="B30:C30"/>
    <mergeCell ref="B31:C31"/>
    <mergeCell ref="B32:C32"/>
    <mergeCell ref="B21:C21"/>
    <mergeCell ref="B22:C22"/>
    <mergeCell ref="B23:C23"/>
    <mergeCell ref="B24:C24"/>
    <mergeCell ref="B25:C25"/>
    <mergeCell ref="B26:C26"/>
    <mergeCell ref="B15:C15"/>
    <mergeCell ref="B16:C16"/>
    <mergeCell ref="B17:C17"/>
    <mergeCell ref="B18:C18"/>
    <mergeCell ref="B19:C19"/>
    <mergeCell ref="B20:C20"/>
    <mergeCell ref="N11:N14"/>
    <mergeCell ref="D12:D14"/>
    <mergeCell ref="E12:E14"/>
    <mergeCell ref="F12:F14"/>
    <mergeCell ref="G12:G14"/>
    <mergeCell ref="A1:N1"/>
    <mergeCell ref="A2:N2"/>
    <mergeCell ref="A3:H3"/>
    <mergeCell ref="L6:N7"/>
    <mergeCell ref="A9:B9"/>
    <mergeCell ref="D9:E9"/>
    <mergeCell ref="H12:H14"/>
    <mergeCell ref="I12:I14"/>
    <mergeCell ref="J12:J14"/>
    <mergeCell ref="K12:K14"/>
    <mergeCell ref="L12:L14"/>
    <mergeCell ref="M12:M14"/>
    <mergeCell ref="D10:E10"/>
    <mergeCell ref="A11:A14"/>
    <mergeCell ref="B11:C14"/>
    <mergeCell ref="D11:H11"/>
    <mergeCell ref="I11:M11"/>
  </mergeCells>
  <printOptions horizontalCentered="1"/>
  <pageMargins left="0.7" right="0.7" top="0.75" bottom="0.75" header="0.3" footer="0.3"/>
  <pageSetup paperSize="256" scale="37" fitToHeight="0" orientation="portrait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S106"/>
  <sheetViews>
    <sheetView topLeftCell="A76" zoomScale="85" zoomScaleNormal="85" workbookViewId="0">
      <selection activeCell="N80" sqref="N80"/>
    </sheetView>
  </sheetViews>
  <sheetFormatPr defaultColWidth="9.140625" defaultRowHeight="15"/>
  <cols>
    <col min="1" max="1" width="4.7109375" style="2262" customWidth="1"/>
    <col min="2" max="2" width="52.7109375" style="328" bestFit="1" customWidth="1"/>
    <col min="3" max="3" width="1.85546875" style="328" customWidth="1"/>
    <col min="4" max="4" width="8.28515625" style="1796" customWidth="1"/>
    <col min="5" max="5" width="8.85546875" style="1796" customWidth="1"/>
    <col min="6" max="6" width="12.5703125" style="1789" customWidth="1"/>
    <col min="7" max="7" width="13" style="1789" customWidth="1"/>
    <col min="8" max="8" width="18.7109375" style="1789" customWidth="1"/>
    <col min="9" max="9" width="9.140625" style="328"/>
    <col min="10" max="10" width="10.28515625" style="328" customWidth="1"/>
    <col min="11" max="11" width="18.140625" style="328" customWidth="1"/>
    <col min="12" max="12" width="12" style="328" customWidth="1"/>
    <col min="13" max="14" width="13.28515625" style="328" customWidth="1"/>
    <col min="15" max="15" width="12.140625" style="328" bestFit="1" customWidth="1"/>
    <col min="16" max="16" width="11.5703125" style="328" bestFit="1" customWidth="1"/>
    <col min="17" max="16384" width="9.140625" style="328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260"/>
      <c r="B4" s="277"/>
      <c r="C4" s="277"/>
      <c r="D4" s="1775"/>
      <c r="E4" s="1775"/>
      <c r="F4" s="1776"/>
      <c r="G4" s="1776"/>
      <c r="H4" s="1776"/>
      <c r="K4" s="328" t="s">
        <v>1535</v>
      </c>
      <c r="L4" s="328" t="s">
        <v>1536</v>
      </c>
    </row>
    <row r="5" spans="1:14">
      <c r="A5" s="2260"/>
      <c r="B5" s="279"/>
      <c r="C5" s="279"/>
      <c r="D5" s="1775"/>
      <c r="E5" s="1775"/>
      <c r="F5" s="1777"/>
      <c r="G5" s="1778"/>
      <c r="H5" s="1779"/>
      <c r="K5" s="328" t="s">
        <v>66</v>
      </c>
      <c r="L5" s="328" t="s">
        <v>1526</v>
      </c>
    </row>
    <row r="6" spans="1:14">
      <c r="A6" s="2261"/>
      <c r="B6" s="279"/>
      <c r="C6" s="279"/>
      <c r="D6" s="1775"/>
      <c r="E6" s="1775"/>
      <c r="F6" s="1778"/>
      <c r="G6" s="1780"/>
      <c r="H6" s="1780"/>
      <c r="K6" s="328" t="s">
        <v>96</v>
      </c>
      <c r="L6" s="3171" t="s">
        <v>1537</v>
      </c>
      <c r="M6" s="3171"/>
      <c r="N6" s="3171"/>
    </row>
    <row r="7" spans="1:14">
      <c r="A7" s="2260"/>
      <c r="B7" s="279"/>
      <c r="C7" s="279"/>
      <c r="D7" s="1781"/>
      <c r="E7" s="1775"/>
      <c r="F7" s="1777"/>
      <c r="G7" s="1780"/>
      <c r="H7" s="1780"/>
      <c r="L7" s="3171"/>
      <c r="M7" s="3171"/>
      <c r="N7" s="3171"/>
    </row>
    <row r="8" spans="1:14">
      <c r="D8" s="1775"/>
      <c r="E8" s="1775"/>
      <c r="F8" s="1778"/>
      <c r="G8" s="1780"/>
      <c r="H8" s="1780"/>
    </row>
    <row r="9" spans="1:14">
      <c r="A9" s="2980" t="s">
        <v>110</v>
      </c>
      <c r="B9" s="2980"/>
      <c r="C9" s="2676" t="s">
        <v>46</v>
      </c>
      <c r="D9" s="3168">
        <f>M96</f>
        <v>57143151</v>
      </c>
      <c r="E9" s="3168"/>
      <c r="F9" s="1778"/>
      <c r="G9" s="1778"/>
      <c r="H9" s="1778"/>
    </row>
    <row r="10" spans="1:14">
      <c r="A10" s="2269"/>
      <c r="B10" s="1182"/>
      <c r="C10" s="1182"/>
      <c r="D10" s="3177"/>
      <c r="E10" s="3177"/>
      <c r="F10" s="1778"/>
      <c r="G10" s="1778"/>
      <c r="H10" s="1778"/>
    </row>
    <row r="11" spans="1:14">
      <c r="A11" s="3134" t="s">
        <v>111</v>
      </c>
      <c r="B11" s="3151" t="s">
        <v>1</v>
      </c>
      <c r="C11" s="3152"/>
      <c r="D11" s="3178" t="s">
        <v>1523</v>
      </c>
      <c r="E11" s="3178"/>
      <c r="F11" s="3178"/>
      <c r="G11" s="3178"/>
      <c r="H11" s="3178"/>
      <c r="I11" s="3172" t="s">
        <v>1522</v>
      </c>
      <c r="J11" s="3172"/>
      <c r="K11" s="3172"/>
      <c r="L11" s="3172"/>
      <c r="M11" s="3172"/>
      <c r="N11" s="3173" t="s">
        <v>1531</v>
      </c>
    </row>
    <row r="12" spans="1:14" ht="15" customHeight="1">
      <c r="A12" s="3134"/>
      <c r="B12" s="3153"/>
      <c r="C12" s="3154"/>
      <c r="D12" s="3176" t="s">
        <v>60</v>
      </c>
      <c r="E12" s="3176" t="s">
        <v>97</v>
      </c>
      <c r="F12" s="3176" t="s">
        <v>112</v>
      </c>
      <c r="G12" s="3176" t="s">
        <v>113</v>
      </c>
      <c r="H12" s="3176" t="s">
        <v>114</v>
      </c>
      <c r="I12" s="3176" t="s">
        <v>60</v>
      </c>
      <c r="J12" s="3176" t="s">
        <v>97</v>
      </c>
      <c r="K12" s="3176" t="s">
        <v>112</v>
      </c>
      <c r="L12" s="3176" t="s">
        <v>113</v>
      </c>
      <c r="M12" s="3176" t="s">
        <v>114</v>
      </c>
      <c r="N12" s="3174"/>
    </row>
    <row r="13" spans="1:14">
      <c r="A13" s="3134"/>
      <c r="B13" s="3153"/>
      <c r="C13" s="3154"/>
      <c r="D13" s="3176"/>
      <c r="E13" s="3176"/>
      <c r="F13" s="3176"/>
      <c r="G13" s="3176"/>
      <c r="H13" s="3176"/>
      <c r="I13" s="3176"/>
      <c r="J13" s="3176"/>
      <c r="K13" s="3176"/>
      <c r="L13" s="3176"/>
      <c r="M13" s="3176"/>
      <c r="N13" s="3174"/>
    </row>
    <row r="14" spans="1:14">
      <c r="A14" s="3134"/>
      <c r="B14" s="3155"/>
      <c r="C14" s="3156"/>
      <c r="D14" s="3176"/>
      <c r="E14" s="3176"/>
      <c r="F14" s="3176"/>
      <c r="G14" s="3176"/>
      <c r="H14" s="3176"/>
      <c r="I14" s="3176"/>
      <c r="J14" s="3176"/>
      <c r="K14" s="3176"/>
      <c r="L14" s="3176"/>
      <c r="M14" s="3176"/>
      <c r="N14" s="3175"/>
    </row>
    <row r="15" spans="1:14">
      <c r="A15" s="2178">
        <v>1</v>
      </c>
      <c r="B15" s="3169" t="s">
        <v>832</v>
      </c>
      <c r="C15" s="3170"/>
      <c r="D15" s="2179"/>
      <c r="E15" s="2179"/>
      <c r="F15" s="1782"/>
      <c r="G15" s="2180"/>
      <c r="H15" s="2180"/>
      <c r="I15" s="2179"/>
      <c r="J15" s="2179"/>
      <c r="K15" s="1782"/>
      <c r="L15" s="2180"/>
      <c r="M15" s="2180"/>
      <c r="N15" s="2180"/>
    </row>
    <row r="16" spans="1:14">
      <c r="A16" s="2193" t="s">
        <v>115</v>
      </c>
      <c r="B16" s="3179" t="s">
        <v>132</v>
      </c>
      <c r="C16" s="3180"/>
      <c r="D16" s="2194">
        <v>45</v>
      </c>
      <c r="E16" s="2194" t="s">
        <v>101</v>
      </c>
      <c r="F16" s="2195">
        <v>60000</v>
      </c>
      <c r="G16" s="2196">
        <f>+F16*D16</f>
        <v>2700000</v>
      </c>
      <c r="H16" s="2196"/>
      <c r="I16" s="2194">
        <v>60</v>
      </c>
      <c r="J16" s="2194" t="s">
        <v>101</v>
      </c>
      <c r="K16" s="2195">
        <v>60000</v>
      </c>
      <c r="L16" s="2196">
        <f t="shared" ref="L16:L43" si="0">+K16*I16</f>
        <v>3600000</v>
      </c>
      <c r="M16" s="2196"/>
      <c r="N16" s="2196">
        <f>G16-L16</f>
        <v>-900000</v>
      </c>
    </row>
    <row r="17" spans="1:14">
      <c r="A17" s="2197" t="s">
        <v>117</v>
      </c>
      <c r="B17" s="3159" t="s">
        <v>133</v>
      </c>
      <c r="C17" s="3160"/>
      <c r="D17" s="2198">
        <v>5</v>
      </c>
      <c r="E17" s="2198" t="s">
        <v>101</v>
      </c>
      <c r="F17" s="2199">
        <v>50000</v>
      </c>
      <c r="G17" s="2200">
        <f>+F17*D17</f>
        <v>250000</v>
      </c>
      <c r="H17" s="2200"/>
      <c r="I17" s="2198">
        <v>5</v>
      </c>
      <c r="J17" s="2198" t="s">
        <v>101</v>
      </c>
      <c r="K17" s="2199">
        <v>50000</v>
      </c>
      <c r="L17" s="2200">
        <f t="shared" si="0"/>
        <v>250000</v>
      </c>
      <c r="M17" s="2200"/>
      <c r="N17" s="2200">
        <f t="shared" ref="N17:N79" si="1">G17-L17</f>
        <v>0</v>
      </c>
    </row>
    <row r="18" spans="1:14">
      <c r="A18" s="2197" t="s">
        <v>118</v>
      </c>
      <c r="B18" s="3159" t="s">
        <v>1172</v>
      </c>
      <c r="C18" s="3160"/>
      <c r="D18" s="2198">
        <v>1</v>
      </c>
      <c r="E18" s="2198" t="s">
        <v>101</v>
      </c>
      <c r="F18" s="2199">
        <v>69500</v>
      </c>
      <c r="G18" s="2200">
        <f t="shared" ref="G18:G43" si="2">+F18*D18</f>
        <v>69500</v>
      </c>
      <c r="H18" s="2200"/>
      <c r="I18" s="2198"/>
      <c r="J18" s="2198" t="s">
        <v>101</v>
      </c>
      <c r="K18" s="2199">
        <v>69500</v>
      </c>
      <c r="L18" s="2200">
        <f t="shared" si="0"/>
        <v>0</v>
      </c>
      <c r="M18" s="2200"/>
      <c r="N18" s="2200">
        <f t="shared" si="1"/>
        <v>69500</v>
      </c>
    </row>
    <row r="19" spans="1:14">
      <c r="A19" s="2197" t="s">
        <v>119</v>
      </c>
      <c r="B19" s="3159" t="s">
        <v>1161</v>
      </c>
      <c r="C19" s="3160"/>
      <c r="D19" s="2198">
        <v>2</v>
      </c>
      <c r="E19" s="2198" t="s">
        <v>101</v>
      </c>
      <c r="F19" s="2199">
        <v>65000</v>
      </c>
      <c r="G19" s="2200">
        <f t="shared" si="2"/>
        <v>130000</v>
      </c>
      <c r="H19" s="2200"/>
      <c r="I19" s="2198"/>
      <c r="J19" s="2198" t="s">
        <v>101</v>
      </c>
      <c r="K19" s="2199">
        <v>65000</v>
      </c>
      <c r="L19" s="2200">
        <f t="shared" si="0"/>
        <v>0</v>
      </c>
      <c r="M19" s="2200"/>
      <c r="N19" s="2200">
        <f t="shared" si="1"/>
        <v>130000</v>
      </c>
    </row>
    <row r="20" spans="1:14">
      <c r="A20" s="2197" t="s">
        <v>120</v>
      </c>
      <c r="B20" s="3159" t="s">
        <v>1173</v>
      </c>
      <c r="C20" s="3160"/>
      <c r="D20" s="2198">
        <v>2</v>
      </c>
      <c r="E20" s="2198" t="s">
        <v>101</v>
      </c>
      <c r="F20" s="2199">
        <v>85000</v>
      </c>
      <c r="G20" s="2200">
        <f t="shared" si="2"/>
        <v>170000</v>
      </c>
      <c r="H20" s="2200"/>
      <c r="I20" s="2198"/>
      <c r="J20" s="2198" t="s">
        <v>101</v>
      </c>
      <c r="K20" s="2199">
        <v>85000</v>
      </c>
      <c r="L20" s="2200">
        <f t="shared" si="0"/>
        <v>0</v>
      </c>
      <c r="M20" s="2200"/>
      <c r="N20" s="2200">
        <f t="shared" si="1"/>
        <v>170000</v>
      </c>
    </row>
    <row r="21" spans="1:14">
      <c r="A21" s="2197" t="s">
        <v>134</v>
      </c>
      <c r="B21" s="3159" t="s">
        <v>135</v>
      </c>
      <c r="C21" s="3160"/>
      <c r="D21" s="2471">
        <v>9</v>
      </c>
      <c r="E21" s="2198" t="s">
        <v>1158</v>
      </c>
      <c r="F21" s="2199">
        <v>15000</v>
      </c>
      <c r="G21" s="2200">
        <f t="shared" si="2"/>
        <v>135000</v>
      </c>
      <c r="H21" s="2200"/>
      <c r="I21" s="2471"/>
      <c r="J21" s="2198" t="s">
        <v>1158</v>
      </c>
      <c r="K21" s="2199">
        <v>15000</v>
      </c>
      <c r="L21" s="2200">
        <f t="shared" si="0"/>
        <v>0</v>
      </c>
      <c r="M21" s="2200"/>
      <c r="N21" s="2200">
        <f t="shared" si="1"/>
        <v>135000</v>
      </c>
    </row>
    <row r="22" spans="1:14">
      <c r="A22" s="2197" t="s">
        <v>137</v>
      </c>
      <c r="B22" s="3159" t="s">
        <v>138</v>
      </c>
      <c r="C22" s="3160"/>
      <c r="D22" s="2198">
        <v>31</v>
      </c>
      <c r="E22" s="2198" t="s">
        <v>1158</v>
      </c>
      <c r="F22" s="2199">
        <v>3000</v>
      </c>
      <c r="G22" s="2200">
        <f t="shared" si="2"/>
        <v>93000</v>
      </c>
      <c r="H22" s="2200"/>
      <c r="I22" s="2198"/>
      <c r="J22" s="2198" t="s">
        <v>1158</v>
      </c>
      <c r="K22" s="2199">
        <v>3000</v>
      </c>
      <c r="L22" s="2200">
        <f t="shared" si="0"/>
        <v>0</v>
      </c>
      <c r="M22" s="2200"/>
      <c r="N22" s="2200">
        <f t="shared" si="1"/>
        <v>93000</v>
      </c>
    </row>
    <row r="23" spans="1:14">
      <c r="A23" s="2197" t="s">
        <v>139</v>
      </c>
      <c r="B23" s="3159" t="s">
        <v>918</v>
      </c>
      <c r="C23" s="3160"/>
      <c r="D23" s="2198">
        <v>41</v>
      </c>
      <c r="E23" s="2198" t="s">
        <v>1158</v>
      </c>
      <c r="F23" s="2199">
        <v>8000</v>
      </c>
      <c r="G23" s="2200">
        <f t="shared" si="2"/>
        <v>328000</v>
      </c>
      <c r="H23" s="2200"/>
      <c r="I23" s="2198"/>
      <c r="J23" s="2198" t="s">
        <v>1158</v>
      </c>
      <c r="K23" s="2199">
        <v>8000</v>
      </c>
      <c r="L23" s="2200">
        <f t="shared" si="0"/>
        <v>0</v>
      </c>
      <c r="M23" s="2200"/>
      <c r="N23" s="2200">
        <f t="shared" si="1"/>
        <v>328000</v>
      </c>
    </row>
    <row r="24" spans="1:14">
      <c r="A24" s="2197" t="s">
        <v>140</v>
      </c>
      <c r="B24" s="3159" t="s">
        <v>920</v>
      </c>
      <c r="C24" s="3160"/>
      <c r="D24" s="2472">
        <v>2</v>
      </c>
      <c r="E24" s="2198" t="s">
        <v>1158</v>
      </c>
      <c r="F24" s="2199">
        <v>17500</v>
      </c>
      <c r="G24" s="2200">
        <f t="shared" si="2"/>
        <v>35000</v>
      </c>
      <c r="H24" s="2200"/>
      <c r="I24" s="2472"/>
      <c r="J24" s="2198" t="s">
        <v>1158</v>
      </c>
      <c r="K24" s="2199">
        <v>17500</v>
      </c>
      <c r="L24" s="2200">
        <f t="shared" si="0"/>
        <v>0</v>
      </c>
      <c r="M24" s="2200"/>
      <c r="N24" s="2200">
        <f t="shared" si="1"/>
        <v>35000</v>
      </c>
    </row>
    <row r="25" spans="1:14">
      <c r="A25" s="2197" t="s">
        <v>142</v>
      </c>
      <c r="B25" s="3159" t="s">
        <v>1174</v>
      </c>
      <c r="C25" s="3160"/>
      <c r="D25" s="2198">
        <v>12</v>
      </c>
      <c r="E25" s="2198" t="s">
        <v>1158</v>
      </c>
      <c r="F25" s="2199">
        <v>30000</v>
      </c>
      <c r="G25" s="2200">
        <f t="shared" si="2"/>
        <v>360000</v>
      </c>
      <c r="H25" s="2200"/>
      <c r="I25" s="2198"/>
      <c r="J25" s="2198" t="s">
        <v>1158</v>
      </c>
      <c r="K25" s="2199">
        <v>30000</v>
      </c>
      <c r="L25" s="2200">
        <f t="shared" si="0"/>
        <v>0</v>
      </c>
      <c r="M25" s="2200"/>
      <c r="N25" s="2200">
        <f t="shared" si="1"/>
        <v>360000</v>
      </c>
    </row>
    <row r="26" spans="1:14">
      <c r="A26" s="2197" t="s">
        <v>143</v>
      </c>
      <c r="B26" s="3159" t="s">
        <v>1183</v>
      </c>
      <c r="C26" s="3160"/>
      <c r="D26" s="2198">
        <v>2</v>
      </c>
      <c r="E26" s="2198" t="s">
        <v>1177</v>
      </c>
      <c r="F26" s="2199">
        <v>5000</v>
      </c>
      <c r="G26" s="2200">
        <f t="shared" si="2"/>
        <v>10000</v>
      </c>
      <c r="H26" s="2200"/>
      <c r="I26" s="2198"/>
      <c r="J26" s="2198" t="s">
        <v>1177</v>
      </c>
      <c r="K26" s="2199">
        <v>5000</v>
      </c>
      <c r="L26" s="2200">
        <f t="shared" si="0"/>
        <v>0</v>
      </c>
      <c r="M26" s="2200"/>
      <c r="N26" s="2200">
        <f t="shared" si="1"/>
        <v>10000</v>
      </c>
    </row>
    <row r="27" spans="1:14">
      <c r="A27" s="2197" t="s">
        <v>274</v>
      </c>
      <c r="B27" s="3159" t="s">
        <v>1184</v>
      </c>
      <c r="C27" s="3160"/>
      <c r="D27" s="2198">
        <v>5</v>
      </c>
      <c r="E27" s="2198" t="s">
        <v>1177</v>
      </c>
      <c r="F27" s="2199">
        <v>3000</v>
      </c>
      <c r="G27" s="2200">
        <f t="shared" si="2"/>
        <v>15000</v>
      </c>
      <c r="H27" s="2200"/>
      <c r="I27" s="2198"/>
      <c r="J27" s="2198" t="s">
        <v>1177</v>
      </c>
      <c r="K27" s="2199">
        <v>3000</v>
      </c>
      <c r="L27" s="2200">
        <f t="shared" si="0"/>
        <v>0</v>
      </c>
      <c r="M27" s="2200"/>
      <c r="N27" s="2200">
        <f t="shared" si="1"/>
        <v>15000</v>
      </c>
    </row>
    <row r="28" spans="1:14">
      <c r="A28" s="2197" t="s">
        <v>144</v>
      </c>
      <c r="B28" s="3159" t="s">
        <v>147</v>
      </c>
      <c r="C28" s="3160"/>
      <c r="D28" s="2198">
        <v>5</v>
      </c>
      <c r="E28" s="2198" t="s">
        <v>1177</v>
      </c>
      <c r="F28" s="2199">
        <v>24000</v>
      </c>
      <c r="G28" s="2200">
        <f t="shared" si="2"/>
        <v>120000</v>
      </c>
      <c r="H28" s="2200"/>
      <c r="I28" s="2198"/>
      <c r="J28" s="2198" t="s">
        <v>1177</v>
      </c>
      <c r="K28" s="2199">
        <v>24000</v>
      </c>
      <c r="L28" s="2200">
        <f t="shared" si="0"/>
        <v>0</v>
      </c>
      <c r="M28" s="2200"/>
      <c r="N28" s="2200">
        <f t="shared" si="1"/>
        <v>120000</v>
      </c>
    </row>
    <row r="29" spans="1:14">
      <c r="A29" s="2197" t="s">
        <v>145</v>
      </c>
      <c r="B29" s="3159" t="s">
        <v>1175</v>
      </c>
      <c r="C29" s="3160"/>
      <c r="D29" s="2198">
        <v>2</v>
      </c>
      <c r="E29" s="2198" t="s">
        <v>1177</v>
      </c>
      <c r="F29" s="2199">
        <v>90000</v>
      </c>
      <c r="G29" s="2200">
        <f t="shared" si="2"/>
        <v>180000</v>
      </c>
      <c r="H29" s="2200"/>
      <c r="I29" s="2198"/>
      <c r="J29" s="2198" t="s">
        <v>1177</v>
      </c>
      <c r="K29" s="2199">
        <v>90000</v>
      </c>
      <c r="L29" s="2200">
        <f t="shared" si="0"/>
        <v>0</v>
      </c>
      <c r="M29" s="2200"/>
      <c r="N29" s="2200">
        <f t="shared" si="1"/>
        <v>180000</v>
      </c>
    </row>
    <row r="30" spans="1:14">
      <c r="A30" s="2197" t="s">
        <v>146</v>
      </c>
      <c r="B30" s="3159" t="s">
        <v>1176</v>
      </c>
      <c r="C30" s="3160"/>
      <c r="D30" s="2472">
        <v>5</v>
      </c>
      <c r="E30" s="2198" t="s">
        <v>1177</v>
      </c>
      <c r="F30" s="2199">
        <v>30000</v>
      </c>
      <c r="G30" s="2200">
        <f t="shared" si="2"/>
        <v>150000</v>
      </c>
      <c r="H30" s="2200"/>
      <c r="I30" s="2472"/>
      <c r="J30" s="2198" t="s">
        <v>1177</v>
      </c>
      <c r="K30" s="2199">
        <v>30000</v>
      </c>
      <c r="L30" s="2200">
        <f t="shared" si="0"/>
        <v>0</v>
      </c>
      <c r="M30" s="2200"/>
      <c r="N30" s="2200">
        <f t="shared" si="1"/>
        <v>150000</v>
      </c>
    </row>
    <row r="31" spans="1:14">
      <c r="A31" s="2197" t="s">
        <v>149</v>
      </c>
      <c r="B31" s="3159" t="s">
        <v>922</v>
      </c>
      <c r="C31" s="3160"/>
      <c r="D31" s="2198">
        <v>8</v>
      </c>
      <c r="E31" s="2198" t="s">
        <v>1177</v>
      </c>
      <c r="F31" s="2199">
        <v>15000</v>
      </c>
      <c r="G31" s="2200">
        <f t="shared" si="2"/>
        <v>120000</v>
      </c>
      <c r="H31" s="2200"/>
      <c r="I31" s="2198"/>
      <c r="J31" s="2198" t="s">
        <v>1177</v>
      </c>
      <c r="K31" s="2199">
        <v>15000</v>
      </c>
      <c r="L31" s="2200">
        <f t="shared" si="0"/>
        <v>0</v>
      </c>
      <c r="M31" s="2200"/>
      <c r="N31" s="2200">
        <f t="shared" si="1"/>
        <v>120000</v>
      </c>
    </row>
    <row r="32" spans="1:14">
      <c r="A32" s="2197" t="s">
        <v>150</v>
      </c>
      <c r="B32" s="3159" t="s">
        <v>1162</v>
      </c>
      <c r="C32" s="3160"/>
      <c r="D32" s="2198">
        <v>2</v>
      </c>
      <c r="E32" s="2198" t="s">
        <v>1158</v>
      </c>
      <c r="F32" s="2199">
        <v>25000</v>
      </c>
      <c r="G32" s="2200">
        <f t="shared" si="2"/>
        <v>50000</v>
      </c>
      <c r="H32" s="2200"/>
      <c r="I32" s="2198"/>
      <c r="J32" s="2198" t="s">
        <v>1158</v>
      </c>
      <c r="K32" s="2199">
        <v>25000</v>
      </c>
      <c r="L32" s="2200">
        <f t="shared" si="0"/>
        <v>0</v>
      </c>
      <c r="M32" s="2200"/>
      <c r="N32" s="2200">
        <f t="shared" si="1"/>
        <v>50000</v>
      </c>
    </row>
    <row r="33" spans="1:14">
      <c r="A33" s="2197" t="s">
        <v>151</v>
      </c>
      <c r="B33" s="3159" t="s">
        <v>1164</v>
      </c>
      <c r="C33" s="3160"/>
      <c r="D33" s="2198">
        <v>22</v>
      </c>
      <c r="E33" s="2198" t="s">
        <v>1177</v>
      </c>
      <c r="F33" s="2199">
        <v>6000</v>
      </c>
      <c r="G33" s="2200">
        <f t="shared" si="2"/>
        <v>132000</v>
      </c>
      <c r="H33" s="2200"/>
      <c r="I33" s="2198"/>
      <c r="J33" s="2198" t="s">
        <v>1177</v>
      </c>
      <c r="K33" s="2199">
        <v>6000</v>
      </c>
      <c r="L33" s="2200">
        <f t="shared" si="0"/>
        <v>0</v>
      </c>
      <c r="M33" s="2200"/>
      <c r="N33" s="2200">
        <f t="shared" si="1"/>
        <v>132000</v>
      </c>
    </row>
    <row r="34" spans="1:14">
      <c r="A34" s="2197" t="s">
        <v>284</v>
      </c>
      <c r="B34" s="3159" t="s">
        <v>1163</v>
      </c>
      <c r="C34" s="3160"/>
      <c r="D34" s="2198">
        <v>15</v>
      </c>
      <c r="E34" s="2198" t="s">
        <v>1177</v>
      </c>
      <c r="F34" s="2199">
        <v>16000</v>
      </c>
      <c r="G34" s="2200">
        <f t="shared" si="2"/>
        <v>240000</v>
      </c>
      <c r="H34" s="2200"/>
      <c r="I34" s="2198"/>
      <c r="J34" s="2198" t="s">
        <v>1177</v>
      </c>
      <c r="K34" s="2199">
        <v>16000</v>
      </c>
      <c r="L34" s="2200">
        <f t="shared" si="0"/>
        <v>0</v>
      </c>
      <c r="M34" s="2200"/>
      <c r="N34" s="2200">
        <f t="shared" si="1"/>
        <v>240000</v>
      </c>
    </row>
    <row r="35" spans="1:14">
      <c r="A35" s="2197" t="s">
        <v>152</v>
      </c>
      <c r="B35" s="3159" t="s">
        <v>1165</v>
      </c>
      <c r="C35" s="3160"/>
      <c r="D35" s="2198">
        <v>9</v>
      </c>
      <c r="E35" s="2198" t="s">
        <v>1177</v>
      </c>
      <c r="F35" s="2199">
        <v>25000</v>
      </c>
      <c r="G35" s="2200">
        <f t="shared" si="2"/>
        <v>225000</v>
      </c>
      <c r="H35" s="2200"/>
      <c r="I35" s="2198"/>
      <c r="J35" s="2198" t="s">
        <v>1177</v>
      </c>
      <c r="K35" s="2199">
        <v>25000</v>
      </c>
      <c r="L35" s="2200">
        <f t="shared" si="0"/>
        <v>0</v>
      </c>
      <c r="M35" s="2200"/>
      <c r="N35" s="2200">
        <f t="shared" si="1"/>
        <v>225000</v>
      </c>
    </row>
    <row r="36" spans="1:14">
      <c r="A36" s="2197" t="s">
        <v>153</v>
      </c>
      <c r="B36" s="3159" t="s">
        <v>1166</v>
      </c>
      <c r="C36" s="3160"/>
      <c r="D36" s="2198">
        <v>9</v>
      </c>
      <c r="E36" s="2198" t="s">
        <v>1178</v>
      </c>
      <c r="F36" s="2199">
        <v>90000</v>
      </c>
      <c r="G36" s="2200">
        <f t="shared" si="2"/>
        <v>810000</v>
      </c>
      <c r="H36" s="2200"/>
      <c r="I36" s="2198">
        <v>9</v>
      </c>
      <c r="J36" s="2198" t="s">
        <v>1178</v>
      </c>
      <c r="K36" s="2199">
        <v>90000</v>
      </c>
      <c r="L36" s="2200">
        <f t="shared" si="0"/>
        <v>810000</v>
      </c>
      <c r="M36" s="2200"/>
      <c r="N36" s="2200">
        <f t="shared" si="1"/>
        <v>0</v>
      </c>
    </row>
    <row r="37" spans="1:14">
      <c r="A37" s="2197" t="s">
        <v>154</v>
      </c>
      <c r="B37" s="3159" t="s">
        <v>1167</v>
      </c>
      <c r="C37" s="3160"/>
      <c r="D37" s="2198">
        <v>2</v>
      </c>
      <c r="E37" s="2198" t="s">
        <v>1179</v>
      </c>
      <c r="F37" s="2199">
        <v>140000</v>
      </c>
      <c r="G37" s="2200">
        <f t="shared" si="2"/>
        <v>280000</v>
      </c>
      <c r="H37" s="2200"/>
      <c r="I37" s="2198">
        <v>2</v>
      </c>
      <c r="J37" s="2198" t="s">
        <v>1179</v>
      </c>
      <c r="K37" s="2199">
        <v>140000</v>
      </c>
      <c r="L37" s="2200">
        <f t="shared" si="0"/>
        <v>280000</v>
      </c>
      <c r="M37" s="2200"/>
      <c r="N37" s="2200">
        <f t="shared" si="1"/>
        <v>0</v>
      </c>
    </row>
    <row r="38" spans="1:14">
      <c r="A38" s="2197" t="s">
        <v>155</v>
      </c>
      <c r="B38" s="3159" t="s">
        <v>159</v>
      </c>
      <c r="C38" s="3160"/>
      <c r="D38" s="2198">
        <v>10</v>
      </c>
      <c r="E38" s="2198" t="s">
        <v>1158</v>
      </c>
      <c r="F38" s="2199">
        <v>8000</v>
      </c>
      <c r="G38" s="2200">
        <f t="shared" si="2"/>
        <v>80000</v>
      </c>
      <c r="H38" s="2200"/>
      <c r="I38" s="2198"/>
      <c r="J38" s="2198" t="s">
        <v>1158</v>
      </c>
      <c r="K38" s="2199">
        <v>8000</v>
      </c>
      <c r="L38" s="2200">
        <f t="shared" si="0"/>
        <v>0</v>
      </c>
      <c r="M38" s="2200"/>
      <c r="N38" s="2200">
        <f t="shared" si="1"/>
        <v>80000</v>
      </c>
    </row>
    <row r="39" spans="1:14">
      <c r="A39" s="2197" t="s">
        <v>156</v>
      </c>
      <c r="B39" s="3159" t="s">
        <v>160</v>
      </c>
      <c r="C39" s="3160"/>
      <c r="D39" s="2472">
        <v>10</v>
      </c>
      <c r="E39" s="2198" t="s">
        <v>1158</v>
      </c>
      <c r="F39" s="2199">
        <v>12000</v>
      </c>
      <c r="G39" s="2200">
        <f t="shared" si="2"/>
        <v>120000</v>
      </c>
      <c r="H39" s="2200"/>
      <c r="I39" s="2472"/>
      <c r="J39" s="2198" t="s">
        <v>1158</v>
      </c>
      <c r="K39" s="2199">
        <v>12000</v>
      </c>
      <c r="L39" s="2200">
        <f t="shared" si="0"/>
        <v>0</v>
      </c>
      <c r="M39" s="2200"/>
      <c r="N39" s="2200">
        <f t="shared" si="1"/>
        <v>120000</v>
      </c>
    </row>
    <row r="40" spans="1:14">
      <c r="A40" s="2197" t="s">
        <v>157</v>
      </c>
      <c r="B40" s="3159" t="s">
        <v>1168</v>
      </c>
      <c r="C40" s="3160"/>
      <c r="D40" s="2198">
        <v>9</v>
      </c>
      <c r="E40" s="2198" t="s">
        <v>1158</v>
      </c>
      <c r="F40" s="2199">
        <v>15000</v>
      </c>
      <c r="G40" s="2200">
        <f t="shared" si="2"/>
        <v>135000</v>
      </c>
      <c r="H40" s="2200"/>
      <c r="I40" s="2198"/>
      <c r="J40" s="2198" t="s">
        <v>1158</v>
      </c>
      <c r="K40" s="2199">
        <v>15000</v>
      </c>
      <c r="L40" s="2200">
        <f t="shared" si="0"/>
        <v>0</v>
      </c>
      <c r="M40" s="2200"/>
      <c r="N40" s="2200">
        <f t="shared" si="1"/>
        <v>135000</v>
      </c>
    </row>
    <row r="41" spans="1:14">
      <c r="A41" s="2197" t="s">
        <v>833</v>
      </c>
      <c r="B41" s="3159" t="s">
        <v>1169</v>
      </c>
      <c r="C41" s="3160"/>
      <c r="D41" s="2198">
        <v>4</v>
      </c>
      <c r="E41" s="2198" t="s">
        <v>1158</v>
      </c>
      <c r="F41" s="2199">
        <v>20000</v>
      </c>
      <c r="G41" s="2200">
        <f t="shared" si="2"/>
        <v>80000</v>
      </c>
      <c r="H41" s="2200"/>
      <c r="I41" s="2198"/>
      <c r="J41" s="2198" t="s">
        <v>1158</v>
      </c>
      <c r="K41" s="2199">
        <v>20000</v>
      </c>
      <c r="L41" s="2200">
        <f t="shared" si="0"/>
        <v>0</v>
      </c>
      <c r="M41" s="2200"/>
      <c r="N41" s="2200">
        <f t="shared" si="1"/>
        <v>80000</v>
      </c>
    </row>
    <row r="42" spans="1:14">
      <c r="A42" s="2197" t="s">
        <v>890</v>
      </c>
      <c r="B42" s="3159" t="s">
        <v>1170</v>
      </c>
      <c r="C42" s="3160"/>
      <c r="D42" s="2198">
        <v>20</v>
      </c>
      <c r="E42" s="2198" t="s">
        <v>1158</v>
      </c>
      <c r="F42" s="2199">
        <v>8000</v>
      </c>
      <c r="G42" s="2200">
        <f t="shared" si="2"/>
        <v>160000</v>
      </c>
      <c r="H42" s="2200"/>
      <c r="I42" s="2198"/>
      <c r="J42" s="2198" t="s">
        <v>1158</v>
      </c>
      <c r="K42" s="2199">
        <v>8000</v>
      </c>
      <c r="L42" s="2200">
        <f t="shared" si="0"/>
        <v>0</v>
      </c>
      <c r="M42" s="2200"/>
      <c r="N42" s="2200">
        <f t="shared" si="1"/>
        <v>160000</v>
      </c>
    </row>
    <row r="43" spans="1:14">
      <c r="A43" s="2197" t="s">
        <v>892</v>
      </c>
      <c r="B43" s="3159" t="s">
        <v>907</v>
      </c>
      <c r="C43" s="3160"/>
      <c r="D43" s="2472">
        <v>18</v>
      </c>
      <c r="E43" s="2198" t="s">
        <v>1158</v>
      </c>
      <c r="F43" s="2199">
        <v>40000</v>
      </c>
      <c r="G43" s="2200">
        <f t="shared" si="2"/>
        <v>720000</v>
      </c>
      <c r="H43" s="2200"/>
      <c r="I43" s="2472"/>
      <c r="J43" s="2198" t="s">
        <v>1158</v>
      </c>
      <c r="K43" s="2199">
        <v>40000</v>
      </c>
      <c r="L43" s="2200">
        <f t="shared" si="0"/>
        <v>0</v>
      </c>
      <c r="M43" s="2200"/>
      <c r="N43" s="2200">
        <f t="shared" si="1"/>
        <v>720000</v>
      </c>
    </row>
    <row r="44" spans="1:14">
      <c r="A44" s="2197" t="s">
        <v>893</v>
      </c>
      <c r="B44" s="3159" t="s">
        <v>891</v>
      </c>
      <c r="C44" s="3160"/>
      <c r="D44" s="2198">
        <v>1</v>
      </c>
      <c r="E44" s="2198" t="s">
        <v>1180</v>
      </c>
      <c r="F44" s="2199">
        <v>400000</v>
      </c>
      <c r="G44" s="2200">
        <f>+F44*D44</f>
        <v>400000</v>
      </c>
      <c r="H44" s="2200"/>
      <c r="I44" s="2198">
        <v>1</v>
      </c>
      <c r="J44" s="2198" t="s">
        <v>1180</v>
      </c>
      <c r="K44" s="2199">
        <v>400000</v>
      </c>
      <c r="L44" s="2200">
        <f>+K44*I44</f>
        <v>400000</v>
      </c>
      <c r="M44" s="2200"/>
      <c r="N44" s="2200">
        <f t="shared" si="1"/>
        <v>0</v>
      </c>
    </row>
    <row r="45" spans="1:14">
      <c r="A45" s="2197" t="s">
        <v>908</v>
      </c>
      <c r="B45" s="3159" t="s">
        <v>162</v>
      </c>
      <c r="C45" s="3160"/>
      <c r="D45" s="2198">
        <v>1</v>
      </c>
      <c r="E45" s="2198" t="s">
        <v>1180</v>
      </c>
      <c r="F45" s="2199">
        <v>700000</v>
      </c>
      <c r="G45" s="2200">
        <f>+F45*D45</f>
        <v>700000</v>
      </c>
      <c r="H45" s="2200"/>
      <c r="I45" s="2198">
        <v>1</v>
      </c>
      <c r="J45" s="2198" t="s">
        <v>1180</v>
      </c>
      <c r="K45" s="2199">
        <v>700000</v>
      </c>
      <c r="L45" s="2200">
        <f>+K45*I45</f>
        <v>700000</v>
      </c>
      <c r="M45" s="2200"/>
      <c r="N45" s="2200">
        <f t="shared" si="1"/>
        <v>0</v>
      </c>
    </row>
    <row r="46" spans="1:14">
      <c r="A46" s="2201" t="s">
        <v>1134</v>
      </c>
      <c r="B46" s="3159" t="s">
        <v>1171</v>
      </c>
      <c r="C46" s="3160"/>
      <c r="D46" s="2202">
        <v>1</v>
      </c>
      <c r="E46" s="2202" t="s">
        <v>1158</v>
      </c>
      <c r="F46" s="2203">
        <v>80000</v>
      </c>
      <c r="G46" s="2204">
        <f>+F46*D46</f>
        <v>80000</v>
      </c>
      <c r="H46" s="2204"/>
      <c r="I46" s="2202"/>
      <c r="J46" s="2202" t="s">
        <v>1158</v>
      </c>
      <c r="K46" s="2203">
        <v>80000</v>
      </c>
      <c r="L46" s="2204">
        <f>+K46*I46</f>
        <v>0</v>
      </c>
      <c r="M46" s="2204"/>
      <c r="N46" s="2204">
        <f t="shared" si="1"/>
        <v>80000</v>
      </c>
    </row>
    <row r="47" spans="1:14" s="2255" customFormat="1">
      <c r="A47" s="3161" t="s">
        <v>161</v>
      </c>
      <c r="B47" s="3161"/>
      <c r="C47" s="3161"/>
      <c r="D47" s="3161"/>
      <c r="E47" s="3161"/>
      <c r="F47" s="3161"/>
      <c r="G47" s="2251">
        <f>SUM(G16:G46)</f>
        <v>9077500</v>
      </c>
      <c r="H47" s="2251">
        <f>G47</f>
        <v>9077500</v>
      </c>
      <c r="I47" s="2252"/>
      <c r="J47" s="2253"/>
      <c r="K47" s="2252"/>
      <c r="L47" s="2254">
        <f>SUM(L16:L46)</f>
        <v>6040000</v>
      </c>
      <c r="M47" s="2254">
        <f>L47</f>
        <v>6040000</v>
      </c>
      <c r="N47" s="2254">
        <f>G47-L47</f>
        <v>3037500</v>
      </c>
    </row>
    <row r="48" spans="1:14">
      <c r="A48" s="2178">
        <v>2</v>
      </c>
      <c r="B48" s="3162" t="s">
        <v>913</v>
      </c>
      <c r="C48" s="3163"/>
      <c r="D48" s="2179"/>
      <c r="E48" s="2179"/>
      <c r="F48" s="1782"/>
      <c r="G48" s="1782"/>
      <c r="H48" s="1782"/>
      <c r="I48" s="2179"/>
      <c r="J48" s="2179"/>
      <c r="K48" s="1782"/>
      <c r="L48" s="1782"/>
      <c r="M48" s="1782"/>
      <c r="N48" s="1782">
        <f t="shared" si="1"/>
        <v>0</v>
      </c>
    </row>
    <row r="49" spans="1:16">
      <c r="A49" s="2182" t="s">
        <v>121</v>
      </c>
      <c r="B49" s="3189" t="s">
        <v>1187</v>
      </c>
      <c r="C49" s="3190"/>
      <c r="D49" s="2183">
        <v>3</v>
      </c>
      <c r="E49" s="2183" t="s">
        <v>136</v>
      </c>
      <c r="F49" s="2184">
        <v>80000</v>
      </c>
      <c r="G49" s="1782">
        <f>+F49*D49</f>
        <v>240000</v>
      </c>
      <c r="H49" s="1782"/>
      <c r="I49" s="2183">
        <v>3</v>
      </c>
      <c r="J49" s="2183" t="s">
        <v>136</v>
      </c>
      <c r="K49" s="2184">
        <v>80000</v>
      </c>
      <c r="L49" s="1782">
        <f>+K49*I49</f>
        <v>240000</v>
      </c>
      <c r="M49" s="1782"/>
      <c r="N49" s="1782">
        <f t="shared" si="1"/>
        <v>0</v>
      </c>
    </row>
    <row r="50" spans="1:16" s="2255" customFormat="1">
      <c r="A50" s="3167" t="s">
        <v>163</v>
      </c>
      <c r="B50" s="3167"/>
      <c r="C50" s="3167"/>
      <c r="D50" s="3167"/>
      <c r="E50" s="3167"/>
      <c r="F50" s="3167"/>
      <c r="G50" s="2251">
        <f>SUM(G49:G49)</f>
        <v>240000</v>
      </c>
      <c r="H50" s="2251">
        <f>G50</f>
        <v>240000</v>
      </c>
      <c r="I50" s="2252"/>
      <c r="J50" s="2252"/>
      <c r="K50" s="2252"/>
      <c r="L50" s="2254">
        <f>L49</f>
        <v>240000</v>
      </c>
      <c r="M50" s="2254">
        <f>L50</f>
        <v>240000</v>
      </c>
      <c r="N50" s="2254">
        <f t="shared" si="1"/>
        <v>0</v>
      </c>
    </row>
    <row r="51" spans="1:16">
      <c r="A51" s="2182">
        <v>3</v>
      </c>
      <c r="B51" s="3181" t="s">
        <v>914</v>
      </c>
      <c r="C51" s="3182"/>
      <c r="D51" s="2179"/>
      <c r="E51" s="2179"/>
      <c r="F51" s="1782"/>
      <c r="G51" s="1782"/>
      <c r="H51" s="1782"/>
      <c r="I51" s="2179"/>
      <c r="J51" s="2179"/>
      <c r="K51" s="1782"/>
      <c r="L51" s="1782"/>
      <c r="M51" s="1782"/>
      <c r="N51" s="1782">
        <f t="shared" si="1"/>
        <v>0</v>
      </c>
    </row>
    <row r="52" spans="1:16">
      <c r="A52" s="2205" t="s">
        <v>126</v>
      </c>
      <c r="B52" s="3183" t="s">
        <v>901</v>
      </c>
      <c r="C52" s="3184"/>
      <c r="D52" s="2206">
        <v>2</v>
      </c>
      <c r="E52" s="2207" t="s">
        <v>267</v>
      </c>
      <c r="F52" s="2207">
        <v>35000</v>
      </c>
      <c r="G52" s="2208">
        <f>D52*F52</f>
        <v>70000</v>
      </c>
      <c r="H52" s="2208"/>
      <c r="I52" s="2206">
        <v>2</v>
      </c>
      <c r="J52" s="2207" t="s">
        <v>267</v>
      </c>
      <c r="K52" s="2207">
        <v>35000</v>
      </c>
      <c r="L52" s="2208">
        <f>I52*K52</f>
        <v>70000</v>
      </c>
      <c r="M52" s="2208"/>
      <c r="N52" s="2208">
        <f t="shared" si="1"/>
        <v>0</v>
      </c>
    </row>
    <row r="53" spans="1:16">
      <c r="A53" s="2209" t="s">
        <v>127</v>
      </c>
      <c r="B53" s="3191" t="s">
        <v>902</v>
      </c>
      <c r="C53" s="3192"/>
      <c r="D53" s="2210">
        <v>2</v>
      </c>
      <c r="E53" s="2210" t="s">
        <v>267</v>
      </c>
      <c r="F53" s="2211">
        <v>50000</v>
      </c>
      <c r="G53" s="2212">
        <f>D53*F53</f>
        <v>100000</v>
      </c>
      <c r="H53" s="2212"/>
      <c r="I53" s="2210">
        <v>1</v>
      </c>
      <c r="J53" s="2210" t="s">
        <v>267</v>
      </c>
      <c r="K53" s="2211">
        <v>50000</v>
      </c>
      <c r="L53" s="2212">
        <f>I53*K53</f>
        <v>50000</v>
      </c>
      <c r="M53" s="2212"/>
      <c r="N53" s="2212">
        <f t="shared" si="1"/>
        <v>50000</v>
      </c>
    </row>
    <row r="54" spans="1:16">
      <c r="A54" s="2209" t="s">
        <v>225</v>
      </c>
      <c r="B54" s="3191" t="s">
        <v>1108</v>
      </c>
      <c r="C54" s="3192"/>
      <c r="D54" s="2210">
        <v>2</v>
      </c>
      <c r="E54" s="2210" t="s">
        <v>904</v>
      </c>
      <c r="F54" s="2211">
        <v>20000</v>
      </c>
      <c r="G54" s="2212">
        <f>D54*F54</f>
        <v>40000</v>
      </c>
      <c r="H54" s="2212"/>
      <c r="I54" s="2210">
        <v>4</v>
      </c>
      <c r="J54" s="2210" t="s">
        <v>904</v>
      </c>
      <c r="K54" s="2211">
        <v>20000</v>
      </c>
      <c r="L54" s="2212">
        <f>I54*K54</f>
        <v>80000</v>
      </c>
      <c r="M54" s="2212"/>
      <c r="N54" s="2212">
        <f t="shared" si="1"/>
        <v>-40000</v>
      </c>
    </row>
    <row r="55" spans="1:16">
      <c r="A55" s="2209" t="s">
        <v>226</v>
      </c>
      <c r="B55" s="3191" t="s">
        <v>903</v>
      </c>
      <c r="C55" s="3192"/>
      <c r="D55" s="2210">
        <v>2</v>
      </c>
      <c r="E55" s="2210" t="s">
        <v>267</v>
      </c>
      <c r="F55" s="2211">
        <v>50000</v>
      </c>
      <c r="G55" s="2212">
        <f>D55*F55</f>
        <v>100000</v>
      </c>
      <c r="H55" s="2212"/>
      <c r="I55" s="2210">
        <v>2</v>
      </c>
      <c r="J55" s="2210" t="s">
        <v>267</v>
      </c>
      <c r="K55" s="2211">
        <v>50000</v>
      </c>
      <c r="L55" s="2212">
        <f>I55*K55</f>
        <v>100000</v>
      </c>
      <c r="M55" s="2212"/>
      <c r="N55" s="2212">
        <f t="shared" si="1"/>
        <v>0</v>
      </c>
    </row>
    <row r="56" spans="1:16">
      <c r="A56" s="2213" t="s">
        <v>227</v>
      </c>
      <c r="B56" s="3185" t="s">
        <v>1109</v>
      </c>
      <c r="C56" s="3186"/>
      <c r="D56" s="2214">
        <v>4</v>
      </c>
      <c r="E56" s="2214" t="s">
        <v>904</v>
      </c>
      <c r="F56" s="2215">
        <v>10000</v>
      </c>
      <c r="G56" s="2216">
        <f>D56*F56</f>
        <v>40000</v>
      </c>
      <c r="H56" s="2216"/>
      <c r="I56" s="2214">
        <v>15</v>
      </c>
      <c r="J56" s="2214" t="s">
        <v>904</v>
      </c>
      <c r="K56" s="2215">
        <v>10000</v>
      </c>
      <c r="L56" s="2216">
        <f>I56*K56</f>
        <v>150000</v>
      </c>
      <c r="M56" s="2216"/>
      <c r="N56" s="2216">
        <f t="shared" si="1"/>
        <v>-110000</v>
      </c>
    </row>
    <row r="57" spans="1:16" s="2255" customFormat="1">
      <c r="A57" s="3167" t="s">
        <v>165</v>
      </c>
      <c r="B57" s="3167"/>
      <c r="C57" s="3167"/>
      <c r="D57" s="3167"/>
      <c r="E57" s="3167"/>
      <c r="F57" s="3167"/>
      <c r="G57" s="2251">
        <f>SUM(G52:G56)</f>
        <v>350000</v>
      </c>
      <c r="H57" s="2256">
        <f>G57</f>
        <v>350000</v>
      </c>
      <c r="I57" s="2252"/>
      <c r="J57" s="2252"/>
      <c r="K57" s="2252"/>
      <c r="L57" s="2254">
        <f>SUM(L52:L56)</f>
        <v>450000</v>
      </c>
      <c r="M57" s="2254">
        <f>L57</f>
        <v>450000</v>
      </c>
      <c r="N57" s="2254">
        <f t="shared" si="1"/>
        <v>-100000</v>
      </c>
    </row>
    <row r="58" spans="1:16">
      <c r="A58" s="2182">
        <v>4</v>
      </c>
      <c r="B58" s="3181" t="s">
        <v>915</v>
      </c>
      <c r="C58" s="3182"/>
      <c r="D58" s="2179"/>
      <c r="E58" s="2179"/>
      <c r="F58" s="1782"/>
      <c r="G58" s="1782"/>
      <c r="H58" s="1782"/>
      <c r="I58" s="2179"/>
      <c r="J58" s="2179"/>
      <c r="K58" s="1782"/>
      <c r="L58" s="1782"/>
      <c r="M58" s="1782"/>
      <c r="N58" s="1782">
        <f t="shared" si="1"/>
        <v>0</v>
      </c>
    </row>
    <row r="59" spans="1:16">
      <c r="A59" s="2205" t="s">
        <v>128</v>
      </c>
      <c r="B59" s="3183" t="s">
        <v>1181</v>
      </c>
      <c r="C59" s="3184"/>
      <c r="D59" s="2206">
        <v>40</v>
      </c>
      <c r="E59" s="2206" t="s">
        <v>1110</v>
      </c>
      <c r="F59" s="2207">
        <v>10000</v>
      </c>
      <c r="G59" s="2208">
        <f>+F59*D59</f>
        <v>400000</v>
      </c>
      <c r="H59" s="2208"/>
      <c r="I59" s="2206">
        <v>0</v>
      </c>
      <c r="J59" s="2206" t="s">
        <v>1110</v>
      </c>
      <c r="K59" s="2207">
        <v>10000</v>
      </c>
      <c r="L59" s="2208">
        <f>+K59*I59</f>
        <v>0</v>
      </c>
      <c r="M59" s="2208"/>
      <c r="N59" s="2208">
        <f t="shared" si="1"/>
        <v>400000</v>
      </c>
      <c r="O59" s="1182"/>
      <c r="P59" s="1182"/>
    </row>
    <row r="60" spans="1:16">
      <c r="A60" s="2213" t="s">
        <v>129</v>
      </c>
      <c r="B60" s="3185" t="s">
        <v>1119</v>
      </c>
      <c r="C60" s="3186"/>
      <c r="D60" s="2214">
        <v>10</v>
      </c>
      <c r="E60" s="2214" t="s">
        <v>1110</v>
      </c>
      <c r="F60" s="2215">
        <v>10000</v>
      </c>
      <c r="G60" s="2216">
        <f>+F60*D60</f>
        <v>100000</v>
      </c>
      <c r="H60" s="2216"/>
      <c r="I60" s="2214">
        <v>0</v>
      </c>
      <c r="J60" s="2214" t="s">
        <v>1110</v>
      </c>
      <c r="K60" s="2215">
        <v>10000</v>
      </c>
      <c r="L60" s="2216">
        <f>+K60*I60</f>
        <v>0</v>
      </c>
      <c r="M60" s="2216"/>
      <c r="N60" s="2216">
        <f t="shared" si="1"/>
        <v>100000</v>
      </c>
      <c r="O60" s="1182"/>
      <c r="P60" s="1182"/>
    </row>
    <row r="61" spans="1:16" s="2255" customFormat="1">
      <c r="A61" s="3161" t="s">
        <v>169</v>
      </c>
      <c r="B61" s="3161"/>
      <c r="C61" s="3161"/>
      <c r="D61" s="3161"/>
      <c r="E61" s="3161"/>
      <c r="F61" s="3161"/>
      <c r="G61" s="2251">
        <f>SUM(G59:G60)</f>
        <v>500000</v>
      </c>
      <c r="H61" s="2251">
        <f>G61</f>
        <v>500000</v>
      </c>
      <c r="I61" s="2252"/>
      <c r="J61" s="2252"/>
      <c r="K61" s="2252"/>
      <c r="L61" s="2254">
        <f>SUM(L59:L60)</f>
        <v>0</v>
      </c>
      <c r="M61" s="2254">
        <f>L61</f>
        <v>0</v>
      </c>
      <c r="N61" s="2254">
        <f t="shared" si="1"/>
        <v>500000</v>
      </c>
      <c r="O61" s="2257"/>
      <c r="P61" s="2257"/>
    </row>
    <row r="62" spans="1:16">
      <c r="A62" s="2474">
        <v>5</v>
      </c>
      <c r="B62" s="3187" t="s">
        <v>820</v>
      </c>
      <c r="C62" s="3188"/>
      <c r="D62" s="2475"/>
      <c r="E62" s="2475"/>
      <c r="F62" s="2476"/>
      <c r="G62" s="2476"/>
      <c r="H62" s="2476"/>
      <c r="I62" s="2475"/>
      <c r="J62" s="2475"/>
      <c r="K62" s="2476"/>
      <c r="L62" s="2476"/>
      <c r="M62" s="2476"/>
      <c r="N62" s="2476">
        <f t="shared" si="1"/>
        <v>0</v>
      </c>
      <c r="O62" s="1182"/>
      <c r="P62" s="1182"/>
    </row>
    <row r="63" spans="1:16">
      <c r="A63" s="2178">
        <v>5.0999999999999996</v>
      </c>
      <c r="B63" s="3169" t="s">
        <v>319</v>
      </c>
      <c r="C63" s="3170"/>
      <c r="D63" s="2183">
        <v>1</v>
      </c>
      <c r="E63" s="2183" t="s">
        <v>164</v>
      </c>
      <c r="F63" s="2184">
        <v>4800000</v>
      </c>
      <c r="G63" s="1782">
        <f>F63*D63</f>
        <v>4800000</v>
      </c>
      <c r="H63" s="1782"/>
      <c r="I63" s="2183">
        <v>1</v>
      </c>
      <c r="J63" s="2183" t="s">
        <v>164</v>
      </c>
      <c r="K63" s="2184">
        <f>1436651-859500+600000</f>
        <v>1177151</v>
      </c>
      <c r="L63" s="1782">
        <f>K63*I63</f>
        <v>1177151</v>
      </c>
      <c r="M63" s="1782"/>
      <c r="N63" s="1782">
        <f t="shared" si="1"/>
        <v>3622849</v>
      </c>
      <c r="O63" s="1182"/>
      <c r="P63" s="1182"/>
    </row>
    <row r="64" spans="1:16" s="2255" customFormat="1">
      <c r="A64" s="3161" t="s">
        <v>172</v>
      </c>
      <c r="B64" s="3161"/>
      <c r="C64" s="3161"/>
      <c r="D64" s="3161"/>
      <c r="E64" s="3161"/>
      <c r="F64" s="3161"/>
      <c r="G64" s="2251">
        <f>SUM(G63:G63)</f>
        <v>4800000</v>
      </c>
      <c r="H64" s="2251">
        <f>G64</f>
        <v>4800000</v>
      </c>
      <c r="I64" s="2252"/>
      <c r="J64" s="2252"/>
      <c r="K64" s="2258"/>
      <c r="L64" s="2258">
        <f>L63</f>
        <v>1177151</v>
      </c>
      <c r="M64" s="2258">
        <f>L64</f>
        <v>1177151</v>
      </c>
      <c r="N64" s="2258">
        <f t="shared" si="1"/>
        <v>3622849</v>
      </c>
      <c r="O64" s="2259"/>
      <c r="P64" s="2259"/>
    </row>
    <row r="65" spans="1:19">
      <c r="A65" s="2187">
        <v>6</v>
      </c>
      <c r="B65" s="3199" t="s">
        <v>308</v>
      </c>
      <c r="C65" s="3200"/>
      <c r="D65" s="2183"/>
      <c r="E65" s="2183"/>
      <c r="F65" s="2188"/>
      <c r="G65" s="1782"/>
      <c r="H65" s="1782"/>
      <c r="I65" s="2183"/>
      <c r="J65" s="2183"/>
      <c r="K65" s="2188"/>
      <c r="L65" s="1782"/>
      <c r="M65" s="1782"/>
      <c r="N65" s="1782">
        <f t="shared" si="1"/>
        <v>0</v>
      </c>
      <c r="O65" s="1182"/>
      <c r="P65" s="1182"/>
    </row>
    <row r="66" spans="1:19">
      <c r="A66" s="2217" t="s">
        <v>243</v>
      </c>
      <c r="B66" s="3193" t="s">
        <v>257</v>
      </c>
      <c r="C66" s="3194"/>
      <c r="D66" s="2194">
        <v>45</v>
      </c>
      <c r="E66" s="2194" t="s">
        <v>148</v>
      </c>
      <c r="F66" s="2218">
        <v>7000</v>
      </c>
      <c r="G66" s="2196">
        <f>+F66*D66</f>
        <v>315000</v>
      </c>
      <c r="H66" s="2196"/>
      <c r="I66" s="2194"/>
      <c r="J66" s="2194" t="s">
        <v>148</v>
      </c>
      <c r="K66" s="2218">
        <v>7000</v>
      </c>
      <c r="L66" s="2196">
        <f>+K66*I66</f>
        <v>0</v>
      </c>
      <c r="M66" s="2196"/>
      <c r="N66" s="2196">
        <f t="shared" si="1"/>
        <v>315000</v>
      </c>
      <c r="O66" s="1182"/>
      <c r="P66" s="1182"/>
    </row>
    <row r="67" spans="1:19">
      <c r="A67" s="2219" t="s">
        <v>244</v>
      </c>
      <c r="B67" s="3195" t="s">
        <v>249</v>
      </c>
      <c r="C67" s="3196"/>
      <c r="D67" s="2198">
        <v>45</v>
      </c>
      <c r="E67" s="2198" t="s">
        <v>148</v>
      </c>
      <c r="F67" s="2220">
        <v>20000</v>
      </c>
      <c r="G67" s="2200">
        <f>+F67*D67</f>
        <v>900000</v>
      </c>
      <c r="H67" s="2200"/>
      <c r="I67" s="2198">
        <v>10</v>
      </c>
      <c r="J67" s="2198" t="s">
        <v>148</v>
      </c>
      <c r="K67" s="2220">
        <v>20000</v>
      </c>
      <c r="L67" s="2200">
        <f>+K67*I67</f>
        <v>200000</v>
      </c>
      <c r="M67" s="2200"/>
      <c r="N67" s="2200">
        <f t="shared" si="1"/>
        <v>700000</v>
      </c>
      <c r="O67" s="1182"/>
      <c r="P67" s="1182"/>
    </row>
    <row r="68" spans="1:19">
      <c r="A68" s="2221" t="s">
        <v>245</v>
      </c>
      <c r="B68" s="3201" t="s">
        <v>254</v>
      </c>
      <c r="C68" s="3202"/>
      <c r="D68" s="2202">
        <v>11</v>
      </c>
      <c r="E68" s="2202" t="s">
        <v>255</v>
      </c>
      <c r="F68" s="2222">
        <v>25000</v>
      </c>
      <c r="G68" s="2204">
        <f>+F68*D68</f>
        <v>275000</v>
      </c>
      <c r="H68" s="2204"/>
      <c r="I68" s="2202"/>
      <c r="J68" s="2202" t="s">
        <v>255</v>
      </c>
      <c r="K68" s="2222">
        <v>25000</v>
      </c>
      <c r="L68" s="2204">
        <f>+K68*I68</f>
        <v>0</v>
      </c>
      <c r="M68" s="2204"/>
      <c r="N68" s="2204">
        <f t="shared" si="1"/>
        <v>275000</v>
      </c>
      <c r="O68" s="1182"/>
      <c r="P68" s="1182"/>
    </row>
    <row r="69" spans="1:19" s="2255" customFormat="1">
      <c r="A69" s="3161" t="s">
        <v>585</v>
      </c>
      <c r="B69" s="3161"/>
      <c r="C69" s="3161"/>
      <c r="D69" s="3161"/>
      <c r="E69" s="3161"/>
      <c r="F69" s="3161"/>
      <c r="G69" s="2251">
        <f>SUM(G66:G68)</f>
        <v>1490000</v>
      </c>
      <c r="H69" s="2251">
        <f>G69</f>
        <v>1490000</v>
      </c>
      <c r="I69" s="2252"/>
      <c r="J69" s="2252"/>
      <c r="K69" s="2254"/>
      <c r="L69" s="2254">
        <f>SUM(L66:L68)</f>
        <v>200000</v>
      </c>
      <c r="M69" s="2254">
        <f>L69</f>
        <v>200000</v>
      </c>
      <c r="N69" s="2254">
        <f t="shared" si="1"/>
        <v>1290000</v>
      </c>
      <c r="O69" s="2473"/>
      <c r="P69" s="2257"/>
    </row>
    <row r="70" spans="1:19">
      <c r="A70" s="2181">
        <v>7</v>
      </c>
      <c r="B70" s="3199" t="s">
        <v>570</v>
      </c>
      <c r="C70" s="3200"/>
      <c r="D70" s="2179"/>
      <c r="E70" s="2189"/>
      <c r="F70" s="2189"/>
      <c r="G70" s="1782"/>
      <c r="H70" s="1783"/>
      <c r="I70" s="2179"/>
      <c r="J70" s="2189"/>
      <c r="K70" s="2189"/>
      <c r="L70" s="1782"/>
      <c r="M70" s="1783"/>
      <c r="N70" s="1783">
        <f t="shared" si="1"/>
        <v>0</v>
      </c>
      <c r="O70" s="1182"/>
      <c r="P70" s="1182"/>
    </row>
    <row r="71" spans="1:19">
      <c r="A71" s="2263" t="s">
        <v>242</v>
      </c>
      <c r="B71" s="3193" t="s">
        <v>1133</v>
      </c>
      <c r="C71" s="3194"/>
      <c r="D71" s="2223">
        <f>1*12</f>
        <v>12</v>
      </c>
      <c r="E71" s="2224" t="s">
        <v>1099</v>
      </c>
      <c r="F71" s="2225">
        <v>800000</v>
      </c>
      <c r="G71" s="2196">
        <f t="shared" ref="G71:G74" si="3">D71*F71</f>
        <v>9600000</v>
      </c>
      <c r="H71" s="2226"/>
      <c r="I71" s="2223">
        <f>D71</f>
        <v>12</v>
      </c>
      <c r="J71" s="2224" t="s">
        <v>1099</v>
      </c>
      <c r="K71" s="2225">
        <f>F71</f>
        <v>800000</v>
      </c>
      <c r="L71" s="2196">
        <f t="shared" ref="L71:L74" si="4">I71*K71</f>
        <v>9600000</v>
      </c>
      <c r="M71" s="2226"/>
      <c r="N71" s="2226">
        <f t="shared" si="1"/>
        <v>0</v>
      </c>
      <c r="O71" s="1182"/>
      <c r="P71" s="1182"/>
    </row>
    <row r="72" spans="1:19">
      <c r="A72" s="2264" t="s">
        <v>333</v>
      </c>
      <c r="B72" s="3195" t="s">
        <v>822</v>
      </c>
      <c r="C72" s="3196"/>
      <c r="D72" s="2227">
        <f>1*12</f>
        <v>12</v>
      </c>
      <c r="E72" s="2228" t="s">
        <v>1099</v>
      </c>
      <c r="F72" s="2229">
        <v>500000</v>
      </c>
      <c r="G72" s="2200">
        <f t="shared" si="3"/>
        <v>6000000</v>
      </c>
      <c r="H72" s="2230"/>
      <c r="I72" s="2223">
        <f t="shared" ref="I72:I74" si="5">D72</f>
        <v>12</v>
      </c>
      <c r="J72" s="2228" t="s">
        <v>1099</v>
      </c>
      <c r="K72" s="2225">
        <f t="shared" ref="K72:K74" si="6">F72</f>
        <v>500000</v>
      </c>
      <c r="L72" s="2200">
        <f t="shared" si="4"/>
        <v>6000000</v>
      </c>
      <c r="M72" s="2230"/>
      <c r="N72" s="2230">
        <f t="shared" si="1"/>
        <v>0</v>
      </c>
      <c r="O72" s="1182"/>
      <c r="P72" s="1182"/>
      <c r="S72" s="328">
        <v>4000000</v>
      </c>
    </row>
    <row r="73" spans="1:19">
      <c r="A73" s="2264" t="s">
        <v>1344</v>
      </c>
      <c r="B73" s="3195" t="s">
        <v>180</v>
      </c>
      <c r="C73" s="3196"/>
      <c r="D73" s="2227">
        <f>12*5</f>
        <v>60</v>
      </c>
      <c r="E73" s="2228" t="s">
        <v>1099</v>
      </c>
      <c r="F73" s="2229">
        <v>250000</v>
      </c>
      <c r="G73" s="2200">
        <f t="shared" si="3"/>
        <v>15000000</v>
      </c>
      <c r="H73" s="2230"/>
      <c r="I73" s="2223">
        <f t="shared" si="5"/>
        <v>60</v>
      </c>
      <c r="J73" s="2228" t="s">
        <v>1099</v>
      </c>
      <c r="K73" s="2225">
        <f t="shared" si="6"/>
        <v>250000</v>
      </c>
      <c r="L73" s="2200">
        <f t="shared" si="4"/>
        <v>15000000</v>
      </c>
      <c r="M73" s="2230"/>
      <c r="N73" s="2230">
        <f t="shared" si="1"/>
        <v>0</v>
      </c>
      <c r="O73" s="1182"/>
      <c r="P73" s="1182"/>
      <c r="S73" s="328">
        <f>S72/50000</f>
        <v>80</v>
      </c>
    </row>
    <row r="74" spans="1:19">
      <c r="A74" s="2265" t="s">
        <v>1345</v>
      </c>
      <c r="B74" s="3197" t="s">
        <v>187</v>
      </c>
      <c r="C74" s="3198"/>
      <c r="D74" s="2231">
        <f>1*12</f>
        <v>12</v>
      </c>
      <c r="E74" s="2232" t="s">
        <v>1099</v>
      </c>
      <c r="F74" s="2233">
        <v>250000</v>
      </c>
      <c r="G74" s="2204">
        <f t="shared" si="3"/>
        <v>3000000</v>
      </c>
      <c r="H74" s="2234"/>
      <c r="I74" s="2223">
        <f t="shared" si="5"/>
        <v>12</v>
      </c>
      <c r="J74" s="2232" t="s">
        <v>1099</v>
      </c>
      <c r="K74" s="2225">
        <f t="shared" si="6"/>
        <v>250000</v>
      </c>
      <c r="L74" s="2204">
        <f t="shared" si="4"/>
        <v>3000000</v>
      </c>
      <c r="M74" s="2234"/>
      <c r="N74" s="2234">
        <f t="shared" si="1"/>
        <v>0</v>
      </c>
      <c r="O74" s="1182"/>
      <c r="P74" s="1182"/>
    </row>
    <row r="75" spans="1:19" s="2255" customFormat="1">
      <c r="A75" s="3161" t="s">
        <v>586</v>
      </c>
      <c r="B75" s="3161"/>
      <c r="C75" s="3161"/>
      <c r="D75" s="3161"/>
      <c r="E75" s="3161"/>
      <c r="F75" s="3161"/>
      <c r="G75" s="2251">
        <f>SUM(G71:G74)</f>
        <v>33600000</v>
      </c>
      <c r="H75" s="2256">
        <f>G75</f>
        <v>33600000</v>
      </c>
      <c r="I75" s="2252"/>
      <c r="J75" s="2252"/>
      <c r="K75" s="2252"/>
      <c r="L75" s="2254">
        <f>SUM(L71:L74)</f>
        <v>33600000</v>
      </c>
      <c r="M75" s="2254">
        <f>L75</f>
        <v>33600000</v>
      </c>
      <c r="N75" s="2254">
        <f>G75-L75</f>
        <v>0</v>
      </c>
      <c r="O75" s="2257"/>
      <c r="P75" s="2259"/>
    </row>
    <row r="76" spans="1:19">
      <c r="A76" s="2181">
        <v>8</v>
      </c>
      <c r="B76" s="3162" t="s">
        <v>1182</v>
      </c>
      <c r="C76" s="3163"/>
      <c r="D76" s="2179"/>
      <c r="E76" s="2189"/>
      <c r="F76" s="2189"/>
      <c r="G76" s="1782"/>
      <c r="H76" s="1782"/>
      <c r="I76" s="2179"/>
      <c r="J76" s="2189"/>
      <c r="K76" s="2189"/>
      <c r="L76" s="1782"/>
      <c r="M76" s="1782"/>
      <c r="N76" s="1782">
        <f t="shared" si="1"/>
        <v>0</v>
      </c>
      <c r="O76" s="1182"/>
      <c r="P76" s="1182"/>
    </row>
    <row r="77" spans="1:19">
      <c r="A77" s="2266" t="s">
        <v>216</v>
      </c>
      <c r="B77" s="3162" t="s">
        <v>1155</v>
      </c>
      <c r="C77" s="3163"/>
      <c r="D77" s="2179">
        <v>12</v>
      </c>
      <c r="E77" s="2189" t="s">
        <v>116</v>
      </c>
      <c r="F77" s="2189">
        <v>500000</v>
      </c>
      <c r="G77" s="1782">
        <f>D77*F77</f>
        <v>6000000</v>
      </c>
      <c r="H77" s="1782"/>
      <c r="I77" s="2179">
        <v>12</v>
      </c>
      <c r="J77" s="2189" t="s">
        <v>116</v>
      </c>
      <c r="K77" s="2189">
        <v>500000</v>
      </c>
      <c r="L77" s="1782">
        <f>I77*K77</f>
        <v>6000000</v>
      </c>
      <c r="M77" s="1782"/>
      <c r="N77" s="1782">
        <f t="shared" si="1"/>
        <v>0</v>
      </c>
      <c r="O77" s="1182"/>
      <c r="P77" s="1182"/>
    </row>
    <row r="78" spans="1:19" s="2255" customFormat="1">
      <c r="A78" s="3161" t="s">
        <v>1115</v>
      </c>
      <c r="B78" s="3161"/>
      <c r="C78" s="3161"/>
      <c r="D78" s="3161"/>
      <c r="E78" s="3161"/>
      <c r="F78" s="3161"/>
      <c r="G78" s="2251">
        <f>G77</f>
        <v>6000000</v>
      </c>
      <c r="H78" s="2256">
        <f>G78</f>
        <v>6000000</v>
      </c>
      <c r="I78" s="2252"/>
      <c r="J78" s="2252"/>
      <c r="K78" s="2252"/>
      <c r="L78" s="2254">
        <f>SUM(L77)</f>
        <v>6000000</v>
      </c>
      <c r="M78" s="2254">
        <f>L78</f>
        <v>6000000</v>
      </c>
      <c r="N78" s="2254">
        <f t="shared" si="1"/>
        <v>0</v>
      </c>
      <c r="O78" s="2257"/>
      <c r="P78" s="2257"/>
    </row>
    <row r="79" spans="1:19">
      <c r="A79" s="2235">
        <v>9</v>
      </c>
      <c r="B79" s="3209" t="s">
        <v>195</v>
      </c>
      <c r="C79" s="3210"/>
      <c r="D79" s="2236"/>
      <c r="E79" s="2236"/>
      <c r="F79" s="2208"/>
      <c r="G79" s="2208"/>
      <c r="H79" s="2208"/>
      <c r="I79" s="2236"/>
      <c r="J79" s="2236"/>
      <c r="K79" s="2208"/>
      <c r="L79" s="2208"/>
      <c r="M79" s="2208"/>
      <c r="N79" s="2208">
        <f t="shared" si="1"/>
        <v>0</v>
      </c>
      <c r="O79" s="1182"/>
      <c r="P79" s="1182"/>
    </row>
    <row r="80" spans="1:19" ht="15.75">
      <c r="A80" s="2237" t="s">
        <v>1114</v>
      </c>
      <c r="B80" s="3211" t="s">
        <v>1185</v>
      </c>
      <c r="C80" s="3212"/>
      <c r="D80" s="2238">
        <v>1</v>
      </c>
      <c r="E80" s="2239" t="s">
        <v>164</v>
      </c>
      <c r="F80" s="2240">
        <v>6200000</v>
      </c>
      <c r="G80" s="2212">
        <f>+F80*D80</f>
        <v>6200000</v>
      </c>
      <c r="H80" s="2212"/>
      <c r="I80" s="2238">
        <v>1</v>
      </c>
      <c r="J80" s="2239" t="s">
        <v>164</v>
      </c>
      <c r="K80" s="2240">
        <v>2000000</v>
      </c>
      <c r="L80" s="2212">
        <f>+K80*I80</f>
        <v>2000000</v>
      </c>
      <c r="M80" s="2212"/>
      <c r="N80" s="2212">
        <f t="shared" ref="N80:N95" si="7">G80-L80</f>
        <v>4200000</v>
      </c>
      <c r="O80" s="1183"/>
      <c r="P80" s="1183"/>
    </row>
    <row r="81" spans="1:16" s="2255" customFormat="1">
      <c r="A81" s="3161" t="s">
        <v>1116</v>
      </c>
      <c r="B81" s="3161"/>
      <c r="C81" s="3161"/>
      <c r="D81" s="3161"/>
      <c r="E81" s="3161"/>
      <c r="F81" s="3161"/>
      <c r="G81" s="2251">
        <f>SUM(G80:G80)</f>
        <v>6200000</v>
      </c>
      <c r="H81" s="2256">
        <f>G81</f>
        <v>6200000</v>
      </c>
      <c r="I81" s="2252"/>
      <c r="J81" s="2252"/>
      <c r="K81" s="2252"/>
      <c r="L81" s="2254">
        <f>SUM(L80)</f>
        <v>2000000</v>
      </c>
      <c r="M81" s="2254">
        <f>L81</f>
        <v>2000000</v>
      </c>
      <c r="N81" s="2254">
        <f t="shared" si="7"/>
        <v>4200000</v>
      </c>
      <c r="O81" s="2257"/>
    </row>
    <row r="82" spans="1:16">
      <c r="A82" s="2178">
        <v>10</v>
      </c>
      <c r="B82" s="3162" t="s">
        <v>1394</v>
      </c>
      <c r="C82" s="3163"/>
      <c r="D82" s="2179"/>
      <c r="E82" s="2179"/>
      <c r="F82" s="1782"/>
      <c r="G82" s="1782"/>
      <c r="H82" s="1782"/>
      <c r="I82" s="2179"/>
      <c r="J82" s="2179"/>
      <c r="K82" s="1782"/>
      <c r="L82" s="1782"/>
      <c r="M82" s="1782"/>
      <c r="N82" s="1782">
        <f t="shared" si="7"/>
        <v>0</v>
      </c>
      <c r="O82" s="1182"/>
    </row>
    <row r="83" spans="1:16" ht="15.75">
      <c r="A83" s="2190" t="s">
        <v>1120</v>
      </c>
      <c r="B83" s="3169" t="s">
        <v>1395</v>
      </c>
      <c r="C83" s="3170"/>
      <c r="D83" s="2191">
        <v>11</v>
      </c>
      <c r="E83" s="2192" t="s">
        <v>164</v>
      </c>
      <c r="F83" s="2184">
        <v>500000</v>
      </c>
      <c r="G83" s="1782">
        <f>+F83*D83</f>
        <v>5500000</v>
      </c>
      <c r="H83" s="1782"/>
      <c r="I83" s="2191">
        <v>11</v>
      </c>
      <c r="J83" s="2192" t="s">
        <v>164</v>
      </c>
      <c r="K83" s="2184">
        <v>500000</v>
      </c>
      <c r="L83" s="1782">
        <f>+K83*I83</f>
        <v>5500000</v>
      </c>
      <c r="M83" s="1782"/>
      <c r="N83" s="1782">
        <f t="shared" si="7"/>
        <v>0</v>
      </c>
      <c r="O83" s="1182"/>
    </row>
    <row r="84" spans="1:16" s="2255" customFormat="1">
      <c r="A84" s="3161" t="s">
        <v>1574</v>
      </c>
      <c r="B84" s="3161"/>
      <c r="C84" s="3161"/>
      <c r="D84" s="3161"/>
      <c r="E84" s="3161"/>
      <c r="F84" s="3161"/>
      <c r="G84" s="2251">
        <f>SUM(G83:G83)</f>
        <v>5500000</v>
      </c>
      <c r="H84" s="2256">
        <f>G84</f>
        <v>5500000</v>
      </c>
      <c r="I84" s="2252"/>
      <c r="J84" s="2252"/>
      <c r="K84" s="2252"/>
      <c r="L84" s="2254">
        <f>SUM(L83)</f>
        <v>5500000</v>
      </c>
      <c r="M84" s="2254">
        <f>L84</f>
        <v>5500000</v>
      </c>
      <c r="N84" s="2254">
        <f t="shared" si="7"/>
        <v>0</v>
      </c>
      <c r="O84" s="2257"/>
    </row>
    <row r="85" spans="1:16">
      <c r="A85" s="2178">
        <v>11</v>
      </c>
      <c r="B85" s="3162" t="s">
        <v>916</v>
      </c>
      <c r="C85" s="3163"/>
      <c r="D85" s="2179"/>
      <c r="E85" s="2179"/>
      <c r="F85" s="1782"/>
      <c r="G85" s="1782"/>
      <c r="H85" s="1782"/>
      <c r="I85" s="2179"/>
      <c r="J85" s="2179"/>
      <c r="K85" s="1782"/>
      <c r="L85" s="1782"/>
      <c r="M85" s="1782"/>
      <c r="N85" s="1782">
        <f t="shared" si="7"/>
        <v>0</v>
      </c>
      <c r="O85" s="1182"/>
    </row>
    <row r="86" spans="1:16">
      <c r="A86" s="2241" t="s">
        <v>1156</v>
      </c>
      <c r="B86" s="3203" t="s">
        <v>905</v>
      </c>
      <c r="C86" s="3204"/>
      <c r="D86" s="2242">
        <v>12</v>
      </c>
      <c r="E86" s="2243" t="s">
        <v>173</v>
      </c>
      <c r="F86" s="2243">
        <v>75000</v>
      </c>
      <c r="G86" s="2196">
        <f>D86*F86</f>
        <v>900000</v>
      </c>
      <c r="H86" s="2196"/>
      <c r="I86" s="2242">
        <v>12</v>
      </c>
      <c r="J86" s="2243" t="s">
        <v>173</v>
      </c>
      <c r="K86" s="2243">
        <v>75000</v>
      </c>
      <c r="L86" s="2196">
        <f>I86*K86</f>
        <v>900000</v>
      </c>
      <c r="M86" s="2196"/>
      <c r="N86" s="2196">
        <f t="shared" si="7"/>
        <v>0</v>
      </c>
      <c r="O86" s="1182"/>
    </row>
    <row r="87" spans="1:16">
      <c r="A87" s="2244" t="s">
        <v>1532</v>
      </c>
      <c r="B87" s="3205" t="s">
        <v>906</v>
      </c>
      <c r="C87" s="3206"/>
      <c r="D87" s="2245"/>
      <c r="E87" s="2245" t="s">
        <v>103</v>
      </c>
      <c r="F87" s="2246">
        <v>100000</v>
      </c>
      <c r="G87" s="2200">
        <f>D87*F87</f>
        <v>0</v>
      </c>
      <c r="H87" s="2200"/>
      <c r="I87" s="2245"/>
      <c r="J87" s="2245" t="s">
        <v>1186</v>
      </c>
      <c r="K87" s="2246">
        <v>100000</v>
      </c>
      <c r="L87" s="2200">
        <f>I87*K87</f>
        <v>0</v>
      </c>
      <c r="M87" s="2200"/>
      <c r="N87" s="2200">
        <f t="shared" si="7"/>
        <v>0</v>
      </c>
      <c r="O87" s="1182"/>
    </row>
    <row r="88" spans="1:16">
      <c r="A88" s="2247" t="s">
        <v>1533</v>
      </c>
      <c r="B88" s="3207" t="s">
        <v>1111</v>
      </c>
      <c r="C88" s="3208"/>
      <c r="D88" s="2248">
        <v>1</v>
      </c>
      <c r="E88" s="2249" t="s">
        <v>164</v>
      </c>
      <c r="F88" s="2249">
        <v>276000</v>
      </c>
      <c r="G88" s="2204">
        <f>D88*F88</f>
        <v>276000</v>
      </c>
      <c r="H88" s="2204"/>
      <c r="I88" s="2248">
        <v>1</v>
      </c>
      <c r="J88" s="2249" t="s">
        <v>164</v>
      </c>
      <c r="K88" s="2249">
        <v>276000</v>
      </c>
      <c r="L88" s="2204">
        <f>I88*K88</f>
        <v>276000</v>
      </c>
      <c r="M88" s="2204"/>
      <c r="N88" s="2204">
        <f t="shared" si="7"/>
        <v>0</v>
      </c>
      <c r="O88" s="1182"/>
    </row>
    <row r="89" spans="1:16" s="2255" customFormat="1">
      <c r="A89" s="3161" t="s">
        <v>1575</v>
      </c>
      <c r="B89" s="3161"/>
      <c r="C89" s="3161"/>
      <c r="D89" s="3161"/>
      <c r="E89" s="3161"/>
      <c r="F89" s="3161"/>
      <c r="G89" s="2251">
        <f>SUM(G86:G88)</f>
        <v>1176000</v>
      </c>
      <c r="H89" s="2256">
        <f>G89</f>
        <v>1176000</v>
      </c>
      <c r="I89" s="2252"/>
      <c r="J89" s="2252"/>
      <c r="K89" s="2252"/>
      <c r="L89" s="2254">
        <f>SUM(L86:L88)</f>
        <v>1176000</v>
      </c>
      <c r="M89" s="2254">
        <f>L89</f>
        <v>1176000</v>
      </c>
      <c r="N89" s="2254">
        <f t="shared" si="7"/>
        <v>0</v>
      </c>
    </row>
    <row r="90" spans="1:16">
      <c r="A90" s="2178">
        <v>12</v>
      </c>
      <c r="B90" s="3162" t="s">
        <v>1112</v>
      </c>
      <c r="C90" s="3163"/>
      <c r="D90" s="2179"/>
      <c r="E90" s="2179"/>
      <c r="F90" s="1782"/>
      <c r="G90" s="1782"/>
      <c r="H90" s="1782"/>
      <c r="I90" s="2179"/>
      <c r="J90" s="2179"/>
      <c r="K90" s="1782"/>
      <c r="L90" s="1782"/>
      <c r="M90" s="1782"/>
      <c r="N90" s="1782">
        <f t="shared" si="7"/>
        <v>0</v>
      </c>
    </row>
    <row r="91" spans="1:16">
      <c r="A91" s="2190" t="s">
        <v>1534</v>
      </c>
      <c r="B91" s="3169" t="s">
        <v>1113</v>
      </c>
      <c r="C91" s="3170"/>
      <c r="D91" s="2185">
        <v>1</v>
      </c>
      <c r="E91" s="2186" t="s">
        <v>164</v>
      </c>
      <c r="F91" s="2186">
        <v>1000000</v>
      </c>
      <c r="G91" s="1782">
        <f>D91*F91</f>
        <v>1000000</v>
      </c>
      <c r="H91" s="1782"/>
      <c r="I91" s="2185">
        <v>1</v>
      </c>
      <c r="J91" s="2186" t="s">
        <v>164</v>
      </c>
      <c r="K91" s="2186">
        <v>760000</v>
      </c>
      <c r="L91" s="1782">
        <f>I91*K91</f>
        <v>760000</v>
      </c>
      <c r="M91" s="1782"/>
      <c r="N91" s="1782">
        <f t="shared" si="7"/>
        <v>240000</v>
      </c>
    </row>
    <row r="92" spans="1:16" s="2255" customFormat="1">
      <c r="A92" s="3161" t="s">
        <v>1576</v>
      </c>
      <c r="B92" s="3161"/>
      <c r="C92" s="3161"/>
      <c r="D92" s="3161"/>
      <c r="E92" s="3161"/>
      <c r="F92" s="3161"/>
      <c r="G92" s="2251">
        <f>SUM(G91)</f>
        <v>1000000</v>
      </c>
      <c r="H92" s="2256">
        <f>G92</f>
        <v>1000000</v>
      </c>
      <c r="I92" s="2252"/>
      <c r="J92" s="2252"/>
      <c r="K92" s="2252"/>
      <c r="L92" s="2254">
        <f>SUM(L91)</f>
        <v>760000</v>
      </c>
      <c r="M92" s="2254">
        <f>L92</f>
        <v>760000</v>
      </c>
      <c r="N92" s="2254">
        <f>M92-H92</f>
        <v>-240000</v>
      </c>
    </row>
    <row r="93" spans="1:16">
      <c r="A93" s="2178">
        <v>13</v>
      </c>
      <c r="B93" s="3162" t="s">
        <v>1578</v>
      </c>
      <c r="C93" s="3163"/>
      <c r="D93" s="2179"/>
      <c r="E93" s="2179"/>
      <c r="F93" s="1782"/>
      <c r="G93" s="1782"/>
      <c r="H93" s="1782"/>
      <c r="I93" s="2179"/>
      <c r="J93" s="2179"/>
      <c r="K93" s="1782"/>
      <c r="L93" s="1782"/>
      <c r="M93" s="1782"/>
      <c r="N93" s="1782">
        <f t="shared" ref="N93:N94" si="8">G93-L93</f>
        <v>0</v>
      </c>
    </row>
    <row r="94" spans="1:16">
      <c r="A94" s="2190" t="s">
        <v>1534</v>
      </c>
      <c r="B94" s="3164" t="s">
        <v>1579</v>
      </c>
      <c r="C94" s="3165"/>
      <c r="D94" s="2507"/>
      <c r="E94" s="2508" t="s">
        <v>1158</v>
      </c>
      <c r="F94" s="2508">
        <v>1500000</v>
      </c>
      <c r="G94" s="2509">
        <f>D94*F94</f>
        <v>0</v>
      </c>
      <c r="H94" s="2509"/>
      <c r="I94" s="2507">
        <v>2</v>
      </c>
      <c r="J94" s="2508" t="s">
        <v>1158</v>
      </c>
      <c r="K94" s="2508">
        <v>750000</v>
      </c>
      <c r="L94" s="2509"/>
      <c r="M94" s="2509"/>
      <c r="N94" s="2509">
        <f t="shared" si="8"/>
        <v>0</v>
      </c>
    </row>
    <row r="95" spans="1:16" s="2255" customFormat="1">
      <c r="A95" s="3161" t="s">
        <v>1577</v>
      </c>
      <c r="B95" s="3161"/>
      <c r="C95" s="3161"/>
      <c r="D95" s="3161"/>
      <c r="E95" s="3161"/>
      <c r="F95" s="3161"/>
      <c r="G95" s="2251">
        <f>SUM(G94)</f>
        <v>0</v>
      </c>
      <c r="H95" s="2256">
        <f>G95</f>
        <v>0</v>
      </c>
      <c r="I95" s="2252"/>
      <c r="J95" s="2252"/>
      <c r="K95" s="2252"/>
      <c r="L95" s="2254">
        <f>SUM(L94)</f>
        <v>0</v>
      </c>
      <c r="M95" s="2254">
        <f>L95</f>
        <v>0</v>
      </c>
      <c r="N95" s="2254">
        <f t="shared" si="7"/>
        <v>0</v>
      </c>
    </row>
    <row r="96" spans="1:16" s="2255" customFormat="1">
      <c r="A96" s="3129" t="s">
        <v>131</v>
      </c>
      <c r="B96" s="3129"/>
      <c r="C96" s="3129"/>
      <c r="D96" s="3129"/>
      <c r="E96" s="3129"/>
      <c r="F96" s="3129"/>
      <c r="G96" s="1784"/>
      <c r="H96" s="1784">
        <f>SUM(H47:H95)</f>
        <v>69933500</v>
      </c>
      <c r="I96" s="2252"/>
      <c r="J96" s="2252"/>
      <c r="K96" s="2252"/>
      <c r="L96" s="2252"/>
      <c r="M96" s="2254">
        <f>M47+M50+M57+M64+M69+M75+M78+M81+M84+M89+M95+M61+M92</f>
        <v>57143151</v>
      </c>
      <c r="N96" s="2254">
        <f>H96-M96</f>
        <v>12790349</v>
      </c>
      <c r="P96" s="2713">
        <f>N96+2250000</f>
        <v>15040349</v>
      </c>
    </row>
    <row r="97" spans="1:15">
      <c r="A97" s="2962"/>
      <c r="B97" s="2962"/>
      <c r="C97" s="2674"/>
      <c r="D97" s="3166"/>
      <c r="E97" s="3166"/>
      <c r="F97" s="3166"/>
      <c r="G97" s="3166"/>
      <c r="H97" s="1785"/>
      <c r="O97" s="345"/>
    </row>
    <row r="98" spans="1:15">
      <c r="A98" s="2962"/>
      <c r="B98" s="2962"/>
      <c r="C98" s="2674"/>
      <c r="D98" s="3166"/>
      <c r="E98" s="3166"/>
      <c r="F98" s="3166"/>
      <c r="G98" s="3166"/>
      <c r="H98" s="1785"/>
    </row>
    <row r="99" spans="1:15">
      <c r="A99" s="2267"/>
      <c r="B99" s="2674"/>
      <c r="C99" s="2674"/>
      <c r="D99" s="2677"/>
      <c r="E99" s="2677"/>
      <c r="F99" s="1787"/>
      <c r="G99" s="1788"/>
    </row>
    <row r="100" spans="1:15">
      <c r="A100" s="2267"/>
      <c r="B100" s="2674"/>
      <c r="C100" s="2674"/>
      <c r="D100" s="2677"/>
      <c r="E100" s="2677"/>
      <c r="F100" s="1788"/>
      <c r="G100" s="1788"/>
      <c r="J100" s="328" t="s">
        <v>21</v>
      </c>
    </row>
    <row r="101" spans="1:15">
      <c r="A101" s="2267"/>
      <c r="B101" s="307"/>
      <c r="C101" s="307"/>
      <c r="D101" s="2677"/>
      <c r="E101" s="2677"/>
      <c r="F101" s="1788"/>
      <c r="G101" s="1788">
        <v>60873151</v>
      </c>
      <c r="K101" s="328" t="s">
        <v>21</v>
      </c>
    </row>
    <row r="102" spans="1:15">
      <c r="A102" s="2267"/>
      <c r="B102" s="307"/>
      <c r="C102" s="307"/>
      <c r="D102" s="2677"/>
      <c r="E102" s="2677"/>
      <c r="F102" s="1788"/>
      <c r="G102" s="2529">
        <f>M96-G101</f>
        <v>-3730000</v>
      </c>
    </row>
    <row r="103" spans="1:15">
      <c r="A103" s="2675"/>
      <c r="B103" s="2675"/>
      <c r="C103" s="2675"/>
      <c r="D103" s="1790"/>
      <c r="E103" s="1790"/>
      <c r="F103" s="1790"/>
      <c r="G103" s="1790"/>
      <c r="H103" s="1791"/>
      <c r="J103" s="345"/>
    </row>
    <row r="104" spans="1:15">
      <c r="A104" s="2267"/>
      <c r="B104" s="2674"/>
      <c r="C104" s="2674"/>
      <c r="D104" s="2677"/>
      <c r="E104" s="2677"/>
      <c r="F104" s="2677"/>
      <c r="G104" s="2677"/>
      <c r="J104" s="341"/>
    </row>
    <row r="105" spans="1:15" ht="15.75">
      <c r="A105" s="2268"/>
      <c r="B105" s="347"/>
      <c r="C105" s="347"/>
      <c r="D105" s="1792"/>
      <c r="E105" s="1793"/>
      <c r="F105" s="1794"/>
      <c r="G105" s="1795"/>
      <c r="J105" s="341"/>
    </row>
    <row r="106" spans="1:15">
      <c r="J106" s="341"/>
    </row>
  </sheetData>
  <mergeCells count="108">
    <mergeCell ref="A95:F95"/>
    <mergeCell ref="A96:F96"/>
    <mergeCell ref="A97:B97"/>
    <mergeCell ref="D97:G97"/>
    <mergeCell ref="A98:B98"/>
    <mergeCell ref="D98:G98"/>
    <mergeCell ref="A89:F89"/>
    <mergeCell ref="B90:C90"/>
    <mergeCell ref="B91:C91"/>
    <mergeCell ref="A92:F92"/>
    <mergeCell ref="B93:C93"/>
    <mergeCell ref="B94:C94"/>
    <mergeCell ref="B83:C83"/>
    <mergeCell ref="A84:F84"/>
    <mergeCell ref="B85:C85"/>
    <mergeCell ref="B86:C86"/>
    <mergeCell ref="B87:C87"/>
    <mergeCell ref="B88:C88"/>
    <mergeCell ref="B77:C77"/>
    <mergeCell ref="A78:F78"/>
    <mergeCell ref="B79:C79"/>
    <mergeCell ref="B80:C80"/>
    <mergeCell ref="A81:F81"/>
    <mergeCell ref="B82:C82"/>
    <mergeCell ref="A75:F75"/>
    <mergeCell ref="B76:C76"/>
    <mergeCell ref="A69:F69"/>
    <mergeCell ref="B70:C70"/>
    <mergeCell ref="B71:C71"/>
    <mergeCell ref="B72:C72"/>
    <mergeCell ref="B73:C73"/>
    <mergeCell ref="B74:C74"/>
    <mergeCell ref="B63:C63"/>
    <mergeCell ref="A64:F64"/>
    <mergeCell ref="B65:C65"/>
    <mergeCell ref="B66:C66"/>
    <mergeCell ref="B67:C67"/>
    <mergeCell ref="B68:C68"/>
    <mergeCell ref="A57:F57"/>
    <mergeCell ref="B58:C58"/>
    <mergeCell ref="B59:C59"/>
    <mergeCell ref="B60:C60"/>
    <mergeCell ref="A61:F61"/>
    <mergeCell ref="B62:C62"/>
    <mergeCell ref="B51:C51"/>
    <mergeCell ref="B52:C52"/>
    <mergeCell ref="B53:C53"/>
    <mergeCell ref="B54:C54"/>
    <mergeCell ref="B55:C55"/>
    <mergeCell ref="B56:C56"/>
    <mergeCell ref="B45:C45"/>
    <mergeCell ref="B46:C46"/>
    <mergeCell ref="A47:F47"/>
    <mergeCell ref="B48:C48"/>
    <mergeCell ref="B49:C49"/>
    <mergeCell ref="A50:F50"/>
    <mergeCell ref="B39:C39"/>
    <mergeCell ref="B40:C40"/>
    <mergeCell ref="B41:C41"/>
    <mergeCell ref="B42:C42"/>
    <mergeCell ref="B43:C43"/>
    <mergeCell ref="B44:C44"/>
    <mergeCell ref="B33:C33"/>
    <mergeCell ref="B34:C34"/>
    <mergeCell ref="B35:C35"/>
    <mergeCell ref="B36:C36"/>
    <mergeCell ref="B37:C37"/>
    <mergeCell ref="B38:C38"/>
    <mergeCell ref="B27:C27"/>
    <mergeCell ref="B28:C28"/>
    <mergeCell ref="B29:C29"/>
    <mergeCell ref="B30:C30"/>
    <mergeCell ref="B31:C31"/>
    <mergeCell ref="B32:C32"/>
    <mergeCell ref="B21:C21"/>
    <mergeCell ref="B22:C22"/>
    <mergeCell ref="B23:C23"/>
    <mergeCell ref="B24:C24"/>
    <mergeCell ref="B25:C25"/>
    <mergeCell ref="B26:C26"/>
    <mergeCell ref="B15:C15"/>
    <mergeCell ref="B16:C16"/>
    <mergeCell ref="B17:C17"/>
    <mergeCell ref="B18:C18"/>
    <mergeCell ref="B19:C19"/>
    <mergeCell ref="B20:C20"/>
    <mergeCell ref="N11:N14"/>
    <mergeCell ref="D12:D14"/>
    <mergeCell ref="E12:E14"/>
    <mergeCell ref="F12:F14"/>
    <mergeCell ref="G12:G14"/>
    <mergeCell ref="A1:N1"/>
    <mergeCell ref="A2:N2"/>
    <mergeCell ref="A3:H3"/>
    <mergeCell ref="L6:N7"/>
    <mergeCell ref="A9:B9"/>
    <mergeCell ref="D9:E9"/>
    <mergeCell ref="H12:H14"/>
    <mergeCell ref="I12:I14"/>
    <mergeCell ref="J12:J14"/>
    <mergeCell ref="K12:K14"/>
    <mergeCell ref="L12:L14"/>
    <mergeCell ref="M12:M14"/>
    <mergeCell ref="D10:E10"/>
    <mergeCell ref="A11:A14"/>
    <mergeCell ref="B11:C14"/>
    <mergeCell ref="D11:H11"/>
    <mergeCell ref="I11:M11"/>
  </mergeCells>
  <printOptions horizontalCentered="1"/>
  <pageMargins left="0.7" right="0.7" top="0.75" bottom="0.75" header="0.3" footer="0.3"/>
  <pageSetup paperSize="256" scale="36" fitToHeight="0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32"/>
  <sheetViews>
    <sheetView workbookViewId="0">
      <selection sqref="A1:N1"/>
    </sheetView>
  </sheetViews>
  <sheetFormatPr defaultColWidth="9.140625" defaultRowHeight="15"/>
  <cols>
    <col min="1" max="1" width="4.7109375" style="264" customWidth="1"/>
    <col min="2" max="2" width="46.140625" style="264" customWidth="1"/>
    <col min="3" max="3" width="2.42578125" style="264" customWidth="1"/>
    <col min="4" max="4" width="8.28515625" style="264" customWidth="1"/>
    <col min="5" max="5" width="7.7109375" style="264" customWidth="1"/>
    <col min="6" max="6" width="10.7109375" style="264" customWidth="1"/>
    <col min="7" max="7" width="14" style="264" customWidth="1"/>
    <col min="8" max="8" width="14.5703125" style="264" customWidth="1"/>
    <col min="9" max="10" width="9.140625" style="264"/>
    <col min="11" max="11" width="12.140625" style="264" customWidth="1"/>
    <col min="12" max="12" width="18.42578125" style="264" bestFit="1" customWidth="1"/>
    <col min="13" max="13" width="11.5703125" style="264" bestFit="1" customWidth="1"/>
    <col min="14" max="14" width="11.42578125" style="264" bestFit="1" customWidth="1"/>
    <col min="15" max="15" width="11" style="264" bestFit="1" customWidth="1"/>
    <col min="16" max="17" width="9.140625" style="264"/>
    <col min="18" max="19" width="12" style="264" bestFit="1" customWidth="1"/>
    <col min="20" max="20" width="9.140625" style="264"/>
    <col min="21" max="21" width="12.5703125" style="264" customWidth="1"/>
    <col min="22" max="22" width="13.5703125" style="264" customWidth="1"/>
    <col min="23" max="16384" width="9.140625" style="264"/>
  </cols>
  <sheetData>
    <row r="1" spans="1:25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25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25">
      <c r="A3" s="2961"/>
      <c r="B3" s="2961"/>
      <c r="C3" s="2961"/>
      <c r="D3" s="2961"/>
      <c r="E3" s="2961"/>
      <c r="F3" s="2961"/>
      <c r="G3" s="2961"/>
      <c r="H3" s="2961"/>
    </row>
    <row r="4" spans="1:25">
      <c r="A4" s="276"/>
      <c r="B4" s="277"/>
      <c r="C4" s="277"/>
      <c r="D4" s="277"/>
      <c r="E4" s="277"/>
      <c r="F4" s="277"/>
      <c r="G4" s="277"/>
      <c r="H4" s="277"/>
      <c r="K4" s="2176" t="s">
        <v>1524</v>
      </c>
      <c r="L4" s="2176" t="s">
        <v>1539</v>
      </c>
    </row>
    <row r="5" spans="1:25">
      <c r="A5" s="278"/>
      <c r="B5" s="279"/>
      <c r="C5" s="281"/>
      <c r="D5" s="279"/>
      <c r="E5" s="279"/>
      <c r="F5" s="947"/>
      <c r="G5" s="279"/>
      <c r="K5" s="2176" t="s">
        <v>66</v>
      </c>
      <c r="L5" s="2176" t="s">
        <v>1526</v>
      </c>
    </row>
    <row r="6" spans="1:25">
      <c r="A6" s="617"/>
      <c r="B6" s="279"/>
      <c r="C6" s="281"/>
      <c r="D6" s="351"/>
      <c r="E6" s="351"/>
      <c r="F6" s="279"/>
      <c r="G6" s="351"/>
      <c r="H6" s="351"/>
      <c r="K6" s="2176" t="s">
        <v>96</v>
      </c>
      <c r="L6" s="2176" t="s">
        <v>1540</v>
      </c>
    </row>
    <row r="7" spans="1:25">
      <c r="A7" s="278"/>
      <c r="B7" s="279"/>
      <c r="C7" s="281"/>
      <c r="D7" s="618"/>
      <c r="E7" s="279"/>
      <c r="F7" s="947"/>
      <c r="G7" s="351"/>
      <c r="H7" s="351"/>
    </row>
    <row r="8" spans="1:25" ht="15" customHeight="1">
      <c r="A8" s="278"/>
      <c r="B8" s="279"/>
      <c r="C8" s="281"/>
      <c r="D8" s="279"/>
      <c r="E8" s="279"/>
      <c r="F8" s="279"/>
      <c r="G8" s="351"/>
      <c r="H8" s="351"/>
    </row>
    <row r="9" spans="1:25">
      <c r="A9" s="2980" t="s">
        <v>110</v>
      </c>
      <c r="B9" s="2980"/>
      <c r="C9" s="1199" t="s">
        <v>46</v>
      </c>
      <c r="D9" s="2988">
        <f>H20</f>
        <v>58800000</v>
      </c>
      <c r="E9" s="2988"/>
      <c r="F9" s="2136"/>
      <c r="G9" s="279"/>
      <c r="H9" s="279"/>
    </row>
    <row r="10" spans="1:25">
      <c r="A10" s="3134" t="s">
        <v>111</v>
      </c>
      <c r="B10" s="3134" t="s">
        <v>1</v>
      </c>
      <c r="C10" s="3134"/>
      <c r="D10" s="3214" t="s">
        <v>1523</v>
      </c>
      <c r="E10" s="3215"/>
      <c r="F10" s="3215"/>
      <c r="G10" s="3215"/>
      <c r="H10" s="3215"/>
      <c r="I10" s="3214" t="s">
        <v>1522</v>
      </c>
      <c r="J10" s="3215"/>
      <c r="K10" s="3215"/>
      <c r="L10" s="3215"/>
      <c r="M10" s="3215"/>
      <c r="N10" s="3124" t="s">
        <v>1538</v>
      </c>
    </row>
    <row r="11" spans="1:25" ht="15" customHeight="1">
      <c r="A11" s="3134"/>
      <c r="B11" s="3134"/>
      <c r="C11" s="3134"/>
      <c r="D11" s="3127" t="s">
        <v>60</v>
      </c>
      <c r="E11" s="3127" t="s">
        <v>97</v>
      </c>
      <c r="F11" s="3127" t="s">
        <v>112</v>
      </c>
      <c r="G11" s="3127" t="s">
        <v>113</v>
      </c>
      <c r="H11" s="3127" t="s">
        <v>114</v>
      </c>
      <c r="I11" s="3127" t="s">
        <v>60</v>
      </c>
      <c r="J11" s="3127" t="s">
        <v>97</v>
      </c>
      <c r="K11" s="3127" t="s">
        <v>112</v>
      </c>
      <c r="L11" s="3127" t="s">
        <v>113</v>
      </c>
      <c r="M11" s="3127" t="s">
        <v>114</v>
      </c>
      <c r="N11" s="3124"/>
    </row>
    <row r="12" spans="1:25">
      <c r="A12" s="3134"/>
      <c r="B12" s="3134"/>
      <c r="C12" s="3134"/>
      <c r="D12" s="3127"/>
      <c r="E12" s="3127"/>
      <c r="F12" s="3127"/>
      <c r="G12" s="3127"/>
      <c r="H12" s="3127"/>
      <c r="I12" s="3127"/>
      <c r="J12" s="3127"/>
      <c r="K12" s="3127"/>
      <c r="L12" s="3127"/>
      <c r="M12" s="3127"/>
      <c r="N12" s="3124"/>
    </row>
    <row r="13" spans="1:25">
      <c r="A13" s="3134"/>
      <c r="B13" s="3134"/>
      <c r="C13" s="3134"/>
      <c r="D13" s="3127"/>
      <c r="E13" s="3127"/>
      <c r="F13" s="3127"/>
      <c r="G13" s="3127"/>
      <c r="H13" s="3127"/>
      <c r="I13" s="3127"/>
      <c r="J13" s="3127"/>
      <c r="K13" s="3127"/>
      <c r="L13" s="3127"/>
      <c r="M13" s="3127"/>
      <c r="N13" s="3124"/>
    </row>
    <row r="14" spans="1:25">
      <c r="A14" s="284">
        <v>1</v>
      </c>
      <c r="B14" s="290" t="s">
        <v>14</v>
      </c>
      <c r="C14" s="300"/>
      <c r="D14" s="301"/>
      <c r="E14" s="302"/>
      <c r="F14" s="294"/>
      <c r="G14" s="319"/>
      <c r="H14" s="320"/>
      <c r="I14" s="301"/>
      <c r="J14" s="302"/>
      <c r="K14" s="294"/>
      <c r="L14" s="319"/>
      <c r="M14" s="320"/>
      <c r="N14" s="320"/>
      <c r="O14" s="952"/>
      <c r="P14" s="952"/>
      <c r="Q14" s="952"/>
      <c r="R14" s="952"/>
      <c r="S14" s="952"/>
      <c r="T14" s="952"/>
      <c r="U14" s="952"/>
      <c r="V14" s="952"/>
      <c r="W14" s="910"/>
      <c r="X14" s="910"/>
      <c r="Y14" s="910"/>
    </row>
    <row r="15" spans="1:25">
      <c r="A15" s="289" t="s">
        <v>115</v>
      </c>
      <c r="B15" s="290" t="s">
        <v>211</v>
      </c>
      <c r="C15" s="300"/>
      <c r="D15" s="301">
        <f>1*12</f>
        <v>12</v>
      </c>
      <c r="E15" s="302" t="s">
        <v>116</v>
      </c>
      <c r="F15" s="294">
        <v>1000000</v>
      </c>
      <c r="G15" s="288">
        <f>+F15*D15</f>
        <v>12000000</v>
      </c>
      <c r="H15" s="299"/>
      <c r="I15" s="301">
        <f>1*12</f>
        <v>12</v>
      </c>
      <c r="J15" s="302" t="s">
        <v>116</v>
      </c>
      <c r="K15" s="294">
        <f>F15-100000</f>
        <v>900000</v>
      </c>
      <c r="L15" s="288">
        <f>+K15*I15</f>
        <v>10800000</v>
      </c>
      <c r="M15" s="299"/>
      <c r="N15" s="299">
        <f>G15-L15</f>
        <v>1200000</v>
      </c>
      <c r="O15" s="910"/>
      <c r="P15" s="910"/>
      <c r="Q15" s="910"/>
      <c r="R15" s="910"/>
      <c r="S15" s="910"/>
      <c r="T15" s="910"/>
      <c r="U15" s="910"/>
      <c r="V15" s="910"/>
      <c r="W15" s="910"/>
      <c r="X15" s="910"/>
      <c r="Y15" s="910"/>
    </row>
    <row r="16" spans="1:25">
      <c r="A16" s="289" t="s">
        <v>117</v>
      </c>
      <c r="B16" s="290" t="s">
        <v>212</v>
      </c>
      <c r="C16" s="300"/>
      <c r="D16" s="301">
        <f>1*12</f>
        <v>12</v>
      </c>
      <c r="E16" s="302" t="s">
        <v>116</v>
      </c>
      <c r="F16" s="294">
        <v>800000</v>
      </c>
      <c r="G16" s="294">
        <f>+F16*D16</f>
        <v>9600000</v>
      </c>
      <c r="H16" s="296"/>
      <c r="I16" s="301">
        <f>1*12</f>
        <v>12</v>
      </c>
      <c r="J16" s="302" t="s">
        <v>116</v>
      </c>
      <c r="K16" s="294">
        <f t="shared" ref="K16:K18" si="0">F16-100000</f>
        <v>700000</v>
      </c>
      <c r="L16" s="294">
        <f>+K16*I16</f>
        <v>8400000</v>
      </c>
      <c r="M16" s="299"/>
      <c r="N16" s="299">
        <f t="shared" ref="N16:N18" si="1">G16-L16</f>
        <v>1200000</v>
      </c>
      <c r="O16" s="910"/>
      <c r="P16" s="910"/>
      <c r="Q16" s="910"/>
      <c r="R16" s="910"/>
      <c r="S16" s="910"/>
      <c r="T16" s="910"/>
      <c r="U16" s="910"/>
      <c r="V16" s="910"/>
      <c r="W16" s="910"/>
      <c r="X16" s="910"/>
      <c r="Y16" s="910"/>
    </row>
    <row r="17" spans="1:25">
      <c r="A17" s="289" t="s">
        <v>118</v>
      </c>
      <c r="B17" s="290" t="s">
        <v>213</v>
      </c>
      <c r="C17" s="300"/>
      <c r="D17" s="301">
        <f>1*12</f>
        <v>12</v>
      </c>
      <c r="E17" s="302" t="s">
        <v>116</v>
      </c>
      <c r="F17" s="294">
        <v>700000</v>
      </c>
      <c r="G17" s="294">
        <f>+F17*D17</f>
        <v>8400000</v>
      </c>
      <c r="H17" s="296"/>
      <c r="I17" s="301">
        <f>1*12</f>
        <v>12</v>
      </c>
      <c r="J17" s="302" t="s">
        <v>116</v>
      </c>
      <c r="K17" s="294">
        <f t="shared" si="0"/>
        <v>600000</v>
      </c>
      <c r="L17" s="294">
        <f>+K17*I17</f>
        <v>7200000</v>
      </c>
      <c r="M17" s="299"/>
      <c r="N17" s="299">
        <f t="shared" si="1"/>
        <v>1200000</v>
      </c>
      <c r="O17" s="910"/>
      <c r="P17" s="910"/>
      <c r="Q17" s="910"/>
      <c r="R17" s="910"/>
      <c r="S17" s="910"/>
      <c r="T17" s="910"/>
      <c r="U17" s="910"/>
      <c r="V17" s="910"/>
      <c r="W17" s="910"/>
      <c r="X17" s="910"/>
      <c r="Y17" s="910"/>
    </row>
    <row r="18" spans="1:25">
      <c r="A18" s="289" t="s">
        <v>119</v>
      </c>
      <c r="B18" s="290" t="s">
        <v>214</v>
      </c>
      <c r="C18" s="300"/>
      <c r="D18" s="301">
        <f>4*12</f>
        <v>48</v>
      </c>
      <c r="E18" s="302" t="s">
        <v>116</v>
      </c>
      <c r="F18" s="294">
        <v>600000</v>
      </c>
      <c r="G18" s="323">
        <f>F18*D18</f>
        <v>28800000</v>
      </c>
      <c r="H18" s="301"/>
      <c r="I18" s="301">
        <f>4*12</f>
        <v>48</v>
      </c>
      <c r="J18" s="302" t="s">
        <v>116</v>
      </c>
      <c r="K18" s="294">
        <f t="shared" si="0"/>
        <v>500000</v>
      </c>
      <c r="L18" s="323">
        <f>K18*I18</f>
        <v>24000000</v>
      </c>
      <c r="M18" s="299"/>
      <c r="N18" s="299">
        <f t="shared" si="1"/>
        <v>4800000</v>
      </c>
      <c r="O18" s="910"/>
      <c r="P18" s="910"/>
      <c r="Q18" s="910"/>
      <c r="R18" s="910"/>
      <c r="S18" s="910"/>
      <c r="T18" s="910"/>
      <c r="U18" s="910"/>
      <c r="V18" s="910"/>
      <c r="W18" s="910"/>
      <c r="X18" s="910"/>
      <c r="Y18" s="910"/>
    </row>
    <row r="19" spans="1:25" s="1991" customFormat="1">
      <c r="A19" s="3157" t="s">
        <v>98</v>
      </c>
      <c r="B19" s="3158"/>
      <c r="C19" s="3158"/>
      <c r="D19" s="3158"/>
      <c r="E19" s="3158"/>
      <c r="F19" s="3213"/>
      <c r="G19" s="1992">
        <f>SUM(G15:G18)</f>
        <v>58800000</v>
      </c>
      <c r="H19" s="673">
        <f>G19</f>
        <v>58800000</v>
      </c>
      <c r="I19" s="2147"/>
      <c r="J19" s="2151"/>
      <c r="K19" s="2151"/>
      <c r="L19" s="2148">
        <f>SUM(L15:L18)</f>
        <v>50400000</v>
      </c>
      <c r="M19" s="2148">
        <f>L19</f>
        <v>50400000</v>
      </c>
      <c r="N19" s="2148">
        <f>H19-M19</f>
        <v>8400000</v>
      </c>
      <c r="O19" s="2169"/>
      <c r="P19" s="2169"/>
      <c r="Q19" s="2169"/>
      <c r="R19" s="2169"/>
      <c r="S19" s="2169"/>
      <c r="T19" s="2169"/>
      <c r="U19" s="2169"/>
      <c r="V19" s="2169"/>
      <c r="W19" s="2169"/>
      <c r="X19" s="2169"/>
      <c r="Y19" s="2169"/>
    </row>
    <row r="20" spans="1:25" s="1991" customFormat="1">
      <c r="A20" s="3157" t="s">
        <v>131</v>
      </c>
      <c r="B20" s="3158"/>
      <c r="C20" s="3158"/>
      <c r="D20" s="3158"/>
      <c r="E20" s="3158"/>
      <c r="F20" s="3158"/>
      <c r="G20" s="303">
        <f>G19</f>
        <v>58800000</v>
      </c>
      <c r="H20" s="303">
        <f>SUM(H14:H19)</f>
        <v>58800000</v>
      </c>
      <c r="I20" s="2147"/>
      <c r="J20" s="2151"/>
      <c r="K20" s="2149"/>
      <c r="L20" s="2148"/>
      <c r="M20" s="2148">
        <f>L19</f>
        <v>50400000</v>
      </c>
      <c r="N20" s="2148">
        <f>N19</f>
        <v>8400000</v>
      </c>
      <c r="O20" s="2169"/>
      <c r="P20" s="2169"/>
      <c r="Q20" s="2169"/>
      <c r="R20" s="2169"/>
      <c r="S20" s="2169"/>
      <c r="T20" s="2169"/>
      <c r="U20" s="2169"/>
      <c r="V20" s="2169"/>
      <c r="W20" s="2169"/>
      <c r="X20" s="2169"/>
      <c r="Y20" s="2169"/>
    </row>
    <row r="21" spans="1:25">
      <c r="A21" s="280"/>
      <c r="B21" s="304"/>
      <c r="C21" s="304"/>
      <c r="D21" s="304"/>
      <c r="E21" s="304"/>
      <c r="F21" s="304"/>
      <c r="G21" s="304"/>
      <c r="J21" s="910"/>
      <c r="K21" s="951"/>
      <c r="L21" s="951"/>
      <c r="M21" s="910"/>
      <c r="N21" s="910"/>
      <c r="O21" s="910"/>
      <c r="P21" s="910"/>
      <c r="Q21" s="910"/>
      <c r="R21" s="910"/>
      <c r="S21" s="910"/>
      <c r="T21" s="910"/>
      <c r="U21" s="910"/>
      <c r="V21" s="910"/>
      <c r="W21" s="910"/>
      <c r="X21" s="910"/>
      <c r="Y21" s="910"/>
    </row>
    <row r="22" spans="1:25">
      <c r="A22" s="327"/>
      <c r="B22" s="263"/>
      <c r="C22" s="263"/>
      <c r="D22" s="263"/>
      <c r="E22" s="263"/>
      <c r="F22" s="263"/>
      <c r="G22" s="263"/>
      <c r="H22" s="328"/>
      <c r="J22" s="910"/>
      <c r="K22" s="951"/>
      <c r="L22" s="951"/>
      <c r="M22" s="910"/>
      <c r="N22" s="910"/>
      <c r="O22" s="910"/>
      <c r="P22" s="910"/>
      <c r="Q22" s="910"/>
      <c r="R22" s="910"/>
      <c r="S22" s="910"/>
      <c r="T22" s="910"/>
      <c r="U22" s="910"/>
      <c r="V22" s="910"/>
      <c r="W22" s="910"/>
      <c r="X22" s="910"/>
      <c r="Y22" s="910"/>
    </row>
    <row r="23" spans="1:25">
      <c r="A23" s="2962"/>
      <c r="B23" s="2962"/>
      <c r="C23" s="949"/>
      <c r="D23" s="2962"/>
      <c r="E23" s="2962"/>
      <c r="F23" s="2962"/>
      <c r="G23" s="2962"/>
      <c r="H23" s="275"/>
      <c r="J23" s="910"/>
      <c r="K23" s="910"/>
      <c r="L23" s="910"/>
      <c r="M23" s="910"/>
      <c r="N23" s="910"/>
      <c r="O23" s="910"/>
      <c r="P23" s="910"/>
      <c r="Q23" s="910"/>
      <c r="R23" s="910"/>
      <c r="S23" s="910"/>
      <c r="T23" s="910"/>
      <c r="U23" s="910"/>
      <c r="V23" s="910"/>
      <c r="W23" s="910"/>
      <c r="X23" s="910"/>
      <c r="Y23" s="910"/>
    </row>
    <row r="24" spans="1:25">
      <c r="A24" s="2962"/>
      <c r="B24" s="2962"/>
      <c r="C24" s="949"/>
      <c r="D24" s="2962"/>
      <c r="E24" s="2962"/>
      <c r="F24" s="2962"/>
      <c r="G24" s="2962"/>
      <c r="H24" s="275"/>
      <c r="L24" s="264" t="s">
        <v>21</v>
      </c>
    </row>
    <row r="25" spans="1:25">
      <c r="A25" s="306"/>
      <c r="B25" s="949"/>
      <c r="C25" s="949"/>
      <c r="D25" s="307"/>
      <c r="E25" s="308"/>
      <c r="F25" s="953"/>
      <c r="G25" s="308"/>
      <c r="H25" s="328"/>
    </row>
    <row r="26" spans="1:25">
      <c r="A26" s="306"/>
      <c r="B26" s="949"/>
      <c r="C26" s="949"/>
      <c r="D26" s="949"/>
      <c r="E26" s="308"/>
      <c r="F26" s="308"/>
      <c r="G26" s="308"/>
      <c r="H26" s="328"/>
    </row>
    <row r="27" spans="1:25">
      <c r="A27" s="306"/>
      <c r="B27" s="307"/>
      <c r="C27" s="307"/>
      <c r="D27" s="308"/>
      <c r="E27" s="308"/>
      <c r="F27" s="308"/>
      <c r="G27" s="308"/>
      <c r="H27" s="328"/>
    </row>
    <row r="28" spans="1:25">
      <c r="A28" s="306"/>
      <c r="B28" s="307"/>
      <c r="C28" s="307"/>
      <c r="D28" s="308"/>
      <c r="E28" s="308"/>
      <c r="F28" s="308"/>
      <c r="G28" s="308"/>
      <c r="H28" s="328"/>
    </row>
    <row r="29" spans="1:25">
      <c r="A29" s="2963"/>
      <c r="B29" s="2963"/>
      <c r="C29" s="950"/>
      <c r="D29" s="2963"/>
      <c r="E29" s="2963"/>
      <c r="F29" s="2963"/>
      <c r="G29" s="2963"/>
      <c r="H29" s="432"/>
    </row>
    <row r="30" spans="1:25">
      <c r="A30" s="306"/>
      <c r="B30" s="949"/>
      <c r="C30" s="949"/>
      <c r="D30" s="2962"/>
      <c r="E30" s="2962"/>
      <c r="F30" s="2962"/>
      <c r="G30" s="2962"/>
      <c r="H30" s="328"/>
      <c r="L30" s="264" t="s">
        <v>21</v>
      </c>
    </row>
    <row r="32" spans="1:25">
      <c r="M32" s="264" t="s">
        <v>21</v>
      </c>
    </row>
  </sheetData>
  <customSheetViews>
    <customSheetView guid="{0F09EDAE-127A-4543-88A5-04139BD32AD8}" showPageBreaks="1" printArea="1">
      <selection activeCell="H32" sqref="A1:H32"/>
      <colBreaks count="1" manualBreakCount="1">
        <brk id="8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1"/>
    </customSheetView>
    <customSheetView guid="{C05430D3-5A25-4A4C-823C-7D6EA772E5F0}" showPageBreaks="1" printArea="1">
      <selection activeCell="H32" sqref="A1:H32"/>
      <colBreaks count="1" manualBreakCount="1">
        <brk id="8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2"/>
    </customSheetView>
  </customSheetViews>
  <mergeCells count="29">
    <mergeCell ref="N10:N13"/>
    <mergeCell ref="A1:N1"/>
    <mergeCell ref="A2:N2"/>
    <mergeCell ref="K11:K13"/>
    <mergeCell ref="L11:L13"/>
    <mergeCell ref="M11:M13"/>
    <mergeCell ref="D10:H10"/>
    <mergeCell ref="I10:M10"/>
    <mergeCell ref="G11:G13"/>
    <mergeCell ref="H11:H13"/>
    <mergeCell ref="A3:H3"/>
    <mergeCell ref="I11:I13"/>
    <mergeCell ref="J11:J13"/>
    <mergeCell ref="A29:B29"/>
    <mergeCell ref="D30:G30"/>
    <mergeCell ref="A20:F20"/>
    <mergeCell ref="A23:B23"/>
    <mergeCell ref="A24:B24"/>
    <mergeCell ref="D29:G29"/>
    <mergeCell ref="D23:G23"/>
    <mergeCell ref="D24:G24"/>
    <mergeCell ref="A19:F19"/>
    <mergeCell ref="D9:E9"/>
    <mergeCell ref="D11:D13"/>
    <mergeCell ref="E11:E13"/>
    <mergeCell ref="F11:F13"/>
    <mergeCell ref="A9:B9"/>
    <mergeCell ref="B10:C13"/>
    <mergeCell ref="A10:A13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0" orientation="portrait" r:id="rId3"/>
  <colBreaks count="1" manualBreakCount="1">
    <brk id="8" max="1048575" man="1"/>
  </colBreaks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50"/>
  <sheetViews>
    <sheetView topLeftCell="A28" workbookViewId="0">
      <selection sqref="A1:N1"/>
    </sheetView>
  </sheetViews>
  <sheetFormatPr defaultColWidth="9.140625" defaultRowHeight="15"/>
  <cols>
    <col min="1" max="1" width="4.7109375" style="264" customWidth="1"/>
    <col min="2" max="2" width="46.14062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13" style="264" customWidth="1"/>
    <col min="8" max="8" width="14.5703125" style="264" customWidth="1"/>
    <col min="9" max="9" width="8.28515625" style="264" customWidth="1"/>
    <col min="10" max="10" width="8.85546875" style="264" customWidth="1"/>
    <col min="11" max="11" width="10.7109375" style="264" customWidth="1"/>
    <col min="12" max="12" width="13" style="264" customWidth="1"/>
    <col min="13" max="13" width="14.5703125" style="2177" customWidth="1"/>
    <col min="14" max="14" width="12.5703125" style="264" customWidth="1"/>
    <col min="15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/>
      <c r="F4" s="277"/>
      <c r="G4" s="277"/>
      <c r="H4" s="277"/>
      <c r="I4" s="277"/>
      <c r="J4" s="277"/>
      <c r="K4" s="277"/>
      <c r="L4" s="277"/>
      <c r="M4" s="1180"/>
    </row>
    <row r="5" spans="1:14">
      <c r="A5" s="278"/>
      <c r="B5" s="279"/>
      <c r="C5" s="281"/>
      <c r="D5" s="279"/>
      <c r="E5" s="279"/>
      <c r="F5" s="947"/>
      <c r="G5" s="279"/>
      <c r="I5" s="279"/>
      <c r="J5" s="279"/>
      <c r="K5" s="2316" t="s">
        <v>1524</v>
      </c>
      <c r="L5" s="279" t="s">
        <v>1542</v>
      </c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 t="s">
        <v>66</v>
      </c>
      <c r="L6" s="351" t="s">
        <v>1526</v>
      </c>
      <c r="M6" s="1180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2316" t="s">
        <v>96</v>
      </c>
      <c r="L7" s="3224" t="s">
        <v>1543</v>
      </c>
      <c r="M7" s="3224"/>
      <c r="N7" s="3224"/>
    </row>
    <row r="8" spans="1:14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224"/>
      <c r="M8" s="3224"/>
      <c r="N8" s="3224"/>
    </row>
    <row r="9" spans="1:14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1180"/>
    </row>
    <row r="10" spans="1:14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1180"/>
    </row>
    <row r="11" spans="1:14" s="352" customFormat="1">
      <c r="A11" s="2980" t="s">
        <v>110</v>
      </c>
      <c r="B11" s="2980"/>
      <c r="C11" s="1199" t="s">
        <v>46</v>
      </c>
      <c r="D11" s="2988">
        <f>M40</f>
        <v>0</v>
      </c>
      <c r="E11" s="2988"/>
      <c r="F11" s="2136"/>
      <c r="G11" s="1204"/>
      <c r="H11" s="1204"/>
      <c r="I11" s="2988"/>
      <c r="J11" s="2988"/>
      <c r="K11" s="2136"/>
      <c r="L11" s="1204"/>
      <c r="M11" s="1205"/>
    </row>
    <row r="12" spans="1:14">
      <c r="A12" s="3134" t="s">
        <v>111</v>
      </c>
      <c r="B12" s="3134" t="s">
        <v>1</v>
      </c>
      <c r="C12" s="3134"/>
      <c r="D12" s="3125" t="s">
        <v>1523</v>
      </c>
      <c r="E12" s="3125"/>
      <c r="F12" s="3125"/>
      <c r="G12" s="3125"/>
      <c r="H12" s="3125"/>
      <c r="I12" s="3125" t="s">
        <v>1522</v>
      </c>
      <c r="J12" s="3125"/>
      <c r="K12" s="3125"/>
      <c r="L12" s="3125"/>
      <c r="M12" s="3125"/>
      <c r="N12" s="3124" t="s">
        <v>1538</v>
      </c>
    </row>
    <row r="13" spans="1:14" ht="15" customHeight="1">
      <c r="A13" s="3134"/>
      <c r="B13" s="3134"/>
      <c r="C13" s="3134"/>
      <c r="D13" s="3127" t="s">
        <v>60</v>
      </c>
      <c r="E13" s="3127" t="s">
        <v>97</v>
      </c>
      <c r="F13" s="3127" t="s">
        <v>112</v>
      </c>
      <c r="G13" s="3127" t="s">
        <v>113</v>
      </c>
      <c r="H13" s="3127" t="s">
        <v>114</v>
      </c>
      <c r="I13" s="3127" t="s">
        <v>60</v>
      </c>
      <c r="J13" s="3127" t="s">
        <v>97</v>
      </c>
      <c r="K13" s="3127" t="s">
        <v>112</v>
      </c>
      <c r="L13" s="3127" t="s">
        <v>113</v>
      </c>
      <c r="M13" s="3127" t="s">
        <v>114</v>
      </c>
      <c r="N13" s="3124"/>
    </row>
    <row r="14" spans="1:14">
      <c r="A14" s="3134"/>
      <c r="B14" s="3134"/>
      <c r="C14" s="3134"/>
      <c r="D14" s="3127"/>
      <c r="E14" s="3127"/>
      <c r="F14" s="3127"/>
      <c r="G14" s="3127"/>
      <c r="H14" s="3127"/>
      <c r="I14" s="3127"/>
      <c r="J14" s="3127"/>
      <c r="K14" s="3127"/>
      <c r="L14" s="3127"/>
      <c r="M14" s="3127"/>
      <c r="N14" s="3124"/>
    </row>
    <row r="15" spans="1:14">
      <c r="A15" s="3134"/>
      <c r="B15" s="3134"/>
      <c r="C15" s="3134"/>
      <c r="D15" s="3127"/>
      <c r="E15" s="3127"/>
      <c r="F15" s="3127"/>
      <c r="G15" s="3127"/>
      <c r="H15" s="3127"/>
      <c r="I15" s="3127"/>
      <c r="J15" s="3127"/>
      <c r="K15" s="3127"/>
      <c r="L15" s="3127"/>
      <c r="M15" s="3127"/>
      <c r="N15" s="3124"/>
    </row>
    <row r="16" spans="1:14">
      <c r="A16" s="2271">
        <v>1</v>
      </c>
      <c r="B16" s="3216" t="s">
        <v>215</v>
      </c>
      <c r="C16" s="3217"/>
      <c r="D16" s="2296"/>
      <c r="E16" s="2272"/>
      <c r="F16" s="2276"/>
      <c r="G16" s="2297"/>
      <c r="H16" s="2297"/>
      <c r="I16" s="2296"/>
      <c r="J16" s="2272"/>
      <c r="K16" s="2276"/>
      <c r="L16" s="2297"/>
      <c r="M16" s="2298"/>
      <c r="N16" s="2297"/>
    </row>
    <row r="17" spans="1:16">
      <c r="A17" s="2277" t="s">
        <v>115</v>
      </c>
      <c r="B17" s="3218" t="s">
        <v>132</v>
      </c>
      <c r="C17" s="3219"/>
      <c r="D17" s="2281">
        <v>2</v>
      </c>
      <c r="E17" s="2299" t="s">
        <v>101</v>
      </c>
      <c r="F17" s="2300">
        <v>60000</v>
      </c>
      <c r="G17" s="2282">
        <f t="shared" ref="G17:G29" si="0">+F17*D17</f>
        <v>120000</v>
      </c>
      <c r="H17" s="2282"/>
      <c r="I17" s="2281"/>
      <c r="J17" s="2299" t="s">
        <v>101</v>
      </c>
      <c r="K17" s="2300">
        <v>60000</v>
      </c>
      <c r="L17" s="2282">
        <f t="shared" ref="L17:L29" si="1">+K17*I17</f>
        <v>0</v>
      </c>
      <c r="M17" s="2290"/>
      <c r="N17" s="2301">
        <f>G17-M17</f>
        <v>120000</v>
      </c>
    </row>
    <row r="18" spans="1:16">
      <c r="A18" s="2277" t="s">
        <v>117</v>
      </c>
      <c r="B18" s="3218" t="s">
        <v>918</v>
      </c>
      <c r="C18" s="3219"/>
      <c r="D18" s="2281">
        <v>5</v>
      </c>
      <c r="E18" s="2299" t="s">
        <v>136</v>
      </c>
      <c r="F18" s="2300">
        <v>5000</v>
      </c>
      <c r="G18" s="2282">
        <f t="shared" si="0"/>
        <v>25000</v>
      </c>
      <c r="H18" s="2282"/>
      <c r="I18" s="2281"/>
      <c r="J18" s="2299" t="s">
        <v>136</v>
      </c>
      <c r="K18" s="2300">
        <v>5000</v>
      </c>
      <c r="L18" s="2282">
        <f t="shared" si="1"/>
        <v>0</v>
      </c>
      <c r="M18" s="2290"/>
      <c r="N18" s="2301">
        <f t="shared" ref="N18:N39" si="2">G18-M18</f>
        <v>25000</v>
      </c>
    </row>
    <row r="19" spans="1:16">
      <c r="A19" s="2277" t="s">
        <v>118</v>
      </c>
      <c r="B19" s="3218" t="s">
        <v>919</v>
      </c>
      <c r="C19" s="3219"/>
      <c r="D19" s="2281">
        <v>4</v>
      </c>
      <c r="E19" s="2299" t="s">
        <v>136</v>
      </c>
      <c r="F19" s="2300">
        <v>25000</v>
      </c>
      <c r="G19" s="2282">
        <f t="shared" si="0"/>
        <v>100000</v>
      </c>
      <c r="H19" s="2282"/>
      <c r="I19" s="2281"/>
      <c r="J19" s="2299" t="s">
        <v>136</v>
      </c>
      <c r="K19" s="2300">
        <v>25000</v>
      </c>
      <c r="L19" s="2282">
        <f t="shared" si="1"/>
        <v>0</v>
      </c>
      <c r="M19" s="2290"/>
      <c r="N19" s="2301">
        <f t="shared" si="2"/>
        <v>100000</v>
      </c>
    </row>
    <row r="20" spans="1:16">
      <c r="A20" s="2277" t="s">
        <v>119</v>
      </c>
      <c r="B20" s="3218" t="s">
        <v>1127</v>
      </c>
      <c r="C20" s="3219"/>
      <c r="D20" s="2281">
        <v>4</v>
      </c>
      <c r="E20" s="2299" t="s">
        <v>136</v>
      </c>
      <c r="F20" s="2300">
        <v>40000</v>
      </c>
      <c r="G20" s="2282">
        <f t="shared" si="0"/>
        <v>160000</v>
      </c>
      <c r="H20" s="2282"/>
      <c r="I20" s="2281"/>
      <c r="J20" s="2299" t="s">
        <v>136</v>
      </c>
      <c r="K20" s="2300">
        <v>40000</v>
      </c>
      <c r="L20" s="2282">
        <f t="shared" si="1"/>
        <v>0</v>
      </c>
      <c r="M20" s="2290"/>
      <c r="N20" s="2301">
        <f t="shared" si="2"/>
        <v>160000</v>
      </c>
    </row>
    <row r="21" spans="1:16">
      <c r="A21" s="2277" t="s">
        <v>120</v>
      </c>
      <c r="B21" s="3218" t="s">
        <v>340</v>
      </c>
      <c r="C21" s="3219"/>
      <c r="D21" s="2281">
        <v>1</v>
      </c>
      <c r="E21" s="2299" t="s">
        <v>1126</v>
      </c>
      <c r="F21" s="2300">
        <v>16000</v>
      </c>
      <c r="G21" s="2282">
        <f t="shared" si="0"/>
        <v>16000</v>
      </c>
      <c r="H21" s="2282"/>
      <c r="I21" s="2281"/>
      <c r="J21" s="2299" t="s">
        <v>1126</v>
      </c>
      <c r="K21" s="2300">
        <v>16000</v>
      </c>
      <c r="L21" s="2282">
        <f t="shared" si="1"/>
        <v>0</v>
      </c>
      <c r="M21" s="2290"/>
      <c r="N21" s="2301">
        <f t="shared" si="2"/>
        <v>16000</v>
      </c>
    </row>
    <row r="22" spans="1:16">
      <c r="A22" s="2277" t="s">
        <v>134</v>
      </c>
      <c r="B22" s="3218" t="s">
        <v>920</v>
      </c>
      <c r="C22" s="3219"/>
      <c r="D22" s="2281">
        <v>10</v>
      </c>
      <c r="E22" s="2299" t="s">
        <v>136</v>
      </c>
      <c r="F22" s="2300">
        <v>18000</v>
      </c>
      <c r="G22" s="2282">
        <f t="shared" si="0"/>
        <v>180000</v>
      </c>
      <c r="H22" s="2282"/>
      <c r="I22" s="2281"/>
      <c r="J22" s="2299" t="s">
        <v>136</v>
      </c>
      <c r="K22" s="2300">
        <v>18000</v>
      </c>
      <c r="L22" s="2282">
        <f t="shared" si="1"/>
        <v>0</v>
      </c>
      <c r="M22" s="2290"/>
      <c r="N22" s="2301">
        <f t="shared" si="2"/>
        <v>180000</v>
      </c>
    </row>
    <row r="23" spans="1:16">
      <c r="A23" s="2277" t="s">
        <v>137</v>
      </c>
      <c r="B23" s="3218" t="s">
        <v>921</v>
      </c>
      <c r="C23" s="3219"/>
      <c r="D23" s="2281">
        <v>1</v>
      </c>
      <c r="E23" s="2299" t="s">
        <v>1126</v>
      </c>
      <c r="F23" s="2300">
        <v>95000</v>
      </c>
      <c r="G23" s="2282">
        <f t="shared" si="0"/>
        <v>95000</v>
      </c>
      <c r="H23" s="2282"/>
      <c r="I23" s="2281"/>
      <c r="J23" s="2299" t="s">
        <v>1126</v>
      </c>
      <c r="K23" s="2300">
        <v>95000</v>
      </c>
      <c r="L23" s="2282">
        <f t="shared" si="1"/>
        <v>0</v>
      </c>
      <c r="M23" s="2290"/>
      <c r="N23" s="2301">
        <f t="shared" si="2"/>
        <v>95000</v>
      </c>
    </row>
    <row r="24" spans="1:16">
      <c r="A24" s="2277" t="s">
        <v>139</v>
      </c>
      <c r="B24" s="3218" t="s">
        <v>1122</v>
      </c>
      <c r="C24" s="3219"/>
      <c r="D24" s="2281">
        <v>1</v>
      </c>
      <c r="E24" s="2299" t="s">
        <v>1126</v>
      </c>
      <c r="F24" s="2300">
        <v>17500</v>
      </c>
      <c r="G24" s="2282">
        <f t="shared" si="0"/>
        <v>17500</v>
      </c>
      <c r="H24" s="2282"/>
      <c r="I24" s="2281"/>
      <c r="J24" s="2299" t="s">
        <v>1126</v>
      </c>
      <c r="K24" s="2300">
        <v>17500</v>
      </c>
      <c r="L24" s="2282">
        <f t="shared" si="1"/>
        <v>0</v>
      </c>
      <c r="M24" s="2290"/>
      <c r="N24" s="2301">
        <f t="shared" si="2"/>
        <v>17500</v>
      </c>
    </row>
    <row r="25" spans="1:16">
      <c r="A25" s="2277" t="s">
        <v>140</v>
      </c>
      <c r="B25" s="3218" t="s">
        <v>292</v>
      </c>
      <c r="C25" s="3219"/>
      <c r="D25" s="2281">
        <v>1</v>
      </c>
      <c r="E25" s="2299" t="s">
        <v>1126</v>
      </c>
      <c r="F25" s="2300">
        <v>25000</v>
      </c>
      <c r="G25" s="2282">
        <f t="shared" si="0"/>
        <v>25000</v>
      </c>
      <c r="H25" s="2282"/>
      <c r="I25" s="2281"/>
      <c r="J25" s="2299" t="s">
        <v>1126</v>
      </c>
      <c r="K25" s="2300">
        <v>25000</v>
      </c>
      <c r="L25" s="2282">
        <f t="shared" si="1"/>
        <v>0</v>
      </c>
      <c r="M25" s="2290"/>
      <c r="N25" s="2301">
        <f t="shared" si="2"/>
        <v>25000</v>
      </c>
    </row>
    <row r="26" spans="1:16">
      <c r="A26" s="2277" t="s">
        <v>142</v>
      </c>
      <c r="B26" s="3218" t="s">
        <v>1123</v>
      </c>
      <c r="C26" s="3219"/>
      <c r="D26" s="2281">
        <v>2</v>
      </c>
      <c r="E26" s="2299" t="s">
        <v>1125</v>
      </c>
      <c r="F26" s="2300">
        <v>7500</v>
      </c>
      <c r="G26" s="2282">
        <f t="shared" si="0"/>
        <v>15000</v>
      </c>
      <c r="H26" s="2282"/>
      <c r="I26" s="2281"/>
      <c r="J26" s="2299" t="s">
        <v>1125</v>
      </c>
      <c r="K26" s="2300">
        <v>7500</v>
      </c>
      <c r="L26" s="2282">
        <f t="shared" si="1"/>
        <v>0</v>
      </c>
      <c r="M26" s="2290"/>
      <c r="N26" s="2301">
        <f t="shared" si="2"/>
        <v>15000</v>
      </c>
    </row>
    <row r="27" spans="1:16">
      <c r="A27" s="2277" t="s">
        <v>143</v>
      </c>
      <c r="B27" s="3218" t="s">
        <v>1124</v>
      </c>
      <c r="C27" s="3219"/>
      <c r="D27" s="2281">
        <v>2</v>
      </c>
      <c r="E27" s="2299" t="s">
        <v>1125</v>
      </c>
      <c r="F27" s="2300">
        <v>8000</v>
      </c>
      <c r="G27" s="2282">
        <f t="shared" si="0"/>
        <v>16000</v>
      </c>
      <c r="H27" s="2282"/>
      <c r="I27" s="2281"/>
      <c r="J27" s="2299" t="s">
        <v>1125</v>
      </c>
      <c r="K27" s="2300">
        <v>8000</v>
      </c>
      <c r="L27" s="2282">
        <f t="shared" si="1"/>
        <v>0</v>
      </c>
      <c r="M27" s="2290"/>
      <c r="N27" s="2301">
        <f t="shared" si="2"/>
        <v>16000</v>
      </c>
    </row>
    <row r="28" spans="1:16">
      <c r="A28" s="2277" t="s">
        <v>274</v>
      </c>
      <c r="B28" s="3218" t="s">
        <v>922</v>
      </c>
      <c r="C28" s="3219"/>
      <c r="D28" s="2281">
        <v>2</v>
      </c>
      <c r="E28" s="2299" t="s">
        <v>1125</v>
      </c>
      <c r="F28" s="2300">
        <v>15000</v>
      </c>
      <c r="G28" s="2282">
        <f t="shared" si="0"/>
        <v>30000</v>
      </c>
      <c r="H28" s="2282"/>
      <c r="I28" s="2281"/>
      <c r="J28" s="2299" t="s">
        <v>1125</v>
      </c>
      <c r="K28" s="2300">
        <v>15000</v>
      </c>
      <c r="L28" s="2282">
        <f t="shared" si="1"/>
        <v>0</v>
      </c>
      <c r="M28" s="2290"/>
      <c r="N28" s="2301">
        <f t="shared" si="2"/>
        <v>30000</v>
      </c>
    </row>
    <row r="29" spans="1:16">
      <c r="A29" s="2283" t="s">
        <v>144</v>
      </c>
      <c r="B29" s="3222" t="s">
        <v>923</v>
      </c>
      <c r="C29" s="3223"/>
      <c r="D29" s="2287">
        <v>2</v>
      </c>
      <c r="E29" s="2302" t="s">
        <v>1126</v>
      </c>
      <c r="F29" s="2303">
        <v>5000</v>
      </c>
      <c r="G29" s="2288">
        <f t="shared" si="0"/>
        <v>10000</v>
      </c>
      <c r="H29" s="2288"/>
      <c r="I29" s="2287"/>
      <c r="J29" s="2302" t="s">
        <v>1126</v>
      </c>
      <c r="K29" s="2303">
        <v>5000</v>
      </c>
      <c r="L29" s="2288">
        <f t="shared" si="1"/>
        <v>0</v>
      </c>
      <c r="M29" s="2304"/>
      <c r="N29" s="2305">
        <f t="shared" si="2"/>
        <v>10000</v>
      </c>
    </row>
    <row r="30" spans="1:16" s="1991" customFormat="1">
      <c r="A30" s="3129" t="s">
        <v>98</v>
      </c>
      <c r="B30" s="3129"/>
      <c r="C30" s="3129"/>
      <c r="D30" s="3129"/>
      <c r="E30" s="3129"/>
      <c r="F30" s="3129"/>
      <c r="G30" s="673">
        <f>SUM(G17:G29)</f>
        <v>809500</v>
      </c>
      <c r="H30" s="673">
        <f>G30</f>
        <v>809500</v>
      </c>
      <c r="I30" s="2147"/>
      <c r="J30" s="2147"/>
      <c r="K30" s="2147"/>
      <c r="L30" s="673">
        <f>SUM(L17:L29)</f>
        <v>0</v>
      </c>
      <c r="M30" s="303">
        <f>L30</f>
        <v>0</v>
      </c>
      <c r="N30" s="2156">
        <f t="shared" si="2"/>
        <v>809500</v>
      </c>
    </row>
    <row r="31" spans="1:16">
      <c r="A31" s="353">
        <v>2</v>
      </c>
      <c r="B31" s="3220" t="s">
        <v>311</v>
      </c>
      <c r="C31" s="3221"/>
      <c r="D31" s="298"/>
      <c r="E31" s="354"/>
      <c r="F31" s="298"/>
      <c r="G31" s="298"/>
      <c r="H31" s="62"/>
      <c r="I31" s="298"/>
      <c r="J31" s="354"/>
      <c r="K31" s="298"/>
      <c r="L31" s="298"/>
      <c r="M31" s="2292"/>
      <c r="N31" s="2155">
        <f t="shared" si="2"/>
        <v>0</v>
      </c>
    </row>
    <row r="32" spans="1:16">
      <c r="A32" s="2289" t="s">
        <v>121</v>
      </c>
      <c r="B32" s="3216" t="s">
        <v>248</v>
      </c>
      <c r="C32" s="3217"/>
      <c r="D32" s="2296">
        <v>40</v>
      </c>
      <c r="E32" s="2272" t="s">
        <v>148</v>
      </c>
      <c r="F32" s="2296">
        <v>7000</v>
      </c>
      <c r="G32" s="2276">
        <f>D32*F32</f>
        <v>280000</v>
      </c>
      <c r="H32" s="2276"/>
      <c r="I32" s="2296"/>
      <c r="J32" s="2272" t="s">
        <v>148</v>
      </c>
      <c r="K32" s="2296">
        <v>7000</v>
      </c>
      <c r="L32" s="2276">
        <f>I32*K32</f>
        <v>0</v>
      </c>
      <c r="M32" s="2289"/>
      <c r="N32" s="2306">
        <f t="shared" si="2"/>
        <v>280000</v>
      </c>
      <c r="P32" s="264" t="s">
        <v>21</v>
      </c>
    </row>
    <row r="33" spans="1:14">
      <c r="A33" s="2290" t="s">
        <v>123</v>
      </c>
      <c r="B33" s="3218" t="s">
        <v>924</v>
      </c>
      <c r="C33" s="3219"/>
      <c r="D33" s="2307">
        <v>6</v>
      </c>
      <c r="E33" s="2278" t="s">
        <v>925</v>
      </c>
      <c r="F33" s="2307">
        <v>25000</v>
      </c>
      <c r="G33" s="2282">
        <f>D33*F33</f>
        <v>150000</v>
      </c>
      <c r="H33" s="2282"/>
      <c r="I33" s="2307"/>
      <c r="J33" s="2278" t="s">
        <v>925</v>
      </c>
      <c r="K33" s="2307">
        <v>25000</v>
      </c>
      <c r="L33" s="2282">
        <f>I33*K33</f>
        <v>0</v>
      </c>
      <c r="M33" s="2290"/>
      <c r="N33" s="2301">
        <f t="shared" si="2"/>
        <v>150000</v>
      </c>
    </row>
    <row r="34" spans="1:14">
      <c r="A34" s="2283" t="s">
        <v>123</v>
      </c>
      <c r="B34" s="3222" t="s">
        <v>249</v>
      </c>
      <c r="C34" s="3223"/>
      <c r="D34" s="2288">
        <v>22</v>
      </c>
      <c r="E34" s="2284" t="s">
        <v>148</v>
      </c>
      <c r="F34" s="2288">
        <v>20000</v>
      </c>
      <c r="G34" s="2288">
        <f>D34*F34</f>
        <v>440000</v>
      </c>
      <c r="H34" s="2308"/>
      <c r="I34" s="2288"/>
      <c r="J34" s="2284" t="s">
        <v>148</v>
      </c>
      <c r="K34" s="2288">
        <v>20000</v>
      </c>
      <c r="L34" s="2288">
        <f>I34*K34</f>
        <v>0</v>
      </c>
      <c r="M34" s="2309"/>
      <c r="N34" s="2305">
        <f t="shared" si="2"/>
        <v>440000</v>
      </c>
    </row>
    <row r="35" spans="1:14" s="1991" customFormat="1">
      <c r="A35" s="3129" t="s">
        <v>99</v>
      </c>
      <c r="B35" s="3129"/>
      <c r="C35" s="3129"/>
      <c r="D35" s="3129"/>
      <c r="E35" s="3129"/>
      <c r="F35" s="3129"/>
      <c r="G35" s="673">
        <f>G32+G33+G34</f>
        <v>870000</v>
      </c>
      <c r="H35" s="673">
        <f>G35</f>
        <v>870000</v>
      </c>
      <c r="I35" s="2147"/>
      <c r="J35" s="2147"/>
      <c r="K35" s="2147"/>
      <c r="L35" s="673">
        <f>L32+L33+L34</f>
        <v>0</v>
      </c>
      <c r="M35" s="303">
        <f>L35</f>
        <v>0</v>
      </c>
      <c r="N35" s="2156">
        <f t="shared" si="2"/>
        <v>870000</v>
      </c>
    </row>
    <row r="36" spans="1:14">
      <c r="A36" s="353">
        <v>4</v>
      </c>
      <c r="B36" s="3220" t="s">
        <v>175</v>
      </c>
      <c r="C36" s="3221"/>
      <c r="D36" s="298"/>
      <c r="E36" s="354"/>
      <c r="F36" s="298"/>
      <c r="G36" s="298"/>
      <c r="H36" s="298"/>
      <c r="I36" s="298"/>
      <c r="J36" s="354"/>
      <c r="K36" s="298"/>
      <c r="L36" s="298"/>
      <c r="M36" s="357"/>
      <c r="N36" s="2155">
        <f t="shared" si="2"/>
        <v>0</v>
      </c>
    </row>
    <row r="37" spans="1:14">
      <c r="A37" s="2271" t="s">
        <v>128</v>
      </c>
      <c r="B37" s="3216" t="s">
        <v>166</v>
      </c>
      <c r="C37" s="3217"/>
      <c r="D37" s="2310">
        <v>12</v>
      </c>
      <c r="E37" s="2311" t="s">
        <v>167</v>
      </c>
      <c r="F37" s="2312">
        <v>80000</v>
      </c>
      <c r="G37" s="2313">
        <f>+F37*D37</f>
        <v>960000</v>
      </c>
      <c r="H37" s="2276"/>
      <c r="I37" s="2310"/>
      <c r="J37" s="2311" t="s">
        <v>167</v>
      </c>
      <c r="K37" s="2312">
        <v>80000</v>
      </c>
      <c r="L37" s="2313">
        <f>+K37*I37</f>
        <v>0</v>
      </c>
      <c r="M37" s="2289"/>
      <c r="N37" s="2306">
        <f t="shared" si="2"/>
        <v>960000</v>
      </c>
    </row>
    <row r="38" spans="1:14">
      <c r="A38" s="2283" t="s">
        <v>129</v>
      </c>
      <c r="B38" s="3222" t="s">
        <v>168</v>
      </c>
      <c r="C38" s="3223"/>
      <c r="D38" s="2314">
        <v>4</v>
      </c>
      <c r="E38" s="2315" t="s">
        <v>167</v>
      </c>
      <c r="F38" s="2303">
        <v>200000</v>
      </c>
      <c r="G38" s="2288">
        <f>+F38*D38</f>
        <v>800000</v>
      </c>
      <c r="H38" s="2288"/>
      <c r="I38" s="2314"/>
      <c r="J38" s="2315" t="s">
        <v>167</v>
      </c>
      <c r="K38" s="2303">
        <v>200000</v>
      </c>
      <c r="L38" s="2288">
        <f>+K38*I38</f>
        <v>0</v>
      </c>
      <c r="M38" s="2304"/>
      <c r="N38" s="2305">
        <f t="shared" si="2"/>
        <v>800000</v>
      </c>
    </row>
    <row r="39" spans="1:14" s="1991" customFormat="1">
      <c r="A39" s="3129" t="s">
        <v>102</v>
      </c>
      <c r="B39" s="3129"/>
      <c r="C39" s="3129"/>
      <c r="D39" s="3129"/>
      <c r="E39" s="3129"/>
      <c r="F39" s="3129"/>
      <c r="G39" s="673">
        <f>SUM(G37:G38)</f>
        <v>1760000</v>
      </c>
      <c r="H39" s="2291">
        <f>G39</f>
        <v>1760000</v>
      </c>
      <c r="I39" s="2147"/>
      <c r="J39" s="2147"/>
      <c r="K39" s="2147"/>
      <c r="L39" s="673">
        <f>SUM(L37:L38)</f>
        <v>0</v>
      </c>
      <c r="M39" s="2293">
        <f>L39</f>
        <v>0</v>
      </c>
      <c r="N39" s="2156">
        <f t="shared" si="2"/>
        <v>1760000</v>
      </c>
    </row>
    <row r="40" spans="1:14" s="1991" customFormat="1">
      <c r="A40" s="3129" t="s">
        <v>131</v>
      </c>
      <c r="B40" s="3129"/>
      <c r="C40" s="3129"/>
      <c r="D40" s="3129"/>
      <c r="E40" s="3129"/>
      <c r="F40" s="3129"/>
      <c r="G40" s="303">
        <f>G30+G35+G39</f>
        <v>3439500</v>
      </c>
      <c r="H40" s="303">
        <f>SUM(H30:H39)</f>
        <v>3439500</v>
      </c>
      <c r="I40" s="2147"/>
      <c r="J40" s="2147"/>
      <c r="K40" s="2147"/>
      <c r="L40" s="303">
        <f>L30+L35+L39</f>
        <v>0</v>
      </c>
      <c r="M40" s="303">
        <f>SUM(M30:M39)</f>
        <v>0</v>
      </c>
      <c r="N40" s="2156">
        <f>G40-M40</f>
        <v>3439500</v>
      </c>
    </row>
    <row r="41" spans="1:14">
      <c r="A41" s="280"/>
      <c r="B41" s="304"/>
      <c r="C41" s="304"/>
      <c r="D41" s="304"/>
      <c r="E41" s="304"/>
      <c r="F41" s="304"/>
      <c r="G41" s="304"/>
      <c r="I41" s="304"/>
      <c r="J41" s="304"/>
      <c r="K41" s="304"/>
      <c r="L41" s="304"/>
    </row>
    <row r="42" spans="1:14">
      <c r="A42" s="327"/>
      <c r="B42" s="263"/>
      <c r="C42" s="263"/>
      <c r="D42" s="263"/>
      <c r="E42" s="263"/>
      <c r="F42" s="263"/>
      <c r="G42" s="263"/>
      <c r="H42" s="328"/>
      <c r="I42" s="263"/>
      <c r="J42" s="263"/>
      <c r="K42" s="263"/>
      <c r="L42" s="263"/>
      <c r="M42" s="2250"/>
    </row>
    <row r="43" spans="1:14">
      <c r="A43" s="2962"/>
      <c r="B43" s="2962"/>
      <c r="C43" s="949"/>
      <c r="D43" s="2962"/>
      <c r="E43" s="2962"/>
      <c r="F43" s="2962"/>
      <c r="G43" s="2962"/>
      <c r="H43" s="275"/>
      <c r="I43" s="2962"/>
      <c r="J43" s="2962"/>
      <c r="K43" s="2962"/>
      <c r="L43" s="2962"/>
      <c r="M43" s="2294"/>
    </row>
    <row r="44" spans="1:14">
      <c r="A44" s="2962"/>
      <c r="B44" s="2962"/>
      <c r="C44" s="949"/>
      <c r="D44" s="2962"/>
      <c r="E44" s="2962"/>
      <c r="F44" s="2962"/>
      <c r="G44" s="2962"/>
      <c r="H44" s="275"/>
      <c r="I44" s="2962"/>
      <c r="J44" s="2962"/>
      <c r="K44" s="2962"/>
      <c r="L44" s="2962"/>
      <c r="M44" s="2294"/>
    </row>
    <row r="45" spans="1:14">
      <c r="A45" s="306"/>
      <c r="B45" s="949"/>
      <c r="C45" s="949"/>
      <c r="D45" s="307"/>
      <c r="E45" s="308"/>
      <c r="F45" s="953"/>
      <c r="G45" s="308"/>
      <c r="H45" s="328"/>
      <c r="I45" s="307"/>
      <c r="J45" s="308"/>
      <c r="K45" s="953"/>
      <c r="L45" s="308"/>
      <c r="M45" s="2250"/>
    </row>
    <row r="46" spans="1:14">
      <c r="A46" s="306"/>
      <c r="B46" s="949"/>
      <c r="C46" s="949"/>
      <c r="D46" s="949"/>
      <c r="E46" s="308"/>
      <c r="F46" s="308"/>
      <c r="G46" s="308"/>
      <c r="H46" s="328"/>
      <c r="I46" s="2137"/>
      <c r="J46" s="308"/>
      <c r="K46" s="308"/>
      <c r="L46" s="308"/>
      <c r="M46" s="2250"/>
    </row>
    <row r="47" spans="1:14">
      <c r="A47" s="306"/>
      <c r="B47" s="307"/>
      <c r="C47" s="307"/>
      <c r="D47" s="308"/>
      <c r="E47" s="308"/>
      <c r="F47" s="308"/>
      <c r="G47" s="308"/>
      <c r="H47" s="328"/>
      <c r="I47" s="308"/>
      <c r="J47" s="308"/>
      <c r="K47" s="308"/>
      <c r="L47" s="308"/>
      <c r="M47" s="2250"/>
    </row>
    <row r="48" spans="1:14">
      <c r="A48" s="306"/>
      <c r="B48" s="307"/>
      <c r="C48" s="307"/>
      <c r="D48" s="308"/>
      <c r="E48" s="308"/>
      <c r="F48" s="308"/>
      <c r="G48" s="308"/>
      <c r="H48" s="328"/>
      <c r="I48" s="308"/>
      <c r="J48" s="308"/>
      <c r="K48" s="308"/>
      <c r="L48" s="308"/>
      <c r="M48" s="2250"/>
    </row>
    <row r="49" spans="1:13">
      <c r="A49" s="1179"/>
      <c r="B49" s="1179"/>
      <c r="C49" s="1179"/>
      <c r="D49" s="1179"/>
      <c r="E49" s="1179"/>
      <c r="F49" s="1179"/>
      <c r="G49" s="1179"/>
      <c r="H49" s="432"/>
      <c r="I49" s="2139"/>
      <c r="J49" s="2139"/>
      <c r="K49" s="2139"/>
      <c r="L49" s="2139"/>
      <c r="M49" s="2295"/>
    </row>
    <row r="50" spans="1:13">
      <c r="A50" s="306"/>
      <c r="B50" s="1178"/>
      <c r="C50" s="1178"/>
      <c r="D50" s="1178"/>
      <c r="E50" s="1178"/>
      <c r="F50" s="1178"/>
      <c r="G50" s="1178"/>
      <c r="H50" s="328"/>
      <c r="I50" s="2137"/>
      <c r="J50" s="2137"/>
      <c r="K50" s="2137"/>
      <c r="L50" s="2137"/>
      <c r="M50" s="2250"/>
    </row>
  </sheetData>
  <customSheetViews>
    <customSheetView guid="{0F09EDAE-127A-4543-88A5-04139BD32AD8}" scale="115" showPageBreaks="1" printArea="1">
      <selection activeCell="H50" sqref="A1:H50"/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1"/>
    </customSheetView>
    <customSheetView guid="{C05430D3-5A25-4A4C-823C-7D6EA772E5F0}" scale="115" showPageBreaks="1" printArea="1">
      <selection activeCell="H50" sqref="A1:H50"/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2"/>
    </customSheetView>
  </customSheetViews>
  <mergeCells count="53">
    <mergeCell ref="N12:N15"/>
    <mergeCell ref="L7:N8"/>
    <mergeCell ref="A1:N1"/>
    <mergeCell ref="A2:N2"/>
    <mergeCell ref="I11:J11"/>
    <mergeCell ref="G13:G15"/>
    <mergeCell ref="H13:H15"/>
    <mergeCell ref="A3:H3"/>
    <mergeCell ref="B36:C36"/>
    <mergeCell ref="B37:C37"/>
    <mergeCell ref="B38:C38"/>
    <mergeCell ref="D12:H12"/>
    <mergeCell ref="I12:M12"/>
    <mergeCell ref="B12:C15"/>
    <mergeCell ref="B29:C29"/>
    <mergeCell ref="B31:C31"/>
    <mergeCell ref="B32:C32"/>
    <mergeCell ref="B33:C33"/>
    <mergeCell ref="B34:C34"/>
    <mergeCell ref="M13:M15"/>
    <mergeCell ref="I13:I15"/>
    <mergeCell ref="J13:J15"/>
    <mergeCell ref="K13:K15"/>
    <mergeCell ref="L13:L15"/>
    <mergeCell ref="I43:L43"/>
    <mergeCell ref="I44:L44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A40:F40"/>
    <mergeCell ref="A43:B43"/>
    <mergeCell ref="A44:B44"/>
    <mergeCell ref="D43:G43"/>
    <mergeCell ref="D44:G44"/>
    <mergeCell ref="A39:F39"/>
    <mergeCell ref="A30:F30"/>
    <mergeCell ref="A35:F35"/>
    <mergeCell ref="D11:E11"/>
    <mergeCell ref="D13:D15"/>
    <mergeCell ref="E13:E15"/>
    <mergeCell ref="F13:F15"/>
    <mergeCell ref="A11:B11"/>
    <mergeCell ref="A12:A15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0" orientation="portrait" r:id="rId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O47"/>
  <sheetViews>
    <sheetView topLeftCell="A19" workbookViewId="0">
      <selection sqref="A1:H1"/>
    </sheetView>
  </sheetViews>
  <sheetFormatPr defaultColWidth="9.140625" defaultRowHeight="15"/>
  <cols>
    <col min="1" max="1" width="4.7109375" style="264" customWidth="1"/>
    <col min="2" max="2" width="28.570312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13" style="264" customWidth="1"/>
    <col min="8" max="8" width="14.5703125" style="264" customWidth="1"/>
    <col min="9" max="11" width="9.140625" style="264"/>
    <col min="12" max="12" width="13" style="264" customWidth="1"/>
    <col min="13" max="13" width="12.42578125" style="264" customWidth="1"/>
    <col min="14" max="14" width="11.5703125" style="264" bestFit="1" customWidth="1"/>
    <col min="15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14">
      <c r="A5" s="278"/>
      <c r="B5" s="279"/>
      <c r="C5" s="281"/>
      <c r="D5" s="279"/>
      <c r="E5" s="279"/>
      <c r="F5" s="947"/>
      <c r="G5" s="279"/>
    </row>
    <row r="6" spans="1:14">
      <c r="A6" s="617"/>
      <c r="B6" s="279"/>
      <c r="C6" s="281"/>
      <c r="D6" s="351"/>
      <c r="E6" s="351"/>
      <c r="F6" s="279"/>
      <c r="G6" s="351"/>
      <c r="H6" s="351"/>
    </row>
    <row r="7" spans="1:14">
      <c r="A7" s="278"/>
      <c r="B7" s="279"/>
      <c r="C7" s="281"/>
      <c r="D7" s="618"/>
      <c r="E7" s="279"/>
      <c r="F7" s="947"/>
      <c r="G7" s="351"/>
      <c r="H7" s="351"/>
    </row>
    <row r="8" spans="1:14">
      <c r="A8" s="278"/>
      <c r="B8" s="279"/>
      <c r="C8" s="281"/>
      <c r="D8" s="279"/>
      <c r="E8" s="279"/>
      <c r="F8" s="279"/>
      <c r="G8" s="351"/>
      <c r="H8" s="351"/>
    </row>
    <row r="9" spans="1:14">
      <c r="A9" s="278"/>
      <c r="B9" s="279"/>
      <c r="C9" s="279"/>
      <c r="D9" s="279"/>
      <c r="E9" s="279"/>
      <c r="F9" s="279"/>
      <c r="G9" s="279"/>
      <c r="H9" s="279"/>
    </row>
    <row r="10" spans="1:14">
      <c r="A10" s="2980" t="s">
        <v>110</v>
      </c>
      <c r="B10" s="2980"/>
      <c r="C10" s="281" t="s">
        <v>46</v>
      </c>
      <c r="D10" s="2988">
        <f>H33</f>
        <v>76800000</v>
      </c>
      <c r="E10" s="2988"/>
      <c r="F10" s="279"/>
      <c r="G10" s="279"/>
      <c r="H10" s="279"/>
    </row>
    <row r="11" spans="1:14">
      <c r="A11" s="3134" t="s">
        <v>111</v>
      </c>
      <c r="B11" s="3134" t="s">
        <v>1</v>
      </c>
      <c r="C11" s="3134"/>
      <c r="D11" s="3126" t="s">
        <v>1523</v>
      </c>
      <c r="E11" s="3126"/>
      <c r="F11" s="3126"/>
      <c r="G11" s="3126"/>
      <c r="H11" s="3126"/>
      <c r="I11" s="3126" t="s">
        <v>1522</v>
      </c>
      <c r="J11" s="3126"/>
      <c r="K11" s="3126"/>
      <c r="L11" s="3126"/>
      <c r="M11" s="3126"/>
      <c r="N11" s="3124" t="s">
        <v>1541</v>
      </c>
    </row>
    <row r="12" spans="1:14" ht="15" customHeight="1">
      <c r="A12" s="3134"/>
      <c r="B12" s="3134"/>
      <c r="C12" s="3134"/>
      <c r="D12" s="3127" t="s">
        <v>60</v>
      </c>
      <c r="E12" s="3127" t="s">
        <v>97</v>
      </c>
      <c r="F12" s="3127" t="s">
        <v>112</v>
      </c>
      <c r="G12" s="3127" t="s">
        <v>113</v>
      </c>
      <c r="H12" s="3127" t="s">
        <v>114</v>
      </c>
      <c r="I12" s="3127" t="s">
        <v>60</v>
      </c>
      <c r="J12" s="3127" t="s">
        <v>97</v>
      </c>
      <c r="K12" s="3127" t="s">
        <v>112</v>
      </c>
      <c r="L12" s="3127" t="s">
        <v>113</v>
      </c>
      <c r="M12" s="3127" t="s">
        <v>114</v>
      </c>
      <c r="N12" s="3124"/>
    </row>
    <row r="13" spans="1:14">
      <c r="A13" s="3134"/>
      <c r="B13" s="3134"/>
      <c r="C13" s="3134"/>
      <c r="D13" s="3127"/>
      <c r="E13" s="3127"/>
      <c r="F13" s="3127"/>
      <c r="G13" s="3127"/>
      <c r="H13" s="3127"/>
      <c r="I13" s="3127"/>
      <c r="J13" s="3127"/>
      <c r="K13" s="3127"/>
      <c r="L13" s="3127"/>
      <c r="M13" s="3127"/>
      <c r="N13" s="3124"/>
    </row>
    <row r="14" spans="1:14">
      <c r="A14" s="3134"/>
      <c r="B14" s="3134"/>
      <c r="C14" s="3134"/>
      <c r="D14" s="3127"/>
      <c r="E14" s="3127"/>
      <c r="F14" s="3127"/>
      <c r="G14" s="3127"/>
      <c r="H14" s="3127"/>
      <c r="I14" s="3127"/>
      <c r="J14" s="3127"/>
      <c r="K14" s="3127"/>
      <c r="L14" s="3127"/>
      <c r="M14" s="3127"/>
      <c r="N14" s="3124"/>
    </row>
    <row r="15" spans="1:14">
      <c r="A15" s="353">
        <v>1</v>
      </c>
      <c r="B15" s="3220" t="s">
        <v>821</v>
      </c>
      <c r="C15" s="3221"/>
      <c r="D15" s="298"/>
      <c r="E15" s="354"/>
      <c r="F15" s="298"/>
      <c r="G15" s="298"/>
      <c r="H15" s="298"/>
      <c r="I15" s="298"/>
      <c r="J15" s="354"/>
      <c r="K15" s="298"/>
      <c r="L15" s="298"/>
      <c r="M15" s="298"/>
      <c r="N15" s="298"/>
    </row>
    <row r="16" spans="1:14">
      <c r="A16" s="2271" t="s">
        <v>115</v>
      </c>
      <c r="B16" s="3216" t="s">
        <v>796</v>
      </c>
      <c r="C16" s="3217"/>
      <c r="D16" s="2273">
        <v>12</v>
      </c>
      <c r="E16" s="2274" t="s">
        <v>116</v>
      </c>
      <c r="F16" s="2275">
        <v>400000</v>
      </c>
      <c r="G16" s="2276">
        <f t="shared" ref="G16:G25" si="0">+F16*D16</f>
        <v>4800000</v>
      </c>
      <c r="H16" s="2276"/>
      <c r="I16" s="2273">
        <v>12</v>
      </c>
      <c r="J16" s="2274" t="s">
        <v>116</v>
      </c>
      <c r="K16" s="2275">
        <f>F16-75000</f>
        <v>325000</v>
      </c>
      <c r="L16" s="2276">
        <f t="shared" ref="L16:L31" si="1">+K16*I16</f>
        <v>3900000</v>
      </c>
      <c r="M16" s="2276"/>
      <c r="N16" s="2276">
        <f>G16-L16</f>
        <v>900000</v>
      </c>
    </row>
    <row r="17" spans="1:15">
      <c r="A17" s="2277" t="s">
        <v>117</v>
      </c>
      <c r="B17" s="3218" t="s">
        <v>797</v>
      </c>
      <c r="C17" s="3219"/>
      <c r="D17" s="2279">
        <v>12</v>
      </c>
      <c r="E17" s="2280" t="s">
        <v>116</v>
      </c>
      <c r="F17" s="2281">
        <v>400000</v>
      </c>
      <c r="G17" s="2282">
        <f t="shared" si="0"/>
        <v>4800000</v>
      </c>
      <c r="H17" s="2282"/>
      <c r="I17" s="2279">
        <v>12</v>
      </c>
      <c r="J17" s="2280" t="s">
        <v>116</v>
      </c>
      <c r="K17" s="2275">
        <f t="shared" ref="K17:K31" si="2">F17-75000</f>
        <v>325000</v>
      </c>
      <c r="L17" s="2282">
        <f t="shared" si="1"/>
        <v>3900000</v>
      </c>
      <c r="M17" s="2282"/>
      <c r="N17" s="2282">
        <f t="shared" ref="N17:N31" si="3">G17-L17</f>
        <v>900000</v>
      </c>
    </row>
    <row r="18" spans="1:15">
      <c r="A18" s="2277" t="s">
        <v>118</v>
      </c>
      <c r="B18" s="3218" t="s">
        <v>798</v>
      </c>
      <c r="C18" s="3219"/>
      <c r="D18" s="2279">
        <v>12</v>
      </c>
      <c r="E18" s="2280" t="s">
        <v>116</v>
      </c>
      <c r="F18" s="2281">
        <v>400000</v>
      </c>
      <c r="G18" s="2282">
        <f t="shared" si="0"/>
        <v>4800000</v>
      </c>
      <c r="H18" s="2282"/>
      <c r="I18" s="2279">
        <v>12</v>
      </c>
      <c r="J18" s="2280" t="s">
        <v>116</v>
      </c>
      <c r="K18" s="2275">
        <f t="shared" si="2"/>
        <v>325000</v>
      </c>
      <c r="L18" s="2282">
        <f t="shared" si="1"/>
        <v>3900000</v>
      </c>
      <c r="M18" s="2282"/>
      <c r="N18" s="2282">
        <f t="shared" si="3"/>
        <v>900000</v>
      </c>
    </row>
    <row r="19" spans="1:15">
      <c r="A19" s="2277" t="s">
        <v>119</v>
      </c>
      <c r="B19" s="3218" t="s">
        <v>799</v>
      </c>
      <c r="C19" s="3219"/>
      <c r="D19" s="2279">
        <v>12</v>
      </c>
      <c r="E19" s="2280" t="s">
        <v>116</v>
      </c>
      <c r="F19" s="2281">
        <v>400000</v>
      </c>
      <c r="G19" s="2282">
        <f t="shared" si="0"/>
        <v>4800000</v>
      </c>
      <c r="H19" s="2282"/>
      <c r="I19" s="2279">
        <v>12</v>
      </c>
      <c r="J19" s="2280" t="s">
        <v>116</v>
      </c>
      <c r="K19" s="2275">
        <f t="shared" si="2"/>
        <v>325000</v>
      </c>
      <c r="L19" s="2282">
        <f t="shared" si="1"/>
        <v>3900000</v>
      </c>
      <c r="M19" s="2282"/>
      <c r="N19" s="2282">
        <f t="shared" si="3"/>
        <v>900000</v>
      </c>
    </row>
    <row r="20" spans="1:15">
      <c r="A20" s="2277" t="s">
        <v>120</v>
      </c>
      <c r="B20" s="3218" t="s">
        <v>800</v>
      </c>
      <c r="C20" s="3219"/>
      <c r="D20" s="2279">
        <v>12</v>
      </c>
      <c r="E20" s="2280" t="s">
        <v>116</v>
      </c>
      <c r="F20" s="2281">
        <v>400000</v>
      </c>
      <c r="G20" s="2282">
        <f t="shared" si="0"/>
        <v>4800000</v>
      </c>
      <c r="H20" s="2282"/>
      <c r="I20" s="2279">
        <v>12</v>
      </c>
      <c r="J20" s="2280" t="s">
        <v>116</v>
      </c>
      <c r="K20" s="2275">
        <f t="shared" si="2"/>
        <v>325000</v>
      </c>
      <c r="L20" s="2282">
        <f t="shared" si="1"/>
        <v>3900000</v>
      </c>
      <c r="M20" s="2282"/>
      <c r="N20" s="2282">
        <f t="shared" si="3"/>
        <v>900000</v>
      </c>
    </row>
    <row r="21" spans="1:15">
      <c r="A21" s="2277" t="s">
        <v>134</v>
      </c>
      <c r="B21" s="3218" t="s">
        <v>801</v>
      </c>
      <c r="C21" s="3219"/>
      <c r="D21" s="2279">
        <v>12</v>
      </c>
      <c r="E21" s="2280" t="s">
        <v>116</v>
      </c>
      <c r="F21" s="2281">
        <v>400000</v>
      </c>
      <c r="G21" s="2282">
        <f t="shared" si="0"/>
        <v>4800000</v>
      </c>
      <c r="H21" s="2282"/>
      <c r="I21" s="2279">
        <v>12</v>
      </c>
      <c r="J21" s="2280" t="s">
        <v>116</v>
      </c>
      <c r="K21" s="2275">
        <f t="shared" si="2"/>
        <v>325000</v>
      </c>
      <c r="L21" s="2282">
        <f t="shared" si="1"/>
        <v>3900000</v>
      </c>
      <c r="M21" s="2282"/>
      <c r="N21" s="2282">
        <f t="shared" si="3"/>
        <v>900000</v>
      </c>
    </row>
    <row r="22" spans="1:15">
      <c r="A22" s="2277" t="s">
        <v>137</v>
      </c>
      <c r="B22" s="3218" t="s">
        <v>802</v>
      </c>
      <c r="C22" s="3219"/>
      <c r="D22" s="2279">
        <v>12</v>
      </c>
      <c r="E22" s="2280" t="s">
        <v>116</v>
      </c>
      <c r="F22" s="2281">
        <v>400000</v>
      </c>
      <c r="G22" s="2282">
        <f t="shared" si="0"/>
        <v>4800000</v>
      </c>
      <c r="H22" s="2282"/>
      <c r="I22" s="2279">
        <v>12</v>
      </c>
      <c r="J22" s="2280" t="s">
        <v>116</v>
      </c>
      <c r="K22" s="2275">
        <f t="shared" si="2"/>
        <v>325000</v>
      </c>
      <c r="L22" s="2282">
        <f t="shared" si="1"/>
        <v>3900000</v>
      </c>
      <c r="M22" s="2282"/>
      <c r="N22" s="2282">
        <f t="shared" si="3"/>
        <v>900000</v>
      </c>
    </row>
    <row r="23" spans="1:15">
      <c r="A23" s="2277" t="s">
        <v>139</v>
      </c>
      <c r="B23" s="3218" t="s">
        <v>803</v>
      </c>
      <c r="C23" s="3219"/>
      <c r="D23" s="2279">
        <v>12</v>
      </c>
      <c r="E23" s="2280" t="s">
        <v>116</v>
      </c>
      <c r="F23" s="2281">
        <v>400000</v>
      </c>
      <c r="G23" s="2282">
        <f t="shared" si="0"/>
        <v>4800000</v>
      </c>
      <c r="H23" s="2282"/>
      <c r="I23" s="2279">
        <v>12</v>
      </c>
      <c r="J23" s="2280" t="s">
        <v>116</v>
      </c>
      <c r="K23" s="2275">
        <f t="shared" si="2"/>
        <v>325000</v>
      </c>
      <c r="L23" s="2282">
        <f t="shared" si="1"/>
        <v>3900000</v>
      </c>
      <c r="M23" s="2282"/>
      <c r="N23" s="2282">
        <f t="shared" si="3"/>
        <v>900000</v>
      </c>
      <c r="O23" s="264" t="s">
        <v>21</v>
      </c>
    </row>
    <row r="24" spans="1:15">
      <c r="A24" s="2277" t="s">
        <v>140</v>
      </c>
      <c r="B24" s="3218" t="s">
        <v>804</v>
      </c>
      <c r="C24" s="3219"/>
      <c r="D24" s="2279">
        <v>12</v>
      </c>
      <c r="E24" s="2280" t="s">
        <v>116</v>
      </c>
      <c r="F24" s="2281">
        <v>400000</v>
      </c>
      <c r="G24" s="2282">
        <f t="shared" si="0"/>
        <v>4800000</v>
      </c>
      <c r="H24" s="2282"/>
      <c r="I24" s="2279">
        <v>12</v>
      </c>
      <c r="J24" s="2280" t="s">
        <v>116</v>
      </c>
      <c r="K24" s="2275">
        <f t="shared" si="2"/>
        <v>325000</v>
      </c>
      <c r="L24" s="2282">
        <f t="shared" si="1"/>
        <v>3900000</v>
      </c>
      <c r="M24" s="2282"/>
      <c r="N24" s="2282">
        <f t="shared" si="3"/>
        <v>900000</v>
      </c>
    </row>
    <row r="25" spans="1:15">
      <c r="A25" s="2277" t="s">
        <v>142</v>
      </c>
      <c r="B25" s="3218" t="s">
        <v>805</v>
      </c>
      <c r="C25" s="3219"/>
      <c r="D25" s="2279">
        <v>12</v>
      </c>
      <c r="E25" s="2280" t="s">
        <v>116</v>
      </c>
      <c r="F25" s="2281">
        <v>400000</v>
      </c>
      <c r="G25" s="2282">
        <f t="shared" si="0"/>
        <v>4800000</v>
      </c>
      <c r="H25" s="2282"/>
      <c r="I25" s="2279">
        <v>12</v>
      </c>
      <c r="J25" s="2280" t="s">
        <v>116</v>
      </c>
      <c r="K25" s="2275">
        <f t="shared" si="2"/>
        <v>325000</v>
      </c>
      <c r="L25" s="2282">
        <f t="shared" si="1"/>
        <v>3900000</v>
      </c>
      <c r="M25" s="2282"/>
      <c r="N25" s="2282">
        <f t="shared" si="3"/>
        <v>900000</v>
      </c>
    </row>
    <row r="26" spans="1:15">
      <c r="A26" s="2277" t="s">
        <v>143</v>
      </c>
      <c r="B26" s="3218" t="s">
        <v>884</v>
      </c>
      <c r="C26" s="3219"/>
      <c r="D26" s="2279">
        <v>12</v>
      </c>
      <c r="E26" s="2280" t="s">
        <v>116</v>
      </c>
      <c r="F26" s="2281">
        <v>400000</v>
      </c>
      <c r="G26" s="2282">
        <f t="shared" ref="G26:G31" si="4">+F26*D26</f>
        <v>4800000</v>
      </c>
      <c r="H26" s="2282"/>
      <c r="I26" s="2279">
        <v>12</v>
      </c>
      <c r="J26" s="2280" t="s">
        <v>116</v>
      </c>
      <c r="K26" s="2275">
        <f t="shared" si="2"/>
        <v>325000</v>
      </c>
      <c r="L26" s="2282">
        <f t="shared" si="1"/>
        <v>3900000</v>
      </c>
      <c r="M26" s="2282"/>
      <c r="N26" s="2282">
        <f t="shared" si="3"/>
        <v>900000</v>
      </c>
    </row>
    <row r="27" spans="1:15">
      <c r="A27" s="2277" t="s">
        <v>274</v>
      </c>
      <c r="B27" s="3218" t="s">
        <v>885</v>
      </c>
      <c r="C27" s="3219"/>
      <c r="D27" s="2279">
        <v>12</v>
      </c>
      <c r="E27" s="2280" t="s">
        <v>116</v>
      </c>
      <c r="F27" s="2281">
        <v>400000</v>
      </c>
      <c r="G27" s="2282">
        <f t="shared" si="4"/>
        <v>4800000</v>
      </c>
      <c r="H27" s="2282"/>
      <c r="I27" s="2279">
        <v>12</v>
      </c>
      <c r="J27" s="2280" t="s">
        <v>116</v>
      </c>
      <c r="K27" s="2275">
        <f t="shared" si="2"/>
        <v>325000</v>
      </c>
      <c r="L27" s="2282">
        <f t="shared" si="1"/>
        <v>3900000</v>
      </c>
      <c r="M27" s="2282"/>
      <c r="N27" s="2282">
        <f t="shared" si="3"/>
        <v>900000</v>
      </c>
    </row>
    <row r="28" spans="1:15">
      <c r="A28" s="2277" t="s">
        <v>144</v>
      </c>
      <c r="B28" s="3218" t="s">
        <v>886</v>
      </c>
      <c r="C28" s="3219"/>
      <c r="D28" s="2279">
        <v>12</v>
      </c>
      <c r="E28" s="2280" t="s">
        <v>116</v>
      </c>
      <c r="F28" s="2281">
        <v>400000</v>
      </c>
      <c r="G28" s="2282">
        <f t="shared" si="4"/>
        <v>4800000</v>
      </c>
      <c r="H28" s="2282"/>
      <c r="I28" s="2279">
        <v>12</v>
      </c>
      <c r="J28" s="2280" t="s">
        <v>116</v>
      </c>
      <c r="K28" s="2275">
        <f t="shared" si="2"/>
        <v>325000</v>
      </c>
      <c r="L28" s="2282">
        <f t="shared" si="1"/>
        <v>3900000</v>
      </c>
      <c r="M28" s="2282"/>
      <c r="N28" s="2282">
        <f t="shared" si="3"/>
        <v>900000</v>
      </c>
    </row>
    <row r="29" spans="1:15">
      <c r="A29" s="2277" t="s">
        <v>145</v>
      </c>
      <c r="B29" s="3218" t="s">
        <v>887</v>
      </c>
      <c r="C29" s="3219"/>
      <c r="D29" s="2279">
        <v>12</v>
      </c>
      <c r="E29" s="2280" t="s">
        <v>116</v>
      </c>
      <c r="F29" s="2281">
        <v>400000</v>
      </c>
      <c r="G29" s="2282">
        <f t="shared" si="4"/>
        <v>4800000</v>
      </c>
      <c r="H29" s="2282"/>
      <c r="I29" s="2279">
        <v>12</v>
      </c>
      <c r="J29" s="2280" t="s">
        <v>116</v>
      </c>
      <c r="K29" s="2275">
        <f t="shared" si="2"/>
        <v>325000</v>
      </c>
      <c r="L29" s="2282">
        <f t="shared" si="1"/>
        <v>3900000</v>
      </c>
      <c r="M29" s="2282"/>
      <c r="N29" s="2282">
        <f t="shared" si="3"/>
        <v>900000</v>
      </c>
    </row>
    <row r="30" spans="1:15">
      <c r="A30" s="2277" t="s">
        <v>146</v>
      </c>
      <c r="B30" s="3218" t="s">
        <v>888</v>
      </c>
      <c r="C30" s="3219"/>
      <c r="D30" s="2279">
        <v>12</v>
      </c>
      <c r="E30" s="2280" t="s">
        <v>116</v>
      </c>
      <c r="F30" s="2281">
        <v>400000</v>
      </c>
      <c r="G30" s="2282">
        <f t="shared" si="4"/>
        <v>4800000</v>
      </c>
      <c r="H30" s="2282"/>
      <c r="I30" s="2279">
        <v>12</v>
      </c>
      <c r="J30" s="2280" t="s">
        <v>116</v>
      </c>
      <c r="K30" s="2275">
        <f t="shared" si="2"/>
        <v>325000</v>
      </c>
      <c r="L30" s="2282">
        <f t="shared" si="1"/>
        <v>3900000</v>
      </c>
      <c r="M30" s="2282"/>
      <c r="N30" s="2282">
        <f t="shared" si="3"/>
        <v>900000</v>
      </c>
    </row>
    <row r="31" spans="1:15">
      <c r="A31" s="2277" t="s">
        <v>149</v>
      </c>
      <c r="B31" s="3218" t="s">
        <v>889</v>
      </c>
      <c r="C31" s="3219"/>
      <c r="D31" s="2279">
        <v>12</v>
      </c>
      <c r="E31" s="2280" t="s">
        <v>116</v>
      </c>
      <c r="F31" s="2281">
        <v>400000</v>
      </c>
      <c r="G31" s="2282">
        <f t="shared" si="4"/>
        <v>4800000</v>
      </c>
      <c r="H31" s="2282"/>
      <c r="I31" s="2279">
        <v>12</v>
      </c>
      <c r="J31" s="2280" t="s">
        <v>116</v>
      </c>
      <c r="K31" s="2275">
        <f t="shared" si="2"/>
        <v>325000</v>
      </c>
      <c r="L31" s="2282">
        <f t="shared" si="1"/>
        <v>3900000</v>
      </c>
      <c r="M31" s="2282"/>
      <c r="N31" s="2282">
        <f t="shared" si="3"/>
        <v>900000</v>
      </c>
    </row>
    <row r="32" spans="1:15" s="1991" customFormat="1">
      <c r="A32" s="3129" t="s">
        <v>98</v>
      </c>
      <c r="B32" s="3129"/>
      <c r="C32" s="3129"/>
      <c r="D32" s="3129"/>
      <c r="E32" s="3129"/>
      <c r="F32" s="3129"/>
      <c r="G32" s="673">
        <f>SUM(G16:G31)</f>
        <v>76800000</v>
      </c>
      <c r="H32" s="673">
        <f>G32</f>
        <v>76800000</v>
      </c>
      <c r="I32" s="2147"/>
      <c r="J32" s="2147"/>
      <c r="K32" s="2147"/>
      <c r="L32" s="2156">
        <f>SUM(L16:L31)</f>
        <v>62400000</v>
      </c>
      <c r="M32" s="2156">
        <f>L32</f>
        <v>62400000</v>
      </c>
      <c r="N32" s="2156">
        <f>H32-M32</f>
        <v>14400000</v>
      </c>
    </row>
    <row r="33" spans="1:14" s="1991" customFormat="1">
      <c r="A33" s="3129" t="s">
        <v>131</v>
      </c>
      <c r="B33" s="3129"/>
      <c r="C33" s="3129"/>
      <c r="D33" s="3129"/>
      <c r="E33" s="3129"/>
      <c r="F33" s="3129"/>
      <c r="G33" s="303">
        <f>G32</f>
        <v>76800000</v>
      </c>
      <c r="H33" s="303">
        <f>SUM(H15:H32)</f>
        <v>76800000</v>
      </c>
      <c r="I33" s="2147"/>
      <c r="J33" s="2147"/>
      <c r="K33" s="2147"/>
      <c r="L33" s="2156">
        <f>L32</f>
        <v>62400000</v>
      </c>
      <c r="M33" s="2156">
        <f>M32</f>
        <v>62400000</v>
      </c>
      <c r="N33" s="2156">
        <f>H33-M33</f>
        <v>14400000</v>
      </c>
    </row>
    <row r="34" spans="1:14">
      <c r="A34" s="280"/>
      <c r="B34" s="304"/>
      <c r="C34" s="304"/>
      <c r="D34" s="304"/>
      <c r="E34" s="304"/>
      <c r="F34" s="304"/>
      <c r="G34" s="304"/>
    </row>
    <row r="35" spans="1:14">
      <c r="A35" s="327"/>
      <c r="B35" s="263"/>
      <c r="C35" s="263"/>
      <c r="D35" s="263"/>
      <c r="E35" s="263"/>
      <c r="F35" s="263"/>
      <c r="G35" s="263"/>
      <c r="H35" s="328"/>
    </row>
    <row r="36" spans="1:14">
      <c r="A36" s="2962"/>
      <c r="B36" s="2962"/>
      <c r="C36" s="949"/>
      <c r="D36" s="2962"/>
      <c r="E36" s="2962"/>
      <c r="F36" s="2962"/>
      <c r="G36" s="2962"/>
      <c r="H36" s="275"/>
    </row>
    <row r="37" spans="1:14">
      <c r="A37" s="2962"/>
      <c r="B37" s="2962"/>
      <c r="C37" s="949"/>
      <c r="D37" s="2962"/>
      <c r="E37" s="2962"/>
      <c r="F37" s="2962"/>
      <c r="G37" s="2962"/>
      <c r="H37" s="275"/>
    </row>
    <row r="38" spans="1:14">
      <c r="A38" s="306"/>
      <c r="B38" s="949"/>
      <c r="C38" s="949"/>
      <c r="D38" s="307"/>
      <c r="E38" s="308"/>
      <c r="F38" s="953"/>
      <c r="G38" s="308"/>
      <c r="H38" s="328"/>
    </row>
    <row r="39" spans="1:14">
      <c r="A39" s="306"/>
      <c r="B39" s="949"/>
      <c r="C39" s="949"/>
      <c r="D39" s="949"/>
      <c r="E39" s="308"/>
      <c r="F39" s="308"/>
      <c r="G39" s="308"/>
      <c r="H39" s="328"/>
    </row>
    <row r="40" spans="1:14">
      <c r="A40" s="306"/>
      <c r="B40" s="307"/>
      <c r="C40" s="307"/>
      <c r="D40" s="308"/>
      <c r="E40" s="308"/>
      <c r="F40" s="308"/>
      <c r="G40" s="308"/>
      <c r="H40" s="328"/>
    </row>
    <row r="41" spans="1:14">
      <c r="A41" s="306"/>
      <c r="B41" s="307"/>
      <c r="C41" s="307"/>
      <c r="D41" s="308"/>
      <c r="E41" s="308"/>
      <c r="F41" s="308"/>
      <c r="G41" s="308"/>
      <c r="H41" s="328"/>
    </row>
    <row r="42" spans="1:14">
      <c r="A42" s="2963"/>
      <c r="B42" s="2963"/>
      <c r="C42" s="950"/>
      <c r="D42" s="2963"/>
      <c r="E42" s="2963"/>
      <c r="F42" s="2963"/>
      <c r="G42" s="2963"/>
      <c r="H42" s="432"/>
    </row>
    <row r="43" spans="1:14">
      <c r="A43" s="306"/>
      <c r="B43" s="949"/>
      <c r="C43" s="949"/>
      <c r="D43" s="2962"/>
      <c r="E43" s="2962"/>
      <c r="F43" s="2962"/>
      <c r="G43" s="2962"/>
      <c r="H43" s="328"/>
    </row>
    <row r="44" spans="1:14" ht="15.75">
      <c r="A44" s="358"/>
      <c r="B44" s="324"/>
      <c r="C44" s="324"/>
      <c r="D44" s="324"/>
      <c r="E44" s="325"/>
      <c r="F44" s="325"/>
      <c r="G44" s="326"/>
    </row>
    <row r="45" spans="1:14">
      <c r="A45" s="368"/>
    </row>
    <row r="46" spans="1:14">
      <c r="A46" s="368"/>
    </row>
    <row r="47" spans="1:14">
      <c r="A47" s="368"/>
    </row>
  </sheetData>
  <customSheetViews>
    <customSheetView guid="{0F09EDAE-127A-4543-88A5-04139BD32AD8}" showPageBreaks="1" fitToPage="1" printArea="1">
      <selection activeCell="H46" sqref="A1:H46"/>
      <pageMargins left="0.70866141732283472" right="0.70866141732283472" top="0.74803149606299213" bottom="0.74803149606299213" header="0.31496062992125984" footer="0.31496062992125984"/>
      <printOptions horizontalCentered="1"/>
      <pageSetup paperSize="5" scale="99" fitToHeight="0" orientation="portrait" r:id="rId1"/>
    </customSheetView>
    <customSheetView guid="{C05430D3-5A25-4A4C-823C-7D6EA772E5F0}" showPageBreaks="1" fitToPage="1" printArea="1">
      <selection activeCell="H46" sqref="A1:H46"/>
      <pageMargins left="0.70866141732283472" right="0.70866141732283472" top="0.74803149606299213" bottom="0.74803149606299213" header="0.31496062992125984" footer="0.31496062992125984"/>
      <printOptions horizontalCentered="1"/>
      <pageSetup paperSize="5" fitToHeight="0" orientation="portrait" r:id="rId2"/>
    </customSheetView>
  </customSheetViews>
  <mergeCells count="46">
    <mergeCell ref="N11:N14"/>
    <mergeCell ref="B28:C28"/>
    <mergeCell ref="B29:C29"/>
    <mergeCell ref="B30:C30"/>
    <mergeCell ref="B31:C31"/>
    <mergeCell ref="B18:C18"/>
    <mergeCell ref="B23:C23"/>
    <mergeCell ref="B24:C24"/>
    <mergeCell ref="B25:C25"/>
    <mergeCell ref="B26:C26"/>
    <mergeCell ref="B27:C27"/>
    <mergeCell ref="B17:C17"/>
    <mergeCell ref="B19:C19"/>
    <mergeCell ref="B20:C20"/>
    <mergeCell ref="B21:C21"/>
    <mergeCell ref="B22:C22"/>
    <mergeCell ref="A11:A14"/>
    <mergeCell ref="B15:C15"/>
    <mergeCell ref="B16:C16"/>
    <mergeCell ref="I12:I14"/>
    <mergeCell ref="J12:J14"/>
    <mergeCell ref="F12:F14"/>
    <mergeCell ref="D11:H11"/>
    <mergeCell ref="D36:G36"/>
    <mergeCell ref="D37:G37"/>
    <mergeCell ref="I11:M11"/>
    <mergeCell ref="B11:C14"/>
    <mergeCell ref="K12:K14"/>
    <mergeCell ref="L12:L14"/>
    <mergeCell ref="M12:M14"/>
    <mergeCell ref="D42:G42"/>
    <mergeCell ref="A1:H1"/>
    <mergeCell ref="D43:G43"/>
    <mergeCell ref="A33:F33"/>
    <mergeCell ref="A36:B36"/>
    <mergeCell ref="A37:B37"/>
    <mergeCell ref="A42:B42"/>
    <mergeCell ref="A2:H2"/>
    <mergeCell ref="D10:E10"/>
    <mergeCell ref="G12:G14"/>
    <mergeCell ref="H12:H14"/>
    <mergeCell ref="A32:F32"/>
    <mergeCell ref="D12:D14"/>
    <mergeCell ref="E12:E14"/>
    <mergeCell ref="A3:H3"/>
    <mergeCell ref="A10:B10"/>
  </mergeCells>
  <printOptions horizontalCentered="1"/>
  <pageMargins left="0.70866141732283472" right="0.70866141732283472" top="0.74803149606299213" bottom="0.74803149606299213" header="0.31496062992125984" footer="0.31496062992125984"/>
  <pageSetup paperSize="5" fitToHeight="0" orientation="portrait" r:id="rId3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</sheetPr>
  <dimension ref="A1:M40"/>
  <sheetViews>
    <sheetView tabSelected="1" topLeftCell="A10" workbookViewId="0">
      <selection activeCell="J13" sqref="J13"/>
    </sheetView>
  </sheetViews>
  <sheetFormatPr defaultColWidth="9.140625" defaultRowHeight="15"/>
  <cols>
    <col min="1" max="1" width="4.7109375" style="350" customWidth="1"/>
    <col min="2" max="2" width="35.5703125" style="328" customWidth="1"/>
    <col min="3" max="3" width="3.28515625" style="328" customWidth="1"/>
    <col min="4" max="4" width="8.28515625" style="328" customWidth="1"/>
    <col min="5" max="5" width="8.85546875" style="328" customWidth="1"/>
    <col min="6" max="6" width="11.85546875" style="328" customWidth="1"/>
    <col min="7" max="7" width="13" style="328" customWidth="1"/>
    <col min="8" max="8" width="14.5703125" style="328" customWidth="1"/>
    <col min="9" max="9" width="9.140625" style="328"/>
    <col min="10" max="10" width="16.140625" style="328" customWidth="1"/>
    <col min="11" max="11" width="17.85546875" style="328" customWidth="1"/>
    <col min="12" max="12" width="12" style="328" customWidth="1"/>
    <col min="13" max="13" width="10.85546875" style="328" customWidth="1"/>
    <col min="14" max="14" width="11.28515625" style="328" customWidth="1"/>
    <col min="15" max="15" width="12.140625" style="328" bestFit="1" customWidth="1"/>
    <col min="16" max="16384" width="9.140625" style="328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/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 ht="15" customHeight="1">
      <c r="A8" s="278" t="s">
        <v>1428</v>
      </c>
      <c r="B8" s="279"/>
      <c r="C8" s="281"/>
      <c r="D8" s="279"/>
      <c r="E8" s="279"/>
      <c r="F8" s="279"/>
      <c r="G8" s="351"/>
      <c r="H8" s="351"/>
    </row>
    <row r="9" spans="1:8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3147" t="s">
        <v>110</v>
      </c>
      <c r="B11" s="3147"/>
      <c r="C11" s="281" t="s">
        <v>46</v>
      </c>
      <c r="D11" s="3140">
        <f>H20</f>
        <v>0</v>
      </c>
      <c r="E11" s="3140"/>
      <c r="F11" s="619"/>
      <c r="G11" s="282"/>
      <c r="H11" s="282"/>
    </row>
    <row r="12" spans="1:8" ht="15" customHeight="1">
      <c r="A12" s="3148" t="s">
        <v>111</v>
      </c>
      <c r="B12" s="3151" t="s">
        <v>1</v>
      </c>
      <c r="C12" s="3152"/>
      <c r="D12" s="3148" t="s">
        <v>60</v>
      </c>
      <c r="E12" s="3148" t="s">
        <v>97</v>
      </c>
      <c r="F12" s="3148" t="s">
        <v>112</v>
      </c>
      <c r="G12" s="3148" t="s">
        <v>113</v>
      </c>
      <c r="H12" s="3148" t="s">
        <v>114</v>
      </c>
    </row>
    <row r="13" spans="1:8">
      <c r="A13" s="3149"/>
      <c r="B13" s="3153"/>
      <c r="C13" s="3154"/>
      <c r="D13" s="3149"/>
      <c r="E13" s="3149"/>
      <c r="F13" s="3149"/>
      <c r="G13" s="3149"/>
      <c r="H13" s="3149"/>
    </row>
    <row r="14" spans="1:8">
      <c r="A14" s="3150"/>
      <c r="B14" s="3155"/>
      <c r="C14" s="3156"/>
      <c r="D14" s="3150"/>
      <c r="E14" s="3150"/>
      <c r="F14" s="3150"/>
      <c r="G14" s="3150"/>
      <c r="H14" s="3150"/>
    </row>
    <row r="15" spans="1:8">
      <c r="A15" s="330">
        <v>1</v>
      </c>
      <c r="B15" s="342" t="s">
        <v>1188</v>
      </c>
      <c r="C15" s="265"/>
      <c r="D15" s="266"/>
      <c r="E15" s="267"/>
      <c r="F15" s="268"/>
      <c r="G15" s="331"/>
      <c r="H15" s="332"/>
    </row>
    <row r="16" spans="1:8">
      <c r="A16" s="333">
        <v>1.1000000000000001</v>
      </c>
      <c r="B16" s="334" t="s">
        <v>1196</v>
      </c>
      <c r="C16" s="269"/>
      <c r="D16" s="335"/>
      <c r="E16" s="336" t="s">
        <v>104</v>
      </c>
      <c r="F16" s="337">
        <v>12000000</v>
      </c>
      <c r="G16" s="270">
        <f>+F16*D16</f>
        <v>0</v>
      </c>
      <c r="H16" s="271"/>
    </row>
    <row r="17" spans="1:13">
      <c r="A17" s="333">
        <v>1.2</v>
      </c>
      <c r="B17" s="334" t="s">
        <v>1196</v>
      </c>
      <c r="C17" s="269"/>
      <c r="D17" s="335"/>
      <c r="E17" s="336" t="s">
        <v>104</v>
      </c>
      <c r="F17" s="337">
        <v>8000000</v>
      </c>
      <c r="G17" s="270">
        <f>+F17*D17</f>
        <v>0</v>
      </c>
      <c r="H17" s="271"/>
    </row>
    <row r="18" spans="1:13">
      <c r="A18" s="333">
        <v>1.3</v>
      </c>
      <c r="B18" s="340" t="s">
        <v>1426</v>
      </c>
      <c r="C18" s="269"/>
      <c r="D18" s="335"/>
      <c r="E18" s="336" t="s">
        <v>104</v>
      </c>
      <c r="F18" s="337">
        <v>750000</v>
      </c>
      <c r="G18" s="270">
        <f>+F18*D18</f>
        <v>0</v>
      </c>
      <c r="H18" s="271"/>
    </row>
    <row r="19" spans="1:13">
      <c r="A19" s="3225" t="s">
        <v>161</v>
      </c>
      <c r="B19" s="3226"/>
      <c r="C19" s="3226"/>
      <c r="D19" s="3226"/>
      <c r="E19" s="3226"/>
      <c r="F19" s="3227"/>
      <c r="G19" s="272">
        <f>SUM(G16:G18)</f>
        <v>0</v>
      </c>
      <c r="H19" s="273">
        <f>G19</f>
        <v>0</v>
      </c>
      <c r="K19" s="338"/>
      <c r="L19" s="339"/>
    </row>
    <row r="20" spans="1:13">
      <c r="A20" s="3228" t="s">
        <v>131</v>
      </c>
      <c r="B20" s="3229"/>
      <c r="C20" s="3229"/>
      <c r="D20" s="3229"/>
      <c r="E20" s="3229"/>
      <c r="F20" s="3229"/>
      <c r="G20" s="343">
        <f>H20</f>
        <v>0</v>
      </c>
      <c r="H20" s="344">
        <f>SUM(H16:H19)</f>
        <v>0</v>
      </c>
    </row>
    <row r="21" spans="1:13">
      <c r="A21" s="329"/>
      <c r="B21" s="274"/>
      <c r="C21" s="274"/>
      <c r="D21" s="274"/>
      <c r="E21" s="274"/>
      <c r="F21" s="274"/>
      <c r="G21" s="274"/>
      <c r="J21" s="345"/>
      <c r="M21" s="328" t="s">
        <v>21</v>
      </c>
    </row>
    <row r="22" spans="1:13">
      <c r="A22" s="327"/>
      <c r="B22" s="263"/>
      <c r="C22" s="263"/>
      <c r="D22" s="263"/>
      <c r="E22" s="263"/>
      <c r="F22" s="263"/>
      <c r="G22" s="263"/>
      <c r="I22" s="338"/>
      <c r="J22" s="339">
        <v>1000000</v>
      </c>
    </row>
    <row r="23" spans="1:13">
      <c r="A23" s="2962"/>
      <c r="B23" s="2962"/>
      <c r="C23" s="949"/>
      <c r="D23" s="2962"/>
      <c r="E23" s="2962"/>
      <c r="F23" s="2962"/>
      <c r="G23" s="2962"/>
      <c r="H23" s="275"/>
    </row>
    <row r="24" spans="1:13">
      <c r="A24" s="2962"/>
      <c r="B24" s="2962"/>
      <c r="C24" s="949"/>
      <c r="D24" s="2962"/>
      <c r="E24" s="2962"/>
      <c r="F24" s="2962"/>
      <c r="G24" s="2962"/>
      <c r="H24" s="275"/>
    </row>
    <row r="25" spans="1:13">
      <c r="A25" s="306"/>
      <c r="B25" s="949"/>
      <c r="C25" s="949"/>
      <c r="D25" s="307"/>
      <c r="E25" s="308"/>
      <c r="F25" s="953"/>
      <c r="G25" s="308"/>
      <c r="J25" s="328" t="s">
        <v>1427</v>
      </c>
    </row>
    <row r="26" spans="1:13">
      <c r="A26" s="306"/>
      <c r="B26" s="949"/>
      <c r="C26" s="949"/>
      <c r="D26" s="949"/>
      <c r="E26" s="308"/>
      <c r="F26" s="308"/>
      <c r="G26" s="308"/>
    </row>
    <row r="27" spans="1:13">
      <c r="A27" s="306"/>
      <c r="B27" s="307"/>
      <c r="C27" s="307"/>
      <c r="D27" s="308"/>
      <c r="E27" s="308"/>
      <c r="F27" s="308"/>
      <c r="G27" s="308"/>
      <c r="K27" s="328">
        <f>90*25</f>
        <v>2250</v>
      </c>
    </row>
    <row r="28" spans="1:13">
      <c r="A28" s="306"/>
      <c r="B28" s="307"/>
      <c r="C28" s="307"/>
      <c r="D28" s="308"/>
      <c r="E28" s="308"/>
      <c r="F28" s="308"/>
      <c r="G28" s="308"/>
    </row>
    <row r="29" spans="1:13">
      <c r="A29" s="2963"/>
      <c r="B29" s="2963"/>
      <c r="C29" s="950"/>
      <c r="D29" s="2963"/>
      <c r="E29" s="2963"/>
      <c r="F29" s="2963"/>
      <c r="G29" s="2963"/>
      <c r="H29" s="432"/>
    </row>
    <row r="30" spans="1:13">
      <c r="A30" s="306"/>
      <c r="B30" s="949"/>
      <c r="C30" s="949"/>
      <c r="D30" s="2962"/>
      <c r="E30" s="2962"/>
      <c r="F30" s="2962"/>
      <c r="G30" s="2962"/>
      <c r="J30" s="328" t="s">
        <v>21</v>
      </c>
    </row>
    <row r="31" spans="1:13" ht="15.75">
      <c r="A31" s="346"/>
      <c r="B31" s="347"/>
      <c r="C31" s="347"/>
      <c r="D31" s="347"/>
      <c r="E31" s="348"/>
      <c r="F31" s="348"/>
      <c r="G31" s="349"/>
      <c r="K31" s="328" t="s">
        <v>21</v>
      </c>
    </row>
    <row r="36" spans="9:12">
      <c r="I36" s="338"/>
      <c r="J36" s="339">
        <v>1500000</v>
      </c>
      <c r="L36" s="328" t="s">
        <v>21</v>
      </c>
    </row>
    <row r="37" spans="9:12">
      <c r="J37" s="345"/>
    </row>
    <row r="38" spans="9:12">
      <c r="J38" s="341" t="e">
        <f>J36+J22+#REF!+L19+#REF!+#REF!</f>
        <v>#REF!</v>
      </c>
    </row>
    <row r="39" spans="9:12">
      <c r="J39" s="341">
        <v>76870</v>
      </c>
    </row>
    <row r="40" spans="9:12">
      <c r="J40" s="341" t="e">
        <f>J38+J39</f>
        <v>#REF!</v>
      </c>
    </row>
  </sheetData>
  <customSheetViews>
    <customSheetView guid="{0F09EDAE-127A-4543-88A5-04139BD32AD8}" scale="145" showPageBreaks="1" printArea="1" topLeftCell="A7">
      <selection activeCell="I24" sqref="I24"/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1"/>
    </customSheetView>
    <customSheetView guid="{C05430D3-5A25-4A4C-823C-7D6EA772E5F0}" scale="145" showPageBreaks="1" printArea="1" topLeftCell="A7">
      <selection activeCell="I24" sqref="I24"/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2"/>
    </customSheetView>
  </customSheetViews>
  <mergeCells count="21">
    <mergeCell ref="H12:H14"/>
    <mergeCell ref="A3:H3"/>
    <mergeCell ref="A11:B11"/>
    <mergeCell ref="A12:A14"/>
    <mergeCell ref="B12:C14"/>
    <mergeCell ref="D23:G23"/>
    <mergeCell ref="D24:G24"/>
    <mergeCell ref="D29:G29"/>
    <mergeCell ref="A1:H1"/>
    <mergeCell ref="D30:G30"/>
    <mergeCell ref="A23:B23"/>
    <mergeCell ref="A24:B24"/>
    <mergeCell ref="A29:B29"/>
    <mergeCell ref="A19:F19"/>
    <mergeCell ref="A20:F20"/>
    <mergeCell ref="A2:H2"/>
    <mergeCell ref="D11:E11"/>
    <mergeCell ref="D12:D14"/>
    <mergeCell ref="E12:E14"/>
    <mergeCell ref="F12:F14"/>
    <mergeCell ref="G12:G14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0" orientation="portrait" r:id="rId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N31"/>
  <sheetViews>
    <sheetView workbookViewId="0">
      <selection sqref="A1:N1"/>
    </sheetView>
  </sheetViews>
  <sheetFormatPr defaultColWidth="9.140625" defaultRowHeight="15"/>
  <cols>
    <col min="1" max="1" width="4.7109375" style="264" customWidth="1"/>
    <col min="2" max="2" width="26.8554687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13" style="264" customWidth="1"/>
    <col min="8" max="8" width="14.5703125" style="264" customWidth="1"/>
    <col min="9" max="9" width="8.28515625" style="264" customWidth="1"/>
    <col min="10" max="10" width="8.85546875" style="264" customWidth="1"/>
    <col min="11" max="11" width="10.7109375" style="264" customWidth="1"/>
    <col min="12" max="12" width="13" style="264" customWidth="1"/>
    <col min="13" max="13" width="14.5703125" style="264" customWidth="1"/>
    <col min="14" max="14" width="12.85546875" style="264" customWidth="1"/>
    <col min="15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 t="s">
        <v>1546</v>
      </c>
      <c r="L4" s="277" t="s">
        <v>1547</v>
      </c>
      <c r="M4" s="277"/>
    </row>
    <row r="5" spans="1:14">
      <c r="A5" s="278"/>
      <c r="B5" s="279"/>
      <c r="C5" s="281"/>
      <c r="D5" s="279"/>
      <c r="E5" s="279"/>
      <c r="F5" s="947"/>
      <c r="G5" s="279"/>
      <c r="I5" s="279"/>
      <c r="J5" s="279"/>
      <c r="K5" s="2316" t="s">
        <v>66</v>
      </c>
      <c r="L5" s="279" t="s">
        <v>1526</v>
      </c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 t="s">
        <v>96</v>
      </c>
      <c r="L6" s="3224" t="s">
        <v>1548</v>
      </c>
      <c r="M6" s="3224"/>
      <c r="N6" s="3224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224"/>
      <c r="M7" s="3224"/>
      <c r="N7" s="3224"/>
    </row>
    <row r="8" spans="1:14" ht="15" customHeight="1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</row>
    <row r="9" spans="1:14">
      <c r="F9" s="279"/>
      <c r="G9" s="279"/>
      <c r="H9" s="279"/>
      <c r="I9" s="279"/>
      <c r="J9" s="279"/>
      <c r="K9" s="279"/>
      <c r="L9" s="279"/>
      <c r="M9" s="279"/>
    </row>
    <row r="10" spans="1:14">
      <c r="A10" s="2980" t="s">
        <v>110</v>
      </c>
      <c r="B10" s="2980"/>
      <c r="C10" s="281" t="s">
        <v>46</v>
      </c>
      <c r="D10" s="2988">
        <f>M21</f>
        <v>0</v>
      </c>
      <c r="E10" s="2988"/>
      <c r="F10" s="279"/>
      <c r="G10" s="279"/>
      <c r="H10" s="279"/>
      <c r="I10" s="279"/>
      <c r="J10" s="279"/>
      <c r="K10" s="279"/>
      <c r="L10" s="279"/>
      <c r="M10" s="279"/>
    </row>
    <row r="11" spans="1:14" ht="15" customHeight="1">
      <c r="A11" s="3141" t="s">
        <v>1545</v>
      </c>
      <c r="B11" s="3144" t="s">
        <v>1350</v>
      </c>
      <c r="C11" s="3230"/>
      <c r="D11" s="3126" t="s">
        <v>1523</v>
      </c>
      <c r="E11" s="3126"/>
      <c r="F11" s="3126"/>
      <c r="G11" s="3126"/>
      <c r="H11" s="3126"/>
      <c r="I11" s="3125" t="s">
        <v>1544</v>
      </c>
      <c r="J11" s="3125"/>
      <c r="K11" s="3125"/>
      <c r="L11" s="3125"/>
      <c r="M11" s="3125"/>
      <c r="N11" s="3124" t="s">
        <v>1541</v>
      </c>
    </row>
    <row r="12" spans="1:14" ht="15" customHeight="1">
      <c r="A12" s="3142"/>
      <c r="B12" s="3145"/>
      <c r="C12" s="3231"/>
      <c r="D12" s="3127" t="s">
        <v>60</v>
      </c>
      <c r="E12" s="3127" t="s">
        <v>97</v>
      </c>
      <c r="F12" s="3127" t="s">
        <v>112</v>
      </c>
      <c r="G12" s="3127" t="s">
        <v>113</v>
      </c>
      <c r="H12" s="3127" t="s">
        <v>114</v>
      </c>
      <c r="I12" s="3127" t="s">
        <v>60</v>
      </c>
      <c r="J12" s="3127" t="s">
        <v>97</v>
      </c>
      <c r="K12" s="3127" t="s">
        <v>112</v>
      </c>
      <c r="L12" s="3127" t="s">
        <v>113</v>
      </c>
      <c r="M12" s="3127" t="s">
        <v>114</v>
      </c>
      <c r="N12" s="3124"/>
    </row>
    <row r="13" spans="1:14">
      <c r="A13" s="3142"/>
      <c r="B13" s="3145"/>
      <c r="C13" s="3231"/>
      <c r="D13" s="3127"/>
      <c r="E13" s="3127"/>
      <c r="F13" s="3127"/>
      <c r="G13" s="3127"/>
      <c r="H13" s="3127"/>
      <c r="I13" s="3127"/>
      <c r="J13" s="3127"/>
      <c r="K13" s="3127"/>
      <c r="L13" s="3127"/>
      <c r="M13" s="3127"/>
      <c r="N13" s="3124"/>
    </row>
    <row r="14" spans="1:14">
      <c r="A14" s="3143"/>
      <c r="B14" s="3146"/>
      <c r="C14" s="3232"/>
      <c r="D14" s="3127"/>
      <c r="E14" s="3127"/>
      <c r="F14" s="3127"/>
      <c r="G14" s="3127"/>
      <c r="H14" s="3127"/>
      <c r="I14" s="3127"/>
      <c r="J14" s="3127"/>
      <c r="K14" s="3127"/>
      <c r="L14" s="3127"/>
      <c r="M14" s="3127"/>
      <c r="N14" s="3124"/>
    </row>
    <row r="15" spans="1:14">
      <c r="A15" s="353">
        <v>1</v>
      </c>
      <c r="B15" s="3220" t="s">
        <v>568</v>
      </c>
      <c r="C15" s="3221"/>
      <c r="D15" s="2270"/>
      <c r="E15" s="356"/>
      <c r="F15" s="355"/>
      <c r="G15" s="298"/>
      <c r="H15" s="298"/>
      <c r="I15" s="2270"/>
      <c r="J15" s="356"/>
      <c r="K15" s="355"/>
      <c r="L15" s="298"/>
      <c r="M15" s="298"/>
      <c r="N15" s="298"/>
    </row>
    <row r="16" spans="1:14">
      <c r="A16" s="2271" t="s">
        <v>115</v>
      </c>
      <c r="B16" s="3216" t="s">
        <v>256</v>
      </c>
      <c r="C16" s="3217"/>
      <c r="D16" s="2317">
        <v>20</v>
      </c>
      <c r="E16" s="2318" t="s">
        <v>255</v>
      </c>
      <c r="F16" s="2276">
        <v>25000</v>
      </c>
      <c r="G16" s="2276">
        <f>+F16*D16</f>
        <v>500000</v>
      </c>
      <c r="H16" s="2276"/>
      <c r="I16" s="2317"/>
      <c r="J16" s="2318" t="s">
        <v>255</v>
      </c>
      <c r="K16" s="2276">
        <v>25000</v>
      </c>
      <c r="L16" s="2276">
        <f>+K16*I16</f>
        <v>0</v>
      </c>
      <c r="M16" s="2276"/>
      <c r="N16" s="2276">
        <f>G16-L16</f>
        <v>500000</v>
      </c>
    </row>
    <row r="17" spans="1:14">
      <c r="A17" s="2277" t="s">
        <v>117</v>
      </c>
      <c r="B17" s="3218" t="s">
        <v>257</v>
      </c>
      <c r="C17" s="3219"/>
      <c r="D17" s="2319">
        <v>300</v>
      </c>
      <c r="E17" s="2320" t="s">
        <v>148</v>
      </c>
      <c r="F17" s="2282">
        <v>8000</v>
      </c>
      <c r="G17" s="2282">
        <f>+F17*D17</f>
        <v>2400000</v>
      </c>
      <c r="H17" s="2282"/>
      <c r="I17" s="2319"/>
      <c r="J17" s="2320" t="s">
        <v>148</v>
      </c>
      <c r="K17" s="2282">
        <v>8000</v>
      </c>
      <c r="L17" s="2282">
        <f>+K17*I17</f>
        <v>0</v>
      </c>
      <c r="M17" s="2282"/>
      <c r="N17" s="2282">
        <f t="shared" ref="N17:N21" si="0">G17-L17</f>
        <v>2400000</v>
      </c>
    </row>
    <row r="18" spans="1:14">
      <c r="A18" s="2277" t="s">
        <v>118</v>
      </c>
      <c r="B18" s="3218" t="s">
        <v>249</v>
      </c>
      <c r="C18" s="3219"/>
      <c r="D18" s="2319">
        <v>180</v>
      </c>
      <c r="E18" s="2320" t="s">
        <v>148</v>
      </c>
      <c r="F18" s="2282">
        <v>20000</v>
      </c>
      <c r="G18" s="2282">
        <f>+F18*D18</f>
        <v>3600000</v>
      </c>
      <c r="H18" s="2282"/>
      <c r="I18" s="2319"/>
      <c r="J18" s="2320" t="s">
        <v>148</v>
      </c>
      <c r="K18" s="2282">
        <v>20000</v>
      </c>
      <c r="L18" s="2282">
        <f>+K18*I18</f>
        <v>0</v>
      </c>
      <c r="M18" s="2282"/>
      <c r="N18" s="2282">
        <f t="shared" si="0"/>
        <v>3600000</v>
      </c>
    </row>
    <row r="19" spans="1:14">
      <c r="A19" s="2283"/>
      <c r="B19" s="3222"/>
      <c r="C19" s="3223"/>
      <c r="D19" s="2285"/>
      <c r="E19" s="2286"/>
      <c r="F19" s="2287"/>
      <c r="G19" s="2288"/>
      <c r="H19" s="2288"/>
      <c r="I19" s="2285"/>
      <c r="J19" s="2286"/>
      <c r="K19" s="2287"/>
      <c r="L19" s="2288"/>
      <c r="M19" s="2288"/>
      <c r="N19" s="2288">
        <f t="shared" si="0"/>
        <v>0</v>
      </c>
    </row>
    <row r="20" spans="1:14" s="1991" customFormat="1">
      <c r="A20" s="3129" t="s">
        <v>98</v>
      </c>
      <c r="B20" s="3129"/>
      <c r="C20" s="3129"/>
      <c r="D20" s="3129"/>
      <c r="E20" s="3129"/>
      <c r="F20" s="3129"/>
      <c r="G20" s="673">
        <f>SUM(G16:G18)</f>
        <v>6500000</v>
      </c>
      <c r="H20" s="673">
        <f>G20</f>
        <v>6500000</v>
      </c>
      <c r="I20" s="2147"/>
      <c r="J20" s="2147"/>
      <c r="K20" s="2147"/>
      <c r="L20" s="673">
        <f>SUM(L16:L18)</f>
        <v>0</v>
      </c>
      <c r="M20" s="673">
        <f>L20</f>
        <v>0</v>
      </c>
      <c r="N20" s="673">
        <f t="shared" si="0"/>
        <v>6500000</v>
      </c>
    </row>
    <row r="21" spans="1:14">
      <c r="A21" s="3129" t="s">
        <v>131</v>
      </c>
      <c r="B21" s="3129"/>
      <c r="C21" s="3129"/>
      <c r="D21" s="3129"/>
      <c r="E21" s="3129"/>
      <c r="F21" s="3129"/>
      <c r="G21" s="303">
        <f>G20</f>
        <v>6500000</v>
      </c>
      <c r="H21" s="303">
        <f>SUM(H1:H20)</f>
        <v>6500000</v>
      </c>
      <c r="I21" s="62"/>
      <c r="J21" s="62"/>
      <c r="K21" s="62"/>
      <c r="L21" s="303">
        <f>L20</f>
        <v>0</v>
      </c>
      <c r="M21" s="303">
        <f>SUM(M1:M20)</f>
        <v>0</v>
      </c>
      <c r="N21" s="303">
        <f t="shared" si="0"/>
        <v>6500000</v>
      </c>
    </row>
    <row r="22" spans="1:14">
      <c r="A22" s="280"/>
      <c r="B22" s="304"/>
      <c r="C22" s="304"/>
      <c r="D22" s="304"/>
      <c r="E22" s="304"/>
      <c r="F22" s="304"/>
      <c r="G22" s="304"/>
      <c r="I22" s="304"/>
      <c r="J22" s="304"/>
      <c r="K22" s="304"/>
      <c r="L22" s="304"/>
    </row>
    <row r="23" spans="1:14">
      <c r="A23" s="327"/>
      <c r="B23" s="263"/>
      <c r="C23" s="263"/>
      <c r="D23" s="263"/>
      <c r="E23" s="263"/>
      <c r="F23" s="263"/>
      <c r="G23" s="263"/>
      <c r="H23" s="328"/>
      <c r="I23" s="263"/>
      <c r="J23" s="263"/>
      <c r="K23" s="263"/>
      <c r="L23" s="263"/>
      <c r="M23" s="328"/>
    </row>
    <row r="24" spans="1:14">
      <c r="A24" s="2962"/>
      <c r="B24" s="2962"/>
      <c r="C24" s="949"/>
      <c r="D24" s="2962"/>
      <c r="E24" s="2962"/>
      <c r="F24" s="2962"/>
      <c r="G24" s="2962"/>
      <c r="H24" s="275"/>
      <c r="I24" s="2962"/>
      <c r="J24" s="2962"/>
      <c r="K24" s="2962"/>
      <c r="L24" s="2962"/>
      <c r="M24" s="275"/>
    </row>
    <row r="25" spans="1:14">
      <c r="A25" s="2962"/>
      <c r="B25" s="2962"/>
      <c r="C25" s="949"/>
      <c r="D25" s="2962"/>
      <c r="E25" s="2962"/>
      <c r="F25" s="2962"/>
      <c r="G25" s="2962"/>
      <c r="H25" s="275"/>
      <c r="I25" s="2962"/>
      <c r="J25" s="2962"/>
      <c r="K25" s="2962"/>
      <c r="L25" s="2962"/>
      <c r="M25" s="275"/>
    </row>
    <row r="26" spans="1:14">
      <c r="A26" s="306"/>
      <c r="B26" s="949"/>
      <c r="C26" s="949"/>
      <c r="D26" s="307"/>
      <c r="E26" s="308"/>
      <c r="F26" s="953"/>
      <c r="G26" s="308"/>
      <c r="H26" s="328"/>
      <c r="I26" s="307"/>
      <c r="J26" s="308"/>
      <c r="K26" s="953"/>
      <c r="L26" s="308"/>
      <c r="M26" s="328"/>
    </row>
    <row r="27" spans="1:14">
      <c r="A27" s="306"/>
      <c r="B27" s="949"/>
      <c r="C27" s="949"/>
      <c r="D27" s="949"/>
      <c r="E27" s="308"/>
      <c r="F27" s="308"/>
      <c r="G27" s="308"/>
      <c r="H27" s="328"/>
      <c r="I27" s="2137"/>
      <c r="J27" s="308"/>
      <c r="K27" s="308"/>
      <c r="L27" s="308"/>
      <c r="M27" s="328"/>
    </row>
    <row r="28" spans="1:14">
      <c r="A28" s="306"/>
      <c r="B28" s="307"/>
      <c r="C28" s="307"/>
      <c r="D28" s="308"/>
      <c r="E28" s="308"/>
      <c r="F28" s="308"/>
      <c r="G28" s="308"/>
      <c r="H28" s="328"/>
      <c r="I28" s="308"/>
      <c r="J28" s="308"/>
      <c r="K28" s="308"/>
      <c r="L28" s="308"/>
      <c r="M28" s="328"/>
    </row>
    <row r="29" spans="1:14">
      <c r="A29" s="306"/>
      <c r="B29" s="307"/>
      <c r="C29" s="307"/>
      <c r="D29" s="308"/>
      <c r="E29" s="308"/>
      <c r="F29" s="308"/>
      <c r="G29" s="308"/>
      <c r="H29" s="328"/>
      <c r="I29" s="308"/>
      <c r="J29" s="308"/>
      <c r="K29" s="308"/>
      <c r="L29" s="308"/>
      <c r="M29" s="328"/>
    </row>
    <row r="30" spans="1:14">
      <c r="A30" s="2963"/>
      <c r="B30" s="2963"/>
      <c r="C30" s="950"/>
      <c r="D30" s="2963"/>
      <c r="E30" s="2963"/>
      <c r="F30" s="2963"/>
      <c r="G30" s="2963"/>
      <c r="H30" s="432"/>
      <c r="I30" s="2963"/>
      <c r="J30" s="2963"/>
      <c r="K30" s="2963"/>
      <c r="L30" s="2963"/>
      <c r="M30" s="432"/>
    </row>
    <row r="31" spans="1:14">
      <c r="A31" s="306"/>
      <c r="B31" s="949"/>
      <c r="C31" s="949"/>
      <c r="D31" s="2962"/>
      <c r="E31" s="2962"/>
      <c r="F31" s="2962"/>
      <c r="G31" s="2962"/>
      <c r="H31" s="328"/>
      <c r="I31" s="2962"/>
      <c r="J31" s="2962"/>
      <c r="K31" s="2962"/>
      <c r="L31" s="2962"/>
      <c r="M31" s="328"/>
    </row>
  </sheetData>
  <customSheetViews>
    <customSheetView guid="{0F09EDAE-127A-4543-88A5-04139BD32AD8}" scale="145" showPageBreaks="1" fitToPage="1" printArea="1" topLeftCell="A10">
      <selection activeCell="J23" sqref="J23"/>
      <pageMargins left="0.70866141732283472" right="0.70866141732283472" top="0.74803149606299213" bottom="0.74803149606299213" header="0.31496062992125984" footer="0.31496062992125984"/>
      <printOptions horizontalCentered="1"/>
      <pageSetup paperSize="5" fitToHeight="0" orientation="portrait" r:id="rId1"/>
    </customSheetView>
    <customSheetView guid="{C05430D3-5A25-4A4C-823C-7D6EA772E5F0}" scale="145" showPageBreaks="1" fitToPage="1" printArea="1" topLeftCell="A10">
      <selection activeCell="J23" sqref="J23"/>
      <pageMargins left="0.70866141732283472" right="0.70866141732283472" top="0.74803149606299213" bottom="0.74803149606299213" header="0.31496062992125984" footer="0.31496062992125984"/>
      <printOptions horizontalCentered="1"/>
      <pageSetup paperSize="5" fitToHeight="0" orientation="portrait" r:id="rId2"/>
    </customSheetView>
  </customSheetViews>
  <mergeCells count="39">
    <mergeCell ref="N11:N14"/>
    <mergeCell ref="L6:N7"/>
    <mergeCell ref="A1:N1"/>
    <mergeCell ref="A2:N2"/>
    <mergeCell ref="M12:M14"/>
    <mergeCell ref="I11:M11"/>
    <mergeCell ref="A3:H3"/>
    <mergeCell ref="A10:B10"/>
    <mergeCell ref="D10:E10"/>
    <mergeCell ref="H12:H14"/>
    <mergeCell ref="I24:L24"/>
    <mergeCell ref="I25:L25"/>
    <mergeCell ref="I30:L30"/>
    <mergeCell ref="I31:L31"/>
    <mergeCell ref="I12:I14"/>
    <mergeCell ref="J12:J14"/>
    <mergeCell ref="K12:K14"/>
    <mergeCell ref="L12:L14"/>
    <mergeCell ref="A25:B25"/>
    <mergeCell ref="A30:B30"/>
    <mergeCell ref="D31:G31"/>
    <mergeCell ref="D25:G25"/>
    <mergeCell ref="D30:G30"/>
    <mergeCell ref="A24:B24"/>
    <mergeCell ref="D12:D14"/>
    <mergeCell ref="E12:E14"/>
    <mergeCell ref="F12:F14"/>
    <mergeCell ref="A20:F20"/>
    <mergeCell ref="D24:G24"/>
    <mergeCell ref="B11:C14"/>
    <mergeCell ref="A11:A14"/>
    <mergeCell ref="B15:C15"/>
    <mergeCell ref="B16:C16"/>
    <mergeCell ref="B17:C17"/>
    <mergeCell ref="B18:C18"/>
    <mergeCell ref="A21:F21"/>
    <mergeCell ref="G12:G14"/>
    <mergeCell ref="D11:H11"/>
    <mergeCell ref="B19:C19"/>
  </mergeCells>
  <printOptions horizontalCentered="1"/>
  <pageMargins left="0.70866141732283472" right="0.70866141732283472" top="0.74803149606299213" bottom="0.74803149606299213" header="0.31496062992125984" footer="0.31496062992125984"/>
  <pageSetup paperSize="5" fitToHeight="0" orientation="portrait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N36"/>
  <sheetViews>
    <sheetView topLeftCell="A13" workbookViewId="0">
      <selection sqref="A1:N1"/>
    </sheetView>
  </sheetViews>
  <sheetFormatPr defaultColWidth="9.140625" defaultRowHeight="15"/>
  <cols>
    <col min="1" max="1" width="4.7109375" style="264" customWidth="1"/>
    <col min="2" max="2" width="46.14062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13" style="264" customWidth="1"/>
    <col min="8" max="8" width="14.5703125" style="264" customWidth="1"/>
    <col min="9" max="9" width="8.28515625" style="264" customWidth="1"/>
    <col min="10" max="10" width="8.85546875" style="264" customWidth="1"/>
    <col min="11" max="11" width="10.7109375" style="264" customWidth="1"/>
    <col min="12" max="12" width="13" style="264" customWidth="1"/>
    <col min="13" max="13" width="14.5703125" style="264" customWidth="1"/>
    <col min="14" max="14" width="18.42578125" style="264" bestFit="1" customWidth="1"/>
    <col min="15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 t="s">
        <v>1524</v>
      </c>
      <c r="L4" s="277" t="s">
        <v>1570</v>
      </c>
      <c r="M4" s="277"/>
    </row>
    <row r="5" spans="1:14">
      <c r="A5" s="278"/>
      <c r="B5" s="279"/>
      <c r="C5" s="281"/>
      <c r="D5" s="279"/>
      <c r="E5" s="279"/>
      <c r="F5" s="947"/>
      <c r="G5" s="279"/>
      <c r="I5" s="279"/>
      <c r="J5" s="279"/>
      <c r="K5" s="2391" t="s">
        <v>66</v>
      </c>
      <c r="L5" s="279" t="s">
        <v>1526</v>
      </c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 t="s">
        <v>1571</v>
      </c>
      <c r="L6" s="3224" t="s">
        <v>1572</v>
      </c>
      <c r="M6" s="3224"/>
      <c r="N6" s="3224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224"/>
      <c r="M7" s="3224"/>
      <c r="N7" s="3224"/>
    </row>
    <row r="8" spans="1:14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224"/>
      <c r="M8" s="3224"/>
      <c r="N8" s="3224"/>
    </row>
    <row r="9" spans="1:14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</row>
    <row r="10" spans="1:14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</row>
    <row r="11" spans="1:14">
      <c r="A11" s="2980" t="s">
        <v>110</v>
      </c>
      <c r="B11" s="2980"/>
      <c r="C11" s="281" t="s">
        <v>46</v>
      </c>
      <c r="D11" s="2988">
        <f>M26</f>
        <v>0</v>
      </c>
      <c r="E11" s="2988"/>
      <c r="F11" s="2136"/>
      <c r="G11" s="282"/>
      <c r="H11" s="282"/>
      <c r="I11" s="2988">
        <f>M26</f>
        <v>0</v>
      </c>
      <c r="J11" s="2988"/>
      <c r="K11" s="2136"/>
      <c r="L11" s="282"/>
      <c r="M11" s="282"/>
    </row>
    <row r="12" spans="1:14">
      <c r="A12" s="3127" t="s">
        <v>1545</v>
      </c>
      <c r="B12" s="3144" t="s">
        <v>1350</v>
      </c>
      <c r="C12" s="3230"/>
      <c r="D12" s="3125" t="s">
        <v>1523</v>
      </c>
      <c r="E12" s="3125"/>
      <c r="F12" s="3125"/>
      <c r="G12" s="3125"/>
      <c r="H12" s="3125"/>
      <c r="I12" s="3125" t="s">
        <v>1522</v>
      </c>
      <c r="J12" s="3125"/>
      <c r="K12" s="3125"/>
      <c r="L12" s="3125"/>
      <c r="M12" s="3125"/>
      <c r="N12" s="3124" t="s">
        <v>1549</v>
      </c>
    </row>
    <row r="13" spans="1:14" ht="15" customHeight="1">
      <c r="A13" s="3127"/>
      <c r="B13" s="3145"/>
      <c r="C13" s="3231"/>
      <c r="D13" s="3127" t="s">
        <v>60</v>
      </c>
      <c r="E13" s="3127" t="s">
        <v>97</v>
      </c>
      <c r="F13" s="3127" t="s">
        <v>112</v>
      </c>
      <c r="G13" s="3127" t="s">
        <v>113</v>
      </c>
      <c r="H13" s="3127" t="s">
        <v>114</v>
      </c>
      <c r="I13" s="3127" t="s">
        <v>60</v>
      </c>
      <c r="J13" s="3127" t="s">
        <v>97</v>
      </c>
      <c r="K13" s="3127" t="s">
        <v>112</v>
      </c>
      <c r="L13" s="3127" t="s">
        <v>113</v>
      </c>
      <c r="M13" s="3127" t="s">
        <v>114</v>
      </c>
      <c r="N13" s="3124"/>
    </row>
    <row r="14" spans="1:14">
      <c r="A14" s="3127"/>
      <c r="B14" s="3145"/>
      <c r="C14" s="3231"/>
      <c r="D14" s="3127"/>
      <c r="E14" s="3127"/>
      <c r="F14" s="3127"/>
      <c r="G14" s="3127"/>
      <c r="H14" s="3127"/>
      <c r="I14" s="3127"/>
      <c r="J14" s="3127"/>
      <c r="K14" s="3127"/>
      <c r="L14" s="3127"/>
      <c r="M14" s="3127"/>
      <c r="N14" s="3124"/>
    </row>
    <row r="15" spans="1:14">
      <c r="A15" s="3127"/>
      <c r="B15" s="3146"/>
      <c r="C15" s="3232"/>
      <c r="D15" s="3127"/>
      <c r="E15" s="3127"/>
      <c r="F15" s="3127"/>
      <c r="G15" s="3127"/>
      <c r="H15" s="3127"/>
      <c r="I15" s="3127"/>
      <c r="J15" s="3127"/>
      <c r="K15" s="3127"/>
      <c r="L15" s="3127"/>
      <c r="M15" s="3127"/>
      <c r="N15" s="3124"/>
    </row>
    <row r="16" spans="1:14">
      <c r="A16" s="353">
        <v>1</v>
      </c>
      <c r="B16" s="3236" t="s">
        <v>868</v>
      </c>
      <c r="C16" s="3236"/>
      <c r="D16" s="298"/>
      <c r="E16" s="354"/>
      <c r="F16" s="298"/>
      <c r="G16" s="62"/>
      <c r="H16" s="62"/>
      <c r="I16" s="298"/>
      <c r="J16" s="354"/>
      <c r="K16" s="298"/>
      <c r="L16" s="62"/>
      <c r="M16" s="62"/>
      <c r="N16" s="62"/>
    </row>
    <row r="17" spans="1:14">
      <c r="A17" s="2271" t="s">
        <v>115</v>
      </c>
      <c r="B17" s="3233" t="s">
        <v>176</v>
      </c>
      <c r="C17" s="3233"/>
      <c r="D17" s="2276">
        <v>3</v>
      </c>
      <c r="E17" s="2272" t="s">
        <v>116</v>
      </c>
      <c r="F17" s="2276">
        <v>150000</v>
      </c>
      <c r="G17" s="2276">
        <f>+F17*D17</f>
        <v>450000</v>
      </c>
      <c r="H17" s="2276"/>
      <c r="I17" s="2276"/>
      <c r="J17" s="2272" t="s">
        <v>116</v>
      </c>
      <c r="K17" s="2276">
        <v>150000</v>
      </c>
      <c r="L17" s="2276">
        <f>+K17*I17</f>
        <v>0</v>
      </c>
      <c r="M17" s="2276"/>
      <c r="N17" s="2306">
        <f>G17-L17</f>
        <v>450000</v>
      </c>
    </row>
    <row r="18" spans="1:14">
      <c r="A18" s="2277" t="s">
        <v>117</v>
      </c>
      <c r="B18" s="3237" t="s">
        <v>177</v>
      </c>
      <c r="C18" s="3237"/>
      <c r="D18" s="2282">
        <v>3</v>
      </c>
      <c r="E18" s="2278" t="s">
        <v>116</v>
      </c>
      <c r="F18" s="2282">
        <v>125000</v>
      </c>
      <c r="G18" s="2282">
        <f>+F18*D18</f>
        <v>375000</v>
      </c>
      <c r="H18" s="2282"/>
      <c r="I18" s="2282"/>
      <c r="J18" s="2278" t="s">
        <v>116</v>
      </c>
      <c r="K18" s="2282">
        <v>125000</v>
      </c>
      <c r="L18" s="2282">
        <f>+K18*I18</f>
        <v>0</v>
      </c>
      <c r="M18" s="2282"/>
      <c r="N18" s="2301">
        <f t="shared" ref="N18:N25" si="0">G18-L18</f>
        <v>375000</v>
      </c>
    </row>
    <row r="19" spans="1:14">
      <c r="A19" s="2277" t="s">
        <v>118</v>
      </c>
      <c r="B19" s="3237" t="s">
        <v>178</v>
      </c>
      <c r="C19" s="3237"/>
      <c r="D19" s="2282">
        <v>3</v>
      </c>
      <c r="E19" s="2278" t="s">
        <v>116</v>
      </c>
      <c r="F19" s="2282">
        <v>110000</v>
      </c>
      <c r="G19" s="2282">
        <f>+F19*D19</f>
        <v>330000</v>
      </c>
      <c r="H19" s="2282"/>
      <c r="I19" s="2282"/>
      <c r="J19" s="2278" t="s">
        <v>116</v>
      </c>
      <c r="K19" s="2282">
        <v>110000</v>
      </c>
      <c r="L19" s="2282">
        <f>+K19*I19</f>
        <v>0</v>
      </c>
      <c r="M19" s="2282"/>
      <c r="N19" s="2301">
        <f t="shared" si="0"/>
        <v>330000</v>
      </c>
    </row>
    <row r="20" spans="1:14">
      <c r="A20" s="2283" t="s">
        <v>119</v>
      </c>
      <c r="B20" s="3234" t="s">
        <v>179</v>
      </c>
      <c r="C20" s="3234"/>
      <c r="D20" s="2288">
        <v>24</v>
      </c>
      <c r="E20" s="2284" t="s">
        <v>116</v>
      </c>
      <c r="F20" s="2288">
        <v>100000</v>
      </c>
      <c r="G20" s="2288">
        <f>+F20*D20</f>
        <v>2400000</v>
      </c>
      <c r="H20" s="2288"/>
      <c r="I20" s="2288"/>
      <c r="J20" s="2284" t="s">
        <v>116</v>
      </c>
      <c r="K20" s="2288">
        <v>100000</v>
      </c>
      <c r="L20" s="2288">
        <f>+K20*I20</f>
        <v>0</v>
      </c>
      <c r="M20" s="2288"/>
      <c r="N20" s="2305">
        <f t="shared" si="0"/>
        <v>2400000</v>
      </c>
    </row>
    <row r="21" spans="1:14" s="1991" customFormat="1">
      <c r="A21" s="3129" t="s">
        <v>98</v>
      </c>
      <c r="B21" s="3129"/>
      <c r="C21" s="3129"/>
      <c r="D21" s="3129"/>
      <c r="E21" s="3129"/>
      <c r="F21" s="3129"/>
      <c r="G21" s="673">
        <f>SUM(G17:G20)</f>
        <v>3555000</v>
      </c>
      <c r="H21" s="673">
        <f>G21</f>
        <v>3555000</v>
      </c>
      <c r="I21" s="2147"/>
      <c r="J21" s="2147"/>
      <c r="K21" s="2147"/>
      <c r="L21" s="673">
        <f>SUM(L17:L20)</f>
        <v>0</v>
      </c>
      <c r="M21" s="673">
        <f>L21</f>
        <v>0</v>
      </c>
      <c r="N21" s="2156">
        <f t="shared" si="0"/>
        <v>3555000</v>
      </c>
    </row>
    <row r="22" spans="1:14">
      <c r="A22" s="353">
        <v>2</v>
      </c>
      <c r="B22" s="3236" t="s">
        <v>869</v>
      </c>
      <c r="C22" s="3236"/>
      <c r="D22" s="298"/>
      <c r="E22" s="354"/>
      <c r="F22" s="298"/>
      <c r="G22" s="62"/>
      <c r="H22" s="62"/>
      <c r="I22" s="298"/>
      <c r="J22" s="354"/>
      <c r="K22" s="298"/>
      <c r="L22" s="62"/>
      <c r="M22" s="62"/>
      <c r="N22" s="2155">
        <f t="shared" si="0"/>
        <v>0</v>
      </c>
    </row>
    <row r="23" spans="1:14">
      <c r="A23" s="2271" t="s">
        <v>121</v>
      </c>
      <c r="B23" s="3233" t="s">
        <v>177</v>
      </c>
      <c r="C23" s="3233"/>
      <c r="D23" s="2276">
        <v>1</v>
      </c>
      <c r="E23" s="2272" t="s">
        <v>116</v>
      </c>
      <c r="F23" s="2276">
        <v>125000</v>
      </c>
      <c r="G23" s="2276">
        <f>+F23*D23</f>
        <v>125000</v>
      </c>
      <c r="H23" s="2276"/>
      <c r="I23" s="2276"/>
      <c r="J23" s="2272" t="s">
        <v>116</v>
      </c>
      <c r="K23" s="2276">
        <v>125000</v>
      </c>
      <c r="L23" s="2276">
        <f>+K23*I23</f>
        <v>0</v>
      </c>
      <c r="M23" s="2276"/>
      <c r="N23" s="2306">
        <f t="shared" si="0"/>
        <v>125000</v>
      </c>
    </row>
    <row r="24" spans="1:14">
      <c r="A24" s="2283" t="s">
        <v>122</v>
      </c>
      <c r="B24" s="3234" t="s">
        <v>179</v>
      </c>
      <c r="C24" s="3234"/>
      <c r="D24" s="2288">
        <v>2</v>
      </c>
      <c r="E24" s="2284" t="s">
        <v>116</v>
      </c>
      <c r="F24" s="2288">
        <v>100000</v>
      </c>
      <c r="G24" s="2288">
        <f>+F24*D24</f>
        <v>200000</v>
      </c>
      <c r="H24" s="2288"/>
      <c r="I24" s="2288"/>
      <c r="J24" s="2284" t="s">
        <v>116</v>
      </c>
      <c r="K24" s="2288">
        <v>100000</v>
      </c>
      <c r="L24" s="2288">
        <f>+K24*I24</f>
        <v>0</v>
      </c>
      <c r="M24" s="2288"/>
      <c r="N24" s="2305">
        <f t="shared" si="0"/>
        <v>200000</v>
      </c>
    </row>
    <row r="25" spans="1:14">
      <c r="A25" s="3235" t="s">
        <v>98</v>
      </c>
      <c r="B25" s="3235"/>
      <c r="C25" s="3235"/>
      <c r="D25" s="3235"/>
      <c r="E25" s="3235"/>
      <c r="F25" s="3235"/>
      <c r="G25" s="298">
        <f>SUM(G23:G24)</f>
        <v>325000</v>
      </c>
      <c r="H25" s="298">
        <f>G25</f>
        <v>325000</v>
      </c>
      <c r="I25" s="62"/>
      <c r="J25" s="62"/>
      <c r="K25" s="62"/>
      <c r="L25" s="298">
        <f>SUM(L23:L24)</f>
        <v>0</v>
      </c>
      <c r="M25" s="298">
        <f>L25</f>
        <v>0</v>
      </c>
      <c r="N25" s="2155">
        <f t="shared" si="0"/>
        <v>325000</v>
      </c>
    </row>
    <row r="26" spans="1:14" s="1991" customFormat="1">
      <c r="A26" s="3129" t="s">
        <v>131</v>
      </c>
      <c r="B26" s="3129"/>
      <c r="C26" s="3129"/>
      <c r="D26" s="3129"/>
      <c r="E26" s="3129"/>
      <c r="F26" s="3129"/>
      <c r="G26" s="303">
        <f>G21+G25</f>
        <v>3880000</v>
      </c>
      <c r="H26" s="303">
        <f>SUM(H21+H25)</f>
        <v>3880000</v>
      </c>
      <c r="I26" s="2147"/>
      <c r="J26" s="2147"/>
      <c r="K26" s="2147"/>
      <c r="L26" s="303">
        <f>L21</f>
        <v>0</v>
      </c>
      <c r="M26" s="303">
        <f>SUM(M21+M25)</f>
        <v>0</v>
      </c>
      <c r="N26" s="2156">
        <f>G26-L26</f>
        <v>3880000</v>
      </c>
    </row>
    <row r="27" spans="1:14">
      <c r="A27" s="280"/>
      <c r="B27" s="304"/>
      <c r="C27" s="304"/>
      <c r="D27" s="304"/>
      <c r="E27" s="304"/>
      <c r="F27" s="304"/>
      <c r="G27" s="304"/>
      <c r="I27" s="304"/>
      <c r="J27" s="304"/>
      <c r="K27" s="304"/>
      <c r="L27" s="304"/>
    </row>
    <row r="28" spans="1:14">
      <c r="A28" s="327"/>
      <c r="B28" s="263"/>
      <c r="C28" s="263"/>
      <c r="D28" s="263"/>
      <c r="E28" s="263"/>
      <c r="F28" s="263"/>
      <c r="G28" s="263"/>
      <c r="H28" s="328"/>
      <c r="I28" s="263"/>
      <c r="J28" s="263"/>
      <c r="K28" s="263"/>
      <c r="L28" s="263"/>
      <c r="M28" s="328"/>
    </row>
    <row r="29" spans="1:14">
      <c r="A29" s="2962"/>
      <c r="B29" s="2962"/>
      <c r="C29" s="949"/>
      <c r="D29" s="2962"/>
      <c r="E29" s="2962"/>
      <c r="F29" s="2962"/>
      <c r="G29" s="2962"/>
      <c r="H29" s="275"/>
      <c r="I29" s="2962"/>
      <c r="J29" s="2962"/>
      <c r="K29" s="2962"/>
      <c r="L29" s="2962"/>
      <c r="M29" s="275"/>
    </row>
    <row r="30" spans="1:14">
      <c r="A30" s="2962"/>
      <c r="B30" s="2962"/>
      <c r="C30" s="949"/>
      <c r="D30" s="2962"/>
      <c r="E30" s="2962"/>
      <c r="F30" s="2962"/>
      <c r="G30" s="2962"/>
      <c r="H30" s="275"/>
      <c r="I30" s="2962"/>
      <c r="J30" s="2962"/>
      <c r="K30" s="2962"/>
      <c r="L30" s="2962"/>
      <c r="M30" s="275"/>
    </row>
    <row r="31" spans="1:14">
      <c r="A31" s="306"/>
      <c r="B31" s="949"/>
      <c r="C31" s="949"/>
      <c r="D31" s="307"/>
      <c r="E31" s="308"/>
      <c r="F31" s="953"/>
      <c r="G31" s="308"/>
      <c r="H31" s="328"/>
      <c r="I31" s="307"/>
      <c r="J31" s="308"/>
      <c r="K31" s="953"/>
      <c r="L31" s="308"/>
      <c r="M31" s="328"/>
    </row>
    <row r="32" spans="1:14">
      <c r="A32" s="306"/>
      <c r="B32" s="949"/>
      <c r="C32" s="949"/>
      <c r="D32" s="949"/>
      <c r="E32" s="308"/>
      <c r="F32" s="308"/>
      <c r="G32" s="308"/>
      <c r="H32" s="328"/>
      <c r="I32" s="2137"/>
      <c r="J32" s="308"/>
      <c r="K32" s="308"/>
      <c r="L32" s="308"/>
      <c r="M32" s="328"/>
    </row>
    <row r="33" spans="1:13">
      <c r="A33" s="306"/>
      <c r="B33" s="307"/>
      <c r="C33" s="307"/>
      <c r="D33" s="308"/>
      <c r="E33" s="308"/>
      <c r="F33" s="308"/>
      <c r="G33" s="308"/>
      <c r="H33" s="328"/>
      <c r="I33" s="308"/>
      <c r="J33" s="308"/>
      <c r="K33" s="308"/>
      <c r="L33" s="308"/>
      <c r="M33" s="328"/>
    </row>
    <row r="34" spans="1:13">
      <c r="A34" s="306"/>
      <c r="B34" s="307"/>
      <c r="C34" s="307"/>
      <c r="D34" s="308"/>
      <c r="E34" s="308"/>
      <c r="F34" s="308"/>
      <c r="G34" s="308"/>
      <c r="H34" s="328"/>
      <c r="I34" s="308"/>
      <c r="J34" s="308"/>
      <c r="K34" s="308"/>
      <c r="L34" s="308"/>
      <c r="M34" s="328"/>
    </row>
    <row r="35" spans="1:13">
      <c r="A35" s="2963"/>
      <c r="B35" s="2963"/>
      <c r="C35" s="950"/>
      <c r="D35" s="2963"/>
      <c r="E35" s="2963"/>
      <c r="F35" s="2963"/>
      <c r="G35" s="2963"/>
      <c r="H35" s="432"/>
      <c r="I35" s="2963"/>
      <c r="J35" s="2963"/>
      <c r="K35" s="2963"/>
      <c r="L35" s="2963"/>
      <c r="M35" s="432"/>
    </row>
    <row r="36" spans="1:13">
      <c r="A36" s="306"/>
      <c r="B36" s="949"/>
      <c r="C36" s="949"/>
      <c r="D36" s="2962"/>
      <c r="E36" s="2962"/>
      <c r="F36" s="2962"/>
      <c r="G36" s="2962"/>
      <c r="H36" s="328"/>
      <c r="I36" s="2962"/>
      <c r="J36" s="2962"/>
      <c r="K36" s="2962"/>
      <c r="L36" s="2962"/>
      <c r="M36" s="328"/>
    </row>
  </sheetData>
  <customSheetViews>
    <customSheetView guid="{0F09EDAE-127A-4543-88A5-04139BD32AD8}" showPageBreaks="1" fitToPage="1" printArea="1" topLeftCell="A7">
      <selection activeCell="G22" activeCellId="1" sqref="G16:G19 G22:G23"/>
      <pageMargins left="0.70866141732283472" right="0.70866141732283472" top="0.74803149606299213" bottom="0.74803149606299213" header="0.31496062992125984" footer="0.31496062992125984"/>
      <printOptions horizontalCentered="1"/>
      <pageSetup paperSize="5" scale="83" fitToHeight="0" orientation="portrait" r:id="rId1"/>
    </customSheetView>
    <customSheetView guid="{C05430D3-5A25-4A4C-823C-7D6EA772E5F0}" showPageBreaks="1" fitToPage="1" printArea="1" topLeftCell="A7">
      <selection activeCell="G22" activeCellId="1" sqref="G16:G19 G22:G23"/>
      <pageMargins left="0.70866141732283472" right="0.70866141732283472" top="0.74803149606299213" bottom="0.74803149606299213" header="0.31496062992125984" footer="0.31496062992125984"/>
      <printOptions horizontalCentered="1"/>
      <pageSetup paperSize="5" scale="84" fitToHeight="0" orientation="portrait" r:id="rId2"/>
    </customSheetView>
  </customSheetViews>
  <mergeCells count="44">
    <mergeCell ref="A12:A15"/>
    <mergeCell ref="N12:N15"/>
    <mergeCell ref="M13:M15"/>
    <mergeCell ref="I29:L29"/>
    <mergeCell ref="I35:L35"/>
    <mergeCell ref="I36:L36"/>
    <mergeCell ref="I11:J11"/>
    <mergeCell ref="I13:I15"/>
    <mergeCell ref="J13:J15"/>
    <mergeCell ref="K13:K15"/>
    <mergeCell ref="L13:L15"/>
    <mergeCell ref="I12:M12"/>
    <mergeCell ref="D36:G36"/>
    <mergeCell ref="A26:F26"/>
    <mergeCell ref="A29:B29"/>
    <mergeCell ref="D13:D15"/>
    <mergeCell ref="E13:E15"/>
    <mergeCell ref="F13:F15"/>
    <mergeCell ref="A25:F25"/>
    <mergeCell ref="G13:G15"/>
    <mergeCell ref="A21:F21"/>
    <mergeCell ref="B16:C16"/>
    <mergeCell ref="B17:C17"/>
    <mergeCell ref="B18:C18"/>
    <mergeCell ref="B19:C19"/>
    <mergeCell ref="B20:C20"/>
    <mergeCell ref="B22:C22"/>
    <mergeCell ref="B12:C15"/>
    <mergeCell ref="L6:N8"/>
    <mergeCell ref="A1:N1"/>
    <mergeCell ref="A2:N2"/>
    <mergeCell ref="A30:B30"/>
    <mergeCell ref="A35:B35"/>
    <mergeCell ref="D11:E11"/>
    <mergeCell ref="A3:H3"/>
    <mergeCell ref="A11:B11"/>
    <mergeCell ref="D29:G29"/>
    <mergeCell ref="D30:G30"/>
    <mergeCell ref="D35:G35"/>
    <mergeCell ref="H13:H15"/>
    <mergeCell ref="D12:H12"/>
    <mergeCell ref="B23:C23"/>
    <mergeCell ref="B24:C24"/>
    <mergeCell ref="I30:L30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4" fitToHeight="0" orientation="portrait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0" tint="-0.14999847407452621"/>
    <pageSetUpPr fitToPage="1"/>
  </sheetPr>
  <dimension ref="A1:N32"/>
  <sheetViews>
    <sheetView workbookViewId="0">
      <selection sqref="A1:H1"/>
    </sheetView>
  </sheetViews>
  <sheetFormatPr defaultColWidth="9.140625" defaultRowHeight="15"/>
  <cols>
    <col min="1" max="1" width="4.7109375" style="264" customWidth="1"/>
    <col min="2" max="2" width="36.5703125" style="264" customWidth="1"/>
    <col min="3" max="3" width="1.85546875" style="264" customWidth="1"/>
    <col min="4" max="4" width="9.28515625" style="264" customWidth="1"/>
    <col min="5" max="5" width="8" style="264" customWidth="1"/>
    <col min="6" max="6" width="10.85546875" style="264" customWidth="1"/>
    <col min="7" max="7" width="13" style="264" customWidth="1"/>
    <col min="8" max="8" width="14.42578125" style="264" customWidth="1"/>
    <col min="9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J2" s="35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14">
      <c r="A5" s="278"/>
      <c r="B5" s="279"/>
      <c r="C5" s="281"/>
      <c r="D5" s="279"/>
      <c r="E5" s="279"/>
      <c r="F5" s="947"/>
      <c r="G5" s="279"/>
    </row>
    <row r="6" spans="1:14">
      <c r="A6" s="617"/>
      <c r="B6" s="279"/>
      <c r="C6" s="281"/>
      <c r="D6" s="351"/>
      <c r="E6" s="351"/>
      <c r="F6" s="279"/>
      <c r="G6" s="351"/>
      <c r="H6" s="351"/>
    </row>
    <row r="7" spans="1:14">
      <c r="A7" s="278"/>
      <c r="B7" s="279"/>
      <c r="C7" s="281"/>
      <c r="D7" s="618"/>
      <c r="E7" s="279"/>
      <c r="F7" s="947"/>
      <c r="G7" s="351"/>
      <c r="H7" s="351"/>
    </row>
    <row r="8" spans="1:14" ht="15" customHeight="1">
      <c r="A8" s="278"/>
      <c r="B8" s="279"/>
      <c r="C8" s="281"/>
      <c r="D8" s="279"/>
      <c r="E8" s="279"/>
      <c r="F8" s="279"/>
      <c r="G8" s="351"/>
      <c r="H8" s="351"/>
    </row>
    <row r="9" spans="1:14">
      <c r="A9" s="278"/>
      <c r="B9" s="279"/>
      <c r="C9" s="279"/>
      <c r="D9" s="279"/>
      <c r="E9" s="279"/>
      <c r="F9" s="279"/>
      <c r="G9" s="279"/>
      <c r="H9" s="279"/>
    </row>
    <row r="10" spans="1:14">
      <c r="A10" s="278"/>
      <c r="B10" s="279"/>
      <c r="C10" s="279"/>
      <c r="D10" s="279"/>
      <c r="E10" s="279"/>
      <c r="F10" s="279"/>
      <c r="G10" s="279"/>
      <c r="H10" s="279"/>
    </row>
    <row r="11" spans="1:14" ht="15.75" thickBot="1">
      <c r="A11" s="3147" t="s">
        <v>110</v>
      </c>
      <c r="B11" s="3147"/>
      <c r="C11" s="281" t="s">
        <v>46</v>
      </c>
      <c r="D11" s="3140">
        <f>H23</f>
        <v>2700000</v>
      </c>
      <c r="E11" s="3140"/>
      <c r="F11" s="619"/>
      <c r="G11" s="282"/>
      <c r="H11" s="282"/>
    </row>
    <row r="12" spans="1:14" ht="15" customHeight="1">
      <c r="A12" s="3248" t="s">
        <v>1</v>
      </c>
      <c r="B12" s="3249"/>
      <c r="C12" s="3250"/>
      <c r="D12" s="3243" t="s">
        <v>60</v>
      </c>
      <c r="E12" s="3243" t="s">
        <v>97</v>
      </c>
      <c r="F12" s="3245" t="s">
        <v>112</v>
      </c>
      <c r="G12" s="3240" t="s">
        <v>113</v>
      </c>
      <c r="H12" s="3240" t="s">
        <v>114</v>
      </c>
    </row>
    <row r="13" spans="1:14">
      <c r="A13" s="3251"/>
      <c r="B13" s="3252"/>
      <c r="C13" s="3231"/>
      <c r="D13" s="3142"/>
      <c r="E13" s="3142"/>
      <c r="F13" s="3145"/>
      <c r="G13" s="3241"/>
      <c r="H13" s="3241"/>
    </row>
    <row r="14" spans="1:14" ht="15.75" thickBot="1">
      <c r="A14" s="3253"/>
      <c r="B14" s="3254"/>
      <c r="C14" s="3255"/>
      <c r="D14" s="3244"/>
      <c r="E14" s="3244"/>
      <c r="F14" s="3246"/>
      <c r="G14" s="3242"/>
      <c r="H14" s="3242"/>
      <c r="L14" s="264" t="s">
        <v>21</v>
      </c>
    </row>
    <row r="15" spans="1:14">
      <c r="A15" s="376">
        <v>1</v>
      </c>
      <c r="B15" s="318" t="s">
        <v>285</v>
      </c>
      <c r="C15" s="322"/>
      <c r="D15" s="301"/>
      <c r="E15" s="302"/>
      <c r="F15" s="294"/>
      <c r="G15" s="294"/>
      <c r="H15" s="362"/>
    </row>
    <row r="16" spans="1:14">
      <c r="A16" s="376" t="s">
        <v>115</v>
      </c>
      <c r="B16" s="377" t="s">
        <v>177</v>
      </c>
      <c r="C16" s="285"/>
      <c r="D16" s="378">
        <v>12</v>
      </c>
      <c r="E16" s="379" t="s">
        <v>116</v>
      </c>
      <c r="F16" s="294">
        <v>125000</v>
      </c>
      <c r="G16" s="294">
        <f>+F16*D16</f>
        <v>1500000</v>
      </c>
      <c r="H16" s="362"/>
      <c r="K16" s="264" t="s">
        <v>21</v>
      </c>
      <c r="M16" s="264" t="s">
        <v>21</v>
      </c>
      <c r="N16" s="264" t="s">
        <v>21</v>
      </c>
    </row>
    <row r="17" spans="1:14">
      <c r="A17" s="376" t="s">
        <v>117</v>
      </c>
      <c r="B17" s="377" t="s">
        <v>179</v>
      </c>
      <c r="C17" s="285"/>
      <c r="D17" s="380">
        <v>12</v>
      </c>
      <c r="E17" s="364" t="s">
        <v>116</v>
      </c>
      <c r="F17" s="315">
        <v>100000</v>
      </c>
      <c r="G17" s="294">
        <f>+F17*D17</f>
        <v>1200000</v>
      </c>
      <c r="H17" s="362"/>
    </row>
    <row r="18" spans="1:14">
      <c r="A18" s="3247" t="s">
        <v>98</v>
      </c>
      <c r="B18" s="3138"/>
      <c r="C18" s="3138"/>
      <c r="D18" s="3138"/>
      <c r="E18" s="3138"/>
      <c r="F18" s="3139"/>
      <c r="G18" s="297">
        <f>SUM(G16,G17)</f>
        <v>2700000</v>
      </c>
      <c r="H18" s="365">
        <f>G18</f>
        <v>2700000</v>
      </c>
    </row>
    <row r="19" spans="1:14">
      <c r="A19" s="376"/>
      <c r="B19" s="318"/>
      <c r="C19" s="322"/>
      <c r="D19" s="301"/>
      <c r="E19" s="302"/>
      <c r="F19" s="294"/>
      <c r="G19" s="294"/>
      <c r="H19" s="362"/>
    </row>
    <row r="20" spans="1:14">
      <c r="A20" s="376"/>
      <c r="B20" s="377"/>
      <c r="C20" s="285"/>
      <c r="D20" s="378"/>
      <c r="E20" s="379"/>
      <c r="F20" s="294"/>
      <c r="G20" s="294"/>
      <c r="H20" s="362"/>
      <c r="K20" s="264" t="s">
        <v>21</v>
      </c>
      <c r="N20" s="264" t="s">
        <v>21</v>
      </c>
    </row>
    <row r="21" spans="1:14">
      <c r="A21" s="376"/>
      <c r="B21" s="377"/>
      <c r="C21" s="285"/>
      <c r="D21" s="380"/>
      <c r="E21" s="364"/>
      <c r="F21" s="315"/>
      <c r="G21" s="294"/>
      <c r="H21" s="362"/>
    </row>
    <row r="22" spans="1:14" ht="15.75" thickBot="1">
      <c r="A22" s="3247"/>
      <c r="B22" s="3138"/>
      <c r="C22" s="3138"/>
      <c r="D22" s="3138"/>
      <c r="E22" s="3138"/>
      <c r="F22" s="3139"/>
      <c r="G22" s="297">
        <f>SUM(G20,G21)</f>
        <v>0</v>
      </c>
      <c r="H22" s="365">
        <f>G22</f>
        <v>0</v>
      </c>
    </row>
    <row r="23" spans="1:14" ht="15.75" thickBot="1">
      <c r="A23" s="3238" t="s">
        <v>131</v>
      </c>
      <c r="B23" s="3239"/>
      <c r="C23" s="3239"/>
      <c r="D23" s="3239"/>
      <c r="E23" s="3239"/>
      <c r="F23" s="3239"/>
      <c r="G23" s="367">
        <f>G18</f>
        <v>2700000</v>
      </c>
      <c r="H23" s="367">
        <f>SUM(H15:H22)</f>
        <v>2700000</v>
      </c>
    </row>
    <row r="24" spans="1:14">
      <c r="A24" s="327"/>
      <c r="B24" s="263"/>
      <c r="C24" s="263"/>
      <c r="D24" s="263"/>
      <c r="E24" s="263"/>
      <c r="F24" s="263"/>
      <c r="G24" s="263"/>
      <c r="H24" s="328"/>
    </row>
    <row r="25" spans="1:14">
      <c r="A25" s="2962"/>
      <c r="B25" s="2962"/>
      <c r="C25" s="949"/>
      <c r="D25" s="2962"/>
      <c r="E25" s="2962"/>
      <c r="F25" s="2962"/>
      <c r="G25" s="2962"/>
      <c r="H25" s="275"/>
    </row>
    <row r="26" spans="1:14">
      <c r="A26" s="2962"/>
      <c r="B26" s="2962"/>
      <c r="C26" s="949"/>
      <c r="D26" s="2962"/>
      <c r="E26" s="2962"/>
      <c r="F26" s="2962"/>
      <c r="G26" s="2962"/>
      <c r="H26" s="275"/>
    </row>
    <row r="27" spans="1:14">
      <c r="A27" s="306"/>
      <c r="B27" s="949"/>
      <c r="C27" s="949"/>
      <c r="D27" s="307"/>
      <c r="E27" s="308"/>
      <c r="F27" s="953"/>
      <c r="G27" s="308"/>
      <c r="H27" s="328"/>
    </row>
    <row r="28" spans="1:14">
      <c r="A28" s="306"/>
      <c r="B28" s="949"/>
      <c r="C28" s="949"/>
      <c r="D28" s="949"/>
      <c r="E28" s="308"/>
      <c r="F28" s="308"/>
      <c r="G28" s="308"/>
      <c r="H28" s="328"/>
    </row>
    <row r="29" spans="1:14">
      <c r="A29" s="306"/>
      <c r="B29" s="307"/>
      <c r="C29" s="307"/>
      <c r="D29" s="308"/>
      <c r="E29" s="308"/>
      <c r="F29" s="308"/>
      <c r="G29" s="308"/>
      <c r="H29" s="328"/>
    </row>
    <row r="30" spans="1:14">
      <c r="A30" s="306"/>
      <c r="B30" s="307"/>
      <c r="C30" s="307"/>
      <c r="D30" s="308"/>
      <c r="E30" s="308"/>
      <c r="F30" s="308"/>
      <c r="G30" s="308"/>
      <c r="H30" s="328"/>
    </row>
    <row r="31" spans="1:14">
      <c r="A31" s="2963"/>
      <c r="B31" s="2963"/>
      <c r="C31" s="950"/>
      <c r="D31" s="2963"/>
      <c r="E31" s="2963"/>
      <c r="F31" s="2963"/>
      <c r="G31" s="2963"/>
      <c r="H31" s="432"/>
    </row>
    <row r="32" spans="1:14">
      <c r="A32" s="306"/>
      <c r="B32" s="949"/>
      <c r="C32" s="949"/>
      <c r="D32" s="2962"/>
      <c r="E32" s="2962"/>
      <c r="F32" s="2962"/>
      <c r="G32" s="2962"/>
      <c r="H32" s="328"/>
    </row>
  </sheetData>
  <customSheetViews>
    <customSheetView guid="{0F09EDAE-127A-4543-88A5-04139BD32AD8}" showPageBreaks="1" fitToPage="1" printArea="1" topLeftCell="A4">
      <selection activeCell="K22" sqref="K22"/>
      <pageMargins left="0.70866141732283472" right="0.70866141732283472" top="0.74803149606299213" bottom="0.74803149606299213" header="0.31496062992125984" footer="0.31496062992125984"/>
      <printOptions horizontalCentered="1"/>
      <pageSetup paperSize="5" scale="91" fitToHeight="0" orientation="portrait" r:id="rId1"/>
    </customSheetView>
    <customSheetView guid="{C05430D3-5A25-4A4C-823C-7D6EA772E5F0}" showPageBreaks="1" fitToPage="1" printArea="1" topLeftCell="A4">
      <selection activeCell="K22" sqref="K22"/>
      <pageMargins left="0.70866141732283472" right="0.70866141732283472" top="0.74803149606299213" bottom="0.74803149606299213" header="0.31496062992125984" footer="0.31496062992125984"/>
      <printOptions horizontalCentered="1"/>
      <pageSetup paperSize="5" scale="92" fitToHeight="0" orientation="portrait" r:id="rId2"/>
    </customSheetView>
  </customSheetViews>
  <mergeCells count="21">
    <mergeCell ref="A26:B26"/>
    <mergeCell ref="A31:B31"/>
    <mergeCell ref="D32:G32"/>
    <mergeCell ref="D26:G26"/>
    <mergeCell ref="D31:G31"/>
    <mergeCell ref="A25:B25"/>
    <mergeCell ref="D12:D14"/>
    <mergeCell ref="E12:E14"/>
    <mergeCell ref="F12:F14"/>
    <mergeCell ref="A22:F22"/>
    <mergeCell ref="A18:F18"/>
    <mergeCell ref="A12:C14"/>
    <mergeCell ref="D25:G25"/>
    <mergeCell ref="A3:H3"/>
    <mergeCell ref="A11:B11"/>
    <mergeCell ref="A23:F23"/>
    <mergeCell ref="A1:H1"/>
    <mergeCell ref="A2:H2"/>
    <mergeCell ref="D11:E11"/>
    <mergeCell ref="G12:G14"/>
    <mergeCell ref="H12:H14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2" fitToHeight="0" orientation="portrait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4"/>
  <sheetViews>
    <sheetView workbookViewId="0">
      <selection sqref="A1:N1"/>
    </sheetView>
  </sheetViews>
  <sheetFormatPr defaultColWidth="9.140625" defaultRowHeight="15"/>
  <cols>
    <col min="1" max="1" width="4.7109375" style="264" customWidth="1"/>
    <col min="2" max="2" width="28.4257812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13" style="264" customWidth="1"/>
    <col min="8" max="8" width="14.5703125" style="264" customWidth="1"/>
    <col min="9" max="9" width="8.28515625" style="264" customWidth="1"/>
    <col min="10" max="10" width="8.85546875" style="264" customWidth="1"/>
    <col min="11" max="11" width="10.7109375" style="264" customWidth="1"/>
    <col min="12" max="12" width="13" style="264" customWidth="1"/>
    <col min="13" max="13" width="14.5703125" style="264" customWidth="1"/>
    <col min="14" max="14" width="12" style="264" customWidth="1"/>
    <col min="15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/>
      <c r="L4" s="277"/>
      <c r="M4" s="277"/>
    </row>
    <row r="5" spans="1:14">
      <c r="A5" s="278"/>
      <c r="B5" s="279"/>
      <c r="C5" s="281"/>
      <c r="D5" s="279"/>
      <c r="E5" s="279"/>
      <c r="F5" s="947"/>
      <c r="G5" s="279"/>
      <c r="I5" s="279"/>
      <c r="J5" s="279"/>
      <c r="K5" s="2316" t="s">
        <v>1524</v>
      </c>
      <c r="L5" s="279" t="s">
        <v>1554</v>
      </c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 t="s">
        <v>66</v>
      </c>
      <c r="L6" s="351" t="s">
        <v>1526</v>
      </c>
      <c r="M6" s="351"/>
    </row>
    <row r="7" spans="1:14" ht="15" customHeight="1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2316" t="s">
        <v>96</v>
      </c>
      <c r="L7" s="3224" t="s">
        <v>1555</v>
      </c>
      <c r="M7" s="3224"/>
      <c r="N7" s="3224"/>
    </row>
    <row r="8" spans="1:14" ht="15" customHeight="1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224"/>
      <c r="M8" s="3224"/>
      <c r="N8" s="3224"/>
    </row>
    <row r="9" spans="1:14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3224"/>
      <c r="M9" s="3224"/>
      <c r="N9" s="3224"/>
    </row>
    <row r="10" spans="1:14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</row>
    <row r="11" spans="1:14">
      <c r="A11" s="2980" t="s">
        <v>110</v>
      </c>
      <c r="B11" s="2980"/>
      <c r="C11" s="281" t="s">
        <v>46</v>
      </c>
      <c r="D11" s="2988">
        <f>M44</f>
        <v>5649000</v>
      </c>
      <c r="E11" s="2988"/>
      <c r="F11" s="2136"/>
      <c r="G11" s="282"/>
      <c r="H11" s="282"/>
      <c r="I11" s="2988">
        <f>M44</f>
        <v>5649000</v>
      </c>
      <c r="J11" s="2988"/>
      <c r="K11" s="2136"/>
      <c r="L11" s="282"/>
      <c r="M11" s="282"/>
    </row>
    <row r="12" spans="1:14">
      <c r="A12" s="3127" t="s">
        <v>1</v>
      </c>
      <c r="B12" s="3127"/>
      <c r="C12" s="3127"/>
      <c r="D12" s="3125" t="s">
        <v>1523</v>
      </c>
      <c r="E12" s="3125"/>
      <c r="F12" s="3125"/>
      <c r="G12" s="3125"/>
      <c r="H12" s="3125"/>
      <c r="I12" s="3125" t="s">
        <v>1522</v>
      </c>
      <c r="J12" s="3125"/>
      <c r="K12" s="3125"/>
      <c r="L12" s="3125"/>
      <c r="M12" s="3125"/>
      <c r="N12" s="3124" t="s">
        <v>1541</v>
      </c>
    </row>
    <row r="13" spans="1:14" ht="15" customHeight="1">
      <c r="A13" s="3127"/>
      <c r="B13" s="3127"/>
      <c r="C13" s="3127"/>
      <c r="D13" s="3127" t="s">
        <v>60</v>
      </c>
      <c r="E13" s="3127" t="s">
        <v>97</v>
      </c>
      <c r="F13" s="3127" t="s">
        <v>112</v>
      </c>
      <c r="G13" s="3127" t="s">
        <v>113</v>
      </c>
      <c r="H13" s="3127" t="s">
        <v>114</v>
      </c>
      <c r="I13" s="3127" t="s">
        <v>60</v>
      </c>
      <c r="J13" s="3127" t="s">
        <v>97</v>
      </c>
      <c r="K13" s="3127" t="s">
        <v>112</v>
      </c>
      <c r="L13" s="3127" t="s">
        <v>113</v>
      </c>
      <c r="M13" s="3127" t="s">
        <v>114</v>
      </c>
      <c r="N13" s="3124"/>
    </row>
    <row r="14" spans="1:14">
      <c r="A14" s="3127"/>
      <c r="B14" s="3127"/>
      <c r="C14" s="3127"/>
      <c r="D14" s="3127"/>
      <c r="E14" s="3127"/>
      <c r="F14" s="3127"/>
      <c r="G14" s="3127"/>
      <c r="H14" s="3127"/>
      <c r="I14" s="3127"/>
      <c r="J14" s="3127"/>
      <c r="K14" s="3127"/>
      <c r="L14" s="3127"/>
      <c r="M14" s="3127"/>
      <c r="N14" s="3124"/>
    </row>
    <row r="15" spans="1:14">
      <c r="A15" s="3127"/>
      <c r="B15" s="3127"/>
      <c r="C15" s="3127"/>
      <c r="D15" s="3127"/>
      <c r="E15" s="3127"/>
      <c r="F15" s="3127"/>
      <c r="G15" s="3127"/>
      <c r="H15" s="3127"/>
      <c r="I15" s="3127"/>
      <c r="J15" s="3127"/>
      <c r="K15" s="3127"/>
      <c r="L15" s="3127"/>
      <c r="M15" s="3127"/>
      <c r="N15" s="3124"/>
    </row>
    <row r="16" spans="1:14" s="1991" customFormat="1">
      <c r="A16" s="2374">
        <v>1</v>
      </c>
      <c r="B16" s="3256" t="s">
        <v>1400</v>
      </c>
      <c r="C16" s="3256"/>
      <c r="D16" s="2376"/>
      <c r="E16" s="2377"/>
      <c r="F16" s="2378"/>
      <c r="G16" s="673"/>
      <c r="H16" s="673"/>
      <c r="I16" s="2376"/>
      <c r="J16" s="2377"/>
      <c r="K16" s="2378"/>
      <c r="L16" s="673"/>
      <c r="M16" s="673"/>
      <c r="N16" s="2147"/>
    </row>
    <row r="17" spans="1:14">
      <c r="A17" s="2271" t="s">
        <v>115</v>
      </c>
      <c r="B17" s="3257" t="s">
        <v>249</v>
      </c>
      <c r="C17" s="3257"/>
      <c r="D17" s="2317">
        <v>150</v>
      </c>
      <c r="E17" s="2318" t="s">
        <v>1177</v>
      </c>
      <c r="F17" s="2276">
        <v>20000</v>
      </c>
      <c r="G17" s="2276">
        <f>+F17*D17</f>
        <v>3000000</v>
      </c>
      <c r="H17" s="2276"/>
      <c r="I17" s="2317">
        <f>D17</f>
        <v>150</v>
      </c>
      <c r="J17" s="2318" t="s">
        <v>1177</v>
      </c>
      <c r="K17" s="2276">
        <v>20000</v>
      </c>
      <c r="L17" s="2276">
        <f>+K17*I17</f>
        <v>3000000</v>
      </c>
      <c r="M17" s="2276"/>
      <c r="N17" s="2306">
        <f>G17-L17</f>
        <v>0</v>
      </c>
    </row>
    <row r="18" spans="1:14">
      <c r="A18" s="2277">
        <v>1.2</v>
      </c>
      <c r="B18" s="3258" t="s">
        <v>257</v>
      </c>
      <c r="C18" s="3258"/>
      <c r="D18" s="2319">
        <v>150</v>
      </c>
      <c r="E18" s="2320" t="s">
        <v>1177</v>
      </c>
      <c r="F18" s="2282">
        <v>7000</v>
      </c>
      <c r="G18" s="2282">
        <f t="shared" ref="G18:G19" si="0">+F18*D18</f>
        <v>1050000</v>
      </c>
      <c r="H18" s="2282"/>
      <c r="I18" s="2317">
        <f t="shared" ref="I18:I42" si="1">D18</f>
        <v>150</v>
      </c>
      <c r="J18" s="2320" t="s">
        <v>1177</v>
      </c>
      <c r="K18" s="2282">
        <v>7000</v>
      </c>
      <c r="L18" s="2282">
        <f t="shared" ref="L18:L19" si="2">+K18*I18</f>
        <v>1050000</v>
      </c>
      <c r="M18" s="2282"/>
      <c r="N18" s="2301">
        <f t="shared" ref="N18:N44" si="3">G18-L18</f>
        <v>0</v>
      </c>
    </row>
    <row r="19" spans="1:14">
      <c r="A19" s="2283">
        <v>1.3</v>
      </c>
      <c r="B19" s="3259" t="s">
        <v>1401</v>
      </c>
      <c r="C19" s="3259"/>
      <c r="D19" s="2379">
        <v>7</v>
      </c>
      <c r="E19" s="2380" t="s">
        <v>255</v>
      </c>
      <c r="F19" s="2288">
        <v>25000</v>
      </c>
      <c r="G19" s="2288">
        <f t="shared" si="0"/>
        <v>175000</v>
      </c>
      <c r="H19" s="2288"/>
      <c r="I19" s="2317">
        <f t="shared" si="1"/>
        <v>7</v>
      </c>
      <c r="J19" s="2380" t="s">
        <v>255</v>
      </c>
      <c r="K19" s="2288">
        <v>25000</v>
      </c>
      <c r="L19" s="2288">
        <f t="shared" si="2"/>
        <v>175000</v>
      </c>
      <c r="M19" s="2288"/>
      <c r="N19" s="2305">
        <f t="shared" si="3"/>
        <v>0</v>
      </c>
    </row>
    <row r="20" spans="1:14" s="1991" customFormat="1">
      <c r="A20" s="3129" t="s">
        <v>98</v>
      </c>
      <c r="B20" s="3129"/>
      <c r="C20" s="3129"/>
      <c r="D20" s="3129"/>
      <c r="E20" s="3129"/>
      <c r="F20" s="3129"/>
      <c r="G20" s="673">
        <f>SUM(G17:G19)</f>
        <v>4225000</v>
      </c>
      <c r="H20" s="673">
        <f>G20</f>
        <v>4225000</v>
      </c>
      <c r="I20" s="2317"/>
      <c r="J20" s="2147"/>
      <c r="K20" s="2147"/>
      <c r="L20" s="673">
        <f>SUM(L17:L19)</f>
        <v>4225000</v>
      </c>
      <c r="M20" s="673">
        <f>L20</f>
        <v>4225000</v>
      </c>
      <c r="N20" s="2156">
        <f t="shared" si="3"/>
        <v>0</v>
      </c>
    </row>
    <row r="21" spans="1:14" s="1991" customFormat="1">
      <c r="A21" s="2374">
        <v>2</v>
      </c>
      <c r="B21" s="3256" t="s">
        <v>1402</v>
      </c>
      <c r="C21" s="3256"/>
      <c r="D21" s="2147"/>
      <c r="E21" s="2377"/>
      <c r="F21" s="2378"/>
      <c r="G21" s="673"/>
      <c r="H21" s="673"/>
      <c r="I21" s="2317"/>
      <c r="J21" s="2377"/>
      <c r="K21" s="2378"/>
      <c r="L21" s="673"/>
      <c r="M21" s="673"/>
      <c r="N21" s="2156">
        <f t="shared" si="3"/>
        <v>0</v>
      </c>
    </row>
    <row r="22" spans="1:14">
      <c r="A22" s="2271">
        <v>2.1</v>
      </c>
      <c r="B22" s="3257" t="s">
        <v>338</v>
      </c>
      <c r="C22" s="3257"/>
      <c r="D22" s="2273">
        <v>2</v>
      </c>
      <c r="E22" s="2318" t="s">
        <v>101</v>
      </c>
      <c r="F22" s="2276">
        <v>60000</v>
      </c>
      <c r="G22" s="2276">
        <f>D22*F22</f>
        <v>120000</v>
      </c>
      <c r="H22" s="2276"/>
      <c r="I22" s="2317">
        <f t="shared" si="1"/>
        <v>2</v>
      </c>
      <c r="J22" s="2318" t="s">
        <v>101</v>
      </c>
      <c r="K22" s="2276">
        <v>60000</v>
      </c>
      <c r="L22" s="2276">
        <f>I22*K22</f>
        <v>120000</v>
      </c>
      <c r="M22" s="2276"/>
      <c r="N22" s="2306">
        <f t="shared" si="3"/>
        <v>0</v>
      </c>
    </row>
    <row r="23" spans="1:14">
      <c r="A23" s="2277">
        <v>2.2000000000000002</v>
      </c>
      <c r="B23" s="3258" t="s">
        <v>147</v>
      </c>
      <c r="C23" s="3258"/>
      <c r="D23" s="2319">
        <v>1</v>
      </c>
      <c r="E23" s="2320" t="s">
        <v>1177</v>
      </c>
      <c r="F23" s="2282">
        <v>25000</v>
      </c>
      <c r="G23" s="2282">
        <f t="shared" ref="G23:G33" si="4">D23*F23</f>
        <v>25000</v>
      </c>
      <c r="H23" s="2282"/>
      <c r="I23" s="2317">
        <f t="shared" si="1"/>
        <v>1</v>
      </c>
      <c r="J23" s="2320" t="s">
        <v>1177</v>
      </c>
      <c r="K23" s="2282">
        <v>25000</v>
      </c>
      <c r="L23" s="2282">
        <f t="shared" ref="L23:L33" si="5">I23*K23</f>
        <v>25000</v>
      </c>
      <c r="M23" s="2282"/>
      <c r="N23" s="2301">
        <f t="shared" si="3"/>
        <v>0</v>
      </c>
    </row>
    <row r="24" spans="1:14">
      <c r="A24" s="2277">
        <v>2.2999999999999998</v>
      </c>
      <c r="B24" s="3258" t="s">
        <v>159</v>
      </c>
      <c r="C24" s="3258"/>
      <c r="D24" s="2319">
        <v>4</v>
      </c>
      <c r="E24" s="2320" t="s">
        <v>1158</v>
      </c>
      <c r="F24" s="2282">
        <v>8000</v>
      </c>
      <c r="G24" s="2282">
        <f t="shared" si="4"/>
        <v>32000</v>
      </c>
      <c r="H24" s="2282"/>
      <c r="I24" s="2317">
        <f t="shared" si="1"/>
        <v>4</v>
      </c>
      <c r="J24" s="2320" t="s">
        <v>1158</v>
      </c>
      <c r="K24" s="2282">
        <v>8000</v>
      </c>
      <c r="L24" s="2282">
        <f t="shared" si="5"/>
        <v>32000</v>
      </c>
      <c r="M24" s="2282"/>
      <c r="N24" s="2301">
        <f t="shared" si="3"/>
        <v>0</v>
      </c>
    </row>
    <row r="25" spans="1:14">
      <c r="A25" s="2277">
        <v>2.4</v>
      </c>
      <c r="B25" s="3258" t="s">
        <v>1403</v>
      </c>
      <c r="C25" s="3258"/>
      <c r="D25" s="2319">
        <v>10</v>
      </c>
      <c r="E25" s="2320" t="s">
        <v>1158</v>
      </c>
      <c r="F25" s="2282">
        <v>2000</v>
      </c>
      <c r="G25" s="2282">
        <f t="shared" si="4"/>
        <v>20000</v>
      </c>
      <c r="H25" s="2282"/>
      <c r="I25" s="2317">
        <f t="shared" si="1"/>
        <v>10</v>
      </c>
      <c r="J25" s="2320" t="s">
        <v>1158</v>
      </c>
      <c r="K25" s="2282">
        <v>2000</v>
      </c>
      <c r="L25" s="2282">
        <f t="shared" si="5"/>
        <v>20000</v>
      </c>
      <c r="M25" s="2282"/>
      <c r="N25" s="2301">
        <f t="shared" si="3"/>
        <v>0</v>
      </c>
    </row>
    <row r="26" spans="1:14">
      <c r="A26" s="2277">
        <v>2.5</v>
      </c>
      <c r="B26" s="3258" t="s">
        <v>1409</v>
      </c>
      <c r="C26" s="3258"/>
      <c r="D26" s="2319">
        <v>10</v>
      </c>
      <c r="E26" s="2320" t="s">
        <v>1158</v>
      </c>
      <c r="F26" s="2282">
        <v>4000</v>
      </c>
      <c r="G26" s="2282">
        <f t="shared" si="4"/>
        <v>40000</v>
      </c>
      <c r="H26" s="2282"/>
      <c r="I26" s="2317">
        <f t="shared" si="1"/>
        <v>10</v>
      </c>
      <c r="J26" s="2320" t="s">
        <v>1158</v>
      </c>
      <c r="K26" s="2282">
        <v>4000</v>
      </c>
      <c r="L26" s="2282">
        <f t="shared" si="5"/>
        <v>40000</v>
      </c>
      <c r="M26" s="2282"/>
      <c r="N26" s="2301">
        <f t="shared" si="3"/>
        <v>0</v>
      </c>
    </row>
    <row r="27" spans="1:14">
      <c r="A27" s="2277">
        <v>2.6</v>
      </c>
      <c r="B27" s="3258" t="s">
        <v>1404</v>
      </c>
      <c r="C27" s="3258"/>
      <c r="D27" s="2319">
        <v>1</v>
      </c>
      <c r="E27" s="2320" t="s">
        <v>1178</v>
      </c>
      <c r="F27" s="2282">
        <v>60000</v>
      </c>
      <c r="G27" s="2282">
        <f t="shared" si="4"/>
        <v>60000</v>
      </c>
      <c r="H27" s="2282"/>
      <c r="I27" s="2317">
        <f t="shared" si="1"/>
        <v>1</v>
      </c>
      <c r="J27" s="2320" t="s">
        <v>1178</v>
      </c>
      <c r="K27" s="2282">
        <v>60000</v>
      </c>
      <c r="L27" s="2282">
        <f t="shared" si="5"/>
        <v>60000</v>
      </c>
      <c r="M27" s="2282"/>
      <c r="N27" s="2301">
        <f t="shared" si="3"/>
        <v>0</v>
      </c>
    </row>
    <row r="28" spans="1:14">
      <c r="A28" s="2277">
        <v>2.7</v>
      </c>
      <c r="B28" s="3258" t="s">
        <v>1313</v>
      </c>
      <c r="C28" s="3258"/>
      <c r="D28" s="2319">
        <v>1</v>
      </c>
      <c r="E28" s="2320" t="s">
        <v>1158</v>
      </c>
      <c r="F28" s="2282">
        <v>10000</v>
      </c>
      <c r="G28" s="2282">
        <f t="shared" si="4"/>
        <v>10000</v>
      </c>
      <c r="H28" s="2282"/>
      <c r="I28" s="2317">
        <f t="shared" si="1"/>
        <v>1</v>
      </c>
      <c r="J28" s="2320" t="s">
        <v>1158</v>
      </c>
      <c r="K28" s="2282">
        <v>10000</v>
      </c>
      <c r="L28" s="2282">
        <f t="shared" si="5"/>
        <v>10000</v>
      </c>
      <c r="M28" s="2282"/>
      <c r="N28" s="2301">
        <f t="shared" si="3"/>
        <v>0</v>
      </c>
    </row>
    <row r="29" spans="1:14">
      <c r="A29" s="2277">
        <v>2.8</v>
      </c>
      <c r="B29" s="3258" t="s">
        <v>1405</v>
      </c>
      <c r="C29" s="3258"/>
      <c r="D29" s="2319">
        <v>2</v>
      </c>
      <c r="E29" s="2320" t="s">
        <v>1158</v>
      </c>
      <c r="F29" s="2282">
        <v>15000</v>
      </c>
      <c r="G29" s="2282">
        <f t="shared" si="4"/>
        <v>30000</v>
      </c>
      <c r="H29" s="2282"/>
      <c r="I29" s="2317">
        <f t="shared" si="1"/>
        <v>2</v>
      </c>
      <c r="J29" s="2320" t="s">
        <v>1158</v>
      </c>
      <c r="K29" s="2282">
        <v>15000</v>
      </c>
      <c r="L29" s="2282">
        <f t="shared" si="5"/>
        <v>30000</v>
      </c>
      <c r="M29" s="2282"/>
      <c r="N29" s="2301">
        <f t="shared" si="3"/>
        <v>0</v>
      </c>
    </row>
    <row r="30" spans="1:14">
      <c r="A30" s="2277">
        <v>2.9</v>
      </c>
      <c r="B30" s="3258" t="s">
        <v>1406</v>
      </c>
      <c r="C30" s="3258"/>
      <c r="D30" s="2319">
        <v>1</v>
      </c>
      <c r="E30" s="2320" t="s">
        <v>1177</v>
      </c>
      <c r="F30" s="2282">
        <v>12000</v>
      </c>
      <c r="G30" s="2282">
        <f t="shared" si="4"/>
        <v>12000</v>
      </c>
      <c r="H30" s="2282"/>
      <c r="I30" s="2317">
        <f t="shared" si="1"/>
        <v>1</v>
      </c>
      <c r="J30" s="2320" t="s">
        <v>1177</v>
      </c>
      <c r="K30" s="2282">
        <v>12000</v>
      </c>
      <c r="L30" s="2282">
        <f t="shared" si="5"/>
        <v>12000</v>
      </c>
      <c r="M30" s="2282"/>
      <c r="N30" s="2301">
        <f t="shared" si="3"/>
        <v>0</v>
      </c>
    </row>
    <row r="31" spans="1:14">
      <c r="A31" s="2381" t="s">
        <v>364</v>
      </c>
      <c r="B31" s="3258" t="s">
        <v>922</v>
      </c>
      <c r="C31" s="3258"/>
      <c r="D31" s="2319">
        <v>1</v>
      </c>
      <c r="E31" s="2320" t="s">
        <v>1158</v>
      </c>
      <c r="F31" s="2282">
        <v>10000</v>
      </c>
      <c r="G31" s="2282">
        <f t="shared" si="4"/>
        <v>10000</v>
      </c>
      <c r="H31" s="2282"/>
      <c r="I31" s="2317">
        <f t="shared" si="1"/>
        <v>1</v>
      </c>
      <c r="J31" s="2320" t="s">
        <v>1158</v>
      </c>
      <c r="K31" s="2282">
        <v>10000</v>
      </c>
      <c r="L31" s="2282">
        <f t="shared" si="5"/>
        <v>10000</v>
      </c>
      <c r="M31" s="2282"/>
      <c r="N31" s="2301">
        <f t="shared" si="3"/>
        <v>0</v>
      </c>
    </row>
    <row r="32" spans="1:14">
      <c r="A32" s="2381" t="s">
        <v>365</v>
      </c>
      <c r="B32" s="3258" t="s">
        <v>1407</v>
      </c>
      <c r="C32" s="3258"/>
      <c r="D32" s="2319">
        <v>2</v>
      </c>
      <c r="E32" s="2320" t="s">
        <v>1177</v>
      </c>
      <c r="F32" s="2282">
        <v>2500</v>
      </c>
      <c r="G32" s="2282">
        <f t="shared" si="4"/>
        <v>5000</v>
      </c>
      <c r="H32" s="2282"/>
      <c r="I32" s="2317">
        <f t="shared" si="1"/>
        <v>2</v>
      </c>
      <c r="J32" s="2320" t="s">
        <v>1177</v>
      </c>
      <c r="K32" s="2282">
        <v>2500</v>
      </c>
      <c r="L32" s="2282">
        <f t="shared" si="5"/>
        <v>5000</v>
      </c>
      <c r="M32" s="2282"/>
      <c r="N32" s="2301">
        <f t="shared" si="3"/>
        <v>0</v>
      </c>
    </row>
    <row r="33" spans="1:14">
      <c r="A33" s="2382" t="s">
        <v>366</v>
      </c>
      <c r="B33" s="3259" t="s">
        <v>1408</v>
      </c>
      <c r="C33" s="3259"/>
      <c r="D33" s="2379">
        <v>2</v>
      </c>
      <c r="E33" s="2380" t="s">
        <v>1410</v>
      </c>
      <c r="F33" s="2288">
        <v>5000</v>
      </c>
      <c r="G33" s="2288">
        <f t="shared" si="4"/>
        <v>10000</v>
      </c>
      <c r="H33" s="2288"/>
      <c r="I33" s="2317">
        <f t="shared" si="1"/>
        <v>2</v>
      </c>
      <c r="J33" s="2380" t="s">
        <v>1410</v>
      </c>
      <c r="K33" s="2288">
        <v>5000</v>
      </c>
      <c r="L33" s="2288">
        <f t="shared" si="5"/>
        <v>10000</v>
      </c>
      <c r="M33" s="2288"/>
      <c r="N33" s="2305">
        <f t="shared" si="3"/>
        <v>0</v>
      </c>
    </row>
    <row r="34" spans="1:14" s="1991" customFormat="1">
      <c r="A34" s="3129" t="s">
        <v>99</v>
      </c>
      <c r="B34" s="3129"/>
      <c r="C34" s="3129"/>
      <c r="D34" s="3129"/>
      <c r="E34" s="3129"/>
      <c r="F34" s="3129"/>
      <c r="G34" s="673">
        <f>SUM(G22:G33)</f>
        <v>374000</v>
      </c>
      <c r="H34" s="673">
        <f>G34</f>
        <v>374000</v>
      </c>
      <c r="I34" s="2317"/>
      <c r="J34" s="2147"/>
      <c r="K34" s="2147"/>
      <c r="L34" s="673">
        <f>SUM(L22:L33)</f>
        <v>374000</v>
      </c>
      <c r="M34" s="673">
        <f>L34</f>
        <v>374000</v>
      </c>
      <c r="N34" s="2156">
        <f>G34-L34</f>
        <v>0</v>
      </c>
    </row>
    <row r="35" spans="1:14" s="1991" customFormat="1">
      <c r="A35" s="2374">
        <v>3</v>
      </c>
      <c r="B35" s="2375" t="s">
        <v>1411</v>
      </c>
      <c r="C35" s="2375"/>
      <c r="D35" s="2376"/>
      <c r="E35" s="2377"/>
      <c r="F35" s="2378"/>
      <c r="G35" s="673"/>
      <c r="H35" s="673"/>
      <c r="I35" s="2317"/>
      <c r="J35" s="2377"/>
      <c r="K35" s="2378"/>
      <c r="L35" s="673"/>
      <c r="M35" s="673"/>
      <c r="N35" s="2155">
        <f t="shared" si="3"/>
        <v>0</v>
      </c>
    </row>
    <row r="36" spans="1:14">
      <c r="A36" s="2271">
        <v>3.1</v>
      </c>
      <c r="B36" s="3257" t="s">
        <v>1412</v>
      </c>
      <c r="C36" s="3257"/>
      <c r="D36" s="2317">
        <v>1</v>
      </c>
      <c r="E36" s="2318" t="s">
        <v>103</v>
      </c>
      <c r="F36" s="2276">
        <v>400000</v>
      </c>
      <c r="G36" s="2276">
        <f t="shared" ref="G36:G37" si="6">+F36*D36</f>
        <v>400000</v>
      </c>
      <c r="H36" s="2276"/>
      <c r="I36" s="2317">
        <f t="shared" si="1"/>
        <v>1</v>
      </c>
      <c r="J36" s="2318" t="s">
        <v>103</v>
      </c>
      <c r="K36" s="2276">
        <v>400000</v>
      </c>
      <c r="L36" s="2276">
        <f t="shared" ref="L36:L37" si="7">+K36*I36</f>
        <v>400000</v>
      </c>
      <c r="M36" s="2276"/>
      <c r="N36" s="2306">
        <f t="shared" si="3"/>
        <v>0</v>
      </c>
    </row>
    <row r="37" spans="1:14">
      <c r="A37" s="2283">
        <v>3.2</v>
      </c>
      <c r="B37" s="3259" t="s">
        <v>272</v>
      </c>
      <c r="C37" s="3259"/>
      <c r="D37" s="2379">
        <v>1</v>
      </c>
      <c r="E37" s="2380" t="s">
        <v>103</v>
      </c>
      <c r="F37" s="2288">
        <v>125000</v>
      </c>
      <c r="G37" s="2288">
        <f t="shared" si="6"/>
        <v>125000</v>
      </c>
      <c r="H37" s="2288"/>
      <c r="I37" s="2317">
        <f t="shared" si="1"/>
        <v>1</v>
      </c>
      <c r="J37" s="2380" t="s">
        <v>103</v>
      </c>
      <c r="K37" s="2288">
        <v>125000</v>
      </c>
      <c r="L37" s="2288">
        <f t="shared" si="7"/>
        <v>125000</v>
      </c>
      <c r="M37" s="2288"/>
      <c r="N37" s="2305">
        <f t="shared" si="3"/>
        <v>0</v>
      </c>
    </row>
    <row r="38" spans="1:14" s="1991" customFormat="1">
      <c r="A38" s="3129" t="s">
        <v>102</v>
      </c>
      <c r="B38" s="3129"/>
      <c r="C38" s="3129"/>
      <c r="D38" s="3129"/>
      <c r="E38" s="3129"/>
      <c r="F38" s="3129"/>
      <c r="G38" s="673">
        <f>SUM(G36:G37)</f>
        <v>525000</v>
      </c>
      <c r="H38" s="673">
        <f>G38</f>
        <v>525000</v>
      </c>
      <c r="I38" s="2317">
        <f t="shared" si="1"/>
        <v>0</v>
      </c>
      <c r="J38" s="2147"/>
      <c r="K38" s="2147"/>
      <c r="L38" s="673">
        <f>SUM(L36:L37)</f>
        <v>525000</v>
      </c>
      <c r="M38" s="673">
        <f>L38</f>
        <v>525000</v>
      </c>
      <c r="N38" s="2156">
        <f t="shared" si="3"/>
        <v>0</v>
      </c>
    </row>
    <row r="39" spans="1:14" s="1991" customFormat="1">
      <c r="A39" s="2374">
        <v>4</v>
      </c>
      <c r="B39" s="3256" t="s">
        <v>1413</v>
      </c>
      <c r="C39" s="3256"/>
      <c r="D39" s="2376"/>
      <c r="E39" s="2377"/>
      <c r="F39" s="2378"/>
      <c r="G39" s="673"/>
      <c r="H39" s="673"/>
      <c r="I39" s="2317">
        <f t="shared" si="1"/>
        <v>0</v>
      </c>
      <c r="J39" s="2377"/>
      <c r="K39" s="2378"/>
      <c r="L39" s="673"/>
      <c r="M39" s="673"/>
      <c r="N39" s="2155">
        <f t="shared" si="3"/>
        <v>0</v>
      </c>
    </row>
    <row r="40" spans="1:14">
      <c r="A40" s="2271" t="s">
        <v>115</v>
      </c>
      <c r="B40" s="3257" t="s">
        <v>177</v>
      </c>
      <c r="C40" s="3257"/>
      <c r="D40" s="2317">
        <v>1</v>
      </c>
      <c r="E40" s="2318" t="s">
        <v>1099</v>
      </c>
      <c r="F40" s="2276">
        <v>200000</v>
      </c>
      <c r="G40" s="2276">
        <f t="shared" ref="G40:G42" si="8">+F40*D40</f>
        <v>200000</v>
      </c>
      <c r="H40" s="2276"/>
      <c r="I40" s="2317">
        <f t="shared" si="1"/>
        <v>1</v>
      </c>
      <c r="J40" s="2318" t="s">
        <v>1099</v>
      </c>
      <c r="K40" s="2276">
        <v>200000</v>
      </c>
      <c r="L40" s="2276">
        <f t="shared" ref="L40:L42" si="9">+K40*I40</f>
        <v>200000</v>
      </c>
      <c r="M40" s="2276"/>
      <c r="N40" s="2306">
        <f t="shared" si="3"/>
        <v>0</v>
      </c>
    </row>
    <row r="41" spans="1:14">
      <c r="A41" s="2277">
        <v>1.2</v>
      </c>
      <c r="B41" s="3258" t="s">
        <v>178</v>
      </c>
      <c r="C41" s="3258"/>
      <c r="D41" s="2319">
        <v>1</v>
      </c>
      <c r="E41" s="2320" t="s">
        <v>1099</v>
      </c>
      <c r="F41" s="2282">
        <v>175000</v>
      </c>
      <c r="G41" s="2282">
        <f t="shared" si="8"/>
        <v>175000</v>
      </c>
      <c r="H41" s="2282"/>
      <c r="I41" s="2317">
        <f t="shared" si="1"/>
        <v>1</v>
      </c>
      <c r="J41" s="2320" t="s">
        <v>1099</v>
      </c>
      <c r="K41" s="2282">
        <v>175000</v>
      </c>
      <c r="L41" s="2282">
        <f t="shared" si="9"/>
        <v>175000</v>
      </c>
      <c r="M41" s="2282"/>
      <c r="N41" s="2301">
        <f t="shared" si="3"/>
        <v>0</v>
      </c>
    </row>
    <row r="42" spans="1:14">
      <c r="A42" s="2283">
        <v>1.3</v>
      </c>
      <c r="B42" s="3259" t="s">
        <v>179</v>
      </c>
      <c r="C42" s="3259"/>
      <c r="D42" s="2379">
        <v>1</v>
      </c>
      <c r="E42" s="2380" t="s">
        <v>1099</v>
      </c>
      <c r="F42" s="2288">
        <v>150000</v>
      </c>
      <c r="G42" s="2288">
        <f t="shared" si="8"/>
        <v>150000</v>
      </c>
      <c r="H42" s="2288"/>
      <c r="I42" s="2317">
        <f t="shared" si="1"/>
        <v>1</v>
      </c>
      <c r="J42" s="2380" t="s">
        <v>1099</v>
      </c>
      <c r="K42" s="2288">
        <v>150000</v>
      </c>
      <c r="L42" s="2288">
        <f t="shared" si="9"/>
        <v>150000</v>
      </c>
      <c r="M42" s="2288"/>
      <c r="N42" s="2305">
        <f t="shared" si="3"/>
        <v>0</v>
      </c>
    </row>
    <row r="43" spans="1:14" s="1991" customFormat="1">
      <c r="A43" s="3129" t="s">
        <v>130</v>
      </c>
      <c r="B43" s="3129"/>
      <c r="C43" s="3129"/>
      <c r="D43" s="3129"/>
      <c r="E43" s="3129"/>
      <c r="F43" s="3129"/>
      <c r="G43" s="673">
        <f>SUM(G40:G42)</f>
        <v>525000</v>
      </c>
      <c r="H43" s="673">
        <f>G43</f>
        <v>525000</v>
      </c>
      <c r="I43" s="2317"/>
      <c r="J43" s="2147"/>
      <c r="K43" s="2147"/>
      <c r="L43" s="673">
        <f>SUM(L40:L42)</f>
        <v>525000</v>
      </c>
      <c r="M43" s="673">
        <f>L43</f>
        <v>525000</v>
      </c>
      <c r="N43" s="2156">
        <f t="shared" si="3"/>
        <v>0</v>
      </c>
    </row>
    <row r="44" spans="1:14" s="1991" customFormat="1">
      <c r="A44" s="3129" t="s">
        <v>131</v>
      </c>
      <c r="B44" s="3129"/>
      <c r="C44" s="3129"/>
      <c r="D44" s="3129"/>
      <c r="E44" s="3129"/>
      <c r="F44" s="3129"/>
      <c r="G44" s="303">
        <f>G20+G34+G38+G43</f>
        <v>5649000</v>
      </c>
      <c r="H44" s="303">
        <f>G44</f>
        <v>5649000</v>
      </c>
      <c r="I44" s="2317"/>
      <c r="J44" s="2156">
        <f>H44-'Pnj APBDES'!K154</f>
        <v>0</v>
      </c>
      <c r="K44" s="2147"/>
      <c r="L44" s="303">
        <f>L20+L34+L38+L43</f>
        <v>5649000</v>
      </c>
      <c r="M44" s="303">
        <f>L44</f>
        <v>5649000</v>
      </c>
      <c r="N44" s="2156">
        <f t="shared" si="3"/>
        <v>0</v>
      </c>
    </row>
    <row r="45" spans="1:14">
      <c r="A45" s="280"/>
      <c r="B45" s="304"/>
      <c r="C45" s="304"/>
      <c r="D45" s="304"/>
      <c r="E45" s="304"/>
      <c r="F45" s="304"/>
      <c r="G45" s="304"/>
      <c r="I45" s="304"/>
      <c r="J45" s="304"/>
      <c r="K45" s="304"/>
      <c r="L45" s="304"/>
    </row>
    <row r="46" spans="1:14">
      <c r="A46" s="327"/>
      <c r="B46" s="263"/>
      <c r="C46" s="263"/>
      <c r="D46" s="263"/>
      <c r="E46" s="263"/>
      <c r="F46" s="263"/>
      <c r="G46" s="263"/>
      <c r="H46" s="328"/>
      <c r="I46" s="263"/>
      <c r="J46" s="263"/>
      <c r="K46" s="263"/>
      <c r="L46" s="263"/>
      <c r="M46" s="328"/>
    </row>
    <row r="47" spans="1:14">
      <c r="A47" s="2962"/>
      <c r="B47" s="2962"/>
      <c r="C47" s="1376"/>
      <c r="D47" s="2962"/>
      <c r="E47" s="2962"/>
      <c r="F47" s="2962"/>
      <c r="G47" s="2962"/>
      <c r="H47" s="275"/>
      <c r="I47" s="2962"/>
      <c r="J47" s="2962"/>
      <c r="K47" s="2962"/>
      <c r="L47" s="2962"/>
      <c r="M47" s="275"/>
    </row>
    <row r="48" spans="1:14">
      <c r="A48" s="2962"/>
      <c r="B48" s="2962"/>
      <c r="C48" s="1376"/>
      <c r="D48" s="2962"/>
      <c r="E48" s="2962"/>
      <c r="F48" s="2962"/>
      <c r="G48" s="2962"/>
      <c r="H48" s="275"/>
      <c r="I48" s="2962"/>
      <c r="J48" s="2962"/>
      <c r="K48" s="2962"/>
      <c r="L48" s="2962"/>
      <c r="M48" s="275"/>
    </row>
    <row r="49" spans="1:13">
      <c r="A49" s="306"/>
      <c r="B49" s="1376"/>
      <c r="C49" s="1376"/>
      <c r="D49" s="307"/>
      <c r="E49" s="308"/>
      <c r="F49" s="953"/>
      <c r="G49" s="308"/>
      <c r="H49" s="328"/>
      <c r="I49" s="307"/>
      <c r="J49" s="308"/>
      <c r="K49" s="953"/>
      <c r="L49" s="308"/>
      <c r="M49" s="328"/>
    </row>
    <row r="50" spans="1:13">
      <c r="A50" s="306"/>
      <c r="B50" s="1376"/>
      <c r="C50" s="1376"/>
      <c r="D50" s="1376"/>
      <c r="E50" s="308"/>
      <c r="F50" s="308"/>
      <c r="G50" s="308"/>
      <c r="H50" s="328"/>
      <c r="I50" s="2137"/>
      <c r="J50" s="308"/>
      <c r="K50" s="308"/>
      <c r="L50" s="308"/>
      <c r="M50" s="328"/>
    </row>
    <row r="51" spans="1:13">
      <c r="A51" s="306"/>
      <c r="B51" s="307"/>
      <c r="C51" s="307"/>
      <c r="D51" s="308"/>
      <c r="E51" s="308"/>
      <c r="F51" s="308"/>
      <c r="G51" s="308"/>
      <c r="H51" s="328"/>
      <c r="I51" s="308"/>
      <c r="J51" s="308"/>
      <c r="K51" s="308"/>
      <c r="L51" s="308"/>
      <c r="M51" s="328"/>
    </row>
    <row r="52" spans="1:13">
      <c r="A52" s="306"/>
      <c r="B52" s="307"/>
      <c r="C52" s="307"/>
      <c r="D52" s="308"/>
      <c r="E52" s="308"/>
      <c r="F52" s="308"/>
      <c r="G52" s="308"/>
      <c r="H52" s="328"/>
      <c r="I52" s="308"/>
      <c r="J52" s="308"/>
      <c r="K52" s="308"/>
      <c r="L52" s="308"/>
      <c r="M52" s="328"/>
    </row>
    <row r="53" spans="1:13">
      <c r="A53" s="2963"/>
      <c r="B53" s="2963"/>
      <c r="C53" s="1377"/>
      <c r="D53" s="2963"/>
      <c r="E53" s="2963"/>
      <c r="F53" s="2963"/>
      <c r="G53" s="2963"/>
      <c r="H53" s="432"/>
      <c r="I53" s="2963"/>
      <c r="J53" s="2963"/>
      <c r="K53" s="2963"/>
      <c r="L53" s="2963"/>
      <c r="M53" s="432"/>
    </row>
    <row r="54" spans="1:13">
      <c r="A54" s="306"/>
      <c r="B54" s="1376"/>
      <c r="C54" s="1376"/>
      <c r="D54" s="2962"/>
      <c r="E54" s="2962"/>
      <c r="F54" s="2962"/>
      <c r="G54" s="2962"/>
      <c r="H54" s="328"/>
      <c r="I54" s="2962"/>
      <c r="J54" s="2962"/>
      <c r="K54" s="2962"/>
      <c r="L54" s="2962"/>
      <c r="M54" s="328"/>
    </row>
  </sheetData>
  <customSheetViews>
    <customSheetView guid="{0F09EDAE-127A-4543-88A5-04139BD32AD8}" scale="145" showPageBreaks="1" fitToPage="1" printArea="1">
      <selection activeCell="H54" sqref="A1:H54"/>
      <pageMargins left="0.70866141732283472" right="0.70866141732283472" top="0.74803149606299213" bottom="0.74803149606299213" header="0.31496062992125984" footer="0.31496062992125984"/>
      <printOptions horizontalCentered="1"/>
      <pageSetup paperSize="5" fitToHeight="0" orientation="portrait" r:id="rId1"/>
    </customSheetView>
    <customSheetView guid="{C05430D3-5A25-4A4C-823C-7D6EA772E5F0}" scale="145" showPageBreaks="1" fitToPage="1" printArea="1">
      <selection activeCell="H54" sqref="A1:H54"/>
      <pageMargins left="0.70866141732283472" right="0.70866141732283472" top="0.74803149606299213" bottom="0.74803149606299213" header="0.31496062992125984" footer="0.31496062992125984"/>
      <printOptions horizontalCentered="1"/>
      <pageSetup paperSize="5" fitToHeight="0" orientation="portrait" r:id="rId2"/>
    </customSheetView>
  </customSheetViews>
  <mergeCells count="60">
    <mergeCell ref="N12:N15"/>
    <mergeCell ref="A1:N1"/>
    <mergeCell ref="A2:N2"/>
    <mergeCell ref="L7:N9"/>
    <mergeCell ref="M13:M15"/>
    <mergeCell ref="A3:H3"/>
    <mergeCell ref="A11:B11"/>
    <mergeCell ref="D11:E11"/>
    <mergeCell ref="A12:C15"/>
    <mergeCell ref="B28:C28"/>
    <mergeCell ref="B29:C29"/>
    <mergeCell ref="B30:C30"/>
    <mergeCell ref="A38:F38"/>
    <mergeCell ref="D12:H12"/>
    <mergeCell ref="B24:C24"/>
    <mergeCell ref="B25:C25"/>
    <mergeCell ref="B26:C26"/>
    <mergeCell ref="B27:C27"/>
    <mergeCell ref="B18:C18"/>
    <mergeCell ref="B19:C19"/>
    <mergeCell ref="B21:C21"/>
    <mergeCell ref="B22:C22"/>
    <mergeCell ref="B23:C23"/>
    <mergeCell ref="B16:C16"/>
    <mergeCell ref="B17:C17"/>
    <mergeCell ref="I54:L54"/>
    <mergeCell ref="I11:J11"/>
    <mergeCell ref="I13:I15"/>
    <mergeCell ref="J13:J15"/>
    <mergeCell ref="K13:K15"/>
    <mergeCell ref="L13:L15"/>
    <mergeCell ref="I12:M12"/>
    <mergeCell ref="I47:L47"/>
    <mergeCell ref="I48:L48"/>
    <mergeCell ref="I53:L53"/>
    <mergeCell ref="B39:C39"/>
    <mergeCell ref="B40:C40"/>
    <mergeCell ref="B41:C41"/>
    <mergeCell ref="B42:C42"/>
    <mergeCell ref="B31:C31"/>
    <mergeCell ref="B32:C32"/>
    <mergeCell ref="B33:C33"/>
    <mergeCell ref="B36:C36"/>
    <mergeCell ref="B37:C37"/>
    <mergeCell ref="A53:B53"/>
    <mergeCell ref="D53:G53"/>
    <mergeCell ref="D54:G54"/>
    <mergeCell ref="H13:H15"/>
    <mergeCell ref="A20:F20"/>
    <mergeCell ref="A44:F44"/>
    <mergeCell ref="A47:B47"/>
    <mergeCell ref="D47:G47"/>
    <mergeCell ref="A48:B48"/>
    <mergeCell ref="D48:G48"/>
    <mergeCell ref="D13:D15"/>
    <mergeCell ref="E13:E15"/>
    <mergeCell ref="F13:F15"/>
    <mergeCell ref="G13:G15"/>
    <mergeCell ref="A34:F34"/>
    <mergeCell ref="A43:F43"/>
  </mergeCells>
  <printOptions horizontalCentered="1"/>
  <pageMargins left="0.70866141732283472" right="0.70866141732283472" top="0.74803149606299213" bottom="0.74803149606299213" header="0.31496062992125984" footer="0.31496062992125984"/>
  <pageSetup paperSize="5" fitToHeight="0" orientation="portrait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K30"/>
  <sheetViews>
    <sheetView workbookViewId="0">
      <selection sqref="A1:H1"/>
    </sheetView>
  </sheetViews>
  <sheetFormatPr defaultColWidth="9.140625" defaultRowHeight="15"/>
  <cols>
    <col min="1" max="1" width="4.7109375" style="264" customWidth="1"/>
    <col min="2" max="2" width="46.14062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13" style="264" customWidth="1"/>
    <col min="8" max="8" width="14.5703125" style="264" customWidth="1"/>
    <col min="9" max="16384" width="9.140625" style="264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 ht="15" customHeight="1">
      <c r="A8" s="278"/>
      <c r="B8" s="279"/>
      <c r="C8" s="281"/>
      <c r="D8" s="279"/>
      <c r="E8" s="279"/>
      <c r="F8" s="279"/>
      <c r="G8" s="351"/>
      <c r="H8" s="351"/>
    </row>
    <row r="9" spans="1:8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 ht="15.75" thickBot="1">
      <c r="A11" s="3147" t="s">
        <v>110</v>
      </c>
      <c r="B11" s="3147"/>
      <c r="C11" s="281" t="s">
        <v>46</v>
      </c>
      <c r="D11" s="3140">
        <f>H20</f>
        <v>0</v>
      </c>
      <c r="E11" s="3140"/>
      <c r="F11" s="619"/>
      <c r="G11" s="282"/>
      <c r="H11" s="282"/>
    </row>
    <row r="12" spans="1:8" ht="15" customHeight="1">
      <c r="A12" s="3148" t="s">
        <v>111</v>
      </c>
      <c r="B12" s="3151" t="s">
        <v>1</v>
      </c>
      <c r="C12" s="3152"/>
      <c r="D12" s="3243" t="s">
        <v>60</v>
      </c>
      <c r="E12" s="3243" t="s">
        <v>97</v>
      </c>
      <c r="F12" s="3245" t="s">
        <v>112</v>
      </c>
      <c r="G12" s="3240" t="s">
        <v>113</v>
      </c>
      <c r="H12" s="3240" t="s">
        <v>114</v>
      </c>
    </row>
    <row r="13" spans="1:8">
      <c r="A13" s="3149"/>
      <c r="B13" s="3153"/>
      <c r="C13" s="3154"/>
      <c r="D13" s="3142"/>
      <c r="E13" s="3142"/>
      <c r="F13" s="3145"/>
      <c r="G13" s="3241"/>
      <c r="H13" s="3241"/>
    </row>
    <row r="14" spans="1:8" ht="15.75" thickBot="1">
      <c r="A14" s="3150"/>
      <c r="B14" s="3155"/>
      <c r="C14" s="3156"/>
      <c r="D14" s="3244"/>
      <c r="E14" s="3244"/>
      <c r="F14" s="3246"/>
      <c r="G14" s="3242"/>
      <c r="H14" s="3242"/>
    </row>
    <row r="15" spans="1:8">
      <c r="A15" s="369">
        <v>1</v>
      </c>
      <c r="B15" s="370" t="s">
        <v>867</v>
      </c>
      <c r="C15" s="300"/>
      <c r="D15" s="301"/>
      <c r="E15" s="302"/>
      <c r="F15" s="294"/>
      <c r="G15" s="319"/>
      <c r="H15" s="371"/>
    </row>
    <row r="16" spans="1:8" ht="15.75">
      <c r="A16" s="369" t="s">
        <v>115</v>
      </c>
      <c r="B16" s="317" t="s">
        <v>176</v>
      </c>
      <c r="C16" s="300"/>
      <c r="D16" s="301">
        <v>0</v>
      </c>
      <c r="E16" s="302" t="s">
        <v>116</v>
      </c>
      <c r="F16" s="294">
        <v>150000</v>
      </c>
      <c r="G16" s="288">
        <f>+F16*D16</f>
        <v>0</v>
      </c>
      <c r="H16" s="372"/>
    </row>
    <row r="17" spans="1:11" ht="15.75">
      <c r="A17" s="369" t="s">
        <v>117</v>
      </c>
      <c r="B17" s="317" t="s">
        <v>177</v>
      </c>
      <c r="C17" s="300"/>
      <c r="D17" s="301">
        <v>0</v>
      </c>
      <c r="E17" s="302" t="s">
        <v>116</v>
      </c>
      <c r="F17" s="294">
        <v>125000</v>
      </c>
      <c r="G17" s="294">
        <f>+F17*D17</f>
        <v>0</v>
      </c>
      <c r="H17" s="362"/>
      <c r="K17" s="264" t="s">
        <v>21</v>
      </c>
    </row>
    <row r="18" spans="1:11" ht="15.75">
      <c r="A18" s="369" t="s">
        <v>118</v>
      </c>
      <c r="B18" s="317" t="s">
        <v>179</v>
      </c>
      <c r="C18" s="300"/>
      <c r="D18" s="301">
        <v>0</v>
      </c>
      <c r="E18" s="302" t="s">
        <v>116</v>
      </c>
      <c r="F18" s="294">
        <v>100000</v>
      </c>
      <c r="G18" s="294">
        <f>+F18*D18</f>
        <v>0</v>
      </c>
      <c r="H18" s="362"/>
    </row>
    <row r="19" spans="1:11" ht="15.75" thickBot="1">
      <c r="A19" s="3137" t="s">
        <v>102</v>
      </c>
      <c r="B19" s="3138"/>
      <c r="C19" s="3138"/>
      <c r="D19" s="3138"/>
      <c r="E19" s="3138"/>
      <c r="F19" s="3139"/>
      <c r="G19" s="297">
        <f>SUM(G16:G18)</f>
        <v>0</v>
      </c>
      <c r="H19" s="365">
        <f>G19</f>
        <v>0</v>
      </c>
    </row>
    <row r="20" spans="1:11" ht="15.75" thickBot="1">
      <c r="A20" s="3238" t="s">
        <v>131</v>
      </c>
      <c r="B20" s="3239"/>
      <c r="C20" s="3239"/>
      <c r="D20" s="3239"/>
      <c r="E20" s="3239"/>
      <c r="F20" s="3239"/>
      <c r="G20" s="367">
        <f>G19</f>
        <v>0</v>
      </c>
      <c r="H20" s="367">
        <f>SUM(H4:H19)</f>
        <v>0</v>
      </c>
    </row>
    <row r="21" spans="1:11">
      <c r="A21" s="280"/>
      <c r="B21" s="304"/>
      <c r="C21" s="304"/>
      <c r="D21" s="304"/>
      <c r="E21" s="304"/>
      <c r="F21" s="304"/>
      <c r="G21" s="304"/>
    </row>
    <row r="22" spans="1:11">
      <c r="A22" s="327"/>
      <c r="B22" s="263"/>
      <c r="C22" s="263"/>
      <c r="D22" s="263"/>
      <c r="E22" s="263"/>
      <c r="F22" s="263"/>
      <c r="G22" s="263"/>
      <c r="H22" s="328"/>
    </row>
    <row r="23" spans="1:11">
      <c r="A23" s="2962"/>
      <c r="B23" s="2962"/>
      <c r="C23" s="949"/>
      <c r="D23" s="2962"/>
      <c r="E23" s="2962"/>
      <c r="F23" s="2962"/>
      <c r="G23" s="2962"/>
      <c r="H23" s="275"/>
    </row>
    <row r="24" spans="1:11">
      <c r="A24" s="2962"/>
      <c r="B24" s="2962"/>
      <c r="C24" s="949"/>
      <c r="D24" s="2962"/>
      <c r="E24" s="2962"/>
      <c r="F24" s="2962"/>
      <c r="G24" s="2962"/>
      <c r="H24" s="275"/>
    </row>
    <row r="25" spans="1:11">
      <c r="A25" s="306"/>
      <c r="B25" s="949"/>
      <c r="C25" s="949"/>
      <c r="D25" s="307"/>
      <c r="E25" s="308"/>
      <c r="F25" s="953"/>
      <c r="G25" s="308"/>
      <c r="H25" s="328"/>
    </row>
    <row r="26" spans="1:11">
      <c r="A26" s="306"/>
      <c r="B26" s="949"/>
      <c r="C26" s="949"/>
      <c r="D26" s="949"/>
      <c r="E26" s="308"/>
      <c r="F26" s="308"/>
      <c r="G26" s="308"/>
      <c r="H26" s="328"/>
    </row>
    <row r="27" spans="1:11">
      <c r="A27" s="306"/>
      <c r="B27" s="307"/>
      <c r="C27" s="307"/>
      <c r="D27" s="308"/>
      <c r="E27" s="308"/>
      <c r="F27" s="308"/>
      <c r="G27" s="308"/>
      <c r="H27" s="328"/>
    </row>
    <row r="28" spans="1:11">
      <c r="A28" s="306"/>
      <c r="B28" s="307"/>
      <c r="C28" s="307"/>
      <c r="D28" s="308"/>
      <c r="E28" s="308"/>
      <c r="F28" s="308"/>
      <c r="G28" s="308"/>
      <c r="H28" s="328"/>
    </row>
    <row r="29" spans="1:11">
      <c r="A29" s="2963"/>
      <c r="B29" s="2963"/>
      <c r="C29" s="950"/>
      <c r="D29" s="2963"/>
      <c r="E29" s="2963"/>
      <c r="F29" s="2963"/>
      <c r="G29" s="2963"/>
      <c r="H29" s="432"/>
    </row>
    <row r="30" spans="1:11">
      <c r="A30" s="306"/>
      <c r="B30" s="949"/>
      <c r="C30" s="949"/>
      <c r="D30" s="2962"/>
      <c r="E30" s="2962"/>
      <c r="F30" s="2962"/>
      <c r="G30" s="2962"/>
      <c r="H30" s="328"/>
    </row>
  </sheetData>
  <customSheetViews>
    <customSheetView guid="{0F09EDAE-127A-4543-88A5-04139BD32AD8}" showPageBreaks="1" fitToPage="1" printArea="1" topLeftCell="A7">
      <selection activeCell="I21" sqref="I21"/>
      <pageMargins left="0.70866141732283472" right="0.70866141732283472" top="0.74803149606299213" bottom="0.74803149606299213" header="0.31496062992125984" footer="0.31496062992125984"/>
      <printOptions horizontalCentered="1"/>
      <pageSetup paperSize="5" scale="83" fitToHeight="0" orientation="portrait" r:id="rId1"/>
    </customSheetView>
    <customSheetView guid="{C05430D3-5A25-4A4C-823C-7D6EA772E5F0}" showPageBreaks="1" fitToPage="1" printArea="1" topLeftCell="A7">
      <selection activeCell="I21" sqref="I21"/>
      <pageMargins left="0.70866141732283472" right="0.70866141732283472" top="0.74803149606299213" bottom="0.74803149606299213" header="0.31496062992125984" footer="0.31496062992125984"/>
      <printOptions horizontalCentered="1"/>
      <pageSetup paperSize="5" scale="84" fitToHeight="0" orientation="portrait" r:id="rId2"/>
    </customSheetView>
  </customSheetViews>
  <mergeCells count="21">
    <mergeCell ref="H12:H14"/>
    <mergeCell ref="A19:F19"/>
    <mergeCell ref="A12:A14"/>
    <mergeCell ref="B12:C14"/>
    <mergeCell ref="A29:B29"/>
    <mergeCell ref="D30:G30"/>
    <mergeCell ref="A1:H1"/>
    <mergeCell ref="A23:B23"/>
    <mergeCell ref="A2:H2"/>
    <mergeCell ref="D11:E11"/>
    <mergeCell ref="A3:H3"/>
    <mergeCell ref="A11:B11"/>
    <mergeCell ref="D23:G23"/>
    <mergeCell ref="A24:B24"/>
    <mergeCell ref="D24:G24"/>
    <mergeCell ref="D29:G29"/>
    <mergeCell ref="A20:F20"/>
    <mergeCell ref="D12:D14"/>
    <mergeCell ref="E12:E14"/>
    <mergeCell ref="F12:F14"/>
    <mergeCell ref="G12:G14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4" fitToHeight="0" orientation="portrait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14999847407452621"/>
    <pageSetUpPr fitToPage="1"/>
  </sheetPr>
  <dimension ref="A1:N32"/>
  <sheetViews>
    <sheetView topLeftCell="A4" workbookViewId="0">
      <selection sqref="A1:H1"/>
    </sheetView>
  </sheetViews>
  <sheetFormatPr defaultColWidth="9.140625" defaultRowHeight="15"/>
  <cols>
    <col min="1" max="1" width="4.7109375" style="264" customWidth="1"/>
    <col min="2" max="2" width="36.5703125" style="264" customWidth="1"/>
    <col min="3" max="3" width="1.85546875" style="264" customWidth="1"/>
    <col min="4" max="4" width="9.28515625" style="264" customWidth="1"/>
    <col min="5" max="5" width="8" style="264" customWidth="1"/>
    <col min="6" max="6" width="10.85546875" style="264" customWidth="1"/>
    <col min="7" max="7" width="13" style="264" customWidth="1"/>
    <col min="8" max="8" width="14.42578125" style="264" customWidth="1"/>
    <col min="9" max="9" width="9.28515625" style="264" customWidth="1"/>
    <col min="10" max="10" width="8" style="264" customWidth="1"/>
    <col min="11" max="11" width="10.85546875" style="264" customWidth="1"/>
    <col min="12" max="12" width="13" style="264" customWidth="1"/>
    <col min="13" max="13" width="14.42578125" style="264" customWidth="1"/>
    <col min="14" max="16384" width="9.140625" style="264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J2" s="35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/>
      <c r="L4" s="277"/>
      <c r="M4" s="277"/>
    </row>
    <row r="5" spans="1:14">
      <c r="A5" s="278"/>
      <c r="B5" s="279"/>
      <c r="C5" s="281"/>
      <c r="D5" s="279"/>
      <c r="E5" s="279"/>
      <c r="F5" s="947"/>
      <c r="G5" s="279"/>
      <c r="I5" s="279"/>
      <c r="J5" s="279"/>
      <c r="K5" s="947"/>
      <c r="L5" s="279"/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/>
      <c r="L6" s="351"/>
      <c r="M6" s="351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51"/>
      <c r="M7" s="351"/>
    </row>
    <row r="8" spans="1:14" ht="15" customHeight="1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</row>
    <row r="9" spans="1:14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</row>
    <row r="10" spans="1:14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</row>
    <row r="11" spans="1:14">
      <c r="A11" s="2980" t="s">
        <v>110</v>
      </c>
      <c r="B11" s="2980"/>
      <c r="C11" s="281" t="s">
        <v>46</v>
      </c>
      <c r="D11" s="2988">
        <f>H23</f>
        <v>1209000</v>
      </c>
      <c r="E11" s="2988"/>
      <c r="F11" s="2165"/>
      <c r="G11" s="282"/>
      <c r="H11" s="282"/>
      <c r="I11" s="2988">
        <f>M23</f>
        <v>1385000</v>
      </c>
      <c r="J11" s="2988"/>
      <c r="K11" s="2165"/>
      <c r="L11" s="282"/>
      <c r="M11" s="282"/>
    </row>
    <row r="12" spans="1:14">
      <c r="A12" s="3127" t="s">
        <v>1</v>
      </c>
      <c r="B12" s="3127"/>
      <c r="C12" s="3127"/>
      <c r="D12" s="3262" t="s">
        <v>1523</v>
      </c>
      <c r="E12" s="3262"/>
      <c r="F12" s="3262"/>
      <c r="G12" s="3262"/>
      <c r="H12" s="3262"/>
      <c r="I12" s="3262" t="s">
        <v>1522</v>
      </c>
      <c r="J12" s="3262"/>
      <c r="K12" s="3262"/>
      <c r="L12" s="3262"/>
      <c r="M12" s="3262"/>
      <c r="N12" s="3124" t="s">
        <v>1550</v>
      </c>
    </row>
    <row r="13" spans="1:14" ht="15" customHeight="1">
      <c r="A13" s="3127"/>
      <c r="B13" s="3127"/>
      <c r="C13" s="3127"/>
      <c r="D13" s="3127" t="s">
        <v>60</v>
      </c>
      <c r="E13" s="3127" t="s">
        <v>97</v>
      </c>
      <c r="F13" s="3127" t="s">
        <v>112</v>
      </c>
      <c r="G13" s="3127" t="s">
        <v>113</v>
      </c>
      <c r="H13" s="3127" t="s">
        <v>114</v>
      </c>
      <c r="I13" s="3127" t="s">
        <v>60</v>
      </c>
      <c r="J13" s="3127" t="s">
        <v>97</v>
      </c>
      <c r="K13" s="3127" t="s">
        <v>112</v>
      </c>
      <c r="L13" s="3127" t="s">
        <v>113</v>
      </c>
      <c r="M13" s="3127" t="s">
        <v>114</v>
      </c>
      <c r="N13" s="3124"/>
    </row>
    <row r="14" spans="1:14">
      <c r="A14" s="3127"/>
      <c r="B14" s="3127"/>
      <c r="C14" s="3127"/>
      <c r="D14" s="3127"/>
      <c r="E14" s="3127"/>
      <c r="F14" s="3127"/>
      <c r="G14" s="3127"/>
      <c r="H14" s="3127"/>
      <c r="I14" s="3127"/>
      <c r="J14" s="3127"/>
      <c r="K14" s="3127"/>
      <c r="L14" s="3127"/>
      <c r="M14" s="3127"/>
      <c r="N14" s="3124"/>
    </row>
    <row r="15" spans="1:14">
      <c r="A15" s="3127"/>
      <c r="B15" s="3127"/>
      <c r="C15" s="3127"/>
      <c r="D15" s="3127"/>
      <c r="E15" s="3127"/>
      <c r="F15" s="3127"/>
      <c r="G15" s="3127"/>
      <c r="H15" s="3127"/>
      <c r="I15" s="3127"/>
      <c r="J15" s="3127"/>
      <c r="K15" s="3127"/>
      <c r="L15" s="3127"/>
      <c r="M15" s="3127"/>
      <c r="N15" s="3124"/>
    </row>
    <row r="16" spans="1:14">
      <c r="A16" s="2479">
        <v>1</v>
      </c>
      <c r="B16" s="3260" t="s">
        <v>1402</v>
      </c>
      <c r="C16" s="3261"/>
      <c r="D16" s="298"/>
      <c r="E16" s="354"/>
      <c r="F16" s="298"/>
      <c r="G16" s="298"/>
      <c r="H16" s="298"/>
      <c r="I16" s="298"/>
      <c r="J16" s="354"/>
      <c r="K16" s="298"/>
      <c r="L16" s="298"/>
      <c r="M16" s="298"/>
      <c r="N16" s="62"/>
    </row>
    <row r="17" spans="1:14">
      <c r="A17" s="2479">
        <v>1.1000000000000001</v>
      </c>
      <c r="B17" s="3260" t="s">
        <v>147</v>
      </c>
      <c r="C17" s="3261"/>
      <c r="D17" s="2480"/>
      <c r="E17" s="357" t="s">
        <v>1158</v>
      </c>
      <c r="F17" s="298">
        <v>5000</v>
      </c>
      <c r="G17" s="298">
        <f>+F17*D17</f>
        <v>0</v>
      </c>
      <c r="H17" s="298"/>
      <c r="I17" s="2480">
        <v>1</v>
      </c>
      <c r="J17" s="357" t="s">
        <v>1158</v>
      </c>
      <c r="K17" s="298">
        <v>5000</v>
      </c>
      <c r="L17" s="298">
        <f>+K17*I17</f>
        <v>5000</v>
      </c>
      <c r="M17" s="298"/>
      <c r="N17" s="62" t="s">
        <v>21</v>
      </c>
    </row>
    <row r="18" spans="1:14">
      <c r="A18" s="3235" t="s">
        <v>98</v>
      </c>
      <c r="B18" s="3235"/>
      <c r="C18" s="3235"/>
      <c r="D18" s="3235"/>
      <c r="E18" s="3235"/>
      <c r="F18" s="3235"/>
      <c r="G18" s="298">
        <f>SUM(G17)</f>
        <v>0</v>
      </c>
      <c r="H18" s="298">
        <f>G18</f>
        <v>0</v>
      </c>
      <c r="I18" s="62"/>
      <c r="J18" s="62"/>
      <c r="K18" s="62"/>
      <c r="L18" s="298">
        <f>SUM(L17)</f>
        <v>5000</v>
      </c>
      <c r="M18" s="298">
        <f>L18</f>
        <v>5000</v>
      </c>
      <c r="N18" s="62"/>
    </row>
    <row r="19" spans="1:14">
      <c r="A19" s="2479">
        <v>2</v>
      </c>
      <c r="B19" s="3260" t="s">
        <v>571</v>
      </c>
      <c r="C19" s="3261"/>
      <c r="D19" s="298"/>
      <c r="E19" s="354"/>
      <c r="F19" s="298"/>
      <c r="G19" s="298"/>
      <c r="H19" s="298"/>
      <c r="I19" s="298"/>
      <c r="J19" s="354"/>
      <c r="K19" s="298"/>
      <c r="L19" s="298"/>
      <c r="M19" s="298"/>
      <c r="N19" s="62"/>
    </row>
    <row r="20" spans="1:14">
      <c r="A20" s="2479" t="s">
        <v>121</v>
      </c>
      <c r="B20" s="3260" t="s">
        <v>177</v>
      </c>
      <c r="C20" s="3261"/>
      <c r="D20" s="2480">
        <v>3</v>
      </c>
      <c r="E20" s="357" t="s">
        <v>116</v>
      </c>
      <c r="F20" s="298">
        <v>103000</v>
      </c>
      <c r="G20" s="298">
        <f>+F20*D20</f>
        <v>309000</v>
      </c>
      <c r="H20" s="298"/>
      <c r="I20" s="2480">
        <v>3</v>
      </c>
      <c r="J20" s="357" t="s">
        <v>116</v>
      </c>
      <c r="K20" s="298">
        <v>130000</v>
      </c>
      <c r="L20" s="298">
        <f>+K20*I20</f>
        <v>390000</v>
      </c>
      <c r="M20" s="298"/>
      <c r="N20" s="62" t="s">
        <v>21</v>
      </c>
    </row>
    <row r="21" spans="1:14">
      <c r="A21" s="2479" t="s">
        <v>122</v>
      </c>
      <c r="B21" s="3260" t="s">
        <v>179</v>
      </c>
      <c r="C21" s="3261"/>
      <c r="D21" s="2481">
        <v>9</v>
      </c>
      <c r="E21" s="2482" t="s">
        <v>116</v>
      </c>
      <c r="F21" s="355">
        <v>100000</v>
      </c>
      <c r="G21" s="298">
        <f>+F21*D21</f>
        <v>900000</v>
      </c>
      <c r="H21" s="298"/>
      <c r="I21" s="2481">
        <v>9</v>
      </c>
      <c r="J21" s="2482" t="s">
        <v>116</v>
      </c>
      <c r="K21" s="355">
        <v>110000</v>
      </c>
      <c r="L21" s="298">
        <f>+K21*I21</f>
        <v>990000</v>
      </c>
      <c r="M21" s="298"/>
      <c r="N21" s="62"/>
    </row>
    <row r="22" spans="1:14">
      <c r="A22" s="3235" t="s">
        <v>98</v>
      </c>
      <c r="B22" s="3235"/>
      <c r="C22" s="3235"/>
      <c r="D22" s="3235"/>
      <c r="E22" s="3235"/>
      <c r="F22" s="3235"/>
      <c r="G22" s="298">
        <f>SUM(G20,G21)</f>
        <v>1209000</v>
      </c>
      <c r="H22" s="298">
        <f>G22</f>
        <v>1209000</v>
      </c>
      <c r="I22" s="62"/>
      <c r="J22" s="62"/>
      <c r="K22" s="62"/>
      <c r="L22" s="298">
        <f>SUM(L20,L21)</f>
        <v>1380000</v>
      </c>
      <c r="M22" s="298">
        <f>L22</f>
        <v>1380000</v>
      </c>
      <c r="N22" s="62"/>
    </row>
    <row r="23" spans="1:14">
      <c r="A23" s="3129" t="s">
        <v>131</v>
      </c>
      <c r="B23" s="3129"/>
      <c r="C23" s="3129"/>
      <c r="D23" s="3129"/>
      <c r="E23" s="3129"/>
      <c r="F23" s="3129"/>
      <c r="G23" s="303">
        <f>G22</f>
        <v>1209000</v>
      </c>
      <c r="H23" s="303">
        <f>SUM(H19:H22)</f>
        <v>1209000</v>
      </c>
      <c r="I23" s="62"/>
      <c r="J23" s="62"/>
      <c r="K23" s="62"/>
      <c r="L23" s="303">
        <f>L22</f>
        <v>1380000</v>
      </c>
      <c r="M23" s="303">
        <f>M18+M22</f>
        <v>1385000</v>
      </c>
      <c r="N23" s="62"/>
    </row>
    <row r="24" spans="1:14">
      <c r="A24" s="327"/>
      <c r="B24" s="263"/>
      <c r="C24" s="263"/>
      <c r="D24" s="263"/>
      <c r="E24" s="263"/>
      <c r="F24" s="263"/>
      <c r="G24" s="263"/>
      <c r="H24" s="328"/>
      <c r="I24" s="263"/>
      <c r="J24" s="263"/>
      <c r="K24" s="263"/>
      <c r="L24" s="263"/>
      <c r="M24" s="328"/>
    </row>
    <row r="25" spans="1:14">
      <c r="A25" s="2962"/>
      <c r="B25" s="2962"/>
      <c r="C25" s="949"/>
      <c r="D25" s="2962"/>
      <c r="E25" s="2962"/>
      <c r="F25" s="2962"/>
      <c r="G25" s="2962"/>
      <c r="H25" s="275"/>
      <c r="I25" s="2962"/>
      <c r="J25" s="2962"/>
      <c r="K25" s="2962"/>
      <c r="L25" s="2962"/>
      <c r="M25" s="275"/>
    </row>
    <row r="26" spans="1:14">
      <c r="A26" s="2962"/>
      <c r="B26" s="2962"/>
      <c r="C26" s="949"/>
      <c r="D26" s="2962"/>
      <c r="E26" s="2962"/>
      <c r="F26" s="2962"/>
      <c r="G26" s="2962"/>
      <c r="H26" s="275"/>
      <c r="I26" s="2962"/>
      <c r="J26" s="2962"/>
      <c r="K26" s="2962"/>
      <c r="L26" s="2962"/>
      <c r="M26" s="275"/>
    </row>
    <row r="27" spans="1:14">
      <c r="A27" s="306"/>
      <c r="B27" s="949"/>
      <c r="C27" s="949"/>
      <c r="D27" s="307"/>
      <c r="E27" s="308"/>
      <c r="F27" s="953"/>
      <c r="G27" s="308"/>
      <c r="H27" s="328"/>
      <c r="I27" s="307"/>
      <c r="J27" s="308"/>
      <c r="K27" s="953"/>
      <c r="L27" s="308"/>
      <c r="M27" s="328"/>
    </row>
    <row r="28" spans="1:14">
      <c r="A28" s="306"/>
      <c r="B28" s="949"/>
      <c r="C28" s="949"/>
      <c r="D28" s="949"/>
      <c r="E28" s="308"/>
      <c r="F28" s="308"/>
      <c r="G28" s="308"/>
      <c r="H28" s="328"/>
      <c r="I28" s="2164"/>
      <c r="J28" s="308"/>
      <c r="K28" s="308"/>
      <c r="L28" s="308"/>
      <c r="M28" s="328"/>
    </row>
    <row r="29" spans="1:14">
      <c r="A29" s="306"/>
      <c r="B29" s="307"/>
      <c r="C29" s="307"/>
      <c r="D29" s="308"/>
      <c r="E29" s="308"/>
      <c r="F29" s="308"/>
      <c r="G29" s="308"/>
      <c r="H29" s="328"/>
      <c r="I29" s="308"/>
      <c r="J29" s="308"/>
      <c r="K29" s="308"/>
      <c r="L29" s="308"/>
      <c r="M29" s="328"/>
    </row>
    <row r="30" spans="1:14">
      <c r="A30" s="306"/>
      <c r="B30" s="307"/>
      <c r="C30" s="307"/>
      <c r="D30" s="308"/>
      <c r="E30" s="308"/>
      <c r="F30" s="308"/>
      <c r="G30" s="308"/>
      <c r="H30" s="328"/>
      <c r="I30" s="308"/>
      <c r="J30" s="308"/>
      <c r="K30" s="308"/>
      <c r="L30" s="308"/>
      <c r="M30" s="328"/>
    </row>
    <row r="31" spans="1:14">
      <c r="A31" s="2963"/>
      <c r="B31" s="2963"/>
      <c r="C31" s="950"/>
      <c r="D31" s="2963"/>
      <c r="E31" s="2963"/>
      <c r="F31" s="2963"/>
      <c r="G31" s="2963"/>
      <c r="H31" s="432"/>
      <c r="I31" s="2963"/>
      <c r="J31" s="2963"/>
      <c r="K31" s="2963"/>
      <c r="L31" s="2963"/>
      <c r="M31" s="432"/>
    </row>
    <row r="32" spans="1:14">
      <c r="A32" s="306"/>
      <c r="B32" s="949"/>
      <c r="C32" s="949"/>
      <c r="D32" s="2962"/>
      <c r="E32" s="2962"/>
      <c r="F32" s="2962"/>
      <c r="G32" s="2962"/>
      <c r="H32" s="328"/>
      <c r="I32" s="2962"/>
      <c r="J32" s="2962"/>
      <c r="K32" s="2962"/>
      <c r="L32" s="2962"/>
      <c r="M32" s="328"/>
    </row>
  </sheetData>
  <customSheetViews>
    <customSheetView guid="{0F09EDAE-127A-4543-88A5-04139BD32AD8}" showPageBreaks="1" fitToPage="1" printArea="1" topLeftCell="A10">
      <selection activeCell="H30" sqref="A1:H30"/>
      <pageMargins left="0.70866141732283472" right="0.70866141732283472" top="0.74803149606299213" bottom="0.74803149606299213" header="0.31496062992125984" footer="0.31496062992125984"/>
      <printOptions horizontalCentered="1"/>
      <pageSetup paperSize="5" scale="91" fitToHeight="0" orientation="portrait" r:id="rId1"/>
    </customSheetView>
    <customSheetView guid="{C05430D3-5A25-4A4C-823C-7D6EA772E5F0}" showPageBreaks="1" fitToPage="1" printArea="1" topLeftCell="A10">
      <selection activeCell="H30" sqref="A1:H30"/>
      <pageMargins left="0.70866141732283472" right="0.70866141732283472" top="0.74803149606299213" bottom="0.74803149606299213" header="0.31496062992125984" footer="0.31496062992125984"/>
      <printOptions horizontalCentered="1"/>
      <pageSetup paperSize="5" scale="92" fitToHeight="0" orientation="portrait" r:id="rId2"/>
    </customSheetView>
  </customSheetViews>
  <mergeCells count="39">
    <mergeCell ref="A22:F22"/>
    <mergeCell ref="A31:B31"/>
    <mergeCell ref="D32:G32"/>
    <mergeCell ref="A23:F23"/>
    <mergeCell ref="A25:B25"/>
    <mergeCell ref="A26:B26"/>
    <mergeCell ref="D25:G25"/>
    <mergeCell ref="D26:G26"/>
    <mergeCell ref="D31:G31"/>
    <mergeCell ref="A1:H1"/>
    <mergeCell ref="A2:H2"/>
    <mergeCell ref="D11:E11"/>
    <mergeCell ref="D13:D15"/>
    <mergeCell ref="E13:E15"/>
    <mergeCell ref="F13:F15"/>
    <mergeCell ref="G13:G15"/>
    <mergeCell ref="H13:H15"/>
    <mergeCell ref="A3:H3"/>
    <mergeCell ref="A11:B11"/>
    <mergeCell ref="A12:C15"/>
    <mergeCell ref="D12:H12"/>
    <mergeCell ref="I25:L25"/>
    <mergeCell ref="I26:L26"/>
    <mergeCell ref="I31:L31"/>
    <mergeCell ref="I32:L32"/>
    <mergeCell ref="I11:J11"/>
    <mergeCell ref="I13:I15"/>
    <mergeCell ref="J13:J15"/>
    <mergeCell ref="K13:K15"/>
    <mergeCell ref="L13:L15"/>
    <mergeCell ref="I12:M12"/>
    <mergeCell ref="B19:C19"/>
    <mergeCell ref="B20:C20"/>
    <mergeCell ref="B21:C21"/>
    <mergeCell ref="N12:N15"/>
    <mergeCell ref="M13:M15"/>
    <mergeCell ref="B16:C16"/>
    <mergeCell ref="B17:C17"/>
    <mergeCell ref="A18:F18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2" fitToHeight="0" orientation="portrait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0" tint="-0.14999847407452621"/>
    <pageSetUpPr fitToPage="1"/>
  </sheetPr>
  <dimension ref="A1:T36"/>
  <sheetViews>
    <sheetView workbookViewId="0">
      <selection sqref="A1:H1"/>
    </sheetView>
  </sheetViews>
  <sheetFormatPr defaultColWidth="9.140625" defaultRowHeight="15"/>
  <cols>
    <col min="1" max="1" width="4.7109375" style="264" customWidth="1"/>
    <col min="2" max="2" width="36.5703125" style="264" customWidth="1"/>
    <col min="3" max="3" width="1.85546875" style="264" customWidth="1"/>
    <col min="4" max="4" width="9.28515625" style="264" customWidth="1"/>
    <col min="5" max="5" width="8" style="264" customWidth="1"/>
    <col min="6" max="6" width="10.85546875" style="264" customWidth="1"/>
    <col min="7" max="7" width="13" style="264" customWidth="1"/>
    <col min="8" max="8" width="14.42578125" style="264" customWidth="1"/>
    <col min="9" max="14" width="9.140625" style="264"/>
    <col min="15" max="15" width="12.5703125" style="264" customWidth="1"/>
    <col min="16" max="17" width="9.140625" style="264"/>
    <col min="18" max="18" width="8.7109375" style="264" customWidth="1"/>
    <col min="19" max="19" width="13.28515625" style="264" customWidth="1"/>
    <col min="20" max="20" width="12.7109375" style="264" customWidth="1"/>
    <col min="21" max="16384" width="9.140625" style="264"/>
  </cols>
  <sheetData>
    <row r="1" spans="1:20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20">
      <c r="A2" s="2961" t="s">
        <v>1024</v>
      </c>
      <c r="B2" s="2961"/>
      <c r="C2" s="2961"/>
      <c r="D2" s="2961"/>
      <c r="E2" s="2961"/>
      <c r="F2" s="2961"/>
      <c r="G2" s="2961"/>
      <c r="H2" s="2961"/>
      <c r="J2" s="351"/>
    </row>
    <row r="3" spans="1:20">
      <c r="A3" s="2961"/>
      <c r="B3" s="2961"/>
      <c r="C3" s="2961"/>
      <c r="D3" s="2961"/>
      <c r="E3" s="2961"/>
      <c r="F3" s="2961"/>
      <c r="G3" s="2961"/>
      <c r="H3" s="2961"/>
    </row>
    <row r="4" spans="1:20">
      <c r="A4" s="276"/>
      <c r="B4" s="277"/>
      <c r="C4" s="277"/>
      <c r="D4" s="277"/>
      <c r="E4" s="277" t="s">
        <v>21</v>
      </c>
      <c r="F4" s="277"/>
      <c r="G4" s="277"/>
      <c r="H4" s="277"/>
      <c r="M4" s="2961"/>
      <c r="N4" s="2961"/>
      <c r="O4" s="2961"/>
      <c r="P4" s="2961"/>
      <c r="Q4" s="2961"/>
      <c r="R4" s="2961"/>
      <c r="S4" s="2961"/>
      <c r="T4" s="2961"/>
    </row>
    <row r="5" spans="1:20">
      <c r="A5" s="278"/>
      <c r="B5" s="279"/>
      <c r="C5" s="281"/>
      <c r="D5" s="279"/>
      <c r="E5" s="279"/>
      <c r="F5" s="947"/>
      <c r="G5" s="279"/>
      <c r="M5" s="3263"/>
      <c r="N5" s="3263"/>
      <c r="O5" s="3263"/>
      <c r="P5" s="3263"/>
      <c r="Q5" s="3263"/>
      <c r="R5" s="3263"/>
      <c r="S5" s="3263"/>
      <c r="T5" s="3263"/>
    </row>
    <row r="6" spans="1:20">
      <c r="A6" s="617"/>
      <c r="B6" s="279"/>
      <c r="C6" s="281"/>
      <c r="D6" s="351"/>
      <c r="E6" s="351"/>
      <c r="F6" s="279"/>
      <c r="G6" s="351"/>
      <c r="H6" s="351"/>
      <c r="M6" s="3263"/>
      <c r="N6" s="3263"/>
      <c r="O6" s="3263"/>
      <c r="P6" s="3263"/>
      <c r="Q6" s="3263"/>
      <c r="R6" s="3263"/>
      <c r="S6" s="3263"/>
      <c r="T6" s="3263"/>
    </row>
    <row r="7" spans="1:20">
      <c r="A7" s="278"/>
      <c r="B7" s="279"/>
      <c r="C7" s="281"/>
      <c r="D7" s="618"/>
      <c r="E7" s="279"/>
      <c r="F7" s="947"/>
      <c r="G7" s="351"/>
      <c r="H7" s="351"/>
      <c r="M7" s="1195"/>
      <c r="N7" s="1196"/>
      <c r="O7" s="1196"/>
      <c r="P7" s="1196"/>
      <c r="Q7" s="1196"/>
      <c r="R7" s="1196"/>
      <c r="S7" s="1196"/>
      <c r="T7" s="1196"/>
    </row>
    <row r="8" spans="1:20" ht="15" customHeight="1">
      <c r="A8" s="278"/>
      <c r="B8" s="279"/>
      <c r="C8" s="281"/>
      <c r="D8" s="279"/>
      <c r="E8" s="279"/>
      <c r="F8" s="279"/>
      <c r="G8" s="351"/>
      <c r="H8" s="351"/>
      <c r="M8" s="1197"/>
      <c r="N8" s="1198"/>
      <c r="O8" s="1199"/>
      <c r="P8" s="1198"/>
      <c r="Q8" s="1198"/>
      <c r="R8" s="1200"/>
      <c r="S8" s="1198"/>
      <c r="T8" s="352"/>
    </row>
    <row r="9" spans="1:20">
      <c r="A9" s="278"/>
      <c r="B9" s="279"/>
      <c r="C9" s="279"/>
      <c r="D9" s="279"/>
      <c r="E9" s="279"/>
      <c r="F9" s="279"/>
      <c r="G9" s="279"/>
      <c r="H9" s="279"/>
      <c r="M9" s="1201"/>
      <c r="N9" s="1198"/>
      <c r="O9" s="1199"/>
      <c r="P9" s="1202"/>
      <c r="Q9" s="1202"/>
      <c r="R9" s="1198"/>
      <c r="S9" s="1202"/>
      <c r="T9" s="1202"/>
    </row>
    <row r="10" spans="1:20">
      <c r="A10" s="278"/>
      <c r="B10" s="279"/>
      <c r="C10" s="279"/>
      <c r="D10" s="279"/>
      <c r="E10" s="279"/>
      <c r="F10" s="279"/>
      <c r="G10" s="279"/>
      <c r="H10" s="279"/>
      <c r="M10" s="1197"/>
      <c r="N10" s="1198"/>
      <c r="O10" s="1199"/>
      <c r="P10" s="1203"/>
      <c r="Q10" s="1198"/>
      <c r="R10" s="1200"/>
      <c r="S10" s="1202"/>
      <c r="T10" s="1202"/>
    </row>
    <row r="11" spans="1:20" ht="15.75" thickBot="1">
      <c r="A11" s="3147" t="s">
        <v>110</v>
      </c>
      <c r="B11" s="3147"/>
      <c r="C11" s="281" t="s">
        <v>46</v>
      </c>
      <c r="D11" s="3140">
        <f>H22</f>
        <v>8600000</v>
      </c>
      <c r="E11" s="3140"/>
      <c r="F11" s="619"/>
      <c r="G11" s="282"/>
      <c r="H11" s="282"/>
      <c r="M11" s="1197"/>
      <c r="N11" s="1198"/>
      <c r="O11" s="1199"/>
      <c r="P11" s="1198"/>
      <c r="Q11" s="1198"/>
      <c r="R11" s="1198"/>
      <c r="S11" s="1202"/>
      <c r="T11" s="1202"/>
    </row>
    <row r="12" spans="1:20" ht="15" customHeight="1">
      <c r="A12" s="3248" t="s">
        <v>1</v>
      </c>
      <c r="B12" s="3249"/>
      <c r="C12" s="3250"/>
      <c r="D12" s="3243" t="s">
        <v>60</v>
      </c>
      <c r="E12" s="3243" t="s">
        <v>97</v>
      </c>
      <c r="F12" s="3245" t="s">
        <v>112</v>
      </c>
      <c r="G12" s="3240" t="s">
        <v>113</v>
      </c>
      <c r="H12" s="3240" t="s">
        <v>114</v>
      </c>
      <c r="M12" s="1197"/>
      <c r="N12" s="1198"/>
      <c r="O12" s="1198"/>
      <c r="P12" s="1198"/>
      <c r="Q12" s="1198"/>
      <c r="R12" s="1198"/>
      <c r="S12" s="1198"/>
      <c r="T12" s="1198"/>
    </row>
    <row r="13" spans="1:20">
      <c r="A13" s="3251"/>
      <c r="B13" s="3252"/>
      <c r="C13" s="3231"/>
      <c r="D13" s="3142"/>
      <c r="E13" s="3142"/>
      <c r="F13" s="3145"/>
      <c r="G13" s="3241"/>
      <c r="H13" s="3241"/>
      <c r="M13" s="1197"/>
      <c r="N13" s="1198"/>
      <c r="O13" s="1198"/>
      <c r="P13" s="1198"/>
      <c r="Q13" s="1198"/>
      <c r="R13" s="1198"/>
      <c r="S13" s="1198"/>
      <c r="T13" s="1198"/>
    </row>
    <row r="14" spans="1:20" ht="15.75" thickBot="1">
      <c r="A14" s="3253"/>
      <c r="B14" s="3254"/>
      <c r="C14" s="3255"/>
      <c r="D14" s="3244"/>
      <c r="E14" s="3244"/>
      <c r="F14" s="3246"/>
      <c r="G14" s="3242"/>
      <c r="H14" s="3242"/>
      <c r="L14" s="264" t="s">
        <v>21</v>
      </c>
      <c r="M14" s="2980"/>
      <c r="N14" s="2980"/>
      <c r="O14" s="1199"/>
      <c r="P14" s="2988"/>
      <c r="Q14" s="2988"/>
      <c r="R14" s="689"/>
      <c r="S14" s="1204"/>
      <c r="T14" s="1204"/>
    </row>
    <row r="15" spans="1:20">
      <c r="A15" s="376">
        <v>1</v>
      </c>
      <c r="B15" s="318" t="s">
        <v>1142</v>
      </c>
      <c r="C15" s="322"/>
      <c r="D15" s="301"/>
      <c r="E15" s="302"/>
      <c r="F15" s="294"/>
      <c r="G15" s="294"/>
      <c r="H15" s="362"/>
      <c r="M15" s="1205"/>
      <c r="N15" s="1187"/>
      <c r="O15" s="311"/>
      <c r="P15" s="1207"/>
      <c r="Q15" s="1208"/>
      <c r="R15" s="305"/>
      <c r="S15" s="305"/>
      <c r="T15" s="305"/>
    </row>
    <row r="16" spans="1:20">
      <c r="A16" s="376" t="s">
        <v>115</v>
      </c>
      <c r="B16" s="377" t="s">
        <v>1139</v>
      </c>
      <c r="C16" s="285"/>
      <c r="D16" s="378">
        <v>13</v>
      </c>
      <c r="E16" s="379" t="s">
        <v>1144</v>
      </c>
      <c r="F16" s="294">
        <v>300000</v>
      </c>
      <c r="G16" s="294">
        <f>SUM(D16*F16)</f>
        <v>3900000</v>
      </c>
      <c r="H16" s="362"/>
      <c r="K16" s="264" t="s">
        <v>21</v>
      </c>
      <c r="M16" s="1205"/>
      <c r="N16" s="1187"/>
      <c r="O16" s="311"/>
      <c r="P16" s="1188"/>
      <c r="Q16" s="1189"/>
      <c r="R16" s="1209"/>
      <c r="S16" s="305"/>
      <c r="T16" s="305"/>
    </row>
    <row r="17" spans="1:20">
      <c r="A17" s="376" t="s">
        <v>117</v>
      </c>
      <c r="B17" s="1193" t="s">
        <v>1143</v>
      </c>
      <c r="C17" s="1194"/>
      <c r="D17" s="1190">
        <v>13</v>
      </c>
      <c r="E17" s="1191" t="s">
        <v>1144</v>
      </c>
      <c r="F17" s="1192">
        <v>150000</v>
      </c>
      <c r="G17" s="323">
        <f>SUM(D17*F17)</f>
        <v>1950000</v>
      </c>
      <c r="H17" s="375"/>
      <c r="M17" s="3264"/>
      <c r="N17" s="3264"/>
      <c r="O17" s="3264"/>
      <c r="P17" s="3264"/>
      <c r="Q17" s="3264"/>
      <c r="R17" s="3264"/>
      <c r="S17" s="305"/>
      <c r="T17" s="305"/>
    </row>
    <row r="18" spans="1:20">
      <c r="A18" s="376" t="s">
        <v>118</v>
      </c>
      <c r="B18" s="1193" t="s">
        <v>1140</v>
      </c>
      <c r="C18" s="1194"/>
      <c r="D18" s="1190">
        <v>14</v>
      </c>
      <c r="E18" s="1191" t="s">
        <v>1144</v>
      </c>
      <c r="F18" s="1192">
        <v>130000</v>
      </c>
      <c r="G18" s="323">
        <f>SUM(D18*F18)</f>
        <v>1820000</v>
      </c>
      <c r="H18" s="375"/>
      <c r="M18" s="1184"/>
      <c r="N18" s="1184"/>
      <c r="O18" s="1184"/>
      <c r="P18" s="1184"/>
      <c r="Q18" s="1184"/>
      <c r="R18" s="1184"/>
      <c r="S18" s="305"/>
      <c r="T18" s="305"/>
    </row>
    <row r="19" spans="1:20">
      <c r="A19" s="376" t="s">
        <v>119</v>
      </c>
      <c r="B19" s="1193" t="s">
        <v>1141</v>
      </c>
      <c r="C19" s="1194"/>
      <c r="D19" s="1190">
        <v>18</v>
      </c>
      <c r="E19" s="1191" t="s">
        <v>1145</v>
      </c>
      <c r="F19" s="1192">
        <v>50000</v>
      </c>
      <c r="G19" s="323">
        <f>SUM(D19*F19)</f>
        <v>900000</v>
      </c>
      <c r="H19" s="375"/>
      <c r="M19" s="1184"/>
      <c r="N19" s="1184"/>
      <c r="O19" s="1184"/>
      <c r="P19" s="1184"/>
      <c r="Q19" s="1184"/>
      <c r="R19" s="1184"/>
      <c r="S19" s="305"/>
      <c r="T19" s="305"/>
    </row>
    <row r="20" spans="1:20">
      <c r="A20" s="376"/>
      <c r="B20" s="1193" t="s">
        <v>1396</v>
      </c>
      <c r="C20" s="1194"/>
      <c r="D20" s="1190">
        <v>2</v>
      </c>
      <c r="E20" s="1191" t="s">
        <v>1179</v>
      </c>
      <c r="F20" s="1192">
        <v>15000</v>
      </c>
      <c r="G20" s="323">
        <f>SUM(D20*F20)</f>
        <v>30000</v>
      </c>
      <c r="H20" s="375"/>
      <c r="M20" s="1975"/>
      <c r="N20" s="1975"/>
      <c r="O20" s="1975"/>
      <c r="P20" s="1975"/>
      <c r="Q20" s="1975"/>
      <c r="R20" s="1975"/>
      <c r="S20" s="305"/>
      <c r="T20" s="305"/>
    </row>
    <row r="21" spans="1:20" ht="15.75" thickBot="1">
      <c r="A21" s="3247"/>
      <c r="B21" s="3138"/>
      <c r="C21" s="3138"/>
      <c r="D21" s="3138"/>
      <c r="E21" s="3138"/>
      <c r="F21" s="3139"/>
      <c r="G21" s="297">
        <f>SUM(G16:G20)</f>
        <v>8600000</v>
      </c>
      <c r="H21" s="365">
        <f>G21</f>
        <v>8600000</v>
      </c>
      <c r="M21" s="1205"/>
      <c r="N21" s="1206"/>
      <c r="O21" s="311"/>
      <c r="P21" s="352"/>
      <c r="Q21" s="352"/>
      <c r="R21" s="352"/>
      <c r="S21" s="352"/>
      <c r="T21" s="305"/>
    </row>
    <row r="22" spans="1:20" ht="15.75" thickBot="1">
      <c r="A22" s="3238" t="s">
        <v>131</v>
      </c>
      <c r="B22" s="3239"/>
      <c r="C22" s="3239"/>
      <c r="D22" s="3239"/>
      <c r="E22" s="3239"/>
      <c r="F22" s="3239"/>
      <c r="G22" s="367">
        <f>G21</f>
        <v>8600000</v>
      </c>
      <c r="H22" s="367">
        <f>SUM(H15:H21)</f>
        <v>8600000</v>
      </c>
      <c r="M22" s="1205"/>
      <c r="N22" s="1187"/>
      <c r="O22" s="311"/>
      <c r="P22" s="305"/>
      <c r="Q22" s="311"/>
      <c r="R22" s="305"/>
      <c r="S22" s="305"/>
      <c r="T22" s="305"/>
    </row>
    <row r="23" spans="1:20">
      <c r="A23" s="1185"/>
      <c r="B23" s="1185"/>
      <c r="C23" s="1185"/>
      <c r="D23" s="1185"/>
      <c r="E23" s="1185"/>
      <c r="F23" s="1185"/>
      <c r="G23" s="1186"/>
      <c r="H23" s="1186"/>
      <c r="M23" s="1205"/>
      <c r="N23" s="1187"/>
      <c r="O23" s="311"/>
      <c r="P23" s="305"/>
      <c r="Q23" s="311"/>
      <c r="R23" s="305"/>
      <c r="S23" s="305"/>
      <c r="T23" s="305"/>
    </row>
    <row r="24" spans="1:20">
      <c r="A24" s="1185"/>
      <c r="B24" s="1185"/>
      <c r="C24" s="1185"/>
      <c r="D24" s="1185"/>
      <c r="E24" s="1185"/>
      <c r="F24" s="1185"/>
      <c r="G24" s="1186"/>
      <c r="H24" s="1186"/>
      <c r="M24" s="1205"/>
      <c r="N24" s="1187"/>
      <c r="O24" s="311"/>
      <c r="P24" s="305"/>
      <c r="Q24" s="311"/>
      <c r="R24" s="305"/>
      <c r="S24" s="305"/>
      <c r="T24" s="305"/>
    </row>
    <row r="25" spans="1:20">
      <c r="A25" s="327"/>
      <c r="B25" s="263"/>
      <c r="C25" s="263"/>
      <c r="D25" s="263"/>
      <c r="E25" s="263"/>
      <c r="F25" s="263"/>
      <c r="G25" s="263"/>
      <c r="H25" s="328"/>
      <c r="M25" s="1205"/>
      <c r="N25" s="1187"/>
      <c r="O25" s="311"/>
      <c r="P25" s="1188"/>
      <c r="Q25" s="1189"/>
      <c r="R25" s="1209"/>
      <c r="S25" s="305"/>
      <c r="T25" s="305"/>
    </row>
    <row r="26" spans="1:20">
      <c r="A26" s="2962"/>
      <c r="B26" s="2962"/>
      <c r="C26" s="961"/>
      <c r="D26" s="2962"/>
      <c r="E26" s="2962"/>
      <c r="F26" s="2962"/>
      <c r="G26" s="2962"/>
      <c r="H26" s="275"/>
      <c r="M26" s="3264"/>
      <c r="N26" s="3264"/>
      <c r="O26" s="3264"/>
      <c r="P26" s="3264"/>
      <c r="Q26" s="3264"/>
      <c r="R26" s="3264"/>
      <c r="S26" s="1186"/>
      <c r="T26" s="1186"/>
    </row>
    <row r="27" spans="1:20" ht="38.25" customHeight="1">
      <c r="A27" s="2962"/>
      <c r="B27" s="2962"/>
      <c r="C27" s="961"/>
      <c r="D27" s="2962"/>
      <c r="E27" s="2962"/>
      <c r="F27" s="2962"/>
      <c r="G27" s="2962"/>
      <c r="H27" s="275"/>
      <c r="M27" s="3265"/>
      <c r="N27" s="3265"/>
      <c r="O27" s="3265"/>
      <c r="P27" s="3265"/>
      <c r="Q27" s="3265"/>
      <c r="R27" s="3265"/>
      <c r="S27" s="352"/>
      <c r="T27" s="1186"/>
    </row>
    <row r="28" spans="1:20">
      <c r="A28" s="306"/>
      <c r="B28" s="961"/>
      <c r="C28" s="961"/>
      <c r="D28" s="307"/>
      <c r="E28" s="308"/>
      <c r="F28" s="953"/>
      <c r="G28" s="308"/>
      <c r="H28" s="328"/>
      <c r="M28" s="1210"/>
      <c r="N28" s="1211"/>
      <c r="O28" s="1211"/>
      <c r="P28" s="1211"/>
      <c r="Q28" s="1211"/>
      <c r="R28" s="1211"/>
      <c r="S28" s="1211"/>
      <c r="T28" s="1182"/>
    </row>
    <row r="29" spans="1:20">
      <c r="A29" s="306"/>
      <c r="B29" s="961"/>
      <c r="C29" s="961"/>
      <c r="D29" s="961"/>
      <c r="E29" s="308"/>
      <c r="F29" s="308"/>
      <c r="G29" s="308"/>
      <c r="H29" s="328"/>
      <c r="M29" s="3266"/>
      <c r="N29" s="3266"/>
      <c r="O29" s="1212"/>
      <c r="P29" s="3266"/>
      <c r="Q29" s="3266"/>
      <c r="R29" s="3266"/>
      <c r="S29" s="3266"/>
      <c r="T29" s="1213"/>
    </row>
    <row r="30" spans="1:20">
      <c r="A30" s="306"/>
      <c r="B30" s="307"/>
      <c r="C30" s="307"/>
      <c r="D30" s="308"/>
      <c r="E30" s="308"/>
      <c r="F30" s="308"/>
      <c r="G30" s="308"/>
      <c r="H30" s="328"/>
      <c r="M30" s="3266"/>
      <c r="N30" s="3266"/>
      <c r="O30" s="1212"/>
      <c r="P30" s="3266"/>
      <c r="Q30" s="3266"/>
      <c r="R30" s="3266"/>
      <c r="S30" s="3266"/>
      <c r="T30" s="1213"/>
    </row>
    <row r="31" spans="1:20">
      <c r="A31" s="306"/>
      <c r="B31" s="307"/>
      <c r="C31" s="307"/>
      <c r="D31" s="308"/>
      <c r="E31" s="308"/>
      <c r="F31" s="308"/>
      <c r="G31" s="308"/>
      <c r="H31" s="328"/>
      <c r="M31" s="1214"/>
      <c r="N31" s="1212"/>
      <c r="O31" s="1212"/>
      <c r="P31" s="1215"/>
      <c r="Q31" s="1216"/>
      <c r="R31" s="1217"/>
      <c r="S31" s="1216"/>
      <c r="T31" s="1182"/>
    </row>
    <row r="32" spans="1:20">
      <c r="A32" s="2963"/>
      <c r="B32" s="2963"/>
      <c r="C32" s="960"/>
      <c r="D32" s="2963"/>
      <c r="E32" s="2963"/>
      <c r="F32" s="2963"/>
      <c r="G32" s="2963"/>
      <c r="H32" s="432"/>
      <c r="M32" s="1214"/>
      <c r="N32" s="1212"/>
      <c r="O32" s="1212"/>
      <c r="P32" s="1212"/>
      <c r="Q32" s="1216"/>
      <c r="R32" s="1216"/>
      <c r="S32" s="1216"/>
      <c r="T32" s="1182"/>
    </row>
    <row r="33" spans="1:20">
      <c r="A33" s="306"/>
      <c r="B33" s="961"/>
      <c r="C33" s="961"/>
      <c r="D33" s="2962"/>
      <c r="E33" s="2962"/>
      <c r="F33" s="2962"/>
      <c r="G33" s="2962"/>
      <c r="H33" s="328"/>
      <c r="M33" s="1214"/>
      <c r="N33" s="1215"/>
      <c r="O33" s="1215"/>
      <c r="P33" s="1216"/>
      <c r="Q33" s="1216"/>
      <c r="R33" s="1216"/>
      <c r="S33" s="1216"/>
      <c r="T33" s="1182"/>
    </row>
    <row r="34" spans="1:20">
      <c r="M34" s="1214"/>
      <c r="N34" s="1215"/>
      <c r="O34" s="1215"/>
      <c r="P34" s="1216"/>
      <c r="Q34" s="1216"/>
      <c r="R34" s="1216"/>
      <c r="S34" s="1216"/>
      <c r="T34" s="1182"/>
    </row>
    <row r="35" spans="1:20">
      <c r="M35" s="3267"/>
      <c r="N35" s="3267"/>
      <c r="O35" s="1218"/>
      <c r="P35" s="3267"/>
      <c r="Q35" s="3267"/>
      <c r="R35" s="3267"/>
      <c r="S35" s="3267"/>
      <c r="T35" s="1219"/>
    </row>
    <row r="36" spans="1:20">
      <c r="M36" s="1214"/>
      <c r="N36" s="1212"/>
      <c r="O36" s="1212"/>
      <c r="P36" s="3266"/>
      <c r="Q36" s="3266"/>
      <c r="R36" s="3266"/>
      <c r="S36" s="3266"/>
      <c r="T36" s="1182"/>
    </row>
  </sheetData>
  <customSheetViews>
    <customSheetView guid="{0F09EDAE-127A-4543-88A5-04139BD32AD8}" showPageBreaks="1" fitToPage="1" printArea="1">
      <selection activeCell="I22" sqref="I22"/>
      <pageMargins left="0.70866141732283472" right="0.70866141732283472" top="0.74803149606299213" bottom="0.74803149606299213" header="0.31496062992125984" footer="0.31496062992125984"/>
      <printOptions horizontalCentered="1"/>
      <pageSetup paperSize="5" scale="91" fitToHeight="0" orientation="portrait" r:id="rId1"/>
    </customSheetView>
    <customSheetView guid="{C05430D3-5A25-4A4C-823C-7D6EA772E5F0}" showPageBreaks="1" fitToPage="1" printArea="1">
      <selection activeCell="I22" sqref="I22"/>
      <pageMargins left="0.70866141732283472" right="0.70866141732283472" top="0.74803149606299213" bottom="0.74803149606299213" header="0.31496062992125984" footer="0.31496062992125984"/>
      <printOptions horizontalCentered="1"/>
      <pageSetup paperSize="5" scale="92" fitToHeight="0" orientation="portrait" r:id="rId2"/>
    </customSheetView>
  </customSheetViews>
  <mergeCells count="35">
    <mergeCell ref="M30:N30"/>
    <mergeCell ref="P30:S30"/>
    <mergeCell ref="M35:N35"/>
    <mergeCell ref="P35:S35"/>
    <mergeCell ref="P36:S36"/>
    <mergeCell ref="M17:R17"/>
    <mergeCell ref="M26:R26"/>
    <mergeCell ref="M27:R27"/>
    <mergeCell ref="M29:N29"/>
    <mergeCell ref="P29:S29"/>
    <mergeCell ref="M4:T4"/>
    <mergeCell ref="M5:T5"/>
    <mergeCell ref="M6:T6"/>
    <mergeCell ref="M14:N14"/>
    <mergeCell ref="P14:Q14"/>
    <mergeCell ref="A27:B27"/>
    <mergeCell ref="D27:G27"/>
    <mergeCell ref="A32:B32"/>
    <mergeCell ref="D32:G32"/>
    <mergeCell ref="D33:G33"/>
    <mergeCell ref="H12:H14"/>
    <mergeCell ref="A21:F21"/>
    <mergeCell ref="A22:F22"/>
    <mergeCell ref="A26:B26"/>
    <mergeCell ref="D26:G26"/>
    <mergeCell ref="A12:C14"/>
    <mergeCell ref="D12:D14"/>
    <mergeCell ref="E12:E14"/>
    <mergeCell ref="F12:F14"/>
    <mergeCell ref="G12:G14"/>
    <mergeCell ref="A1:H1"/>
    <mergeCell ref="A2:H2"/>
    <mergeCell ref="A3:H3"/>
    <mergeCell ref="A11:B11"/>
    <mergeCell ref="D11:E1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2" fitToHeight="0" orientation="portrait" r:id="rId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41"/>
  <sheetViews>
    <sheetView workbookViewId="0">
      <selection sqref="A1:H1"/>
    </sheetView>
  </sheetViews>
  <sheetFormatPr defaultColWidth="9.140625" defaultRowHeight="15"/>
  <cols>
    <col min="1" max="1" width="4.7109375" style="350" customWidth="1"/>
    <col min="2" max="2" width="35.5703125" style="328" customWidth="1"/>
    <col min="3" max="3" width="3.28515625" style="328" customWidth="1"/>
    <col min="4" max="4" width="8.28515625" style="328" customWidth="1"/>
    <col min="5" max="5" width="8.85546875" style="328" customWidth="1"/>
    <col min="6" max="6" width="11.85546875" style="328" customWidth="1"/>
    <col min="7" max="7" width="13" style="328" customWidth="1"/>
    <col min="8" max="8" width="14.5703125" style="328" customWidth="1"/>
    <col min="9" max="9" width="9.140625" style="328"/>
    <col min="10" max="10" width="16.140625" style="328" customWidth="1"/>
    <col min="11" max="11" width="17.85546875" style="328" customWidth="1"/>
    <col min="12" max="12" width="12" style="328" customWidth="1"/>
    <col min="13" max="13" width="10.85546875" style="328" customWidth="1"/>
    <col min="14" max="14" width="11.28515625" style="328" customWidth="1"/>
    <col min="15" max="15" width="12.140625" style="328" bestFit="1" customWidth="1"/>
    <col min="16" max="16384" width="9.140625" style="328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/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 ht="15" customHeight="1">
      <c r="A8" s="278"/>
      <c r="B8" s="279"/>
      <c r="C8" s="281"/>
      <c r="D8" s="279"/>
      <c r="E8" s="279"/>
      <c r="F8" s="279"/>
      <c r="G8" s="351"/>
      <c r="H8" s="351"/>
    </row>
    <row r="9" spans="1:8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3147" t="s">
        <v>110</v>
      </c>
      <c r="B11" s="3147"/>
      <c r="C11" s="281" t="s">
        <v>46</v>
      </c>
      <c r="D11" s="3140">
        <f>H21</f>
        <v>1665000</v>
      </c>
      <c r="E11" s="3140"/>
      <c r="F11" s="619"/>
      <c r="G11" s="282"/>
      <c r="H11" s="282"/>
    </row>
    <row r="12" spans="1:8" ht="15" customHeight="1">
      <c r="A12" s="3148" t="s">
        <v>111</v>
      </c>
      <c r="B12" s="3151" t="s">
        <v>1</v>
      </c>
      <c r="C12" s="3152"/>
      <c r="D12" s="3148" t="s">
        <v>60</v>
      </c>
      <c r="E12" s="3148" t="s">
        <v>97</v>
      </c>
      <c r="F12" s="3148" t="s">
        <v>112</v>
      </c>
      <c r="G12" s="3148" t="s">
        <v>113</v>
      </c>
      <c r="H12" s="3148" t="s">
        <v>114</v>
      </c>
    </row>
    <row r="13" spans="1:8">
      <c r="A13" s="3149"/>
      <c r="B13" s="3153"/>
      <c r="C13" s="3154"/>
      <c r="D13" s="3149"/>
      <c r="E13" s="3149"/>
      <c r="F13" s="3149"/>
      <c r="G13" s="3149"/>
      <c r="H13" s="3149"/>
    </row>
    <row r="14" spans="1:8">
      <c r="A14" s="3150"/>
      <c r="B14" s="3155"/>
      <c r="C14" s="3156"/>
      <c r="D14" s="3150"/>
      <c r="E14" s="3150"/>
      <c r="F14" s="3150"/>
      <c r="G14" s="3150"/>
      <c r="H14" s="3150"/>
    </row>
    <row r="15" spans="1:8">
      <c r="A15" s="330">
        <v>1</v>
      </c>
      <c r="B15" s="342" t="s">
        <v>1422</v>
      </c>
      <c r="C15" s="265"/>
      <c r="D15" s="266"/>
      <c r="E15" s="267"/>
      <c r="F15" s="268"/>
      <c r="G15" s="331"/>
      <c r="H15" s="332"/>
    </row>
    <row r="16" spans="1:8">
      <c r="A16" s="333" t="s">
        <v>115</v>
      </c>
      <c r="B16" s="334" t="s">
        <v>1423</v>
      </c>
      <c r="C16" s="269"/>
      <c r="D16" s="335">
        <v>1</v>
      </c>
      <c r="E16" s="336" t="s">
        <v>104</v>
      </c>
      <c r="F16" s="1500">
        <v>1665000</v>
      </c>
      <c r="G16" s="270">
        <f>+F16*D16</f>
        <v>1665000</v>
      </c>
      <c r="H16" s="271"/>
    </row>
    <row r="17" spans="1:13">
      <c r="A17" s="333"/>
      <c r="B17" s="334"/>
      <c r="C17" s="269"/>
      <c r="D17" s="335"/>
      <c r="E17" s="336"/>
      <c r="F17" s="337"/>
      <c r="G17" s="270"/>
      <c r="H17" s="271"/>
    </row>
    <row r="18" spans="1:13">
      <c r="A18" s="333"/>
      <c r="B18" s="334"/>
      <c r="C18" s="269"/>
      <c r="D18" s="335"/>
      <c r="E18" s="336"/>
      <c r="F18" s="337"/>
      <c r="G18" s="270"/>
      <c r="H18" s="271"/>
    </row>
    <row r="19" spans="1:13">
      <c r="A19" s="333"/>
      <c r="B19" s="340"/>
      <c r="C19" s="269"/>
      <c r="D19" s="335"/>
      <c r="E19" s="336"/>
      <c r="F19" s="337"/>
      <c r="G19" s="270"/>
      <c r="H19" s="271"/>
    </row>
    <row r="20" spans="1:13">
      <c r="A20" s="3225" t="s">
        <v>161</v>
      </c>
      <c r="B20" s="3226"/>
      <c r="C20" s="3226"/>
      <c r="D20" s="3226"/>
      <c r="E20" s="3226"/>
      <c r="F20" s="3227"/>
      <c r="G20" s="272">
        <f>SUM(G16:G19)</f>
        <v>1665000</v>
      </c>
      <c r="H20" s="273">
        <f>G20</f>
        <v>1665000</v>
      </c>
      <c r="K20" s="338"/>
      <c r="L20" s="339"/>
    </row>
    <row r="21" spans="1:13">
      <c r="A21" s="3228" t="s">
        <v>131</v>
      </c>
      <c r="B21" s="3229"/>
      <c r="C21" s="3229"/>
      <c r="D21" s="3229"/>
      <c r="E21" s="3229"/>
      <c r="F21" s="3229"/>
      <c r="G21" s="343">
        <f>H21</f>
        <v>1665000</v>
      </c>
      <c r="H21" s="344">
        <f>SUM(H16:H20)</f>
        <v>1665000</v>
      </c>
    </row>
    <row r="22" spans="1:13">
      <c r="A22" s="329"/>
      <c r="B22" s="274"/>
      <c r="C22" s="274"/>
      <c r="D22" s="274"/>
      <c r="E22" s="274"/>
      <c r="F22" s="274"/>
      <c r="G22" s="274"/>
      <c r="J22" s="345"/>
      <c r="M22" s="328" t="s">
        <v>21</v>
      </c>
    </row>
    <row r="23" spans="1:13">
      <c r="A23" s="327"/>
      <c r="B23" s="263"/>
      <c r="C23" s="263"/>
      <c r="D23" s="263"/>
      <c r="E23" s="263"/>
      <c r="F23" s="263"/>
      <c r="G23" s="263"/>
      <c r="I23" s="338"/>
      <c r="J23" s="339">
        <v>1000000</v>
      </c>
    </row>
    <row r="24" spans="1:13">
      <c r="A24" s="2962"/>
      <c r="B24" s="2962"/>
      <c r="C24" s="1984"/>
      <c r="D24" s="2962"/>
      <c r="E24" s="2962"/>
      <c r="F24" s="2962"/>
      <c r="G24" s="2962"/>
      <c r="H24" s="275"/>
    </row>
    <row r="25" spans="1:13">
      <c r="A25" s="2962"/>
      <c r="B25" s="2962"/>
      <c r="C25" s="1984"/>
      <c r="D25" s="2962"/>
      <c r="E25" s="2962"/>
      <c r="F25" s="2962"/>
      <c r="G25" s="2962"/>
      <c r="H25" s="275"/>
    </row>
    <row r="26" spans="1:13">
      <c r="A26" s="306"/>
      <c r="B26" s="1984"/>
      <c r="C26" s="1984"/>
      <c r="D26" s="307"/>
      <c r="E26" s="308"/>
      <c r="F26" s="953"/>
      <c r="G26" s="308"/>
    </row>
    <row r="27" spans="1:13">
      <c r="A27" s="306"/>
      <c r="B27" s="1984"/>
      <c r="C27" s="1984"/>
      <c r="D27" s="1984"/>
      <c r="E27" s="308"/>
      <c r="F27" s="308"/>
      <c r="G27" s="308"/>
    </row>
    <row r="28" spans="1:13">
      <c r="A28" s="306"/>
      <c r="B28" s="307"/>
      <c r="C28" s="307"/>
      <c r="D28" s="308"/>
      <c r="E28" s="308"/>
      <c r="F28" s="308"/>
      <c r="G28" s="308"/>
      <c r="K28" s="328">
        <f>90*25</f>
        <v>2250</v>
      </c>
    </row>
    <row r="29" spans="1:13">
      <c r="A29" s="306"/>
      <c r="B29" s="307"/>
      <c r="C29" s="307"/>
      <c r="D29" s="308"/>
      <c r="E29" s="308"/>
      <c r="F29" s="308"/>
      <c r="G29" s="308"/>
    </row>
    <row r="30" spans="1:13">
      <c r="A30" s="2963"/>
      <c r="B30" s="2963"/>
      <c r="C30" s="1985"/>
      <c r="D30" s="2963"/>
      <c r="E30" s="2963"/>
      <c r="F30" s="2963"/>
      <c r="G30" s="2963"/>
      <c r="H30" s="432"/>
    </row>
    <row r="31" spans="1:13">
      <c r="A31" s="306"/>
      <c r="B31" s="1984"/>
      <c r="C31" s="1984"/>
      <c r="D31" s="2962"/>
      <c r="E31" s="2962"/>
      <c r="F31" s="2962"/>
      <c r="G31" s="2962"/>
      <c r="J31" s="328" t="s">
        <v>21</v>
      </c>
    </row>
    <row r="32" spans="1:13" ht="15.75">
      <c r="A32" s="346"/>
      <c r="B32" s="347"/>
      <c r="C32" s="347"/>
      <c r="D32" s="347"/>
      <c r="E32" s="348"/>
      <c r="F32" s="348"/>
      <c r="G32" s="349"/>
      <c r="K32" s="328" t="s">
        <v>21</v>
      </c>
    </row>
    <row r="37" spans="9:12">
      <c r="I37" s="338"/>
      <c r="J37" s="339">
        <v>1500000</v>
      </c>
      <c r="L37" s="328" t="s">
        <v>21</v>
      </c>
    </row>
    <row r="38" spans="9:12">
      <c r="J38" s="345"/>
    </row>
    <row r="39" spans="9:12">
      <c r="J39" s="341" t="e">
        <f>J37+J23+#REF!+L20+#REF!+#REF!</f>
        <v>#REF!</v>
      </c>
    </row>
    <row r="40" spans="9:12">
      <c r="J40" s="341">
        <v>76870</v>
      </c>
    </row>
    <row r="41" spans="9:12">
      <c r="J41" s="341" t="e">
        <f>J39+J40</f>
        <v>#REF!</v>
      </c>
    </row>
  </sheetData>
  <customSheetViews>
    <customSheetView guid="{0F09EDAE-127A-4543-88A5-04139BD32AD8}" scale="145" showPageBreaks="1" printArea="1" topLeftCell="A16">
      <selection activeCell="F17" sqref="F17"/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1"/>
    </customSheetView>
    <customSheetView guid="{C05430D3-5A25-4A4C-823C-7D6EA772E5F0}" scale="145" showPageBreaks="1" printArea="1" topLeftCell="A16">
      <selection activeCell="F17" sqref="F17"/>
      <pageMargins left="0.70866141732283472" right="0.70866141732283472" top="0.74803149606299213" bottom="0.74803149606299213" header="0.31496062992125984" footer="0.31496062992125984"/>
      <printOptions horizontalCentered="1"/>
      <pageSetup paperSize="5" scale="80" orientation="portrait" r:id="rId2"/>
    </customSheetView>
  </customSheetViews>
  <mergeCells count="21">
    <mergeCell ref="A1:H1"/>
    <mergeCell ref="A2:H2"/>
    <mergeCell ref="A3:H3"/>
    <mergeCell ref="A11:B11"/>
    <mergeCell ref="D11:E11"/>
    <mergeCell ref="G12:G14"/>
    <mergeCell ref="H12:H14"/>
    <mergeCell ref="A20:F20"/>
    <mergeCell ref="A21:F21"/>
    <mergeCell ref="A24:B24"/>
    <mergeCell ref="D24:G24"/>
    <mergeCell ref="A12:A14"/>
    <mergeCell ref="B12:C14"/>
    <mergeCell ref="D12:D14"/>
    <mergeCell ref="E12:E14"/>
    <mergeCell ref="F12:F14"/>
    <mergeCell ref="A25:B25"/>
    <mergeCell ref="D25:G25"/>
    <mergeCell ref="A30:B30"/>
    <mergeCell ref="D30:G30"/>
    <mergeCell ref="D31:G3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0" orientation="portrait" r:id="rId3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I42"/>
  <sheetViews>
    <sheetView workbookViewId="0">
      <selection sqref="A1:H1"/>
    </sheetView>
  </sheetViews>
  <sheetFormatPr defaultColWidth="9.140625" defaultRowHeight="15"/>
  <cols>
    <col min="1" max="1" width="4.7109375" style="264" customWidth="1"/>
    <col min="2" max="2" width="46.140625" style="264" customWidth="1"/>
    <col min="3" max="3" width="1.85546875" style="264" customWidth="1"/>
    <col min="4" max="4" width="8.28515625" style="264" customWidth="1"/>
    <col min="5" max="5" width="8.85546875" style="264" customWidth="1"/>
    <col min="6" max="6" width="10.7109375" style="264" customWidth="1"/>
    <col min="7" max="7" width="9.140625" style="264" hidden="1" customWidth="1"/>
    <col min="8" max="8" width="13" style="264" customWidth="1"/>
    <col min="9" max="9" width="14.5703125" style="264" customWidth="1"/>
    <col min="10" max="16384" width="9.140625" style="264"/>
  </cols>
  <sheetData>
    <row r="1" spans="1:9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9">
      <c r="A2" s="2961" t="s">
        <v>1024</v>
      </c>
      <c r="B2" s="2961"/>
      <c r="C2" s="2961"/>
      <c r="D2" s="2961"/>
      <c r="E2" s="2961"/>
      <c r="F2" s="2961"/>
      <c r="G2" s="2961"/>
      <c r="H2" s="2961"/>
      <c r="I2" s="948"/>
    </row>
    <row r="3" spans="1:9">
      <c r="A3" s="2961"/>
      <c r="B3" s="2961"/>
      <c r="C3" s="2961"/>
      <c r="D3" s="2961"/>
      <c r="E3" s="2961"/>
      <c r="F3" s="2961"/>
      <c r="G3" s="2961"/>
      <c r="H3" s="2961"/>
    </row>
    <row r="4" spans="1:9">
      <c r="A4" s="276"/>
      <c r="B4" s="277"/>
      <c r="C4" s="277"/>
      <c r="D4" s="277"/>
      <c r="E4" s="277"/>
      <c r="F4" s="277"/>
      <c r="G4" s="277"/>
      <c r="H4" s="277"/>
    </row>
    <row r="5" spans="1:9">
      <c r="A5" s="278"/>
      <c r="B5" s="279"/>
      <c r="C5" s="281"/>
      <c r="D5" s="279"/>
      <c r="E5" s="279"/>
      <c r="F5" s="947"/>
      <c r="G5" s="279"/>
    </row>
    <row r="6" spans="1:9">
      <c r="A6" s="617"/>
      <c r="B6" s="279"/>
      <c r="C6" s="281"/>
      <c r="D6" s="351"/>
      <c r="E6" s="351"/>
      <c r="F6" s="279"/>
      <c r="G6" s="351"/>
      <c r="H6" s="351"/>
    </row>
    <row r="7" spans="1:9">
      <c r="A7" s="278"/>
      <c r="B7" s="279"/>
      <c r="C7" s="281"/>
      <c r="D7" s="618"/>
      <c r="E7" s="279"/>
      <c r="F7" s="947"/>
      <c r="G7" s="351"/>
      <c r="H7" s="351"/>
    </row>
    <row r="8" spans="1:9">
      <c r="A8" s="278"/>
      <c r="B8" s="279"/>
      <c r="C8" s="281"/>
      <c r="D8" s="279"/>
      <c r="E8" s="279"/>
      <c r="F8" s="279"/>
      <c r="G8" s="351"/>
      <c r="H8" s="351"/>
    </row>
    <row r="9" spans="1:9">
      <c r="A9" s="278"/>
      <c r="B9" s="279"/>
      <c r="C9" s="281"/>
      <c r="D9" s="279"/>
      <c r="E9" s="279"/>
      <c r="F9" s="279"/>
      <c r="G9" s="351"/>
      <c r="H9" s="351"/>
    </row>
    <row r="10" spans="1:9" ht="15.75" thickBot="1">
      <c r="A10" s="278"/>
      <c r="B10" s="279"/>
      <c r="C10" s="279"/>
      <c r="D10" s="279"/>
      <c r="E10" s="279"/>
      <c r="F10" s="279"/>
      <c r="G10" s="279"/>
      <c r="H10" s="279"/>
    </row>
    <row r="11" spans="1:9">
      <c r="A11" s="3248" t="s">
        <v>1</v>
      </c>
      <c r="B11" s="3249"/>
      <c r="C11" s="3250"/>
      <c r="D11" s="3243" t="s">
        <v>60</v>
      </c>
      <c r="E11" s="3243" t="s">
        <v>97</v>
      </c>
      <c r="F11" s="3245" t="s">
        <v>112</v>
      </c>
      <c r="G11" s="359"/>
      <c r="H11" s="3240" t="s">
        <v>113</v>
      </c>
      <c r="I11" s="3240" t="s">
        <v>114</v>
      </c>
    </row>
    <row r="12" spans="1:9">
      <c r="A12" s="3251"/>
      <c r="B12" s="3252"/>
      <c r="C12" s="3231"/>
      <c r="D12" s="3142"/>
      <c r="E12" s="3142"/>
      <c r="F12" s="3145"/>
      <c r="G12" s="283"/>
      <c r="H12" s="3241"/>
      <c r="I12" s="3241"/>
    </row>
    <row r="13" spans="1:9" ht="15.75" thickBot="1">
      <c r="A13" s="3253"/>
      <c r="B13" s="3254"/>
      <c r="C13" s="3255"/>
      <c r="D13" s="3244"/>
      <c r="E13" s="3244"/>
      <c r="F13" s="3246"/>
      <c r="G13" s="360"/>
      <c r="H13" s="3242"/>
      <c r="I13" s="3242"/>
    </row>
    <row r="14" spans="1:9">
      <c r="A14" s="361">
        <v>1</v>
      </c>
      <c r="B14" s="290" t="s">
        <v>947</v>
      </c>
      <c r="C14" s="285"/>
      <c r="D14" s="363"/>
      <c r="E14" s="316"/>
      <c r="F14" s="315"/>
      <c r="G14" s="305"/>
      <c r="H14" s="294"/>
      <c r="I14" s="362"/>
    </row>
    <row r="15" spans="1:9">
      <c r="A15" s="361" t="s">
        <v>115</v>
      </c>
      <c r="B15" s="290" t="s">
        <v>955</v>
      </c>
      <c r="C15" s="285"/>
      <c r="D15" s="373">
        <v>350</v>
      </c>
      <c r="E15" s="374" t="s">
        <v>148</v>
      </c>
      <c r="F15" s="294">
        <v>20000</v>
      </c>
      <c r="G15" s="305"/>
      <c r="H15" s="294">
        <f>+F15*D15</f>
        <v>7000000</v>
      </c>
      <c r="I15" s="362"/>
    </row>
    <row r="16" spans="1:9">
      <c r="A16" s="361" t="s">
        <v>117</v>
      </c>
      <c r="B16" s="290" t="s">
        <v>257</v>
      </c>
      <c r="C16" s="285"/>
      <c r="D16" s="373">
        <v>350</v>
      </c>
      <c r="E16" s="374" t="s">
        <v>148</v>
      </c>
      <c r="F16" s="294">
        <v>6000</v>
      </c>
      <c r="G16" s="305"/>
      <c r="H16" s="294">
        <f>+F16*D16</f>
        <v>2100000</v>
      </c>
      <c r="I16" s="362"/>
    </row>
    <row r="17" spans="1:9">
      <c r="A17" s="361" t="s">
        <v>118</v>
      </c>
      <c r="B17" s="290" t="s">
        <v>946</v>
      </c>
      <c r="C17" s="285"/>
      <c r="D17" s="373">
        <v>23</v>
      </c>
      <c r="E17" s="302" t="s">
        <v>954</v>
      </c>
      <c r="F17" s="294">
        <v>28000</v>
      </c>
      <c r="G17" s="305"/>
      <c r="H17" s="294">
        <f>+F17*D17</f>
        <v>644000</v>
      </c>
      <c r="I17" s="362"/>
    </row>
    <row r="18" spans="1:9">
      <c r="A18" s="3247" t="s">
        <v>98</v>
      </c>
      <c r="B18" s="3138"/>
      <c r="C18" s="3138"/>
      <c r="D18" s="3138"/>
      <c r="E18" s="3138"/>
      <c r="F18" s="3139"/>
      <c r="G18" s="295"/>
      <c r="H18" s="297">
        <f>SUM(H15:H17)</f>
        <v>9744000</v>
      </c>
      <c r="I18" s="365">
        <f>H18</f>
        <v>9744000</v>
      </c>
    </row>
    <row r="19" spans="1:9">
      <c r="A19" s="361">
        <v>2</v>
      </c>
      <c r="B19" s="290" t="s">
        <v>948</v>
      </c>
      <c r="C19" s="285"/>
      <c r="D19" s="363"/>
      <c r="E19" s="316"/>
      <c r="F19" s="315"/>
      <c r="G19" s="305"/>
      <c r="H19" s="294"/>
      <c r="I19" s="362"/>
    </row>
    <row r="20" spans="1:9">
      <c r="A20" s="361" t="s">
        <v>121</v>
      </c>
      <c r="B20" s="290" t="s">
        <v>949</v>
      </c>
      <c r="C20" s="285"/>
      <c r="D20" s="373">
        <v>80</v>
      </c>
      <c r="E20" s="374" t="s">
        <v>252</v>
      </c>
      <c r="F20" s="294">
        <v>80000</v>
      </c>
      <c r="G20" s="305"/>
      <c r="H20" s="294">
        <f>+F20*D20</f>
        <v>6400000</v>
      </c>
      <c r="I20" s="362"/>
    </row>
    <row r="21" spans="1:9">
      <c r="A21" s="361" t="s">
        <v>117</v>
      </c>
      <c r="B21" s="290" t="s">
        <v>950</v>
      </c>
      <c r="C21" s="285"/>
      <c r="D21" s="373">
        <v>40</v>
      </c>
      <c r="E21" s="374" t="s">
        <v>136</v>
      </c>
      <c r="F21" s="294">
        <v>20000</v>
      </c>
      <c r="G21" s="305"/>
      <c r="H21" s="294">
        <f>+F21*D21</f>
        <v>800000</v>
      </c>
      <c r="I21" s="362"/>
    </row>
    <row r="22" spans="1:9">
      <c r="A22" s="361"/>
      <c r="B22" s="290"/>
      <c r="C22" s="285"/>
      <c r="D22" s="373"/>
      <c r="E22" s="302"/>
      <c r="F22" s="294"/>
      <c r="G22" s="305"/>
      <c r="H22" s="294"/>
      <c r="I22" s="362"/>
    </row>
    <row r="23" spans="1:9">
      <c r="A23" s="3247" t="s">
        <v>99</v>
      </c>
      <c r="B23" s="3138"/>
      <c r="C23" s="3138"/>
      <c r="D23" s="3138"/>
      <c r="E23" s="3138"/>
      <c r="F23" s="3139"/>
      <c r="G23" s="295"/>
      <c r="H23" s="297">
        <f>SUM(H20:H22)</f>
        <v>7200000</v>
      </c>
      <c r="I23" s="365">
        <f>H23</f>
        <v>7200000</v>
      </c>
    </row>
    <row r="24" spans="1:9">
      <c r="A24" s="361">
        <v>3</v>
      </c>
      <c r="B24" s="290" t="s">
        <v>569</v>
      </c>
      <c r="C24" s="285"/>
      <c r="D24" s="363"/>
      <c r="E24" s="316"/>
      <c r="F24" s="315"/>
      <c r="G24" s="305"/>
      <c r="H24" s="294"/>
      <c r="I24" s="362"/>
    </row>
    <row r="25" spans="1:9">
      <c r="A25" s="361" t="s">
        <v>126</v>
      </c>
      <c r="B25" s="290" t="s">
        <v>951</v>
      </c>
      <c r="C25" s="285"/>
      <c r="D25" s="373">
        <v>40</v>
      </c>
      <c r="E25" s="374" t="s">
        <v>956</v>
      </c>
      <c r="F25" s="294">
        <v>40000</v>
      </c>
      <c r="G25" s="305"/>
      <c r="H25" s="294">
        <f>+F25*D25</f>
        <v>1600000</v>
      </c>
      <c r="I25" s="362"/>
    </row>
    <row r="26" spans="1:9">
      <c r="A26" s="361" t="s">
        <v>127</v>
      </c>
      <c r="B26" s="290" t="s">
        <v>952</v>
      </c>
      <c r="C26" s="285"/>
      <c r="D26" s="373">
        <v>16</v>
      </c>
      <c r="E26" s="374" t="s">
        <v>148</v>
      </c>
      <c r="F26" s="294">
        <v>22000</v>
      </c>
      <c r="G26" s="305"/>
      <c r="H26" s="294">
        <f>+F26*D26</f>
        <v>352000</v>
      </c>
      <c r="I26" s="362"/>
    </row>
    <row r="27" spans="1:9">
      <c r="A27" s="361" t="s">
        <v>225</v>
      </c>
      <c r="B27" s="290" t="s">
        <v>272</v>
      </c>
      <c r="C27" s="285"/>
      <c r="D27" s="373">
        <v>3</v>
      </c>
      <c r="E27" s="302" t="s">
        <v>136</v>
      </c>
      <c r="F27" s="294">
        <v>150000</v>
      </c>
      <c r="G27" s="305"/>
      <c r="H27" s="294">
        <f>+F27*D27</f>
        <v>450000</v>
      </c>
      <c r="I27" s="362"/>
    </row>
    <row r="28" spans="1:9">
      <c r="A28" s="3247" t="s">
        <v>102</v>
      </c>
      <c r="B28" s="3138"/>
      <c r="C28" s="3138"/>
      <c r="D28" s="3138"/>
      <c r="E28" s="3138"/>
      <c r="F28" s="3139"/>
      <c r="G28" s="295"/>
      <c r="H28" s="297">
        <f>SUM(H25:H27)</f>
        <v>2402000</v>
      </c>
      <c r="I28" s="365">
        <f>H28</f>
        <v>2402000</v>
      </c>
    </row>
    <row r="29" spans="1:9">
      <c r="A29" s="361">
        <v>4</v>
      </c>
      <c r="B29" s="290" t="s">
        <v>953</v>
      </c>
      <c r="C29" s="285"/>
      <c r="D29" s="363"/>
      <c r="E29" s="316"/>
      <c r="F29" s="315"/>
      <c r="G29" s="305"/>
      <c r="H29" s="294"/>
      <c r="I29" s="362"/>
    </row>
    <row r="30" spans="1:9">
      <c r="A30" s="361" t="s">
        <v>128</v>
      </c>
      <c r="B30" s="290" t="s">
        <v>930</v>
      </c>
      <c r="C30" s="285"/>
      <c r="D30" s="373">
        <v>2</v>
      </c>
      <c r="E30" s="374" t="s">
        <v>933</v>
      </c>
      <c r="F30" s="294">
        <v>400000</v>
      </c>
      <c r="G30" s="305"/>
      <c r="H30" s="294">
        <f>+F30*D30</f>
        <v>800000</v>
      </c>
      <c r="I30" s="362"/>
    </row>
    <row r="31" spans="1:9" ht="15.75" thickBot="1">
      <c r="A31" s="3247" t="s">
        <v>98</v>
      </c>
      <c r="B31" s="3138"/>
      <c r="C31" s="3138"/>
      <c r="D31" s="3138"/>
      <c r="E31" s="3138"/>
      <c r="F31" s="3139"/>
      <c r="G31" s="295"/>
      <c r="H31" s="297">
        <f>SUM(H30:H30)</f>
        <v>800000</v>
      </c>
      <c r="I31" s="365">
        <f>H31</f>
        <v>800000</v>
      </c>
    </row>
    <row r="32" spans="1:9" ht="15.75" thickBot="1">
      <c r="A32" s="3238" t="s">
        <v>131</v>
      </c>
      <c r="B32" s="3239"/>
      <c r="C32" s="3239"/>
      <c r="D32" s="3239"/>
      <c r="E32" s="3239"/>
      <c r="F32" s="3239"/>
      <c r="G32" s="366"/>
      <c r="H32" s="367">
        <f>H18+H23+H28+H31</f>
        <v>20146000</v>
      </c>
      <c r="I32" s="367">
        <f>SUM(I1:I31)</f>
        <v>20146000</v>
      </c>
    </row>
    <row r="33" spans="1:9">
      <c r="A33" s="280"/>
      <c r="B33" s="304"/>
      <c r="C33" s="304"/>
      <c r="D33" s="304"/>
      <c r="E33" s="304"/>
      <c r="F33" s="304"/>
      <c r="G33" s="305"/>
      <c r="H33" s="304"/>
    </row>
    <row r="34" spans="1:9">
      <c r="A34" s="276"/>
      <c r="B34" s="277"/>
      <c r="C34" s="277"/>
      <c r="D34" s="277"/>
      <c r="E34" s="277"/>
      <c r="F34" s="277"/>
      <c r="G34" s="277"/>
      <c r="H34" s="277"/>
    </row>
    <row r="35" spans="1:9">
      <c r="A35" s="2962"/>
      <c r="B35" s="2962"/>
      <c r="C35" s="430"/>
      <c r="D35" s="2962"/>
      <c r="E35" s="2962"/>
      <c r="F35" s="2962"/>
      <c r="G35" s="2962"/>
      <c r="H35" s="2962"/>
      <c r="I35" s="2962"/>
    </row>
    <row r="36" spans="1:9">
      <c r="A36" s="2962"/>
      <c r="B36" s="2962"/>
      <c r="C36" s="430"/>
      <c r="D36" s="2962"/>
      <c r="E36" s="2962"/>
      <c r="F36" s="2962"/>
      <c r="G36" s="2962"/>
      <c r="H36" s="2962"/>
      <c r="I36" s="2962"/>
    </row>
    <row r="37" spans="1:9">
      <c r="A37" s="306"/>
      <c r="B37" s="430"/>
      <c r="C37" s="430"/>
      <c r="D37" s="307"/>
      <c r="E37" s="308"/>
      <c r="F37" s="308"/>
      <c r="G37" s="308"/>
      <c r="H37" s="308"/>
    </row>
    <row r="38" spans="1:9">
      <c r="A38" s="306"/>
      <c r="B38" s="430"/>
      <c r="C38" s="430"/>
      <c r="D38" s="430"/>
      <c r="E38" s="308"/>
      <c r="F38" s="308"/>
      <c r="G38" s="308"/>
      <c r="H38" s="308"/>
    </row>
    <row r="39" spans="1:9">
      <c r="A39" s="306"/>
      <c r="B39" s="307"/>
      <c r="C39" s="307"/>
      <c r="D39" s="308"/>
      <c r="E39" s="308"/>
      <c r="F39" s="308"/>
      <c r="G39" s="308"/>
      <c r="H39" s="308"/>
    </row>
    <row r="40" spans="1:9">
      <c r="A40" s="306"/>
      <c r="B40" s="307"/>
      <c r="C40" s="307"/>
      <c r="D40" s="308"/>
      <c r="E40" s="308"/>
      <c r="F40" s="308"/>
      <c r="G40" s="308"/>
      <c r="H40" s="308"/>
    </row>
    <row r="41" spans="1:9">
      <c r="A41" s="2963"/>
      <c r="B41" s="2963"/>
      <c r="C41" s="431"/>
      <c r="D41" s="2963"/>
      <c r="E41" s="2963"/>
      <c r="F41" s="2963"/>
      <c r="G41" s="2963"/>
      <c r="H41" s="2963"/>
      <c r="I41" s="2963"/>
    </row>
    <row r="42" spans="1:9">
      <c r="A42" s="306"/>
      <c r="B42" s="430"/>
      <c r="C42" s="430"/>
      <c r="D42" s="2962"/>
      <c r="E42" s="2962"/>
      <c r="F42" s="2962"/>
      <c r="G42" s="2962"/>
      <c r="H42" s="2962"/>
    </row>
  </sheetData>
  <customSheetViews>
    <customSheetView guid="{0F09EDAE-127A-4543-88A5-04139BD32AD8}" showPageBreaks="1" fitToPage="1" printArea="1" hiddenColumns="1" topLeftCell="A13">
      <selection activeCell="M39" sqref="M39"/>
      <pageMargins left="0.70866141732283472" right="0.70866141732283472" top="0.74803149606299213" bottom="0.74803149606299213" header="0.31496062992125984" footer="0.31496062992125984"/>
      <printOptions horizontalCentered="1"/>
      <pageSetup paperSize="5" scale="83" fitToHeight="0" orientation="portrait" r:id="rId1"/>
    </customSheetView>
    <customSheetView guid="{C05430D3-5A25-4A4C-823C-7D6EA772E5F0}" showPageBreaks="1" fitToPage="1" printArea="1" hiddenColumns="1" topLeftCell="A13">
      <selection activeCell="M39" sqref="M39"/>
      <pageMargins left="0.70866141732283472" right="0.70866141732283472" top="0.74803149606299213" bottom="0.74803149606299213" header="0.31496062992125984" footer="0.31496062992125984"/>
      <printOptions horizontalCentered="1"/>
      <pageSetup paperSize="5" scale="84" fitToHeight="0" orientation="portrait" r:id="rId2"/>
    </customSheetView>
  </customSheetViews>
  <mergeCells count="21">
    <mergeCell ref="I11:I13"/>
    <mergeCell ref="A41:B41"/>
    <mergeCell ref="D41:I41"/>
    <mergeCell ref="D42:H42"/>
    <mergeCell ref="A18:F18"/>
    <mergeCell ref="A32:F32"/>
    <mergeCell ref="A35:B35"/>
    <mergeCell ref="D35:I35"/>
    <mergeCell ref="A36:B36"/>
    <mergeCell ref="D36:I36"/>
    <mergeCell ref="A23:F23"/>
    <mergeCell ref="A28:F28"/>
    <mergeCell ref="A31:F31"/>
    <mergeCell ref="A1:H1"/>
    <mergeCell ref="A2:H2"/>
    <mergeCell ref="A3:H3"/>
    <mergeCell ref="A11:C13"/>
    <mergeCell ref="D11:D13"/>
    <mergeCell ref="E11:E13"/>
    <mergeCell ref="F11:F13"/>
    <mergeCell ref="H11:H13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4" fitToHeight="0" orientation="portrait" r:id="rId3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9"/>
  <sheetViews>
    <sheetView topLeftCell="A13" workbookViewId="0">
      <selection activeCell="I28" sqref="I28"/>
    </sheetView>
  </sheetViews>
  <sheetFormatPr defaultRowHeight="15"/>
  <cols>
    <col min="1" max="1" width="7.7109375" bestFit="1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  <col min="9" max="10" width="11.140625" bestFit="1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2592"/>
      <c r="G5" s="279"/>
      <c r="H5" s="2593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2592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H30</f>
        <v>5145000</v>
      </c>
      <c r="E11" s="2988"/>
      <c r="F11" s="2531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1364">
        <v>1</v>
      </c>
      <c r="B16" s="54" t="s">
        <v>1217</v>
      </c>
      <c r="C16" s="34"/>
      <c r="D16" s="37"/>
      <c r="E16" s="35"/>
      <c r="F16" s="32"/>
      <c r="G16" s="39"/>
      <c r="H16" s="49"/>
    </row>
    <row r="17" spans="1:10" ht="28.5">
      <c r="A17" s="1368">
        <v>1.1000000000000001</v>
      </c>
      <c r="B17" s="1369" t="s">
        <v>1325</v>
      </c>
      <c r="C17" s="34"/>
      <c r="D17" s="67"/>
      <c r="E17" s="35"/>
      <c r="F17" s="69"/>
      <c r="G17" s="30"/>
      <c r="H17" s="1372">
        <f>H18+H24</f>
        <v>5145000</v>
      </c>
    </row>
    <row r="18" spans="1:10" ht="28.5">
      <c r="A18" s="1368" t="s">
        <v>1279</v>
      </c>
      <c r="B18" s="1369" t="s">
        <v>1280</v>
      </c>
      <c r="C18" s="34"/>
      <c r="D18" s="67"/>
      <c r="E18" s="35"/>
      <c r="F18" s="69"/>
      <c r="G18" s="30"/>
      <c r="H18" s="1372">
        <f>SUM(G19:G21)</f>
        <v>450000</v>
      </c>
    </row>
    <row r="19" spans="1:10">
      <c r="A19" s="1364" t="s">
        <v>1281</v>
      </c>
      <c r="B19" s="1367" t="s">
        <v>1283</v>
      </c>
      <c r="C19" s="34"/>
      <c r="D19" s="67">
        <v>1</v>
      </c>
      <c r="E19" s="35" t="s">
        <v>1099</v>
      </c>
      <c r="F19" s="69">
        <v>175000</v>
      </c>
      <c r="G19" s="30">
        <f>D19*F19</f>
        <v>175000</v>
      </c>
      <c r="H19" s="1372"/>
    </row>
    <row r="20" spans="1:10">
      <c r="A20" s="1364" t="s">
        <v>1282</v>
      </c>
      <c r="B20" s="1367" t="s">
        <v>1284</v>
      </c>
      <c r="C20" s="34"/>
      <c r="D20" s="67">
        <v>1</v>
      </c>
      <c r="E20" s="35" t="s">
        <v>1099</v>
      </c>
      <c r="F20" s="69">
        <v>150000</v>
      </c>
      <c r="G20" s="30">
        <f>D20*F20</f>
        <v>150000</v>
      </c>
      <c r="H20" s="1372"/>
    </row>
    <row r="21" spans="1:10">
      <c r="A21" s="1364" t="s">
        <v>1286</v>
      </c>
      <c r="B21" s="1367" t="s">
        <v>1285</v>
      </c>
      <c r="C21" s="34"/>
      <c r="D21" s="67">
        <v>1</v>
      </c>
      <c r="E21" s="35" t="s">
        <v>1099</v>
      </c>
      <c r="F21" s="69">
        <v>125000</v>
      </c>
      <c r="G21" s="30">
        <f>D21*F21</f>
        <v>125000</v>
      </c>
      <c r="H21" s="1372"/>
    </row>
    <row r="22" spans="1:10">
      <c r="A22" s="1368"/>
      <c r="B22" s="1369"/>
      <c r="C22" s="34"/>
      <c r="D22" s="67"/>
      <c r="E22" s="35"/>
      <c r="F22" s="69"/>
      <c r="G22" s="30"/>
      <c r="H22" s="1372"/>
    </row>
    <row r="23" spans="1:10">
      <c r="A23" s="1364"/>
      <c r="B23" s="73"/>
      <c r="C23" s="34"/>
      <c r="D23" s="1365"/>
      <c r="E23" s="35"/>
      <c r="F23" s="1366"/>
      <c r="G23" s="30"/>
      <c r="H23" s="48"/>
    </row>
    <row r="24" spans="1:10" ht="28.5">
      <c r="A24" s="1368" t="s">
        <v>1233</v>
      </c>
      <c r="B24" s="1375" t="s">
        <v>1224</v>
      </c>
      <c r="C24" s="34"/>
      <c r="D24" s="1365"/>
      <c r="E24" s="35"/>
      <c r="F24" s="1366"/>
      <c r="G24" s="1370"/>
      <c r="H24" s="1371">
        <f>SUM(G25:G28)</f>
        <v>4695000</v>
      </c>
    </row>
    <row r="25" spans="1:10">
      <c r="A25" s="1364" t="s">
        <v>1234</v>
      </c>
      <c r="B25" s="73" t="s">
        <v>1326</v>
      </c>
      <c r="C25" s="34"/>
      <c r="D25" s="1365">
        <v>200</v>
      </c>
      <c r="E25" s="35" t="s">
        <v>1330</v>
      </c>
      <c r="F25" s="1366">
        <v>23000</v>
      </c>
      <c r="G25" s="30">
        <f>D25*F25</f>
        <v>4600000</v>
      </c>
      <c r="H25" s="48"/>
      <c r="J25" s="1253"/>
    </row>
    <row r="26" spans="1:10">
      <c r="A26" s="1364" t="s">
        <v>1235</v>
      </c>
      <c r="B26" s="73" t="s">
        <v>1327</v>
      </c>
      <c r="C26" s="34"/>
      <c r="D26" s="1365">
        <v>6</v>
      </c>
      <c r="E26" s="35" t="s">
        <v>1158</v>
      </c>
      <c r="F26" s="1366">
        <v>8000</v>
      </c>
      <c r="G26" s="30">
        <f>D26*F26</f>
        <v>48000</v>
      </c>
      <c r="H26" s="48"/>
    </row>
    <row r="27" spans="1:10">
      <c r="A27" s="1364" t="s">
        <v>1236</v>
      </c>
      <c r="B27" s="73" t="s">
        <v>1328</v>
      </c>
      <c r="C27" s="34"/>
      <c r="D27" s="1365"/>
      <c r="E27" s="35" t="s">
        <v>1158</v>
      </c>
      <c r="F27" s="1366">
        <v>12000</v>
      </c>
      <c r="G27" s="30"/>
      <c r="H27" s="48"/>
    </row>
    <row r="28" spans="1:10">
      <c r="A28" s="1364" t="s">
        <v>1256</v>
      </c>
      <c r="B28" s="73" t="s">
        <v>1329</v>
      </c>
      <c r="C28" s="34"/>
      <c r="D28" s="1365">
        <v>2</v>
      </c>
      <c r="E28" s="35" t="s">
        <v>252</v>
      </c>
      <c r="F28" s="1366">
        <v>23500</v>
      </c>
      <c r="G28" s="30">
        <f>D28*F28</f>
        <v>47000</v>
      </c>
      <c r="H28" s="48"/>
      <c r="J28" s="1446"/>
    </row>
    <row r="29" spans="1:10" ht="15.75" thickBot="1">
      <c r="A29" s="3286" t="s">
        <v>99</v>
      </c>
      <c r="B29" s="3287"/>
      <c r="C29" s="3287"/>
      <c r="D29" s="3287"/>
      <c r="E29" s="3287"/>
      <c r="F29" s="3288"/>
      <c r="G29" s="1373">
        <f>SUM(G25:G28)</f>
        <v>4695000</v>
      </c>
      <c r="H29" s="1374">
        <f>G29</f>
        <v>4695000</v>
      </c>
      <c r="J29" s="61"/>
    </row>
    <row r="30" spans="1:10" ht="15.75" thickBot="1">
      <c r="A30" s="3289" t="s">
        <v>131</v>
      </c>
      <c r="B30" s="3290"/>
      <c r="C30" s="3290"/>
      <c r="D30" s="3290"/>
      <c r="E30" s="3290"/>
      <c r="F30" s="3290"/>
      <c r="G30" s="50"/>
      <c r="H30" s="50">
        <f>H24+H18</f>
        <v>5145000</v>
      </c>
      <c r="J30" s="1253"/>
    </row>
    <row r="31" spans="1:10">
      <c r="A31" s="327"/>
      <c r="B31" s="263"/>
      <c r="C31" s="263"/>
      <c r="D31" s="263"/>
      <c r="E31" s="263"/>
      <c r="F31" s="263"/>
      <c r="G31" s="263"/>
      <c r="H31" s="328"/>
    </row>
    <row r="32" spans="1:10">
      <c r="A32" s="2962"/>
      <c r="B32" s="2962"/>
      <c r="C32" s="2532"/>
      <c r="D32" s="2962"/>
      <c r="E32" s="2962"/>
      <c r="F32" s="2962"/>
      <c r="G32" s="2962"/>
      <c r="H32" s="275"/>
    </row>
    <row r="33" spans="1:8">
      <c r="A33" s="2962"/>
      <c r="B33" s="2962"/>
      <c r="C33" s="2532"/>
      <c r="D33" s="2962"/>
      <c r="E33" s="2962"/>
      <c r="F33" s="2962"/>
      <c r="G33" s="2962"/>
      <c r="H33" s="275"/>
    </row>
    <row r="34" spans="1:8">
      <c r="A34" s="306"/>
      <c r="B34" s="2532"/>
      <c r="C34" s="2532"/>
      <c r="D34" s="307"/>
      <c r="E34" s="308"/>
      <c r="F34" s="953"/>
      <c r="G34" s="308"/>
      <c r="H34" s="328"/>
    </row>
    <row r="35" spans="1:8">
      <c r="A35" s="306"/>
      <c r="B35" s="2532"/>
      <c r="C35" s="2532"/>
      <c r="D35" s="2532"/>
      <c r="E35" s="308"/>
      <c r="F35" s="308"/>
      <c r="G35" s="308"/>
      <c r="H35" s="328"/>
    </row>
    <row r="36" spans="1:8">
      <c r="A36" s="306"/>
      <c r="B36" s="307"/>
      <c r="C36" s="307"/>
      <c r="D36" s="308"/>
      <c r="E36" s="308"/>
      <c r="F36" s="308"/>
      <c r="G36" s="308"/>
      <c r="H36" s="328"/>
    </row>
    <row r="37" spans="1:8">
      <c r="A37" s="306"/>
      <c r="B37" s="307"/>
      <c r="C37" s="307"/>
      <c r="D37" s="308"/>
      <c r="E37" s="308"/>
      <c r="F37" s="308"/>
      <c r="G37" s="308"/>
      <c r="H37" s="328"/>
    </row>
    <row r="38" spans="1:8">
      <c r="A38" s="2963"/>
      <c r="B38" s="2963"/>
      <c r="C38" s="2533"/>
      <c r="D38" s="2963"/>
      <c r="E38" s="2963"/>
      <c r="F38" s="2963"/>
      <c r="G38" s="2963"/>
      <c r="H38" s="432"/>
    </row>
    <row r="39" spans="1:8">
      <c r="A39" s="306"/>
      <c r="B39" s="2532"/>
      <c r="C39" s="2532"/>
      <c r="D39" s="2962"/>
      <c r="E39" s="2962"/>
      <c r="F39" s="2962"/>
      <c r="G39" s="2962"/>
      <c r="H39" s="328"/>
    </row>
  </sheetData>
  <mergeCells count="21">
    <mergeCell ref="A38:B38"/>
    <mergeCell ref="D38:G38"/>
    <mergeCell ref="D39:G39"/>
    <mergeCell ref="A29:F29"/>
    <mergeCell ref="A30:F30"/>
    <mergeCell ref="A32:B32"/>
    <mergeCell ref="D32:G32"/>
    <mergeCell ref="A33:B33"/>
    <mergeCell ref="D33:G33"/>
    <mergeCell ref="H13:H15"/>
    <mergeCell ref="A1:H1"/>
    <mergeCell ref="A2:H2"/>
    <mergeCell ref="A3:H3"/>
    <mergeCell ref="A11:B11"/>
    <mergeCell ref="D11:E11"/>
    <mergeCell ref="D12:E12"/>
    <mergeCell ref="A13:C15"/>
    <mergeCell ref="D13:D15"/>
    <mergeCell ref="E13:E15"/>
    <mergeCell ref="F13:F15"/>
    <mergeCell ref="G13:G15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J39"/>
  <sheetViews>
    <sheetView workbookViewId="0">
      <selection sqref="A1:H1"/>
    </sheetView>
  </sheetViews>
  <sheetFormatPr defaultRowHeight="15"/>
  <cols>
    <col min="1" max="1" width="7.7109375" bestFit="1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  <col min="9" max="10" width="11.140625" bestFit="1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H30</f>
        <v>40000000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1364">
        <v>1</v>
      </c>
      <c r="B16" s="54" t="s">
        <v>1217</v>
      </c>
      <c r="C16" s="34"/>
      <c r="D16" s="37"/>
      <c r="E16" s="35"/>
      <c r="F16" s="32"/>
      <c r="G16" s="39"/>
      <c r="H16" s="49"/>
    </row>
    <row r="17" spans="1:10" ht="28.5">
      <c r="A17" s="1368">
        <v>1.1000000000000001</v>
      </c>
      <c r="B17" s="1369" t="s">
        <v>1325</v>
      </c>
      <c r="C17" s="34"/>
      <c r="D17" s="67"/>
      <c r="E17" s="35"/>
      <c r="F17" s="69"/>
      <c r="G17" s="30"/>
      <c r="H17" s="1372">
        <f>H18+H24</f>
        <v>40000000</v>
      </c>
    </row>
    <row r="18" spans="1:10" ht="28.5">
      <c r="A18" s="1368" t="s">
        <v>1279</v>
      </c>
      <c r="B18" s="1369" t="s">
        <v>1280</v>
      </c>
      <c r="C18" s="34"/>
      <c r="D18" s="67"/>
      <c r="E18" s="35"/>
      <c r="F18" s="69"/>
      <c r="G18" s="30"/>
      <c r="H18" s="1372">
        <f>SUM(G19:G21)</f>
        <v>450000</v>
      </c>
    </row>
    <row r="19" spans="1:10">
      <c r="A19" s="1364" t="s">
        <v>1281</v>
      </c>
      <c r="B19" s="1367" t="s">
        <v>1283</v>
      </c>
      <c r="C19" s="34"/>
      <c r="D19" s="67">
        <v>1</v>
      </c>
      <c r="E19" s="35" t="s">
        <v>1099</v>
      </c>
      <c r="F19" s="69">
        <v>175000</v>
      </c>
      <c r="G19" s="30">
        <f>D19*F19</f>
        <v>175000</v>
      </c>
      <c r="H19" s="1372"/>
    </row>
    <row r="20" spans="1:10">
      <c r="A20" s="1364" t="s">
        <v>1282</v>
      </c>
      <c r="B20" s="1367" t="s">
        <v>1284</v>
      </c>
      <c r="C20" s="34"/>
      <c r="D20" s="67">
        <v>1</v>
      </c>
      <c r="E20" s="35" t="s">
        <v>1099</v>
      </c>
      <c r="F20" s="69">
        <v>150000</v>
      </c>
      <c r="G20" s="30">
        <f>D20*F20</f>
        <v>150000</v>
      </c>
      <c r="H20" s="1372"/>
    </row>
    <row r="21" spans="1:10">
      <c r="A21" s="1364" t="s">
        <v>1286</v>
      </c>
      <c r="B21" s="1367" t="s">
        <v>1285</v>
      </c>
      <c r="C21" s="34"/>
      <c r="D21" s="67">
        <v>1</v>
      </c>
      <c r="E21" s="35" t="s">
        <v>1099</v>
      </c>
      <c r="F21" s="69">
        <v>125000</v>
      </c>
      <c r="G21" s="30">
        <f>D21*F21</f>
        <v>125000</v>
      </c>
      <c r="H21" s="1372"/>
    </row>
    <row r="22" spans="1:10">
      <c r="A22" s="1368"/>
      <c r="B22" s="1369"/>
      <c r="C22" s="34"/>
      <c r="D22" s="67"/>
      <c r="E22" s="35"/>
      <c r="F22" s="69"/>
      <c r="G22" s="30"/>
      <c r="H22" s="1372"/>
    </row>
    <row r="23" spans="1:10">
      <c r="A23" s="1364"/>
      <c r="B23" s="73"/>
      <c r="C23" s="34"/>
      <c r="D23" s="1365"/>
      <c r="E23" s="35"/>
      <c r="F23" s="1366"/>
      <c r="G23" s="30"/>
      <c r="H23" s="48"/>
      <c r="J23">
        <f>D25/4</f>
        <v>428</v>
      </c>
    </row>
    <row r="24" spans="1:10" ht="28.5">
      <c r="A24" s="1368" t="s">
        <v>1233</v>
      </c>
      <c r="B24" s="1375" t="s">
        <v>1224</v>
      </c>
      <c r="C24" s="34"/>
      <c r="D24" s="1365"/>
      <c r="E24" s="35"/>
      <c r="F24" s="1366"/>
      <c r="G24" s="1370"/>
      <c r="H24" s="1371">
        <f>SUM(G25:G28)</f>
        <v>39550000</v>
      </c>
    </row>
    <row r="25" spans="1:10">
      <c r="A25" s="1364" t="s">
        <v>1234</v>
      </c>
      <c r="B25" s="73" t="s">
        <v>1326</v>
      </c>
      <c r="C25" s="34"/>
      <c r="D25" s="1365">
        <v>1712</v>
      </c>
      <c r="E25" s="35" t="s">
        <v>1330</v>
      </c>
      <c r="F25" s="1366">
        <v>23000</v>
      </c>
      <c r="G25" s="30">
        <f>D25*F25</f>
        <v>39376000</v>
      </c>
      <c r="H25" s="48"/>
      <c r="J25" s="1253">
        <f>G25/23000</f>
        <v>1712</v>
      </c>
    </row>
    <row r="26" spans="1:10">
      <c r="A26" s="1364" t="s">
        <v>1235</v>
      </c>
      <c r="B26" s="73" t="s">
        <v>1327</v>
      </c>
      <c r="C26" s="34"/>
      <c r="D26" s="1365">
        <v>12</v>
      </c>
      <c r="E26" s="35" t="s">
        <v>1158</v>
      </c>
      <c r="F26" s="1366">
        <v>8000</v>
      </c>
      <c r="G26" s="30">
        <f>D26*F26</f>
        <v>96000</v>
      </c>
      <c r="H26" s="48"/>
    </row>
    <row r="27" spans="1:10">
      <c r="A27" s="1364" t="s">
        <v>1236</v>
      </c>
      <c r="B27" s="73" t="s">
        <v>1328</v>
      </c>
      <c r="C27" s="34"/>
      <c r="D27" s="1365"/>
      <c r="E27" s="35" t="s">
        <v>1158</v>
      </c>
      <c r="F27" s="1366">
        <v>12000</v>
      </c>
      <c r="G27" s="30">
        <f>D27*F27</f>
        <v>0</v>
      </c>
      <c r="H27" s="48"/>
      <c r="J27">
        <v>45000000</v>
      </c>
    </row>
    <row r="28" spans="1:10">
      <c r="A28" s="1364" t="s">
        <v>1256</v>
      </c>
      <c r="B28" s="73" t="s">
        <v>1329</v>
      </c>
      <c r="C28" s="34"/>
      <c r="D28" s="1365">
        <v>5</v>
      </c>
      <c r="E28" s="35" t="s">
        <v>252</v>
      </c>
      <c r="F28" s="1366">
        <v>15600</v>
      </c>
      <c r="G28" s="30">
        <f>D28*F28</f>
        <v>78000</v>
      </c>
      <c r="H28" s="48"/>
      <c r="J28" s="1446">
        <f>J27-H30</f>
        <v>5000000</v>
      </c>
    </row>
    <row r="29" spans="1:10" ht="15.75" thickBot="1">
      <c r="A29" s="3286" t="s">
        <v>99</v>
      </c>
      <c r="B29" s="3287"/>
      <c r="C29" s="3287"/>
      <c r="D29" s="3287"/>
      <c r="E29" s="3287"/>
      <c r="F29" s="3288"/>
      <c r="G29" s="1373">
        <f>SUM(G25:G28)</f>
        <v>39550000</v>
      </c>
      <c r="H29" s="1374">
        <f>G29</f>
        <v>39550000</v>
      </c>
      <c r="J29" s="61">
        <f>45000000-H30</f>
        <v>5000000</v>
      </c>
    </row>
    <row r="30" spans="1:10" ht="15.75" thickBot="1">
      <c r="A30" s="3289" t="s">
        <v>131</v>
      </c>
      <c r="B30" s="3290"/>
      <c r="C30" s="3290"/>
      <c r="D30" s="3290"/>
      <c r="E30" s="3290"/>
      <c r="F30" s="3290"/>
      <c r="G30" s="50"/>
      <c r="H30" s="50">
        <f>H24+H18</f>
        <v>40000000</v>
      </c>
      <c r="J30" s="1253">
        <f>J29/F25</f>
        <v>217.39130434782609</v>
      </c>
    </row>
    <row r="31" spans="1:10">
      <c r="A31" s="327"/>
      <c r="B31" s="263"/>
      <c r="C31" s="263"/>
      <c r="D31" s="263"/>
      <c r="E31" s="263"/>
      <c r="F31" s="263"/>
      <c r="G31" s="263"/>
      <c r="H31" s="328"/>
    </row>
    <row r="32" spans="1:10">
      <c r="A32" s="2962"/>
      <c r="B32" s="2962"/>
      <c r="C32" s="1376"/>
      <c r="D32" s="2962"/>
      <c r="E32" s="2962"/>
      <c r="F32" s="2962"/>
      <c r="G32" s="2962"/>
      <c r="H32" s="275"/>
    </row>
    <row r="33" spans="1:8">
      <c r="A33" s="2962"/>
      <c r="B33" s="2962"/>
      <c r="C33" s="1376"/>
      <c r="D33" s="2962"/>
      <c r="E33" s="2962"/>
      <c r="F33" s="2962"/>
      <c r="G33" s="2962"/>
      <c r="H33" s="275"/>
    </row>
    <row r="34" spans="1:8">
      <c r="A34" s="306"/>
      <c r="B34" s="1376"/>
      <c r="C34" s="1376"/>
      <c r="D34" s="307"/>
      <c r="E34" s="308"/>
      <c r="F34" s="953"/>
      <c r="G34" s="308"/>
      <c r="H34" s="328"/>
    </row>
    <row r="35" spans="1:8">
      <c r="A35" s="306"/>
      <c r="B35" s="1376"/>
      <c r="C35" s="1376"/>
      <c r="D35" s="1376"/>
      <c r="E35" s="308"/>
      <c r="F35" s="308"/>
      <c r="G35" s="308"/>
      <c r="H35" s="328"/>
    </row>
    <row r="36" spans="1:8">
      <c r="A36" s="306"/>
      <c r="B36" s="307"/>
      <c r="C36" s="307"/>
      <c r="D36" s="308"/>
      <c r="E36" s="308"/>
      <c r="F36" s="308"/>
      <c r="G36" s="308"/>
      <c r="H36" s="328"/>
    </row>
    <row r="37" spans="1:8">
      <c r="A37" s="306"/>
      <c r="B37" s="307"/>
      <c r="C37" s="307"/>
      <c r="D37" s="308"/>
      <c r="E37" s="308"/>
      <c r="F37" s="308"/>
      <c r="G37" s="308"/>
      <c r="H37" s="328"/>
    </row>
    <row r="38" spans="1:8">
      <c r="A38" s="2963"/>
      <c r="B38" s="2963"/>
      <c r="C38" s="1377"/>
      <c r="D38" s="2963"/>
      <c r="E38" s="2963"/>
      <c r="F38" s="2963"/>
      <c r="G38" s="2963"/>
      <c r="H38" s="432"/>
    </row>
    <row r="39" spans="1:8">
      <c r="A39" s="306"/>
      <c r="B39" s="1376"/>
      <c r="C39" s="1376"/>
      <c r="D39" s="2962"/>
      <c r="E39" s="2962"/>
      <c r="F39" s="2962"/>
      <c r="G39" s="2962"/>
      <c r="H39" s="328"/>
    </row>
  </sheetData>
  <customSheetViews>
    <customSheetView guid="{0F09EDAE-127A-4543-88A5-04139BD32AD8}" showPageBreaks="1" printArea="1">
      <selection activeCell="H41" sqref="A1:H41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howPageBreaks="1" printArea="1">
      <selection activeCell="H41" sqref="A1:H41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21">
    <mergeCell ref="H13:H15"/>
    <mergeCell ref="A1:H1"/>
    <mergeCell ref="A2:H2"/>
    <mergeCell ref="A3:H3"/>
    <mergeCell ref="A11:B11"/>
    <mergeCell ref="D11:E11"/>
    <mergeCell ref="D12:E12"/>
    <mergeCell ref="A13:C15"/>
    <mergeCell ref="D13:D15"/>
    <mergeCell ref="E13:E15"/>
    <mergeCell ref="F13:F15"/>
    <mergeCell ref="G13:G15"/>
    <mergeCell ref="A38:B38"/>
    <mergeCell ref="D38:G38"/>
    <mergeCell ref="D39:G39"/>
    <mergeCell ref="A29:F29"/>
    <mergeCell ref="A30:F30"/>
    <mergeCell ref="A32:B32"/>
    <mergeCell ref="D32:G32"/>
    <mergeCell ref="A33:B33"/>
    <mergeCell ref="D33:G33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C00000"/>
  </sheetPr>
  <dimension ref="A1:H30"/>
  <sheetViews>
    <sheetView workbookViewId="0">
      <selection sqref="A1:H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H21</f>
        <v>18000000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58">
        <v>1</v>
      </c>
      <c r="B16" s="54" t="s">
        <v>326</v>
      </c>
      <c r="C16" s="34"/>
      <c r="D16" s="37"/>
      <c r="E16" s="35"/>
      <c r="F16" s="32"/>
      <c r="G16" s="39"/>
      <c r="H16" s="49"/>
    </row>
    <row r="17" spans="1:8">
      <c r="A17" s="58" t="s">
        <v>115</v>
      </c>
      <c r="B17" s="54" t="s">
        <v>938</v>
      </c>
      <c r="C17" s="34"/>
      <c r="D17" s="67">
        <v>24</v>
      </c>
      <c r="E17" s="35" t="s">
        <v>116</v>
      </c>
      <c r="F17" s="69">
        <v>250000</v>
      </c>
      <c r="G17" s="30">
        <f>+F17*D17</f>
        <v>6000000</v>
      </c>
      <c r="H17" s="52"/>
    </row>
    <row r="18" spans="1:8">
      <c r="A18" s="58" t="s">
        <v>117</v>
      </c>
      <c r="B18" s="54" t="s">
        <v>939</v>
      </c>
      <c r="C18" s="34"/>
      <c r="D18" s="67">
        <f>5*12</f>
        <v>60</v>
      </c>
      <c r="E18" s="35" t="s">
        <v>116</v>
      </c>
      <c r="F18" s="69">
        <v>200000</v>
      </c>
      <c r="G18" s="30">
        <f>+F18*D18</f>
        <v>12000000</v>
      </c>
      <c r="H18" s="48"/>
    </row>
    <row r="19" spans="1:8" ht="15.75">
      <c r="A19" s="58"/>
      <c r="B19" s="43"/>
      <c r="C19" s="34"/>
      <c r="D19" s="37"/>
      <c r="E19" s="35"/>
      <c r="F19" s="32"/>
      <c r="G19" s="30"/>
      <c r="H19" s="48"/>
    </row>
    <row r="20" spans="1:8" ht="15.75" thickBot="1">
      <c r="A20" s="3291" t="s">
        <v>130</v>
      </c>
      <c r="B20" s="3292"/>
      <c r="C20" s="3292"/>
      <c r="D20" s="3292"/>
      <c r="E20" s="3292"/>
      <c r="F20" s="3293"/>
      <c r="G20" s="38">
        <f>SUM(G17:G19)</f>
        <v>18000000</v>
      </c>
      <c r="H20" s="47">
        <f>G20</f>
        <v>18000000</v>
      </c>
    </row>
    <row r="21" spans="1:8" ht="15.75" thickBot="1">
      <c r="A21" s="3289" t="s">
        <v>131</v>
      </c>
      <c r="B21" s="3290"/>
      <c r="C21" s="3290"/>
      <c r="D21" s="3290"/>
      <c r="E21" s="3290"/>
      <c r="F21" s="3290"/>
      <c r="G21" s="50">
        <f>G20</f>
        <v>18000000</v>
      </c>
      <c r="H21" s="50">
        <f>SUM(H7:H20)</f>
        <v>18000000</v>
      </c>
    </row>
    <row r="22" spans="1:8">
      <c r="A22" s="327"/>
      <c r="B22" s="263"/>
      <c r="C22" s="263"/>
      <c r="D22" s="263"/>
      <c r="E22" s="263"/>
      <c r="F22" s="263"/>
      <c r="G22" s="263"/>
      <c r="H22" s="328"/>
    </row>
    <row r="23" spans="1:8">
      <c r="A23" s="2962"/>
      <c r="B23" s="2962"/>
      <c r="C23" s="949"/>
      <c r="D23" s="2962"/>
      <c r="E23" s="2962"/>
      <c r="F23" s="2962"/>
      <c r="G23" s="2962"/>
      <c r="H23" s="275"/>
    </row>
    <row r="24" spans="1:8">
      <c r="A24" s="2962"/>
      <c r="B24" s="2962"/>
      <c r="C24" s="949"/>
      <c r="D24" s="2962"/>
      <c r="E24" s="2962"/>
      <c r="F24" s="2962"/>
      <c r="G24" s="2962"/>
      <c r="H24" s="275"/>
    </row>
    <row r="25" spans="1:8">
      <c r="A25" s="306"/>
      <c r="B25" s="949"/>
      <c r="C25" s="949"/>
      <c r="D25" s="307"/>
      <c r="E25" s="308"/>
      <c r="F25" s="953"/>
      <c r="G25" s="308"/>
      <c r="H25" s="328"/>
    </row>
    <row r="26" spans="1:8">
      <c r="A26" s="306"/>
      <c r="B26" s="949"/>
      <c r="C26" s="949"/>
      <c r="D26" s="949"/>
      <c r="E26" s="308"/>
      <c r="F26" s="308"/>
      <c r="G26" s="308"/>
      <c r="H26" s="328"/>
    </row>
    <row r="27" spans="1:8">
      <c r="A27" s="306"/>
      <c r="B27" s="307"/>
      <c r="C27" s="307"/>
      <c r="D27" s="308"/>
      <c r="E27" s="308"/>
      <c r="F27" s="308"/>
      <c r="G27" s="308"/>
      <c r="H27" s="328"/>
    </row>
    <row r="28" spans="1:8">
      <c r="A28" s="306"/>
      <c r="B28" s="307"/>
      <c r="C28" s="307"/>
      <c r="D28" s="308"/>
      <c r="E28" s="308"/>
      <c r="F28" s="308"/>
      <c r="G28" s="308"/>
      <c r="H28" s="328"/>
    </row>
    <row r="29" spans="1:8">
      <c r="A29" s="2963"/>
      <c r="B29" s="2963"/>
      <c r="C29" s="950"/>
      <c r="D29" s="2963"/>
      <c r="E29" s="2963"/>
      <c r="F29" s="2963"/>
      <c r="G29" s="2963"/>
      <c r="H29" s="432"/>
    </row>
    <row r="30" spans="1:8">
      <c r="A30" s="306"/>
      <c r="B30" s="949"/>
      <c r="C30" s="949"/>
      <c r="D30" s="2962"/>
      <c r="E30" s="2962"/>
      <c r="F30" s="2962"/>
      <c r="G30" s="2962"/>
      <c r="H30" s="328"/>
    </row>
  </sheetData>
  <customSheetViews>
    <customSheetView guid="{0F09EDAE-127A-4543-88A5-04139BD32AD8}" scale="160" showPageBreaks="1" printArea="1">
      <selection activeCell="J24" sqref="J24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cale="160" showPageBreaks="1" printArea="1">
      <selection activeCell="J24" sqref="J24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21">
    <mergeCell ref="H13:H15"/>
    <mergeCell ref="A21:F21"/>
    <mergeCell ref="A13:C15"/>
    <mergeCell ref="D23:G23"/>
    <mergeCell ref="D24:G24"/>
    <mergeCell ref="D29:G29"/>
    <mergeCell ref="D30:G30"/>
    <mergeCell ref="D13:D15"/>
    <mergeCell ref="E13:E15"/>
    <mergeCell ref="F13:F15"/>
    <mergeCell ref="G13:G15"/>
    <mergeCell ref="A20:F20"/>
    <mergeCell ref="A23:B23"/>
    <mergeCell ref="A24:B24"/>
    <mergeCell ref="A29:B29"/>
    <mergeCell ref="A1:H1"/>
    <mergeCell ref="A2:H2"/>
    <mergeCell ref="D12:E12"/>
    <mergeCell ref="A3:H3"/>
    <mergeCell ref="A11:B11"/>
    <mergeCell ref="D11:E1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I68"/>
  <sheetViews>
    <sheetView workbookViewId="0">
      <selection sqref="A1:H1"/>
    </sheetView>
  </sheetViews>
  <sheetFormatPr defaultRowHeight="15"/>
  <cols>
    <col min="1" max="1" width="7.7109375" bestFit="1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  <col min="9" max="9" width="11.140625" bestFit="1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H59</f>
        <v>35151050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1364">
        <v>1</v>
      </c>
      <c r="B16" s="54" t="s">
        <v>1217</v>
      </c>
      <c r="C16" s="34"/>
      <c r="D16" s="37"/>
      <c r="E16" s="35"/>
      <c r="F16" s="32"/>
      <c r="G16" s="39"/>
      <c r="H16" s="49"/>
    </row>
    <row r="17" spans="1:9" ht="28.5">
      <c r="A17" s="1368">
        <v>1.1000000000000001</v>
      </c>
      <c r="B17" s="1369" t="s">
        <v>1218</v>
      </c>
      <c r="C17" s="34"/>
      <c r="D17" s="67"/>
      <c r="E17" s="35"/>
      <c r="F17" s="69"/>
      <c r="G17" s="30"/>
      <c r="H17" s="1372">
        <f>H18+H21</f>
        <v>5120000</v>
      </c>
    </row>
    <row r="18" spans="1:9" ht="28.5">
      <c r="A18" s="1368" t="s">
        <v>1219</v>
      </c>
      <c r="B18" s="1369" t="s">
        <v>1220</v>
      </c>
      <c r="C18" s="34"/>
      <c r="D18" s="67"/>
      <c r="E18" s="35"/>
      <c r="F18" s="69"/>
      <c r="G18" s="30"/>
      <c r="H18" s="1371">
        <f>SUM(G19)</f>
        <v>1020000</v>
      </c>
    </row>
    <row r="19" spans="1:9">
      <c r="A19" s="1364" t="s">
        <v>1221</v>
      </c>
      <c r="B19" s="73" t="s">
        <v>1222</v>
      </c>
      <c r="C19" s="34"/>
      <c r="D19" s="1365">
        <v>1</v>
      </c>
      <c r="E19" s="35"/>
      <c r="F19" s="1366">
        <v>1020000</v>
      </c>
      <c r="G19" s="30">
        <f>D19*F19</f>
        <v>1020000</v>
      </c>
      <c r="H19" s="48"/>
      <c r="I19" s="60"/>
    </row>
    <row r="20" spans="1:9">
      <c r="A20" s="1364"/>
      <c r="B20" s="73"/>
      <c r="C20" s="34"/>
      <c r="D20" s="1365"/>
      <c r="E20" s="35"/>
      <c r="F20" s="1366"/>
      <c r="G20" s="30"/>
      <c r="H20" s="48"/>
    </row>
    <row r="21" spans="1:9" ht="28.5">
      <c r="A21" s="1368" t="s">
        <v>1223</v>
      </c>
      <c r="B21" s="1369" t="s">
        <v>1224</v>
      </c>
      <c r="C21" s="34"/>
      <c r="D21" s="1365"/>
      <c r="E21" s="35"/>
      <c r="F21" s="1366"/>
      <c r="G21" s="1370"/>
      <c r="H21" s="1371">
        <f>SUM(G22:G24)</f>
        <v>4100000</v>
      </c>
    </row>
    <row r="22" spans="1:9">
      <c r="A22" s="1364" t="s">
        <v>1225</v>
      </c>
      <c r="B22" s="73" t="s">
        <v>1226</v>
      </c>
      <c r="C22" s="34"/>
      <c r="D22" s="1365">
        <v>2</v>
      </c>
      <c r="E22" s="35" t="s">
        <v>1158</v>
      </c>
      <c r="F22" s="1366">
        <v>400000</v>
      </c>
      <c r="G22" s="30">
        <f>D22*F22</f>
        <v>800000</v>
      </c>
      <c r="H22" s="48"/>
    </row>
    <row r="23" spans="1:9">
      <c r="A23" s="1364" t="s">
        <v>1229</v>
      </c>
      <c r="B23" s="73" t="s">
        <v>1227</v>
      </c>
      <c r="C23" s="34"/>
      <c r="D23" s="1365">
        <v>12</v>
      </c>
      <c r="E23" s="35" t="s">
        <v>1158</v>
      </c>
      <c r="F23" s="1366">
        <v>250000</v>
      </c>
      <c r="G23" s="30">
        <f>D23*F23</f>
        <v>3000000</v>
      </c>
      <c r="H23" s="48"/>
    </row>
    <row r="24" spans="1:9">
      <c r="A24" s="1364" t="s">
        <v>1230</v>
      </c>
      <c r="B24" s="73" t="s">
        <v>1228</v>
      </c>
      <c r="C24" s="34"/>
      <c r="D24" s="1365">
        <v>1</v>
      </c>
      <c r="E24" s="35" t="s">
        <v>1158</v>
      </c>
      <c r="F24" s="1366">
        <v>300000</v>
      </c>
      <c r="G24" s="30">
        <f>D24*F24</f>
        <v>300000</v>
      </c>
      <c r="H24" s="48"/>
    </row>
    <row r="25" spans="1:9">
      <c r="A25" s="1364"/>
      <c r="B25" s="73"/>
      <c r="C25" s="34"/>
      <c r="D25" s="1365"/>
      <c r="E25" s="35"/>
      <c r="F25" s="1366"/>
      <c r="G25" s="30"/>
      <c r="H25" s="48"/>
    </row>
    <row r="26" spans="1:9" ht="15.75">
      <c r="A26" s="58"/>
      <c r="B26" s="43"/>
      <c r="C26" s="34"/>
      <c r="D26" s="37"/>
      <c r="E26" s="35"/>
      <c r="F26" s="32"/>
      <c r="G26" s="30"/>
      <c r="H26" s="48"/>
    </row>
    <row r="27" spans="1:9" s="534" customFormat="1">
      <c r="A27" s="3286" t="s">
        <v>98</v>
      </c>
      <c r="B27" s="3287"/>
      <c r="C27" s="3287"/>
      <c r="D27" s="3287"/>
      <c r="E27" s="3287"/>
      <c r="F27" s="3288"/>
      <c r="G27" s="1373">
        <f>SUM(G17:G26)</f>
        <v>5120000</v>
      </c>
      <c r="H27" s="1374">
        <f>G27</f>
        <v>5120000</v>
      </c>
    </row>
    <row r="28" spans="1:9" ht="28.5">
      <c r="A28" s="1368">
        <v>1.2</v>
      </c>
      <c r="B28" s="1369" t="s">
        <v>1272</v>
      </c>
      <c r="C28" s="34"/>
      <c r="D28" s="67"/>
      <c r="E28" s="35"/>
      <c r="F28" s="69"/>
      <c r="G28" s="30"/>
      <c r="H28" s="1372">
        <f>H34+H37+H29</f>
        <v>30031050</v>
      </c>
    </row>
    <row r="29" spans="1:9" ht="28.5">
      <c r="A29" s="1368" t="s">
        <v>1279</v>
      </c>
      <c r="B29" s="1369" t="s">
        <v>1280</v>
      </c>
      <c r="C29" s="34"/>
      <c r="D29" s="67"/>
      <c r="E29" s="35"/>
      <c r="F29" s="69"/>
      <c r="G29" s="30"/>
      <c r="H29" s="1372">
        <f>SUM(G30:G32)</f>
        <v>450000</v>
      </c>
    </row>
    <row r="30" spans="1:9">
      <c r="A30" s="1364" t="s">
        <v>1281</v>
      </c>
      <c r="B30" s="1367" t="s">
        <v>1283</v>
      </c>
      <c r="C30" s="34"/>
      <c r="D30" s="67">
        <v>1</v>
      </c>
      <c r="E30" s="35" t="s">
        <v>1099</v>
      </c>
      <c r="F30" s="69">
        <v>175000</v>
      </c>
      <c r="G30" s="30">
        <f>D30*F30</f>
        <v>175000</v>
      </c>
      <c r="H30" s="1372"/>
    </row>
    <row r="31" spans="1:9">
      <c r="A31" s="1364" t="s">
        <v>1282</v>
      </c>
      <c r="B31" s="1367" t="s">
        <v>1284</v>
      </c>
      <c r="C31" s="34"/>
      <c r="D31" s="67">
        <v>1</v>
      </c>
      <c r="E31" s="35" t="s">
        <v>1099</v>
      </c>
      <c r="F31" s="69">
        <v>150000</v>
      </c>
      <c r="G31" s="30">
        <f>D31*F31</f>
        <v>150000</v>
      </c>
      <c r="H31" s="1372"/>
    </row>
    <row r="32" spans="1:9">
      <c r="A32" s="1364" t="s">
        <v>1286</v>
      </c>
      <c r="B32" s="1367" t="s">
        <v>1285</v>
      </c>
      <c r="C32" s="34"/>
      <c r="D32" s="67">
        <v>1</v>
      </c>
      <c r="E32" s="35" t="s">
        <v>1099</v>
      </c>
      <c r="F32" s="69">
        <v>125000</v>
      </c>
      <c r="G32" s="30">
        <f>D32*F32</f>
        <v>125000</v>
      </c>
      <c r="H32" s="1372"/>
    </row>
    <row r="33" spans="1:8">
      <c r="A33" s="1368"/>
      <c r="B33" s="1369"/>
      <c r="C33" s="34"/>
      <c r="D33" s="67"/>
      <c r="E33" s="35"/>
      <c r="F33" s="69"/>
      <c r="G33" s="30"/>
      <c r="H33" s="1372"/>
    </row>
    <row r="34" spans="1:8" ht="28.5">
      <c r="A34" s="1368" t="s">
        <v>1231</v>
      </c>
      <c r="B34" s="1369" t="s">
        <v>1220</v>
      </c>
      <c r="C34" s="34"/>
      <c r="D34" s="67"/>
      <c r="E34" s="35"/>
      <c r="F34" s="69"/>
      <c r="G34" s="30"/>
      <c r="H34" s="1371">
        <f>SUM(G35)</f>
        <v>7360000</v>
      </c>
    </row>
    <row r="35" spans="1:8">
      <c r="A35" s="1364" t="s">
        <v>1232</v>
      </c>
      <c r="B35" s="73" t="s">
        <v>1222</v>
      </c>
      <c r="C35" s="34"/>
      <c r="D35" s="1365">
        <v>1</v>
      </c>
      <c r="E35" s="35"/>
      <c r="F35" s="1366">
        <f>[26]rekap!$F$22</f>
        <v>7360000</v>
      </c>
      <c r="G35" s="30">
        <f>D35*F35</f>
        <v>7360000</v>
      </c>
      <c r="H35" s="48"/>
    </row>
    <row r="36" spans="1:8">
      <c r="A36" s="1364"/>
      <c r="B36" s="73"/>
      <c r="C36" s="34"/>
      <c r="D36" s="1365"/>
      <c r="E36" s="35"/>
      <c r="F36" s="1366"/>
      <c r="G36" s="30"/>
      <c r="H36" s="48"/>
    </row>
    <row r="37" spans="1:8" ht="28.5">
      <c r="A37" s="1368" t="s">
        <v>1233</v>
      </c>
      <c r="B37" s="1375" t="s">
        <v>1224</v>
      </c>
      <c r="C37" s="34"/>
      <c r="D37" s="1365"/>
      <c r="E37" s="35"/>
      <c r="F37" s="1366"/>
      <c r="G37" s="1370"/>
      <c r="H37" s="1371">
        <f>SUM(G38:G57)</f>
        <v>22221050</v>
      </c>
    </row>
    <row r="38" spans="1:8" ht="20.25" customHeight="1">
      <c r="A38" s="1364" t="s">
        <v>1234</v>
      </c>
      <c r="B38" s="73" t="s">
        <v>1237</v>
      </c>
      <c r="C38" s="34"/>
      <c r="D38" s="1365" t="str">
        <f>[26]rekap!$D3</f>
        <v>58</v>
      </c>
      <c r="E38" s="35" t="s">
        <v>1273</v>
      </c>
      <c r="F38" s="1366">
        <v>80000</v>
      </c>
      <c r="G38" s="30">
        <f>D38*F38</f>
        <v>4640000</v>
      </c>
      <c r="H38" s="48"/>
    </row>
    <row r="39" spans="1:8" ht="20.25" customHeight="1">
      <c r="A39" s="1364" t="s">
        <v>1235</v>
      </c>
      <c r="B39" s="73" t="s">
        <v>1238</v>
      </c>
      <c r="C39" s="34"/>
      <c r="D39" s="1365" t="str">
        <f>[26]rekap!$D4</f>
        <v>3</v>
      </c>
      <c r="E39" s="35" t="s">
        <v>1274</v>
      </c>
      <c r="F39" s="1366">
        <v>250000</v>
      </c>
      <c r="G39" s="30">
        <f t="shared" ref="G39:G56" si="0">D39*F39</f>
        <v>750000</v>
      </c>
      <c r="H39" s="48"/>
    </row>
    <row r="40" spans="1:8" ht="20.25" customHeight="1">
      <c r="A40" s="1364" t="s">
        <v>1236</v>
      </c>
      <c r="B40" s="73" t="s">
        <v>1239</v>
      </c>
      <c r="C40" s="34"/>
      <c r="D40" s="1365" t="str">
        <f>[26]rekap!$D5</f>
        <v>1</v>
      </c>
      <c r="E40" s="35" t="s">
        <v>1274</v>
      </c>
      <c r="F40" s="1366">
        <v>520000</v>
      </c>
      <c r="G40" s="30">
        <f t="shared" si="0"/>
        <v>520000</v>
      </c>
      <c r="H40" s="48"/>
    </row>
    <row r="41" spans="1:8" ht="20.25" customHeight="1">
      <c r="A41" s="1364" t="s">
        <v>1256</v>
      </c>
      <c r="B41" s="73" t="s">
        <v>1240</v>
      </c>
      <c r="C41" s="34"/>
      <c r="D41" s="1365" t="str">
        <f>[26]rekap!$D6</f>
        <v>2,517</v>
      </c>
      <c r="E41" s="35" t="s">
        <v>956</v>
      </c>
      <c r="F41" s="1366">
        <f>[26]rekap!$E6</f>
        <v>650</v>
      </c>
      <c r="G41" s="30">
        <f t="shared" si="0"/>
        <v>1636050</v>
      </c>
      <c r="H41" s="48"/>
    </row>
    <row r="42" spans="1:8" ht="20.25" customHeight="1">
      <c r="A42" s="1364" t="s">
        <v>1257</v>
      </c>
      <c r="B42" s="73" t="s">
        <v>1241</v>
      </c>
      <c r="C42" s="34"/>
      <c r="D42" s="1365" t="str">
        <f>[26]rekap!$D7</f>
        <v>26</v>
      </c>
      <c r="E42" s="35" t="s">
        <v>1275</v>
      </c>
      <c r="F42" s="1366">
        <v>55000</v>
      </c>
      <c r="G42" s="30">
        <f t="shared" si="0"/>
        <v>1430000</v>
      </c>
      <c r="H42" s="48"/>
    </row>
    <row r="43" spans="1:8" ht="20.25" customHeight="1">
      <c r="A43" s="1364" t="s">
        <v>1258</v>
      </c>
      <c r="B43" s="73" t="s">
        <v>1242</v>
      </c>
      <c r="C43" s="34"/>
      <c r="D43" s="1365" t="str">
        <f>[26]rekap!$D8</f>
        <v>35</v>
      </c>
      <c r="E43" s="35" t="s">
        <v>1275</v>
      </c>
      <c r="F43" s="1366">
        <v>45000</v>
      </c>
      <c r="G43" s="30">
        <f t="shared" si="0"/>
        <v>1575000</v>
      </c>
      <c r="H43" s="48"/>
    </row>
    <row r="44" spans="1:8" ht="20.25" customHeight="1">
      <c r="A44" s="1364" t="s">
        <v>1259</v>
      </c>
      <c r="B44" s="73" t="s">
        <v>1243</v>
      </c>
      <c r="C44" s="34"/>
      <c r="D44" s="1365" t="str">
        <f>[26]rekap!$D9</f>
        <v>4</v>
      </c>
      <c r="E44" s="35" t="s">
        <v>1276</v>
      </c>
      <c r="F44" s="1366">
        <f>[26]rekap!$E9</f>
        <v>25000</v>
      </c>
      <c r="G44" s="30">
        <f t="shared" si="0"/>
        <v>100000</v>
      </c>
      <c r="H44" s="48"/>
    </row>
    <row r="45" spans="1:8" ht="20.25" customHeight="1">
      <c r="A45" s="1364" t="s">
        <v>1260</v>
      </c>
      <c r="B45" s="73" t="s">
        <v>1244</v>
      </c>
      <c r="C45" s="34"/>
      <c r="D45" s="1365" t="str">
        <f>[26]rekap!$D10</f>
        <v>38</v>
      </c>
      <c r="E45" s="35" t="s">
        <v>1277</v>
      </c>
      <c r="F45" s="1366">
        <f>[26]rekap!$E10</f>
        <v>35000</v>
      </c>
      <c r="G45" s="30">
        <f t="shared" si="0"/>
        <v>1330000</v>
      </c>
      <c r="H45" s="48"/>
    </row>
    <row r="46" spans="1:8" ht="20.25" customHeight="1">
      <c r="A46" s="1364" t="s">
        <v>1261</v>
      </c>
      <c r="B46" s="73" t="s">
        <v>1245</v>
      </c>
      <c r="C46" s="34"/>
      <c r="D46" s="1365" t="str">
        <f>[26]rekap!$D11</f>
        <v>15</v>
      </c>
      <c r="E46" s="35" t="s">
        <v>1275</v>
      </c>
      <c r="F46" s="1366">
        <f>[26]rekap!$E11</f>
        <v>35000</v>
      </c>
      <c r="G46" s="30">
        <f t="shared" si="0"/>
        <v>525000</v>
      </c>
      <c r="H46" s="48"/>
    </row>
    <row r="47" spans="1:8" ht="20.25" customHeight="1">
      <c r="A47" s="1364" t="s">
        <v>1262</v>
      </c>
      <c r="B47" s="73" t="s">
        <v>1246</v>
      </c>
      <c r="C47" s="34"/>
      <c r="D47" s="1365" t="str">
        <f>[26]rekap!$D12</f>
        <v>6</v>
      </c>
      <c r="E47" s="35" t="s">
        <v>1276</v>
      </c>
      <c r="F47" s="1366">
        <f>[26]rekap!$E12</f>
        <v>25000</v>
      </c>
      <c r="G47" s="30">
        <f t="shared" si="0"/>
        <v>150000</v>
      </c>
      <c r="H47" s="48"/>
    </row>
    <row r="48" spans="1:8" ht="20.25" customHeight="1">
      <c r="A48" s="1364" t="s">
        <v>1263</v>
      </c>
      <c r="B48" s="73" t="s">
        <v>1247</v>
      </c>
      <c r="C48" s="34"/>
      <c r="D48" s="1365" t="str">
        <f>[26]rekap!$D13</f>
        <v>5</v>
      </c>
      <c r="E48" s="35" t="s">
        <v>1278</v>
      </c>
      <c r="F48" s="1366">
        <f>[26]rekap!$E13</f>
        <v>5000</v>
      </c>
      <c r="G48" s="30">
        <f t="shared" si="0"/>
        <v>25000</v>
      </c>
      <c r="H48" s="48"/>
    </row>
    <row r="49" spans="1:8" ht="20.25" customHeight="1">
      <c r="A49" s="1364" t="s">
        <v>1264</v>
      </c>
      <c r="B49" s="73" t="s">
        <v>1248</v>
      </c>
      <c r="C49" s="34"/>
      <c r="D49" s="1365" t="str">
        <f>[26]rekap!$D14</f>
        <v>17</v>
      </c>
      <c r="E49" s="35" t="s">
        <v>1275</v>
      </c>
      <c r="F49" s="1366">
        <f>[26]rekap!$E14</f>
        <v>100000</v>
      </c>
      <c r="G49" s="30">
        <f t="shared" si="0"/>
        <v>1700000</v>
      </c>
      <c r="H49" s="48"/>
    </row>
    <row r="50" spans="1:8" ht="20.25" customHeight="1">
      <c r="A50" s="1364" t="s">
        <v>1265</v>
      </c>
      <c r="B50" s="73" t="s">
        <v>1249</v>
      </c>
      <c r="C50" s="34"/>
      <c r="D50" s="1365" t="str">
        <f>[26]rekap!$D15</f>
        <v>12</v>
      </c>
      <c r="E50" s="35" t="s">
        <v>1275</v>
      </c>
      <c r="F50" s="1366">
        <f>[26]rekap!$E15</f>
        <v>50000</v>
      </c>
      <c r="G50" s="30">
        <f t="shared" si="0"/>
        <v>600000</v>
      </c>
      <c r="H50" s="48"/>
    </row>
    <row r="51" spans="1:8" ht="20.25" customHeight="1">
      <c r="A51" s="1364" t="s">
        <v>1266</v>
      </c>
      <c r="B51" s="73" t="s">
        <v>1250</v>
      </c>
      <c r="C51" s="34"/>
      <c r="D51" s="1365" t="str">
        <f>[26]rekap!$D16</f>
        <v>10</v>
      </c>
      <c r="E51" s="35" t="s">
        <v>1277</v>
      </c>
      <c r="F51" s="1366">
        <f>[26]rekap!$E16</f>
        <v>300000</v>
      </c>
      <c r="G51" s="30">
        <f t="shared" si="0"/>
        <v>3000000</v>
      </c>
      <c r="H51" s="48"/>
    </row>
    <row r="52" spans="1:8" ht="20.25" customHeight="1">
      <c r="A52" s="1364" t="s">
        <v>1267</v>
      </c>
      <c r="B52" s="73" t="s">
        <v>1251</v>
      </c>
      <c r="C52" s="34"/>
      <c r="D52" s="1365" t="str">
        <f>[26]rekap!$D17</f>
        <v>200</v>
      </c>
      <c r="E52" s="35" t="s">
        <v>1158</v>
      </c>
      <c r="F52" s="1366">
        <f>[26]rekap!$E17</f>
        <v>400</v>
      </c>
      <c r="G52" s="30">
        <f t="shared" si="0"/>
        <v>80000</v>
      </c>
      <c r="H52" s="48"/>
    </row>
    <row r="53" spans="1:8" ht="20.25" customHeight="1">
      <c r="A53" s="1364" t="s">
        <v>1268</v>
      </c>
      <c r="B53" s="73" t="s">
        <v>1252</v>
      </c>
      <c r="C53" s="34"/>
      <c r="D53" s="1365" t="str">
        <f>[26]rekap!$D18</f>
        <v>30</v>
      </c>
      <c r="E53" s="35" t="s">
        <v>1158</v>
      </c>
      <c r="F53" s="1366">
        <f>[26]rekap!$E18</f>
        <v>10000</v>
      </c>
      <c r="G53" s="30">
        <f t="shared" si="0"/>
        <v>300000</v>
      </c>
      <c r="H53" s="48"/>
    </row>
    <row r="54" spans="1:8" ht="20.25" customHeight="1">
      <c r="A54" s="1364" t="s">
        <v>1269</v>
      </c>
      <c r="B54" s="73" t="s">
        <v>1253</v>
      </c>
      <c r="C54" s="34"/>
      <c r="D54" s="1365" t="str">
        <f>[26]rekap!$D19</f>
        <v>7</v>
      </c>
      <c r="E54" s="35" t="s">
        <v>1274</v>
      </c>
      <c r="F54" s="1366">
        <f>[26]rekap!$E19</f>
        <v>100000</v>
      </c>
      <c r="G54" s="30">
        <f t="shared" si="0"/>
        <v>700000</v>
      </c>
      <c r="H54" s="48"/>
    </row>
    <row r="55" spans="1:8" ht="20.25" customHeight="1">
      <c r="A55" s="1364" t="s">
        <v>1270</v>
      </c>
      <c r="B55" s="73" t="s">
        <v>1254</v>
      </c>
      <c r="C55" s="34"/>
      <c r="D55" s="1365">
        <f>[26]rekap!$D20</f>
        <v>1</v>
      </c>
      <c r="E55" s="35" t="s">
        <v>1158</v>
      </c>
      <c r="F55" s="1366">
        <f>[26]rekap!$E20</f>
        <v>2500000</v>
      </c>
      <c r="G55" s="30">
        <f t="shared" si="0"/>
        <v>2500000</v>
      </c>
      <c r="H55" s="48"/>
    </row>
    <row r="56" spans="1:8" ht="20.25" customHeight="1">
      <c r="A56" s="1364" t="s">
        <v>1271</v>
      </c>
      <c r="B56" s="73" t="s">
        <v>1255</v>
      </c>
      <c r="C56" s="34"/>
      <c r="D56" s="1365" t="str">
        <f>[26]rekap!$D21</f>
        <v>22</v>
      </c>
      <c r="E56" s="35" t="s">
        <v>1274</v>
      </c>
      <c r="F56" s="1366">
        <f>[26]rekap!$E21</f>
        <v>30000</v>
      </c>
      <c r="G56" s="30">
        <f t="shared" si="0"/>
        <v>660000</v>
      </c>
      <c r="H56" s="48"/>
    </row>
    <row r="57" spans="1:8" ht="20.25" customHeight="1">
      <c r="A57" s="1364"/>
      <c r="B57" s="73"/>
      <c r="C57" s="34"/>
      <c r="D57" s="1365"/>
      <c r="E57" s="35"/>
      <c r="F57" s="1366"/>
      <c r="G57" s="30"/>
      <c r="H57" s="48"/>
    </row>
    <row r="58" spans="1:8" ht="15.75" thickBot="1">
      <c r="A58" s="3286" t="s">
        <v>99</v>
      </c>
      <c r="B58" s="3287"/>
      <c r="C58" s="3287"/>
      <c r="D58" s="3287"/>
      <c r="E58" s="3287"/>
      <c r="F58" s="3288"/>
      <c r="G58" s="1373">
        <f>SUM(G28:G57)</f>
        <v>30031050</v>
      </c>
      <c r="H58" s="1374">
        <f>G58</f>
        <v>30031050</v>
      </c>
    </row>
    <row r="59" spans="1:8" ht="15.75" thickBot="1">
      <c r="A59" s="3289" t="s">
        <v>131</v>
      </c>
      <c r="B59" s="3290"/>
      <c r="C59" s="3290"/>
      <c r="D59" s="3290"/>
      <c r="E59" s="3290"/>
      <c r="F59" s="3290"/>
      <c r="G59" s="50"/>
      <c r="H59" s="50">
        <f>H27+H58</f>
        <v>35151050</v>
      </c>
    </row>
    <row r="60" spans="1:8">
      <c r="A60" s="327"/>
      <c r="B60" s="263"/>
      <c r="C60" s="263"/>
      <c r="D60" s="263"/>
      <c r="E60" s="263"/>
      <c r="F60" s="263"/>
      <c r="G60" s="263"/>
      <c r="H60" s="328"/>
    </row>
    <row r="61" spans="1:8">
      <c r="A61" s="2962"/>
      <c r="B61" s="2962"/>
      <c r="C61" s="1360"/>
      <c r="D61" s="2962"/>
      <c r="E61" s="2962"/>
      <c r="F61" s="2962"/>
      <c r="G61" s="2962"/>
      <c r="H61" s="275"/>
    </row>
    <row r="62" spans="1:8">
      <c r="A62" s="2962"/>
      <c r="B62" s="2962"/>
      <c r="C62" s="1360"/>
      <c r="D62" s="2962"/>
      <c r="E62" s="2962"/>
      <c r="F62" s="2962"/>
      <c r="G62" s="2962"/>
      <c r="H62" s="275"/>
    </row>
    <row r="63" spans="1:8">
      <c r="A63" s="306"/>
      <c r="B63" s="1360"/>
      <c r="C63" s="1360"/>
      <c r="D63" s="307"/>
      <c r="E63" s="308"/>
      <c r="F63" s="953"/>
      <c r="G63" s="308"/>
      <c r="H63" s="328"/>
    </row>
    <row r="64" spans="1:8">
      <c r="A64" s="306"/>
      <c r="B64" s="1360"/>
      <c r="C64" s="1360"/>
      <c r="D64" s="1360"/>
      <c r="E64" s="308"/>
      <c r="F64" s="308"/>
      <c r="G64" s="308"/>
      <c r="H64" s="328"/>
    </row>
    <row r="65" spans="1:8">
      <c r="A65" s="306"/>
      <c r="B65" s="307"/>
      <c r="C65" s="307"/>
      <c r="D65" s="308"/>
      <c r="E65" s="308"/>
      <c r="F65" s="308"/>
      <c r="G65" s="308"/>
      <c r="H65" s="328"/>
    </row>
    <row r="66" spans="1:8">
      <c r="A66" s="306"/>
      <c r="B66" s="307"/>
      <c r="C66" s="307"/>
      <c r="D66" s="308"/>
      <c r="E66" s="308"/>
      <c r="F66" s="308"/>
      <c r="G66" s="308"/>
      <c r="H66" s="328"/>
    </row>
    <row r="67" spans="1:8">
      <c r="A67" s="2963"/>
      <c r="B67" s="2963"/>
      <c r="C67" s="1361"/>
      <c r="D67" s="2963"/>
      <c r="E67" s="2963"/>
      <c r="F67" s="2963"/>
      <c r="G67" s="2963"/>
      <c r="H67" s="432"/>
    </row>
    <row r="68" spans="1:8">
      <c r="A68" s="306"/>
      <c r="B68" s="1360"/>
      <c r="C68" s="1360"/>
      <c r="D68" s="2962"/>
      <c r="E68" s="2962"/>
      <c r="F68" s="2962"/>
      <c r="G68" s="2962"/>
      <c r="H68" s="328"/>
    </row>
  </sheetData>
  <customSheetViews>
    <customSheetView guid="{0F09EDAE-127A-4543-88A5-04139BD32AD8}" scale="130" showPageBreaks="1" fitToPage="1" printArea="1" topLeftCell="A48">
      <selection activeCell="G45" sqref="G45"/>
      <pageMargins left="0.70866141732283472" right="0.70866141732283472" top="0.74803149606299213" bottom="0.74803149606299213" header="0.31496062992125984" footer="0.31496062992125984"/>
      <printOptions horizontalCentered="1"/>
      <pageSetup paperSize="256" scale="90" fitToHeight="0" orientation="portrait" r:id="rId1"/>
    </customSheetView>
    <customSheetView guid="{C05430D3-5A25-4A4C-823C-7D6EA772E5F0}" scale="130" showPageBreaks="1" fitToPage="1" printArea="1" topLeftCell="A48">
      <selection activeCell="G45" sqref="G45"/>
      <pageMargins left="0.70866141732283472" right="0.70866141732283472" top="0.74803149606299213" bottom="0.74803149606299213" header="0.31496062992125984" footer="0.31496062992125984"/>
      <printOptions horizontalCentered="1"/>
      <pageSetup paperSize="256" scale="88" fitToHeight="0" orientation="portrait" r:id="rId2"/>
    </customSheetView>
  </customSheetViews>
  <mergeCells count="22">
    <mergeCell ref="H13:H15"/>
    <mergeCell ref="A1:H1"/>
    <mergeCell ref="A2:H2"/>
    <mergeCell ref="A3:H3"/>
    <mergeCell ref="A11:B11"/>
    <mergeCell ref="D11:E11"/>
    <mergeCell ref="D12:E12"/>
    <mergeCell ref="A13:C15"/>
    <mergeCell ref="D13:D15"/>
    <mergeCell ref="E13:E15"/>
    <mergeCell ref="F13:F15"/>
    <mergeCell ref="G13:G15"/>
    <mergeCell ref="A67:B67"/>
    <mergeCell ref="D67:G67"/>
    <mergeCell ref="D68:G68"/>
    <mergeCell ref="A58:F58"/>
    <mergeCell ref="A27:F27"/>
    <mergeCell ref="A59:F59"/>
    <mergeCell ref="A61:B61"/>
    <mergeCell ref="D61:G61"/>
    <mergeCell ref="A62:B62"/>
    <mergeCell ref="D62:G62"/>
  </mergeCells>
  <printOptions horizontalCentered="1"/>
  <pageMargins left="0.70866141732283472" right="0.70866141732283472" top="0.74803149606299213" bottom="0.74803149606299213" header="0.31496062992125984" footer="0.31496062992125984"/>
  <pageSetup paperSize="256" scale="91" fitToHeight="0" orientation="portrait" r:id="rId3"/>
  <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C00000"/>
  </sheetPr>
  <dimension ref="A1:H28"/>
  <sheetViews>
    <sheetView workbookViewId="0">
      <selection sqref="A1:H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H19</f>
        <v>4800000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58">
        <v>1</v>
      </c>
      <c r="B16" s="70" t="s">
        <v>975</v>
      </c>
      <c r="C16" s="34"/>
      <c r="D16" s="67"/>
      <c r="E16" s="35"/>
      <c r="F16" s="69"/>
      <c r="G16" s="32"/>
      <c r="H16" s="46"/>
    </row>
    <row r="17" spans="1:8">
      <c r="A17" s="58" t="s">
        <v>115</v>
      </c>
      <c r="B17" s="64" t="s">
        <v>1131</v>
      </c>
      <c r="C17" s="34"/>
      <c r="D17" s="67">
        <f>4*12</f>
        <v>48</v>
      </c>
      <c r="E17" s="35" t="s">
        <v>116</v>
      </c>
      <c r="F17" s="69">
        <v>100000</v>
      </c>
      <c r="G17" s="30">
        <f>+F17*D17</f>
        <v>4800000</v>
      </c>
      <c r="H17" s="48"/>
    </row>
    <row r="18" spans="1:8" ht="15.75" thickBot="1">
      <c r="A18" s="3291" t="s">
        <v>99</v>
      </c>
      <c r="B18" s="3292"/>
      <c r="C18" s="3292"/>
      <c r="D18" s="3292"/>
      <c r="E18" s="3292"/>
      <c r="F18" s="3293"/>
      <c r="G18" s="38">
        <f>SUM(G17:G17)</f>
        <v>4800000</v>
      </c>
      <c r="H18" s="47">
        <f>G18</f>
        <v>4800000</v>
      </c>
    </row>
    <row r="19" spans="1:8" ht="15.75" thickBot="1">
      <c r="A19" s="3289" t="s">
        <v>131</v>
      </c>
      <c r="B19" s="3290"/>
      <c r="C19" s="3290"/>
      <c r="D19" s="3290"/>
      <c r="E19" s="3290"/>
      <c r="F19" s="3290"/>
      <c r="G19" s="50">
        <f>G18</f>
        <v>4800000</v>
      </c>
      <c r="H19" s="50">
        <f>SUM(H7:H18)</f>
        <v>4800000</v>
      </c>
    </row>
    <row r="20" spans="1:8">
      <c r="A20" s="327"/>
      <c r="B20" s="263"/>
      <c r="C20" s="263"/>
      <c r="D20" s="263"/>
      <c r="E20" s="263"/>
      <c r="F20" s="263"/>
      <c r="G20" s="263"/>
      <c r="H20" s="328"/>
    </row>
    <row r="21" spans="1:8">
      <c r="A21" s="2962"/>
      <c r="B21" s="2962"/>
      <c r="C21" s="949"/>
      <c r="D21" s="2962"/>
      <c r="E21" s="2962"/>
      <c r="F21" s="2962"/>
      <c r="G21" s="2962"/>
      <c r="H21" s="275"/>
    </row>
    <row r="22" spans="1:8">
      <c r="A22" s="2962"/>
      <c r="B22" s="2962"/>
      <c r="C22" s="949"/>
      <c r="D22" s="2962"/>
      <c r="E22" s="2962"/>
      <c r="F22" s="2962"/>
      <c r="G22" s="2962"/>
      <c r="H22" s="275"/>
    </row>
    <row r="23" spans="1:8">
      <c r="A23" s="306"/>
      <c r="B23" s="949"/>
      <c r="C23" s="949"/>
      <c r="D23" s="307"/>
      <c r="E23" s="308"/>
      <c r="F23" s="953"/>
      <c r="G23" s="308"/>
      <c r="H23" s="328"/>
    </row>
    <row r="24" spans="1:8">
      <c r="A24" s="306"/>
      <c r="B24" s="949"/>
      <c r="C24" s="949"/>
      <c r="D24" s="949"/>
      <c r="E24" s="308"/>
      <c r="F24" s="308"/>
      <c r="G24" s="308"/>
      <c r="H24" s="328"/>
    </row>
    <row r="25" spans="1:8">
      <c r="A25" s="306"/>
      <c r="B25" s="307"/>
      <c r="C25" s="307"/>
      <c r="D25" s="308"/>
      <c r="E25" s="308"/>
      <c r="F25" s="308"/>
      <c r="G25" s="308"/>
      <c r="H25" s="328"/>
    </row>
    <row r="26" spans="1:8">
      <c r="A26" s="306"/>
      <c r="B26" s="307"/>
      <c r="C26" s="307"/>
      <c r="D26" s="308"/>
      <c r="E26" s="308"/>
      <c r="F26" s="308"/>
      <c r="G26" s="308"/>
      <c r="H26" s="328"/>
    </row>
    <row r="27" spans="1:8">
      <c r="A27" s="2963"/>
      <c r="B27" s="2963"/>
      <c r="C27" s="950"/>
      <c r="D27" s="2963"/>
      <c r="E27" s="2963"/>
      <c r="F27" s="2963"/>
      <c r="G27" s="2963"/>
      <c r="H27" s="432"/>
    </row>
    <row r="28" spans="1:8">
      <c r="A28" s="306"/>
      <c r="B28" s="949"/>
      <c r="C28" s="949"/>
      <c r="D28" s="2962"/>
      <c r="E28" s="2962"/>
      <c r="F28" s="2962"/>
      <c r="G28" s="2962"/>
      <c r="H28" s="328"/>
    </row>
  </sheetData>
  <customSheetViews>
    <customSheetView guid="{0F09EDAE-127A-4543-88A5-04139BD32AD8}" showPageBreaks="1" printArea="1" topLeftCell="A7">
      <selection activeCell="J20" sqref="J20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howPageBreaks="1" printArea="1" topLeftCell="A7">
      <selection activeCell="J20" sqref="J20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21">
    <mergeCell ref="A22:B22"/>
    <mergeCell ref="A27:B27"/>
    <mergeCell ref="D28:G28"/>
    <mergeCell ref="D22:G22"/>
    <mergeCell ref="D27:G27"/>
    <mergeCell ref="H13:H15"/>
    <mergeCell ref="A18:F18"/>
    <mergeCell ref="A19:F19"/>
    <mergeCell ref="A21:B21"/>
    <mergeCell ref="G13:G15"/>
    <mergeCell ref="D21:G21"/>
    <mergeCell ref="D12:E12"/>
    <mergeCell ref="A13:C15"/>
    <mergeCell ref="D13:D15"/>
    <mergeCell ref="E13:E15"/>
    <mergeCell ref="F13:F15"/>
    <mergeCell ref="A1:H1"/>
    <mergeCell ref="A2:H2"/>
    <mergeCell ref="A3:H3"/>
    <mergeCell ref="A11:B11"/>
    <mergeCell ref="D11:E1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C00000"/>
  </sheetPr>
  <dimension ref="A1:P38"/>
  <sheetViews>
    <sheetView workbookViewId="0">
      <selection sqref="A1:M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  <col min="9" max="9" width="8.28515625" customWidth="1"/>
    <col min="10" max="10" width="8" customWidth="1"/>
    <col min="11" max="11" width="10.85546875" customWidth="1"/>
    <col min="12" max="13" width="13" customWidth="1"/>
    <col min="16" max="16" width="16" customWidth="1"/>
  </cols>
  <sheetData>
    <row r="1" spans="1:16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</row>
    <row r="2" spans="1:16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</row>
    <row r="3" spans="1:16">
      <c r="A3" s="2961"/>
      <c r="B3" s="2961"/>
      <c r="C3" s="2961"/>
      <c r="D3" s="2961"/>
      <c r="E3" s="2961"/>
      <c r="F3" s="2961"/>
      <c r="G3" s="2961"/>
      <c r="H3" s="2961"/>
    </row>
    <row r="4" spans="1:16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/>
      <c r="L4" s="277"/>
      <c r="M4" s="277"/>
    </row>
    <row r="5" spans="1:16">
      <c r="A5" s="278"/>
      <c r="B5" s="279"/>
      <c r="C5" s="281"/>
      <c r="D5" s="279"/>
      <c r="E5" s="279"/>
      <c r="F5" s="947"/>
      <c r="G5" s="279"/>
      <c r="H5" s="264"/>
      <c r="I5" s="279"/>
      <c r="J5" s="279"/>
      <c r="K5" s="947"/>
      <c r="L5" s="279"/>
      <c r="M5" s="264"/>
    </row>
    <row r="6" spans="1:16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/>
      <c r="L6" s="351"/>
      <c r="M6" s="351"/>
    </row>
    <row r="7" spans="1:16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51"/>
      <c r="M7" s="351"/>
    </row>
    <row r="8" spans="1:16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</row>
    <row r="9" spans="1:16" ht="15" customHeight="1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</row>
    <row r="10" spans="1:16">
      <c r="A10" s="2980" t="s">
        <v>110</v>
      </c>
      <c r="B10" s="2980"/>
      <c r="C10" s="281" t="s">
        <v>46</v>
      </c>
      <c r="D10" s="2988">
        <f>H29</f>
        <v>15280000</v>
      </c>
      <c r="E10" s="2988"/>
      <c r="F10" s="279"/>
      <c r="G10" s="279"/>
      <c r="H10" s="279"/>
      <c r="I10" s="279"/>
      <c r="J10" s="279"/>
      <c r="K10" s="279"/>
      <c r="L10" s="279"/>
      <c r="M10" s="279"/>
    </row>
    <row r="11" spans="1:16">
      <c r="F11" s="689"/>
      <c r="G11" s="282"/>
      <c r="H11" s="282"/>
      <c r="I11" s="2988"/>
      <c r="J11" s="2988"/>
      <c r="K11" s="2165"/>
      <c r="L11" s="282"/>
      <c r="M11" s="282"/>
    </row>
    <row r="12" spans="1:16">
      <c r="A12" s="3296" t="s">
        <v>1</v>
      </c>
      <c r="B12" s="3296"/>
      <c r="C12" s="3296"/>
      <c r="D12" s="3297" t="s">
        <v>1523</v>
      </c>
      <c r="E12" s="3297"/>
      <c r="F12" s="3297"/>
      <c r="G12" s="3297"/>
      <c r="H12" s="3297"/>
      <c r="I12" s="3297" t="s">
        <v>1522</v>
      </c>
      <c r="J12" s="3297"/>
      <c r="K12" s="3297"/>
      <c r="L12" s="3297"/>
      <c r="M12" s="3297"/>
      <c r="N12" s="3124" t="s">
        <v>1550</v>
      </c>
    </row>
    <row r="13" spans="1:16" ht="15" customHeight="1">
      <c r="A13" s="3296"/>
      <c r="B13" s="3296"/>
      <c r="C13" s="3296"/>
      <c r="D13" s="3296" t="s">
        <v>60</v>
      </c>
      <c r="E13" s="3296" t="s">
        <v>97</v>
      </c>
      <c r="F13" s="3296" t="s">
        <v>112</v>
      </c>
      <c r="G13" s="3296" t="s">
        <v>113</v>
      </c>
      <c r="H13" s="3296" t="s">
        <v>114</v>
      </c>
      <c r="I13" s="3296" t="s">
        <v>60</v>
      </c>
      <c r="J13" s="3296" t="s">
        <v>97</v>
      </c>
      <c r="K13" s="3296" t="s">
        <v>112</v>
      </c>
      <c r="L13" s="3296" t="s">
        <v>113</v>
      </c>
      <c r="M13" s="3296" t="s">
        <v>114</v>
      </c>
      <c r="N13" s="3124"/>
    </row>
    <row r="14" spans="1:16">
      <c r="A14" s="3296"/>
      <c r="B14" s="3296"/>
      <c r="C14" s="3296"/>
      <c r="D14" s="3296"/>
      <c r="E14" s="3296"/>
      <c r="F14" s="3296"/>
      <c r="G14" s="3296"/>
      <c r="H14" s="3296"/>
      <c r="I14" s="3296"/>
      <c r="J14" s="3296"/>
      <c r="K14" s="3296"/>
      <c r="L14" s="3296"/>
      <c r="M14" s="3296"/>
      <c r="N14" s="3124"/>
    </row>
    <row r="15" spans="1:16">
      <c r="A15" s="3296"/>
      <c r="B15" s="3296"/>
      <c r="C15" s="3296"/>
      <c r="D15" s="3296"/>
      <c r="E15" s="3296"/>
      <c r="F15" s="3296"/>
      <c r="G15" s="3296"/>
      <c r="H15" s="3296"/>
      <c r="I15" s="3296"/>
      <c r="J15" s="3296"/>
      <c r="K15" s="3296"/>
      <c r="L15" s="3296"/>
      <c r="M15" s="3296"/>
      <c r="N15" s="3124"/>
    </row>
    <row r="16" spans="1:16">
      <c r="A16" s="944">
        <v>1</v>
      </c>
      <c r="B16" s="3294" t="s">
        <v>297</v>
      </c>
      <c r="C16" s="3294"/>
      <c r="D16" s="955"/>
      <c r="E16" s="956"/>
      <c r="F16" s="955"/>
      <c r="G16" s="957"/>
      <c r="H16" s="957"/>
      <c r="I16" s="955"/>
      <c r="J16" s="956"/>
      <c r="K16" s="955"/>
      <c r="L16" s="957"/>
      <c r="M16" s="957"/>
      <c r="N16" s="957"/>
      <c r="P16" t="s">
        <v>21</v>
      </c>
    </row>
    <row r="17" spans="1:14">
      <c r="A17" s="944" t="s">
        <v>115</v>
      </c>
      <c r="B17" s="3294" t="s">
        <v>192</v>
      </c>
      <c r="C17" s="3294"/>
      <c r="D17" s="955">
        <v>60</v>
      </c>
      <c r="E17" s="956" t="s">
        <v>116</v>
      </c>
      <c r="F17" s="955">
        <v>50000</v>
      </c>
      <c r="G17" s="955">
        <f>+F17*D17</f>
        <v>3000000</v>
      </c>
      <c r="H17" s="957"/>
      <c r="I17" s="955">
        <v>60</v>
      </c>
      <c r="J17" s="956" t="s">
        <v>116</v>
      </c>
      <c r="K17" s="955">
        <v>50000</v>
      </c>
      <c r="L17" s="955">
        <f>+K17*I17</f>
        <v>3000000</v>
      </c>
      <c r="M17" s="957"/>
      <c r="N17" s="957"/>
    </row>
    <row r="18" spans="1:14">
      <c r="A18" s="944" t="s">
        <v>117</v>
      </c>
      <c r="B18" s="3294" t="s">
        <v>193</v>
      </c>
      <c r="C18" s="3294"/>
      <c r="D18" s="955">
        <v>60</v>
      </c>
      <c r="E18" s="956" t="s">
        <v>116</v>
      </c>
      <c r="F18" s="955">
        <v>50000</v>
      </c>
      <c r="G18" s="955">
        <f>+F18*D18</f>
        <v>3000000</v>
      </c>
      <c r="H18" s="957"/>
      <c r="I18" s="955">
        <v>60</v>
      </c>
      <c r="J18" s="956" t="s">
        <v>116</v>
      </c>
      <c r="K18" s="955">
        <v>50000</v>
      </c>
      <c r="L18" s="955">
        <f>+K18*I18</f>
        <v>3000000</v>
      </c>
      <c r="M18" s="957"/>
      <c r="N18" s="957"/>
    </row>
    <row r="19" spans="1:14">
      <c r="A19" s="944" t="s">
        <v>117</v>
      </c>
      <c r="B19" s="3294" t="s">
        <v>1132</v>
      </c>
      <c r="C19" s="3294"/>
      <c r="D19" s="955">
        <f>6*12</f>
        <v>72</v>
      </c>
      <c r="E19" s="956" t="s">
        <v>116</v>
      </c>
      <c r="F19" s="955">
        <v>50000</v>
      </c>
      <c r="G19" s="955">
        <f>+F19*D19</f>
        <v>3600000</v>
      </c>
      <c r="H19" s="957"/>
      <c r="I19" s="955">
        <f>6*12</f>
        <v>72</v>
      </c>
      <c r="J19" s="956" t="s">
        <v>116</v>
      </c>
      <c r="K19" s="955">
        <v>50000</v>
      </c>
      <c r="L19" s="955">
        <f>+K19*I19</f>
        <v>3600000</v>
      </c>
      <c r="M19" s="957"/>
      <c r="N19" s="957"/>
    </row>
    <row r="20" spans="1:14" ht="15.75">
      <c r="A20" s="944"/>
      <c r="B20" s="3300" t="s">
        <v>98</v>
      </c>
      <c r="C20" s="3300"/>
      <c r="D20" s="3300"/>
      <c r="E20" s="3300"/>
      <c r="F20" s="3300"/>
      <c r="G20" s="955">
        <f>SUM(G17:G19)</f>
        <v>9600000</v>
      </c>
      <c r="H20" s="945">
        <f>G20</f>
        <v>9600000</v>
      </c>
      <c r="I20" s="957"/>
      <c r="J20" s="957"/>
      <c r="K20" s="957"/>
      <c r="L20" s="955">
        <f>SUM(L17:L19)</f>
        <v>9600000</v>
      </c>
      <c r="M20" s="945">
        <f>L20</f>
        <v>9600000</v>
      </c>
      <c r="N20" s="957"/>
    </row>
    <row r="21" spans="1:14" ht="15.75">
      <c r="A21" s="944">
        <v>2</v>
      </c>
      <c r="B21" s="3295" t="s">
        <v>574</v>
      </c>
      <c r="C21" s="3295"/>
      <c r="D21" s="955"/>
      <c r="E21" s="956"/>
      <c r="F21" s="955"/>
      <c r="G21" s="955"/>
      <c r="H21" s="957"/>
      <c r="I21" s="955"/>
      <c r="J21" s="956"/>
      <c r="K21" s="955"/>
      <c r="L21" s="955"/>
      <c r="M21" s="957"/>
      <c r="N21" s="957"/>
    </row>
    <row r="22" spans="1:14" ht="15.75">
      <c r="A22" s="944" t="s">
        <v>121</v>
      </c>
      <c r="B22" s="3295" t="s">
        <v>976</v>
      </c>
      <c r="C22" s="3295"/>
      <c r="D22" s="955">
        <v>576</v>
      </c>
      <c r="E22" s="956" t="s">
        <v>1588</v>
      </c>
      <c r="F22" s="955">
        <v>5000</v>
      </c>
      <c r="G22" s="955">
        <f>+F22*D22</f>
        <v>2880000</v>
      </c>
      <c r="H22" s="955"/>
      <c r="I22" s="955">
        <f>576+194</f>
        <v>770</v>
      </c>
      <c r="J22" s="956" t="s">
        <v>1588</v>
      </c>
      <c r="K22" s="955">
        <v>5000</v>
      </c>
      <c r="L22" s="955">
        <f>+K22*I22</f>
        <v>3850000</v>
      </c>
      <c r="M22" s="955"/>
      <c r="N22" s="957"/>
    </row>
    <row r="23" spans="1:14">
      <c r="A23" s="3298" t="s">
        <v>99</v>
      </c>
      <c r="B23" s="3298"/>
      <c r="C23" s="3298"/>
      <c r="D23" s="3298"/>
      <c r="E23" s="3298"/>
      <c r="F23" s="3298"/>
      <c r="G23" s="955">
        <f>SUM(G22)</f>
        <v>2880000</v>
      </c>
      <c r="H23" s="955">
        <f>G23</f>
        <v>2880000</v>
      </c>
      <c r="I23" s="957"/>
      <c r="J23" s="957"/>
      <c r="K23" s="957"/>
      <c r="L23" s="955">
        <f>SUM(L22)</f>
        <v>3850000</v>
      </c>
      <c r="M23" s="955">
        <f>L23</f>
        <v>3850000</v>
      </c>
      <c r="N23" s="957"/>
    </row>
    <row r="24" spans="1:14" ht="15.75">
      <c r="A24" s="944">
        <v>3</v>
      </c>
      <c r="B24" s="3295" t="s">
        <v>1197</v>
      </c>
      <c r="C24" s="3295"/>
      <c r="D24" s="955"/>
      <c r="E24" s="956"/>
      <c r="F24" s="955"/>
      <c r="G24" s="955"/>
      <c r="H24" s="957"/>
      <c r="I24" s="955"/>
      <c r="J24" s="956"/>
      <c r="K24" s="955"/>
      <c r="L24" s="955"/>
      <c r="M24" s="957"/>
      <c r="N24" s="957"/>
    </row>
    <row r="25" spans="1:14" ht="15.75">
      <c r="A25" s="944">
        <v>3.1</v>
      </c>
      <c r="B25" s="3295" t="s">
        <v>1198</v>
      </c>
      <c r="C25" s="3295"/>
      <c r="D25" s="955">
        <v>2</v>
      </c>
      <c r="E25" s="956" t="s">
        <v>1158</v>
      </c>
      <c r="F25" s="955">
        <v>350000</v>
      </c>
      <c r="G25" s="955">
        <f>+F25*D25</f>
        <v>700000</v>
      </c>
      <c r="H25" s="955"/>
      <c r="I25" s="955">
        <v>2</v>
      </c>
      <c r="J25" s="956" t="s">
        <v>1158</v>
      </c>
      <c r="K25" s="955">
        <v>350000</v>
      </c>
      <c r="L25" s="955">
        <f>+K25*I25</f>
        <v>700000</v>
      </c>
      <c r="M25" s="955"/>
      <c r="N25" s="957"/>
    </row>
    <row r="26" spans="1:14" ht="15.75">
      <c r="A26" s="944">
        <v>3.2</v>
      </c>
      <c r="B26" s="3295" t="s">
        <v>1213</v>
      </c>
      <c r="C26" s="3295"/>
      <c r="D26" s="955">
        <v>1</v>
      </c>
      <c r="E26" s="956" t="s">
        <v>1158</v>
      </c>
      <c r="F26" s="955">
        <v>1200000</v>
      </c>
      <c r="G26" s="955">
        <f>+F26*D26</f>
        <v>1200000</v>
      </c>
      <c r="H26" s="955"/>
      <c r="I26" s="955">
        <v>1</v>
      </c>
      <c r="J26" s="956" t="s">
        <v>1158</v>
      </c>
      <c r="K26" s="955">
        <f>1200000+4614</f>
        <v>1204614</v>
      </c>
      <c r="L26" s="955">
        <f>+K26*I26</f>
        <v>1204614</v>
      </c>
      <c r="M26" s="955"/>
      <c r="N26" s="957"/>
    </row>
    <row r="27" spans="1:14" ht="15.75">
      <c r="A27" s="944">
        <v>3.3</v>
      </c>
      <c r="B27" s="3295" t="s">
        <v>1212</v>
      </c>
      <c r="C27" s="3295"/>
      <c r="D27" s="955">
        <v>2</v>
      </c>
      <c r="E27" s="956" t="s">
        <v>1158</v>
      </c>
      <c r="F27" s="955">
        <v>450000</v>
      </c>
      <c r="G27" s="955">
        <f>+F27*D27</f>
        <v>900000</v>
      </c>
      <c r="H27" s="955"/>
      <c r="I27" s="955">
        <v>2</v>
      </c>
      <c r="J27" s="956" t="s">
        <v>1158</v>
      </c>
      <c r="K27" s="955">
        <v>450000</v>
      </c>
      <c r="L27" s="955">
        <f>+K27*I27</f>
        <v>900000</v>
      </c>
      <c r="M27" s="955"/>
      <c r="N27" s="957"/>
    </row>
    <row r="28" spans="1:14">
      <c r="A28" s="3298" t="s">
        <v>102</v>
      </c>
      <c r="B28" s="3298"/>
      <c r="C28" s="3298"/>
      <c r="D28" s="3298"/>
      <c r="E28" s="3298"/>
      <c r="F28" s="3298"/>
      <c r="G28" s="955">
        <f>SUM(G25:G27)</f>
        <v>2800000</v>
      </c>
      <c r="H28" s="955">
        <f>G28</f>
        <v>2800000</v>
      </c>
      <c r="I28" s="957"/>
      <c r="J28" s="957"/>
      <c r="K28" s="957"/>
      <c r="L28" s="955">
        <f>SUM(L25:L27)</f>
        <v>2804614</v>
      </c>
      <c r="M28" s="955">
        <f>L28</f>
        <v>2804614</v>
      </c>
      <c r="N28" s="957"/>
    </row>
    <row r="29" spans="1:14">
      <c r="A29" s="3299" t="s">
        <v>131</v>
      </c>
      <c r="B29" s="3299"/>
      <c r="C29" s="3299"/>
      <c r="D29" s="3299"/>
      <c r="E29" s="3299"/>
      <c r="F29" s="3299"/>
      <c r="G29" s="2326">
        <f>G28</f>
        <v>2800000</v>
      </c>
      <c r="H29" s="2326">
        <f>SUM(H7:H28)</f>
        <v>15280000</v>
      </c>
      <c r="I29" s="957"/>
      <c r="J29" s="957"/>
      <c r="K29" s="957"/>
      <c r="L29" s="2326">
        <f>L28</f>
        <v>2804614</v>
      </c>
      <c r="M29" s="2326">
        <f>SUM(M7:M28)</f>
        <v>16254614</v>
      </c>
      <c r="N29" s="957"/>
    </row>
    <row r="30" spans="1:14">
      <c r="A30" s="327"/>
      <c r="B30" s="263"/>
      <c r="C30" s="263"/>
      <c r="D30" s="263"/>
      <c r="E30" s="263"/>
      <c r="F30" s="263"/>
      <c r="G30" s="263"/>
      <c r="H30" s="328"/>
      <c r="I30" s="263"/>
      <c r="J30" s="263"/>
      <c r="K30" s="263"/>
      <c r="L30" s="263"/>
      <c r="M30" s="328"/>
    </row>
    <row r="31" spans="1:14">
      <c r="A31" s="2962"/>
      <c r="B31" s="2962"/>
      <c r="C31" s="949"/>
      <c r="D31" s="2962"/>
      <c r="E31" s="2962"/>
      <c r="F31" s="2962"/>
      <c r="G31" s="2962"/>
      <c r="H31" s="275"/>
      <c r="I31" s="2962"/>
      <c r="J31" s="2962"/>
      <c r="K31" s="2962"/>
      <c r="L31" s="2962"/>
      <c r="M31" s="275"/>
    </row>
    <row r="32" spans="1:14">
      <c r="A32" s="2962"/>
      <c r="B32" s="2962"/>
      <c r="C32" s="949"/>
      <c r="D32" s="2962"/>
      <c r="E32" s="2962"/>
      <c r="F32" s="2962"/>
      <c r="G32" s="2962"/>
      <c r="H32" s="275"/>
      <c r="I32" s="2962"/>
      <c r="J32" s="2962"/>
      <c r="K32" s="2962"/>
      <c r="L32" s="2962"/>
      <c r="M32" s="275"/>
    </row>
    <row r="33" spans="1:13">
      <c r="A33" s="306"/>
      <c r="B33" s="949"/>
      <c r="C33" s="949"/>
      <c r="D33" s="307"/>
      <c r="E33" s="308"/>
      <c r="F33" s="953"/>
      <c r="G33" s="308"/>
      <c r="H33" s="328"/>
      <c r="I33" s="307"/>
      <c r="J33" s="308"/>
      <c r="K33" s="953"/>
      <c r="L33" s="308"/>
      <c r="M33" s="328"/>
    </row>
    <row r="34" spans="1:13">
      <c r="A34" s="306"/>
      <c r="B34" s="949"/>
      <c r="C34" s="949"/>
      <c r="D34" s="949"/>
      <c r="E34" s="308"/>
      <c r="F34" s="308"/>
      <c r="G34" s="308"/>
      <c r="H34" s="328"/>
      <c r="I34" s="2164"/>
      <c r="J34" s="308"/>
      <c r="K34" s="308"/>
      <c r="L34" s="308"/>
      <c r="M34" s="328"/>
    </row>
    <row r="35" spans="1:13">
      <c r="A35" s="306"/>
      <c r="B35" s="307"/>
      <c r="C35" s="307"/>
      <c r="D35" s="308"/>
      <c r="E35" s="308"/>
      <c r="F35" s="308"/>
      <c r="G35" s="308"/>
      <c r="H35" s="328"/>
      <c r="I35" s="308"/>
      <c r="J35" s="308"/>
      <c r="K35" s="308"/>
      <c r="L35" s="308"/>
      <c r="M35" s="328"/>
    </row>
    <row r="36" spans="1:13">
      <c r="A36" s="306"/>
      <c r="B36" s="307"/>
      <c r="C36" s="307"/>
      <c r="D36" s="308"/>
      <c r="E36" s="308"/>
      <c r="F36" s="308"/>
      <c r="G36" s="308"/>
      <c r="H36" s="328"/>
      <c r="I36" s="308"/>
      <c r="J36" s="308"/>
      <c r="K36" s="308"/>
      <c r="L36" s="308"/>
      <c r="M36" s="328"/>
    </row>
    <row r="37" spans="1:13">
      <c r="A37" s="2963"/>
      <c r="B37" s="2963"/>
      <c r="C37" s="950"/>
      <c r="D37" s="2963"/>
      <c r="E37" s="2963"/>
      <c r="F37" s="2963"/>
      <c r="G37" s="2963"/>
      <c r="H37" s="432"/>
      <c r="I37" s="2963"/>
      <c r="J37" s="2963"/>
      <c r="K37" s="2963"/>
      <c r="L37" s="2963"/>
      <c r="M37" s="432"/>
    </row>
    <row r="38" spans="1:13">
      <c r="A38" s="306"/>
      <c r="B38" s="949"/>
      <c r="C38" s="949"/>
      <c r="D38" s="2962"/>
      <c r="E38" s="2962"/>
      <c r="F38" s="2962"/>
      <c r="G38" s="2962"/>
      <c r="H38" s="328"/>
      <c r="I38" s="2962"/>
      <c r="J38" s="2962"/>
      <c r="K38" s="2962"/>
      <c r="L38" s="2962"/>
      <c r="M38" s="328"/>
    </row>
  </sheetData>
  <customSheetViews>
    <customSheetView guid="{0F09EDAE-127A-4543-88A5-04139BD32AD8}" scale="130" showPageBreaks="1" printArea="1" topLeftCell="A17">
      <selection activeCell="H20" sqref="H20:H28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cale="130" showPageBreaks="1" printArea="1" topLeftCell="A17">
      <selection activeCell="H20" sqref="H20:H28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45">
    <mergeCell ref="D38:G38"/>
    <mergeCell ref="B20:F20"/>
    <mergeCell ref="A31:B31"/>
    <mergeCell ref="A32:B32"/>
    <mergeCell ref="A37:B37"/>
    <mergeCell ref="D31:G31"/>
    <mergeCell ref="D32:G32"/>
    <mergeCell ref="D37:G37"/>
    <mergeCell ref="A23:F23"/>
    <mergeCell ref="H13:H15"/>
    <mergeCell ref="A28:F28"/>
    <mergeCell ref="A29:F29"/>
    <mergeCell ref="D13:D15"/>
    <mergeCell ref="E13:E15"/>
    <mergeCell ref="F13:F15"/>
    <mergeCell ref="G13:G15"/>
    <mergeCell ref="A12:C15"/>
    <mergeCell ref="D12:H12"/>
    <mergeCell ref="A3:H3"/>
    <mergeCell ref="A10:B10"/>
    <mergeCell ref="D10:E10"/>
    <mergeCell ref="A1:M1"/>
    <mergeCell ref="A2:M2"/>
    <mergeCell ref="I37:L37"/>
    <mergeCell ref="I11:J11"/>
    <mergeCell ref="I13:I15"/>
    <mergeCell ref="J13:J15"/>
    <mergeCell ref="K13:K15"/>
    <mergeCell ref="I12:M12"/>
    <mergeCell ref="N12:N15"/>
    <mergeCell ref="I38:L38"/>
    <mergeCell ref="B16:C16"/>
    <mergeCell ref="B17:C17"/>
    <mergeCell ref="B18:C18"/>
    <mergeCell ref="B19:C19"/>
    <mergeCell ref="B21:C21"/>
    <mergeCell ref="B22:C22"/>
    <mergeCell ref="B24:C24"/>
    <mergeCell ref="B25:C25"/>
    <mergeCell ref="B26:C26"/>
    <mergeCell ref="B27:C27"/>
    <mergeCell ref="L13:L15"/>
    <mergeCell ref="M13:M15"/>
    <mergeCell ref="I31:L31"/>
    <mergeCell ref="I32:L32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rgb="FF00B050"/>
  </sheetPr>
  <dimension ref="A1:K29"/>
  <sheetViews>
    <sheetView workbookViewId="0">
      <selection sqref="A1:H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9.28515625" customWidth="1"/>
    <col min="5" max="5" width="8" customWidth="1"/>
    <col min="6" max="6" width="10.85546875" customWidth="1"/>
    <col min="7" max="7" width="13" customWidth="1"/>
    <col min="8" max="8" width="14.42578125" customWidth="1"/>
  </cols>
  <sheetData>
    <row r="1" spans="1:10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0">
      <c r="A2" s="2961" t="s">
        <v>1024</v>
      </c>
      <c r="B2" s="2961"/>
      <c r="C2" s="2961"/>
      <c r="D2" s="2961"/>
      <c r="E2" s="2961"/>
      <c r="F2" s="2961"/>
      <c r="G2" s="2961"/>
      <c r="H2" s="2961"/>
      <c r="J2" s="112"/>
    </row>
    <row r="3" spans="1:10">
      <c r="A3" s="2961"/>
      <c r="B3" s="2961"/>
      <c r="C3" s="2961"/>
      <c r="D3" s="2961"/>
      <c r="E3" s="2961"/>
      <c r="F3" s="2961"/>
      <c r="G3" s="2961"/>
      <c r="H3" s="2961"/>
    </row>
    <row r="4" spans="1:10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10">
      <c r="A5" s="278"/>
      <c r="B5" s="279"/>
      <c r="C5" s="281"/>
      <c r="D5" s="279"/>
      <c r="E5" s="279"/>
      <c r="F5" s="947"/>
      <c r="G5" s="279"/>
      <c r="H5" s="264"/>
    </row>
    <row r="6" spans="1:10">
      <c r="A6" s="617"/>
      <c r="B6" s="279"/>
      <c r="C6" s="281"/>
      <c r="D6" s="351"/>
      <c r="E6" s="351"/>
      <c r="F6" s="279"/>
      <c r="G6" s="351"/>
      <c r="H6" s="351"/>
    </row>
    <row r="7" spans="1:10">
      <c r="A7" s="278"/>
      <c r="B7" s="279"/>
      <c r="C7" s="281"/>
      <c r="D7" s="618"/>
      <c r="E7" s="279"/>
      <c r="F7" s="947"/>
      <c r="G7" s="351"/>
      <c r="H7" s="351"/>
    </row>
    <row r="8" spans="1:10">
      <c r="A8" s="278"/>
      <c r="B8" s="279"/>
      <c r="C8" s="281"/>
      <c r="D8" s="279"/>
      <c r="E8" s="279"/>
      <c r="F8" s="279"/>
      <c r="G8" s="351"/>
      <c r="H8" s="351"/>
    </row>
    <row r="9" spans="1:10" ht="15" customHeight="1">
      <c r="A9" s="278"/>
      <c r="B9" s="279"/>
      <c r="C9" s="279"/>
      <c r="D9" s="279"/>
      <c r="E9" s="279"/>
      <c r="F9" s="279"/>
      <c r="G9" s="279"/>
      <c r="H9" s="279"/>
    </row>
    <row r="10" spans="1:10">
      <c r="A10" s="278"/>
      <c r="B10" s="279"/>
      <c r="C10" s="279"/>
      <c r="D10" s="279"/>
      <c r="E10" s="279"/>
      <c r="F10" s="279"/>
      <c r="G10" s="279"/>
      <c r="H10" s="279"/>
    </row>
    <row r="11" spans="1:10">
      <c r="A11" s="2980" t="s">
        <v>110</v>
      </c>
      <c r="B11" s="2980"/>
      <c r="C11" s="281" t="s">
        <v>46</v>
      </c>
      <c r="D11" s="2988">
        <f>H20</f>
        <v>8700000</v>
      </c>
      <c r="E11" s="2988"/>
      <c r="F11" s="689"/>
      <c r="G11" s="282"/>
      <c r="H11" s="282"/>
    </row>
    <row r="12" spans="1:10" ht="15.75" thickBot="1">
      <c r="A12" s="690"/>
      <c r="B12" s="690"/>
      <c r="C12" s="690"/>
      <c r="D12" s="690"/>
      <c r="E12" s="691"/>
      <c r="F12" s="690"/>
      <c r="G12" s="28"/>
    </row>
    <row r="13" spans="1:10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10">
      <c r="A14" s="3274"/>
      <c r="B14" s="3275"/>
      <c r="C14" s="3276"/>
      <c r="D14" s="3281"/>
      <c r="E14" s="3281"/>
      <c r="F14" s="3284"/>
      <c r="G14" s="3269"/>
      <c r="H14" s="3269"/>
    </row>
    <row r="15" spans="1:10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10">
      <c r="A16" s="59">
        <v>1</v>
      </c>
      <c r="B16" s="63" t="s">
        <v>239</v>
      </c>
      <c r="C16" s="44"/>
      <c r="D16" s="37"/>
      <c r="E16" s="35"/>
      <c r="F16" s="32"/>
      <c r="G16" s="32"/>
      <c r="H16" s="46"/>
    </row>
    <row r="17" spans="1:11">
      <c r="A17" s="59" t="s">
        <v>115</v>
      </c>
      <c r="B17" s="64" t="s">
        <v>181</v>
      </c>
      <c r="C17" s="29"/>
      <c r="D17" s="65">
        <v>12</v>
      </c>
      <c r="E17" s="57" t="s">
        <v>116</v>
      </c>
      <c r="F17" s="32">
        <v>125000</v>
      </c>
      <c r="G17" s="32">
        <f>+F17*D17</f>
        <v>1500000</v>
      </c>
      <c r="H17" s="46"/>
      <c r="K17" t="s">
        <v>21</v>
      </c>
    </row>
    <row r="18" spans="1:11">
      <c r="A18" s="59" t="s">
        <v>117</v>
      </c>
      <c r="B18" s="64" t="s">
        <v>182</v>
      </c>
      <c r="C18" s="29"/>
      <c r="D18" s="66">
        <v>72</v>
      </c>
      <c r="E18" s="51" t="s">
        <v>116</v>
      </c>
      <c r="F18" s="42">
        <v>100000</v>
      </c>
      <c r="G18" s="32">
        <f>+F18*D18</f>
        <v>7200000</v>
      </c>
      <c r="H18" s="46"/>
    </row>
    <row r="19" spans="1:11" ht="15.75" thickBot="1">
      <c r="A19" s="3291" t="s">
        <v>98</v>
      </c>
      <c r="B19" s="3292"/>
      <c r="C19" s="3292"/>
      <c r="D19" s="3292"/>
      <c r="E19" s="3292"/>
      <c r="F19" s="3293"/>
      <c r="G19" s="38">
        <f>SUM(G17,G18)</f>
        <v>8700000</v>
      </c>
      <c r="H19" s="47">
        <f>G19</f>
        <v>8700000</v>
      </c>
    </row>
    <row r="20" spans="1:11" ht="15.75" thickBot="1">
      <c r="A20" s="3289" t="s">
        <v>131</v>
      </c>
      <c r="B20" s="3290"/>
      <c r="C20" s="3290"/>
      <c r="D20" s="3290"/>
      <c r="E20" s="3290"/>
      <c r="F20" s="3290"/>
      <c r="G20" s="50">
        <f>G19</f>
        <v>8700000</v>
      </c>
      <c r="H20" s="50">
        <f>SUM(H4:H19)</f>
        <v>8700000</v>
      </c>
    </row>
    <row r="21" spans="1:11">
      <c r="A21" s="327"/>
      <c r="B21" s="263"/>
      <c r="C21" s="263"/>
      <c r="D21" s="263"/>
      <c r="E21" s="263"/>
      <c r="F21" s="263"/>
      <c r="G21" s="263"/>
      <c r="H21" s="328"/>
    </row>
    <row r="22" spans="1:11">
      <c r="A22" s="2962"/>
      <c r="B22" s="2962"/>
      <c r="C22" s="949"/>
      <c r="D22" s="2962"/>
      <c r="E22" s="2962"/>
      <c r="F22" s="2962"/>
      <c r="G22" s="2962"/>
      <c r="H22" s="275"/>
    </row>
    <row r="23" spans="1:11">
      <c r="A23" s="2962"/>
      <c r="B23" s="2962"/>
      <c r="C23" s="949"/>
      <c r="D23" s="2962"/>
      <c r="E23" s="2962"/>
      <c r="F23" s="2962"/>
      <c r="G23" s="2962"/>
      <c r="H23" s="275"/>
    </row>
    <row r="24" spans="1:11">
      <c r="A24" s="306"/>
      <c r="B24" s="949"/>
      <c r="C24" s="949"/>
      <c r="D24" s="307"/>
      <c r="E24" s="308"/>
      <c r="F24" s="953"/>
      <c r="G24" s="308"/>
      <c r="H24" s="328"/>
    </row>
    <row r="25" spans="1:11">
      <c r="A25" s="306"/>
      <c r="B25" s="949"/>
      <c r="C25" s="949"/>
      <c r="D25" s="949"/>
      <c r="E25" s="308"/>
      <c r="F25" s="308"/>
      <c r="G25" s="308"/>
      <c r="H25" s="328"/>
    </row>
    <row r="26" spans="1:11">
      <c r="A26" s="306"/>
      <c r="B26" s="307"/>
      <c r="C26" s="307"/>
      <c r="D26" s="308"/>
      <c r="E26" s="308"/>
      <c r="F26" s="308"/>
      <c r="G26" s="308"/>
      <c r="H26" s="328"/>
    </row>
    <row r="27" spans="1:11">
      <c r="A27" s="306"/>
      <c r="B27" s="307"/>
      <c r="C27" s="307"/>
      <c r="D27" s="308"/>
      <c r="E27" s="308"/>
      <c r="F27" s="308"/>
      <c r="G27" s="308"/>
      <c r="H27" s="328"/>
    </row>
    <row r="28" spans="1:11">
      <c r="A28" s="2963"/>
      <c r="B28" s="2963"/>
      <c r="C28" s="950"/>
      <c r="D28" s="2963"/>
      <c r="E28" s="2963"/>
      <c r="F28" s="2963"/>
      <c r="G28" s="2963"/>
      <c r="H28" s="432"/>
    </row>
    <row r="29" spans="1:11">
      <c r="A29" s="306"/>
      <c r="B29" s="949"/>
      <c r="C29" s="949"/>
      <c r="D29" s="2962"/>
      <c r="E29" s="2962"/>
      <c r="F29" s="2962"/>
      <c r="G29" s="2962"/>
      <c r="H29" s="328"/>
    </row>
  </sheetData>
  <customSheetViews>
    <customSheetView guid="{0F09EDAE-127A-4543-88A5-04139BD32AD8}" showPageBreaks="1" printArea="1" topLeftCell="A7">
      <selection activeCell="L24" sqref="L24"/>
      <pageMargins left="0.70866141732283472" right="0.70866141732283472" top="0.74803149606299213" bottom="0.74803149606299213" header="0.31496062992125984" footer="0.31496062992125984"/>
      <printOptions horizontalCentered="1"/>
      <pageSetup paperSize="5" scale="88" orientation="portrait" r:id="rId1"/>
    </customSheetView>
    <customSheetView guid="{C05430D3-5A25-4A4C-823C-7D6EA772E5F0}" showPageBreaks="1" printArea="1" topLeftCell="A7">
      <selection activeCell="L24" sqref="L24"/>
      <pageMargins left="0.70866141732283472" right="0.70866141732283472" top="0.74803149606299213" bottom="0.74803149606299213" header="0.31496062992125984" footer="0.31496062992125984"/>
      <printOptions horizontalCentered="1"/>
      <pageSetup paperSize="5" scale="88" orientation="portrait" r:id="rId2"/>
    </customSheetView>
  </customSheetViews>
  <mergeCells count="20">
    <mergeCell ref="A23:B23"/>
    <mergeCell ref="A28:B28"/>
    <mergeCell ref="D29:G29"/>
    <mergeCell ref="D23:G23"/>
    <mergeCell ref="D28:G28"/>
    <mergeCell ref="A20:F20"/>
    <mergeCell ref="A22:B22"/>
    <mergeCell ref="D13:D15"/>
    <mergeCell ref="E13:E15"/>
    <mergeCell ref="F13:F15"/>
    <mergeCell ref="D22:G22"/>
    <mergeCell ref="A1:H1"/>
    <mergeCell ref="A2:H2"/>
    <mergeCell ref="G13:G15"/>
    <mergeCell ref="H13:H15"/>
    <mergeCell ref="A19:F19"/>
    <mergeCell ref="A13:C15"/>
    <mergeCell ref="A3:H3"/>
    <mergeCell ref="A11:B11"/>
    <mergeCell ref="D11:E1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8" orientation="portrait" r:id="rId3"/>
  <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50"/>
  </sheetPr>
  <dimension ref="A1:N32"/>
  <sheetViews>
    <sheetView workbookViewId="0">
      <selection sqref="A1:N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8" width="13" customWidth="1"/>
    <col min="9" max="9" width="8.28515625" customWidth="1"/>
    <col min="10" max="10" width="8" customWidth="1"/>
    <col min="11" max="11" width="10.85546875" customWidth="1"/>
    <col min="12" max="13" width="13" customWidth="1"/>
    <col min="14" max="14" width="12.140625" customWidth="1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/>
      <c r="L4" s="277"/>
      <c r="M4" s="277"/>
    </row>
    <row r="5" spans="1:14">
      <c r="A5" s="278"/>
      <c r="B5" s="279"/>
      <c r="C5" s="281"/>
      <c r="D5" s="279"/>
      <c r="E5" s="279"/>
      <c r="F5" s="947"/>
      <c r="G5" s="279"/>
      <c r="H5" s="264"/>
      <c r="I5" s="279"/>
      <c r="J5" s="279"/>
      <c r="K5" s="947"/>
      <c r="L5" s="279"/>
      <c r="M5" s="264"/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/>
      <c r="L6" s="351"/>
      <c r="M6" s="351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51"/>
      <c r="M7" s="351"/>
    </row>
    <row r="8" spans="1:14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</row>
    <row r="9" spans="1:14">
      <c r="A9" s="2980" t="s">
        <v>110</v>
      </c>
      <c r="B9" s="2980"/>
      <c r="C9" s="281" t="s">
        <v>46</v>
      </c>
      <c r="D9" s="2988">
        <f>H22</f>
        <v>24300000</v>
      </c>
      <c r="E9" s="2988"/>
      <c r="F9" s="689"/>
      <c r="G9" s="282"/>
      <c r="H9" s="282"/>
      <c r="I9" s="2988"/>
      <c r="J9" s="2988"/>
      <c r="K9" s="2165"/>
      <c r="L9" s="282"/>
      <c r="M9" s="282"/>
    </row>
    <row r="10" spans="1:14">
      <c r="A10" s="3296" t="s">
        <v>1</v>
      </c>
      <c r="B10" s="3296"/>
      <c r="C10" s="3296"/>
      <c r="D10" s="3301" t="s">
        <v>1523</v>
      </c>
      <c r="E10" s="3301"/>
      <c r="F10" s="3301"/>
      <c r="G10" s="3301"/>
      <c r="H10" s="3301"/>
      <c r="I10" s="3301" t="s">
        <v>1581</v>
      </c>
      <c r="J10" s="3301"/>
      <c r="K10" s="3301"/>
      <c r="L10" s="3301"/>
      <c r="M10" s="3301"/>
      <c r="N10" s="3124" t="s">
        <v>1550</v>
      </c>
    </row>
    <row r="11" spans="1:14" ht="15" customHeight="1">
      <c r="A11" s="3296"/>
      <c r="B11" s="3296"/>
      <c r="C11" s="3296"/>
      <c r="D11" s="3296" t="s">
        <v>60</v>
      </c>
      <c r="E11" s="3296" t="s">
        <v>97</v>
      </c>
      <c r="F11" s="3296" t="s">
        <v>112</v>
      </c>
      <c r="G11" s="3296" t="s">
        <v>113</v>
      </c>
      <c r="H11" s="3296" t="s">
        <v>114</v>
      </c>
      <c r="I11" s="3296" t="s">
        <v>60</v>
      </c>
      <c r="J11" s="3296" t="s">
        <v>97</v>
      </c>
      <c r="K11" s="3296" t="s">
        <v>112</v>
      </c>
      <c r="L11" s="3296" t="s">
        <v>113</v>
      </c>
      <c r="M11" s="3296" t="s">
        <v>114</v>
      </c>
      <c r="N11" s="3124"/>
    </row>
    <row r="12" spans="1:14">
      <c r="A12" s="3296"/>
      <c r="B12" s="3296"/>
      <c r="C12" s="3296"/>
      <c r="D12" s="3296"/>
      <c r="E12" s="3296"/>
      <c r="F12" s="3296"/>
      <c r="G12" s="3296"/>
      <c r="H12" s="3296"/>
      <c r="I12" s="3296"/>
      <c r="J12" s="3296"/>
      <c r="K12" s="3296"/>
      <c r="L12" s="3296"/>
      <c r="M12" s="3296"/>
      <c r="N12" s="3124"/>
    </row>
    <row r="13" spans="1:14">
      <c r="A13" s="3296"/>
      <c r="B13" s="3296"/>
      <c r="C13" s="3296"/>
      <c r="D13" s="3296"/>
      <c r="E13" s="3296"/>
      <c r="F13" s="3296"/>
      <c r="G13" s="3296"/>
      <c r="H13" s="3296"/>
      <c r="I13" s="3296"/>
      <c r="J13" s="3296"/>
      <c r="K13" s="3296"/>
      <c r="L13" s="3296"/>
      <c r="M13" s="3296"/>
      <c r="N13" s="3124"/>
    </row>
    <row r="14" spans="1:14">
      <c r="A14" s="944">
        <v>1</v>
      </c>
      <c r="B14" s="3294" t="s">
        <v>307</v>
      </c>
      <c r="C14" s="3294"/>
      <c r="D14" s="955"/>
      <c r="E14" s="956"/>
      <c r="F14" s="955"/>
      <c r="G14" s="957"/>
      <c r="H14" s="957"/>
      <c r="I14" s="955"/>
      <c r="J14" s="956"/>
      <c r="K14" s="955"/>
      <c r="L14" s="957"/>
      <c r="M14" s="957"/>
      <c r="N14" s="957"/>
    </row>
    <row r="15" spans="1:14">
      <c r="A15" s="944" t="s">
        <v>115</v>
      </c>
      <c r="B15" s="3302" t="s">
        <v>188</v>
      </c>
      <c r="C15" s="3302"/>
      <c r="D15" s="2477">
        <v>12</v>
      </c>
      <c r="E15" s="956" t="s">
        <v>116</v>
      </c>
      <c r="F15" s="2478">
        <v>400000</v>
      </c>
      <c r="G15" s="955">
        <f t="shared" ref="G15:G20" si="0">+F15*D15</f>
        <v>4800000</v>
      </c>
      <c r="H15" s="955"/>
      <c r="I15" s="2477">
        <v>12</v>
      </c>
      <c r="J15" s="956" t="s">
        <v>116</v>
      </c>
      <c r="K15" s="2478">
        <f>F15-50000</f>
        <v>350000</v>
      </c>
      <c r="L15" s="955">
        <f t="shared" ref="L15:L20" si="1">+K15*I15</f>
        <v>4200000</v>
      </c>
      <c r="M15" s="955"/>
      <c r="N15" s="957"/>
    </row>
    <row r="16" spans="1:14">
      <c r="A16" s="944" t="s">
        <v>117</v>
      </c>
      <c r="B16" s="3302" t="s">
        <v>189</v>
      </c>
      <c r="C16" s="3302"/>
      <c r="D16" s="2477">
        <v>12</v>
      </c>
      <c r="E16" s="956" t="s">
        <v>116</v>
      </c>
      <c r="F16" s="2478">
        <v>300000</v>
      </c>
      <c r="G16" s="955">
        <f t="shared" si="0"/>
        <v>3600000</v>
      </c>
      <c r="H16" s="955"/>
      <c r="I16" s="2477">
        <v>12</v>
      </c>
      <c r="J16" s="956" t="s">
        <v>116</v>
      </c>
      <c r="K16" s="2478">
        <f t="shared" ref="K16:K17" si="2">F16-50000</f>
        <v>250000</v>
      </c>
      <c r="L16" s="955">
        <f t="shared" si="1"/>
        <v>3000000</v>
      </c>
      <c r="M16" s="955"/>
      <c r="N16" s="957"/>
    </row>
    <row r="17" spans="1:14">
      <c r="A17" s="944" t="s">
        <v>118</v>
      </c>
      <c r="B17" s="3302" t="s">
        <v>190</v>
      </c>
      <c r="C17" s="3302"/>
      <c r="D17" s="2477">
        <v>12</v>
      </c>
      <c r="E17" s="956" t="s">
        <v>116</v>
      </c>
      <c r="F17" s="2478">
        <v>300000</v>
      </c>
      <c r="G17" s="955">
        <f t="shared" si="0"/>
        <v>3600000</v>
      </c>
      <c r="H17" s="955"/>
      <c r="I17" s="2477">
        <v>12</v>
      </c>
      <c r="J17" s="956" t="s">
        <v>116</v>
      </c>
      <c r="K17" s="2478">
        <f t="shared" si="2"/>
        <v>250000</v>
      </c>
      <c r="L17" s="955">
        <f t="shared" si="1"/>
        <v>3000000</v>
      </c>
      <c r="M17" s="955"/>
      <c r="N17" s="957"/>
    </row>
    <row r="18" spans="1:14">
      <c r="A18" s="944" t="s">
        <v>119</v>
      </c>
      <c r="B18" s="3302" t="s">
        <v>191</v>
      </c>
      <c r="C18" s="3302"/>
      <c r="D18" s="2477">
        <v>24</v>
      </c>
      <c r="E18" s="956" t="s">
        <v>116</v>
      </c>
      <c r="F18" s="2478">
        <v>250000</v>
      </c>
      <c r="G18" s="955">
        <f t="shared" si="0"/>
        <v>6000000</v>
      </c>
      <c r="H18" s="955"/>
      <c r="I18" s="2477">
        <v>24</v>
      </c>
      <c r="J18" s="956" t="s">
        <v>116</v>
      </c>
      <c r="K18" s="2478">
        <v>225000</v>
      </c>
      <c r="L18" s="955">
        <f t="shared" si="1"/>
        <v>5400000</v>
      </c>
      <c r="M18" s="955"/>
      <c r="N18" s="957"/>
    </row>
    <row r="19" spans="1:14">
      <c r="A19" s="944" t="s">
        <v>134</v>
      </c>
      <c r="B19" s="3302" t="s">
        <v>928</v>
      </c>
      <c r="C19" s="3302"/>
      <c r="D19" s="2477">
        <v>12</v>
      </c>
      <c r="E19" s="956" t="s">
        <v>116</v>
      </c>
      <c r="F19" s="2478">
        <v>125000</v>
      </c>
      <c r="G19" s="955">
        <f t="shared" si="0"/>
        <v>1500000</v>
      </c>
      <c r="H19" s="955"/>
      <c r="I19" s="2477">
        <v>12</v>
      </c>
      <c r="J19" s="956" t="s">
        <v>116</v>
      </c>
      <c r="K19" s="2478">
        <f>F19</f>
        <v>125000</v>
      </c>
      <c r="L19" s="955">
        <f t="shared" si="1"/>
        <v>1500000</v>
      </c>
      <c r="M19" s="955"/>
      <c r="N19" s="957"/>
    </row>
    <row r="20" spans="1:14">
      <c r="A20" s="944" t="s">
        <v>137</v>
      </c>
      <c r="B20" s="3302" t="s">
        <v>1130</v>
      </c>
      <c r="C20" s="3302"/>
      <c r="D20" s="2477">
        <v>48</v>
      </c>
      <c r="E20" s="956" t="s">
        <v>116</v>
      </c>
      <c r="F20" s="2478">
        <v>100000</v>
      </c>
      <c r="G20" s="955">
        <f t="shared" si="0"/>
        <v>4800000</v>
      </c>
      <c r="H20" s="955"/>
      <c r="I20" s="2477">
        <v>48</v>
      </c>
      <c r="J20" s="956" t="s">
        <v>116</v>
      </c>
      <c r="K20" s="2478">
        <f>F20</f>
        <v>100000</v>
      </c>
      <c r="L20" s="955">
        <f t="shared" si="1"/>
        <v>4800000</v>
      </c>
      <c r="M20" s="955"/>
      <c r="N20" s="957"/>
    </row>
    <row r="21" spans="1:14">
      <c r="A21" s="3298" t="s">
        <v>98</v>
      </c>
      <c r="B21" s="3298"/>
      <c r="C21" s="3298"/>
      <c r="D21" s="3298"/>
      <c r="E21" s="3298"/>
      <c r="F21" s="3298"/>
      <c r="G21" s="955">
        <f>SUM(G15:G20)</f>
        <v>24300000</v>
      </c>
      <c r="H21" s="955">
        <f>G21</f>
        <v>24300000</v>
      </c>
      <c r="I21" s="957"/>
      <c r="J21" s="957"/>
      <c r="K21" s="957"/>
      <c r="L21" s="955">
        <f>SUM(L15:L20)</f>
        <v>21900000</v>
      </c>
      <c r="M21" s="955">
        <f>L21</f>
        <v>21900000</v>
      </c>
      <c r="N21" s="945">
        <f>L21-H21</f>
        <v>-2400000</v>
      </c>
    </row>
    <row r="22" spans="1:14">
      <c r="A22" s="3299" t="s">
        <v>131</v>
      </c>
      <c r="B22" s="3299"/>
      <c r="C22" s="3299"/>
      <c r="D22" s="3299"/>
      <c r="E22" s="3299"/>
      <c r="F22" s="3299"/>
      <c r="G22" s="2326">
        <f>G21</f>
        <v>24300000</v>
      </c>
      <c r="H22" s="2326">
        <f>SUM(H15:H21)</f>
        <v>24300000</v>
      </c>
      <c r="I22" s="2326"/>
      <c r="J22" s="2326"/>
      <c r="K22" s="2326"/>
      <c r="L22" s="2326">
        <f>L21</f>
        <v>21900000</v>
      </c>
      <c r="M22" s="2326">
        <f>SUM(M15:M21)</f>
        <v>21900000</v>
      </c>
      <c r="N22" s="957"/>
    </row>
    <row r="23" spans="1:14">
      <c r="A23" s="28"/>
      <c r="B23" s="40"/>
      <c r="C23" s="40"/>
      <c r="D23" s="40"/>
      <c r="E23" s="40"/>
      <c r="F23" s="40"/>
      <c r="G23" s="40"/>
      <c r="I23" s="40"/>
      <c r="J23" s="40"/>
      <c r="K23" s="40"/>
      <c r="L23" s="40"/>
    </row>
    <row r="24" spans="1:14">
      <c r="A24" s="327"/>
      <c r="B24" s="263"/>
      <c r="C24" s="263"/>
      <c r="D24" s="263"/>
      <c r="E24" s="263"/>
      <c r="F24" s="263"/>
      <c r="G24" s="263"/>
      <c r="H24" s="328"/>
      <c r="I24" s="263"/>
      <c r="J24" s="263"/>
      <c r="K24" s="263"/>
      <c r="L24" s="263"/>
      <c r="M24" s="328"/>
    </row>
    <row r="25" spans="1:14">
      <c r="A25" s="2962"/>
      <c r="B25" s="2962"/>
      <c r="C25" s="949"/>
      <c r="D25" s="2962"/>
      <c r="E25" s="2962"/>
      <c r="F25" s="2962"/>
      <c r="G25" s="2962"/>
      <c r="H25" s="275"/>
      <c r="I25" s="2962"/>
      <c r="J25" s="2962"/>
      <c r="K25" s="2962"/>
      <c r="L25" s="2962"/>
      <c r="M25" s="275"/>
    </row>
    <row r="26" spans="1:14">
      <c r="A26" s="2962"/>
      <c r="B26" s="2962"/>
      <c r="C26" s="949"/>
      <c r="D26" s="2962"/>
      <c r="E26" s="2962"/>
      <c r="F26" s="2962"/>
      <c r="G26" s="2962"/>
      <c r="H26" s="275"/>
      <c r="I26" s="2962"/>
      <c r="J26" s="2962"/>
      <c r="K26" s="2962"/>
      <c r="L26" s="2962"/>
      <c r="M26" s="275"/>
    </row>
    <row r="27" spans="1:14">
      <c r="A27" s="306"/>
      <c r="B27" s="949"/>
      <c r="C27" s="949"/>
      <c r="D27" s="307"/>
      <c r="E27" s="308"/>
      <c r="F27" s="953"/>
      <c r="G27" s="308"/>
      <c r="H27" s="328"/>
      <c r="I27" s="307"/>
      <c r="J27" s="308"/>
      <c r="K27" s="953"/>
      <c r="L27" s="308"/>
      <c r="M27" s="328"/>
    </row>
    <row r="28" spans="1:14">
      <c r="A28" s="306"/>
      <c r="B28" s="949"/>
      <c r="C28" s="949"/>
      <c r="D28" s="949"/>
      <c r="E28" s="308"/>
      <c r="F28" s="308"/>
      <c r="G28" s="308"/>
      <c r="H28" s="328"/>
      <c r="I28" s="2164"/>
      <c r="J28" s="308"/>
      <c r="K28" s="308"/>
      <c r="L28" s="308"/>
      <c r="M28" s="328"/>
    </row>
    <row r="29" spans="1:14">
      <c r="A29" s="306"/>
      <c r="B29" s="307"/>
      <c r="C29" s="307"/>
      <c r="D29" s="308"/>
      <c r="E29" s="308"/>
      <c r="F29" s="308"/>
      <c r="G29" s="308"/>
      <c r="H29" s="328"/>
      <c r="I29" s="308"/>
      <c r="J29" s="308"/>
      <c r="K29" s="308"/>
      <c r="L29" s="308"/>
      <c r="M29" s="328"/>
    </row>
    <row r="30" spans="1:14">
      <c r="A30" s="306"/>
      <c r="B30" s="307"/>
      <c r="C30" s="307"/>
      <c r="D30" s="308"/>
      <c r="E30" s="308"/>
      <c r="F30" s="308"/>
      <c r="G30" s="308"/>
      <c r="H30" s="328"/>
      <c r="I30" s="308"/>
      <c r="J30" s="308"/>
      <c r="K30" s="308"/>
      <c r="L30" s="308"/>
      <c r="M30" s="328"/>
    </row>
    <row r="31" spans="1:14">
      <c r="A31" s="2963"/>
      <c r="B31" s="2963"/>
      <c r="C31" s="950"/>
      <c r="D31" s="2963"/>
      <c r="E31" s="2963"/>
      <c r="F31" s="2963"/>
      <c r="G31" s="2963"/>
      <c r="H31" s="432"/>
      <c r="I31" s="2963"/>
      <c r="J31" s="2963"/>
      <c r="K31" s="2963"/>
      <c r="L31" s="2963"/>
      <c r="M31" s="432"/>
    </row>
    <row r="32" spans="1:14">
      <c r="A32" s="306"/>
      <c r="B32" s="949"/>
      <c r="C32" s="949"/>
      <c r="D32" s="2962"/>
      <c r="E32" s="2962"/>
      <c r="F32" s="2962"/>
      <c r="G32" s="2962"/>
      <c r="H32" s="328"/>
      <c r="I32" s="2962"/>
      <c r="J32" s="2962"/>
      <c r="K32" s="2962"/>
      <c r="L32" s="2962"/>
      <c r="M32" s="328"/>
    </row>
  </sheetData>
  <customSheetViews>
    <customSheetView guid="{0F09EDAE-127A-4543-88A5-04139BD32AD8}" scale="115" showPageBreaks="1" printArea="1" topLeftCell="A11">
      <selection activeCell="J24" sqref="J24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cale="115" showPageBreaks="1" printArea="1" topLeftCell="A11">
      <selection activeCell="J30" sqref="J30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40">
    <mergeCell ref="B16:C16"/>
    <mergeCell ref="B17:C17"/>
    <mergeCell ref="B18:C18"/>
    <mergeCell ref="B19:C19"/>
    <mergeCell ref="B20:C20"/>
    <mergeCell ref="D32:G32"/>
    <mergeCell ref="A31:B31"/>
    <mergeCell ref="H11:H13"/>
    <mergeCell ref="A21:F21"/>
    <mergeCell ref="A22:F22"/>
    <mergeCell ref="A25:B25"/>
    <mergeCell ref="A26:B26"/>
    <mergeCell ref="D11:D13"/>
    <mergeCell ref="D25:G25"/>
    <mergeCell ref="D26:G26"/>
    <mergeCell ref="B14:C14"/>
    <mergeCell ref="D31:G31"/>
    <mergeCell ref="E11:E13"/>
    <mergeCell ref="F11:F13"/>
    <mergeCell ref="G11:G13"/>
    <mergeCell ref="B15:C15"/>
    <mergeCell ref="I25:L25"/>
    <mergeCell ref="I26:L26"/>
    <mergeCell ref="I31:L31"/>
    <mergeCell ref="I32:L32"/>
    <mergeCell ref="I9:J9"/>
    <mergeCell ref="I11:I13"/>
    <mergeCell ref="J11:J13"/>
    <mergeCell ref="K11:K13"/>
    <mergeCell ref="L11:L13"/>
    <mergeCell ref="I10:M10"/>
    <mergeCell ref="A10:C13"/>
    <mergeCell ref="N10:N13"/>
    <mergeCell ref="A1:N1"/>
    <mergeCell ref="A2:N2"/>
    <mergeCell ref="M11:M13"/>
    <mergeCell ref="A9:B9"/>
    <mergeCell ref="D9:E9"/>
    <mergeCell ref="A3:H3"/>
    <mergeCell ref="D10:H10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50"/>
  </sheetPr>
  <dimension ref="A1:AC81"/>
  <sheetViews>
    <sheetView workbookViewId="0">
      <selection sqref="A1:N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7" width="13" customWidth="1"/>
    <col min="8" max="8" width="14.140625" customWidth="1"/>
    <col min="9" max="9" width="8.28515625" customWidth="1"/>
    <col min="10" max="10" width="8" customWidth="1"/>
    <col min="11" max="11" width="10.85546875" customWidth="1"/>
    <col min="12" max="12" width="13" customWidth="1"/>
    <col min="13" max="17" width="14.140625" customWidth="1"/>
    <col min="26" max="26" width="10.5703125" bestFit="1" customWidth="1"/>
    <col min="28" max="29" width="11" bestFit="1" customWidth="1"/>
  </cols>
  <sheetData>
    <row r="1" spans="1:29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  <c r="O1" s="2138"/>
      <c r="P1" s="2138"/>
      <c r="Q1" s="2138"/>
    </row>
    <row r="2" spans="1:29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  <c r="O2" s="2138"/>
      <c r="P2" s="2138"/>
      <c r="Q2" s="2138"/>
      <c r="V2" t="s">
        <v>21</v>
      </c>
    </row>
    <row r="3" spans="1:29">
      <c r="A3" s="2961"/>
      <c r="B3" s="2961"/>
      <c r="C3" s="2961"/>
      <c r="D3" s="2961"/>
      <c r="E3" s="2961"/>
      <c r="F3" s="2961"/>
      <c r="G3" s="2961"/>
      <c r="H3" s="2961"/>
      <c r="I3" s="2138"/>
      <c r="J3" s="2138"/>
      <c r="K3" s="2138"/>
      <c r="L3" s="2138"/>
      <c r="M3" s="2138"/>
      <c r="N3" s="2138"/>
      <c r="O3" s="2138"/>
      <c r="P3" s="2138"/>
      <c r="Q3" s="2138"/>
    </row>
    <row r="4" spans="1:29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 t="s">
        <v>1524</v>
      </c>
      <c r="L4" s="277" t="s">
        <v>1551</v>
      </c>
      <c r="M4" s="277"/>
      <c r="N4" s="277"/>
      <c r="O4" s="277"/>
      <c r="P4" s="277"/>
      <c r="Q4" s="277"/>
    </row>
    <row r="5" spans="1:29">
      <c r="A5" s="278"/>
      <c r="B5" s="279"/>
      <c r="C5" s="281"/>
      <c r="D5" s="279"/>
      <c r="E5" s="279"/>
      <c r="F5" s="947"/>
      <c r="G5" s="279"/>
      <c r="H5" s="264"/>
      <c r="I5" s="279"/>
      <c r="J5" s="279"/>
      <c r="K5" s="2316" t="s">
        <v>66</v>
      </c>
      <c r="L5" s="279" t="s">
        <v>1291</v>
      </c>
      <c r="M5" s="264"/>
      <c r="N5" s="264"/>
      <c r="O5" s="264"/>
      <c r="P5" s="264"/>
      <c r="Q5" s="264"/>
    </row>
    <row r="6" spans="1:29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 t="s">
        <v>96</v>
      </c>
      <c r="L6" s="351" t="s">
        <v>1552</v>
      </c>
      <c r="M6" s="351"/>
      <c r="N6" s="351"/>
      <c r="O6" s="351"/>
      <c r="P6" s="351"/>
      <c r="Q6" s="351"/>
    </row>
    <row r="7" spans="1:29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51"/>
      <c r="M7" s="351"/>
      <c r="N7" s="351"/>
      <c r="O7" s="351"/>
      <c r="P7" s="351"/>
      <c r="Q7" s="351"/>
    </row>
    <row r="8" spans="1:29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  <c r="N8" s="351"/>
      <c r="O8" s="351"/>
      <c r="P8" s="351"/>
      <c r="Q8" s="351"/>
    </row>
    <row r="9" spans="1:29" ht="15" customHeight="1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  <c r="N9" s="279"/>
      <c r="O9" s="279"/>
      <c r="P9" s="279"/>
      <c r="Q9" s="279"/>
    </row>
    <row r="10" spans="1:29">
      <c r="A10" s="2980" t="s">
        <v>110</v>
      </c>
      <c r="B10" s="2980"/>
      <c r="C10" s="281" t="s">
        <v>46</v>
      </c>
      <c r="D10" s="2988">
        <f>M28</f>
        <v>0</v>
      </c>
      <c r="E10" s="2988"/>
      <c r="F10" s="689"/>
      <c r="G10" s="282"/>
      <c r="H10" s="282"/>
      <c r="I10" s="2988">
        <f>M28</f>
        <v>0</v>
      </c>
      <c r="J10" s="2988"/>
      <c r="K10" s="279"/>
      <c r="L10" s="279"/>
      <c r="M10" s="279"/>
      <c r="N10" s="279"/>
      <c r="O10" s="279"/>
      <c r="P10" s="279"/>
      <c r="Q10" s="279"/>
    </row>
    <row r="11" spans="1:29">
      <c r="K11" s="2136"/>
      <c r="L11" s="282"/>
      <c r="M11" s="282"/>
      <c r="N11" s="282"/>
      <c r="O11" s="282"/>
      <c r="P11" s="282"/>
      <c r="Q11" s="282"/>
    </row>
    <row r="12" spans="1:29">
      <c r="A12" s="3296" t="s">
        <v>1545</v>
      </c>
      <c r="B12" s="3310" t="s">
        <v>1350</v>
      </c>
      <c r="C12" s="3310"/>
      <c r="D12" s="3310" t="s">
        <v>1523</v>
      </c>
      <c r="E12" s="3310"/>
      <c r="F12" s="3310"/>
      <c r="G12" s="3310"/>
      <c r="H12" s="3310"/>
      <c r="I12" s="3310" t="s">
        <v>1522</v>
      </c>
      <c r="J12" s="3310"/>
      <c r="K12" s="3310"/>
      <c r="L12" s="3310"/>
      <c r="M12" s="3310"/>
      <c r="N12" s="3124" t="s">
        <v>1550</v>
      </c>
    </row>
    <row r="13" spans="1:29" ht="15" customHeight="1">
      <c r="A13" s="3296"/>
      <c r="B13" s="3310"/>
      <c r="C13" s="3310"/>
      <c r="D13" s="3296" t="s">
        <v>60</v>
      </c>
      <c r="E13" s="3296" t="s">
        <v>97</v>
      </c>
      <c r="F13" s="3296" t="s">
        <v>112</v>
      </c>
      <c r="G13" s="3296" t="s">
        <v>113</v>
      </c>
      <c r="H13" s="3296" t="s">
        <v>114</v>
      </c>
      <c r="I13" s="3296" t="s">
        <v>60</v>
      </c>
      <c r="J13" s="3296" t="s">
        <v>97</v>
      </c>
      <c r="K13" s="3296" t="s">
        <v>112</v>
      </c>
      <c r="L13" s="3296" t="s">
        <v>113</v>
      </c>
      <c r="M13" s="3296" t="s">
        <v>114</v>
      </c>
      <c r="N13" s="3124"/>
      <c r="O13" s="2141"/>
      <c r="P13" s="2141"/>
      <c r="Q13" s="2141"/>
    </row>
    <row r="14" spans="1:29">
      <c r="A14" s="3296"/>
      <c r="B14" s="3310"/>
      <c r="C14" s="3310"/>
      <c r="D14" s="3296"/>
      <c r="E14" s="3296"/>
      <c r="F14" s="3296"/>
      <c r="G14" s="3296"/>
      <c r="H14" s="3296"/>
      <c r="I14" s="3296"/>
      <c r="J14" s="3296"/>
      <c r="K14" s="3296"/>
      <c r="L14" s="3296"/>
      <c r="M14" s="3296"/>
      <c r="N14" s="3124"/>
      <c r="O14" s="2141"/>
      <c r="P14" s="2141"/>
      <c r="Q14" s="2141"/>
    </row>
    <row r="15" spans="1:29">
      <c r="A15" s="3296"/>
      <c r="B15" s="3310"/>
      <c r="C15" s="3310"/>
      <c r="D15" s="3296"/>
      <c r="E15" s="3296"/>
      <c r="F15" s="3296"/>
      <c r="G15" s="3296"/>
      <c r="H15" s="3296"/>
      <c r="I15" s="3296"/>
      <c r="J15" s="3296"/>
      <c r="K15" s="3296"/>
      <c r="L15" s="3296"/>
      <c r="M15" s="3296"/>
      <c r="N15" s="3124"/>
      <c r="O15" s="2141"/>
      <c r="P15" s="2141"/>
      <c r="Q15" s="2141"/>
    </row>
    <row r="16" spans="1:29">
      <c r="A16" s="944">
        <v>1</v>
      </c>
      <c r="B16" s="3311" t="s">
        <v>298</v>
      </c>
      <c r="C16" s="3312"/>
      <c r="D16" s="955"/>
      <c r="E16" s="956"/>
      <c r="F16" s="955"/>
      <c r="G16" s="957"/>
      <c r="H16" s="957"/>
      <c r="I16" s="955"/>
      <c r="J16" s="956"/>
      <c r="K16" s="955"/>
      <c r="L16" s="957"/>
      <c r="M16" s="957"/>
      <c r="N16" s="957"/>
      <c r="O16" s="829"/>
      <c r="P16" s="829"/>
      <c r="Q16" s="829"/>
      <c r="U16" s="58">
        <v>1</v>
      </c>
      <c r="V16" s="54" t="s">
        <v>196</v>
      </c>
      <c r="W16" s="34"/>
      <c r="X16" s="37"/>
      <c r="Y16" s="35"/>
      <c r="Z16" s="32"/>
      <c r="AA16" s="33"/>
      <c r="AB16" s="39"/>
      <c r="AC16" s="49"/>
    </row>
    <row r="17" spans="1:29">
      <c r="A17" s="2327" t="s">
        <v>117</v>
      </c>
      <c r="B17" s="3321" t="s">
        <v>271</v>
      </c>
      <c r="C17" s="3322"/>
      <c r="D17" s="2328">
        <v>20</v>
      </c>
      <c r="E17" s="2329" t="s">
        <v>148</v>
      </c>
      <c r="F17" s="2330">
        <v>5000</v>
      </c>
      <c r="G17" s="2331">
        <f>+F17*D17</f>
        <v>100000</v>
      </c>
      <c r="H17" s="2332"/>
      <c r="I17" s="2328"/>
      <c r="J17" s="2329" t="s">
        <v>148</v>
      </c>
      <c r="K17" s="2330">
        <v>5000</v>
      </c>
      <c r="L17" s="2331">
        <f>+K17*I17</f>
        <v>0</v>
      </c>
      <c r="M17" s="2332"/>
      <c r="N17" s="2333">
        <f>G17-M17</f>
        <v>100000</v>
      </c>
      <c r="O17" s="829"/>
      <c r="P17" s="829"/>
      <c r="Q17" s="829"/>
      <c r="U17" s="58" t="s">
        <v>115</v>
      </c>
      <c r="V17" s="64" t="s">
        <v>241</v>
      </c>
      <c r="W17" s="34"/>
      <c r="X17" s="71">
        <v>1</v>
      </c>
      <c r="Y17" s="72" t="s">
        <v>174</v>
      </c>
      <c r="Z17" s="53">
        <v>500000</v>
      </c>
      <c r="AA17" s="33"/>
      <c r="AB17" s="30">
        <f>+Z17*X17</f>
        <v>500000</v>
      </c>
      <c r="AC17" s="48"/>
    </row>
    <row r="18" spans="1:29">
      <c r="A18" s="2334" t="s">
        <v>118</v>
      </c>
      <c r="B18" s="3323" t="s">
        <v>236</v>
      </c>
      <c r="C18" s="3324"/>
      <c r="D18" s="2335">
        <v>2</v>
      </c>
      <c r="E18" s="2336" t="s">
        <v>255</v>
      </c>
      <c r="F18" s="2337">
        <v>30000</v>
      </c>
      <c r="G18" s="2338">
        <f>+F18*D18</f>
        <v>60000</v>
      </c>
      <c r="H18" s="2339"/>
      <c r="I18" s="2335"/>
      <c r="J18" s="2336" t="s">
        <v>255</v>
      </c>
      <c r="K18" s="2337">
        <v>30000</v>
      </c>
      <c r="L18" s="2338">
        <f>+K18*I18</f>
        <v>0</v>
      </c>
      <c r="M18" s="2339"/>
      <c r="N18" s="2340">
        <f t="shared" ref="N18:N28" si="0">G18-M18</f>
        <v>60000</v>
      </c>
      <c r="O18" s="829"/>
      <c r="P18" s="829"/>
      <c r="Q18" s="829"/>
      <c r="U18" s="58"/>
      <c r="V18" s="64"/>
      <c r="W18" s="34"/>
      <c r="X18" s="71"/>
      <c r="Y18" s="72"/>
      <c r="Z18" s="53"/>
      <c r="AA18" s="33"/>
      <c r="AB18" s="32">
        <f>+Z18*X18</f>
        <v>0</v>
      </c>
      <c r="AC18" s="46"/>
    </row>
    <row r="19" spans="1:29" s="534" customFormat="1">
      <c r="A19" s="2341"/>
      <c r="B19" s="3313"/>
      <c r="C19" s="3314"/>
      <c r="D19" s="2341"/>
      <c r="E19" s="2341"/>
      <c r="F19" s="2341"/>
      <c r="G19" s="2341"/>
      <c r="H19" s="2342"/>
      <c r="I19" s="2341"/>
      <c r="J19" s="2341"/>
      <c r="K19" s="2341"/>
      <c r="L19" s="2341"/>
      <c r="M19" s="2342"/>
      <c r="N19" s="2343">
        <f t="shared" si="0"/>
        <v>0</v>
      </c>
      <c r="O19" s="2344"/>
      <c r="P19" s="2344"/>
      <c r="Q19" s="2344"/>
      <c r="U19" s="3303" t="s">
        <v>98</v>
      </c>
      <c r="V19" s="3287"/>
      <c r="W19" s="3287"/>
      <c r="X19" s="3287"/>
      <c r="Y19" s="3287"/>
      <c r="Z19" s="3288"/>
      <c r="AA19" s="2345"/>
      <c r="AB19" s="1373">
        <f>SUM(AB17:AB18)</f>
        <v>500000</v>
      </c>
      <c r="AC19" s="1374">
        <f>AB19</f>
        <v>500000</v>
      </c>
    </row>
    <row r="20" spans="1:29" s="534" customFormat="1">
      <c r="A20" s="3305" t="s">
        <v>98</v>
      </c>
      <c r="B20" s="3306"/>
      <c r="C20" s="3306"/>
      <c r="D20" s="3306"/>
      <c r="E20" s="3306"/>
      <c r="F20" s="3307"/>
      <c r="G20" s="2342">
        <f>SUM(G17:G19)</f>
        <v>160000</v>
      </c>
      <c r="H20" s="2342">
        <f>G20</f>
        <v>160000</v>
      </c>
      <c r="I20" s="2342"/>
      <c r="J20" s="2342"/>
      <c r="K20" s="2342"/>
      <c r="L20" s="2342">
        <f>SUM(L17:L19)</f>
        <v>0</v>
      </c>
      <c r="M20" s="2342">
        <f>L20</f>
        <v>0</v>
      </c>
      <c r="N20" s="2343">
        <f t="shared" si="0"/>
        <v>160000</v>
      </c>
      <c r="O20" s="2344"/>
      <c r="P20" s="2344"/>
      <c r="Q20" s="2344"/>
      <c r="U20" s="2346">
        <v>2</v>
      </c>
      <c r="V20" s="2352" t="s">
        <v>197</v>
      </c>
      <c r="W20" s="2348"/>
      <c r="X20" s="2349"/>
      <c r="Y20" s="2350"/>
      <c r="Z20" s="2351"/>
      <c r="AA20" s="2345"/>
      <c r="AB20" s="2353"/>
      <c r="AC20" s="2354"/>
    </row>
    <row r="21" spans="1:29">
      <c r="A21" s="944">
        <v>2</v>
      </c>
      <c r="B21" s="3315" t="s">
        <v>929</v>
      </c>
      <c r="C21" s="3316"/>
      <c r="D21" s="2322"/>
      <c r="E21" s="2323"/>
      <c r="F21" s="2324"/>
      <c r="G21" s="955"/>
      <c r="H21" s="957"/>
      <c r="I21" s="2322"/>
      <c r="J21" s="2323"/>
      <c r="K21" s="2324"/>
      <c r="L21" s="955"/>
      <c r="M21" s="957"/>
      <c r="N21" s="945">
        <f t="shared" si="0"/>
        <v>0</v>
      </c>
      <c r="O21" s="829"/>
      <c r="P21" s="829"/>
      <c r="Q21" s="829"/>
      <c r="U21" s="58" t="s">
        <v>121</v>
      </c>
      <c r="V21" s="64" t="s">
        <v>198</v>
      </c>
      <c r="W21" s="34"/>
      <c r="X21" s="71">
        <v>1</v>
      </c>
      <c r="Y21" s="72" t="s">
        <v>174</v>
      </c>
      <c r="Z21" s="53">
        <v>500000</v>
      </c>
      <c r="AA21" s="33"/>
      <c r="AB21" s="30">
        <f>+Z21*X21</f>
        <v>500000</v>
      </c>
      <c r="AC21" s="48"/>
    </row>
    <row r="22" spans="1:29">
      <c r="A22" s="2327" t="s">
        <v>121</v>
      </c>
      <c r="B22" s="3317" t="s">
        <v>930</v>
      </c>
      <c r="C22" s="3318"/>
      <c r="D22" s="2328">
        <v>1</v>
      </c>
      <c r="E22" s="2329" t="s">
        <v>933</v>
      </c>
      <c r="F22" s="2330">
        <v>300000</v>
      </c>
      <c r="G22" s="2331">
        <f>+F22*D22</f>
        <v>300000</v>
      </c>
      <c r="H22" s="2331"/>
      <c r="I22" s="2328"/>
      <c r="J22" s="2329" t="s">
        <v>933</v>
      </c>
      <c r="K22" s="2330">
        <v>300000</v>
      </c>
      <c r="L22" s="2331">
        <f>+K22*I22</f>
        <v>0</v>
      </c>
      <c r="M22" s="2331"/>
      <c r="N22" s="2333">
        <f t="shared" si="0"/>
        <v>300000</v>
      </c>
      <c r="O22" s="2057"/>
      <c r="P22" s="2057"/>
      <c r="Q22" s="2057"/>
      <c r="U22" s="58" t="s">
        <v>122</v>
      </c>
      <c r="V22" s="64" t="s">
        <v>199</v>
      </c>
      <c r="W22" s="34"/>
      <c r="X22" s="71">
        <v>1</v>
      </c>
      <c r="Y22" s="72" t="s">
        <v>174</v>
      </c>
      <c r="Z22" s="53">
        <v>600000</v>
      </c>
      <c r="AA22" s="33"/>
      <c r="AB22" s="30">
        <v>600000</v>
      </c>
      <c r="AC22" s="48"/>
    </row>
    <row r="23" spans="1:29">
      <c r="A23" s="2334" t="s">
        <v>122</v>
      </c>
      <c r="B23" s="3319" t="s">
        <v>931</v>
      </c>
      <c r="C23" s="3320"/>
      <c r="D23" s="2335">
        <v>1</v>
      </c>
      <c r="E23" s="2336" t="s">
        <v>933</v>
      </c>
      <c r="F23" s="2337">
        <v>500000</v>
      </c>
      <c r="G23" s="2338">
        <f>+F23*D23</f>
        <v>500000</v>
      </c>
      <c r="H23" s="2338"/>
      <c r="I23" s="2335"/>
      <c r="J23" s="2336" t="s">
        <v>933</v>
      </c>
      <c r="K23" s="2337">
        <v>500000</v>
      </c>
      <c r="L23" s="2338">
        <f>+K23*I23</f>
        <v>0</v>
      </c>
      <c r="M23" s="2338"/>
      <c r="N23" s="2340">
        <f t="shared" si="0"/>
        <v>500000</v>
      </c>
      <c r="O23" s="2057"/>
      <c r="P23" s="2057"/>
      <c r="Q23" s="2057"/>
      <c r="U23" s="58" t="s">
        <v>123</v>
      </c>
      <c r="V23" s="64" t="s">
        <v>200</v>
      </c>
      <c r="W23" s="34"/>
      <c r="X23" s="71">
        <v>1</v>
      </c>
      <c r="Y23" s="72" t="s">
        <v>174</v>
      </c>
      <c r="Z23" s="53">
        <v>700000</v>
      </c>
      <c r="AA23" s="33"/>
      <c r="AB23" s="30">
        <f>+Z23*X23</f>
        <v>700000</v>
      </c>
      <c r="AC23" s="48"/>
    </row>
    <row r="24" spans="1:29" s="534" customFormat="1">
      <c r="A24" s="3305" t="s">
        <v>163</v>
      </c>
      <c r="B24" s="3306"/>
      <c r="C24" s="3306"/>
      <c r="D24" s="3306"/>
      <c r="E24" s="3306"/>
      <c r="F24" s="3307"/>
      <c r="G24" s="2342">
        <f>SUM(G21:G23)</f>
        <v>800000</v>
      </c>
      <c r="H24" s="2342">
        <f>G24</f>
        <v>800000</v>
      </c>
      <c r="I24" s="2342"/>
      <c r="J24" s="2342"/>
      <c r="K24" s="2342"/>
      <c r="L24" s="2342">
        <f>SUM(L21:L23)</f>
        <v>0</v>
      </c>
      <c r="M24" s="2342">
        <f>L24</f>
        <v>0</v>
      </c>
      <c r="N24" s="2343">
        <f t="shared" si="0"/>
        <v>800000</v>
      </c>
      <c r="O24" s="2344"/>
      <c r="P24" s="2344"/>
      <c r="Q24" s="2344"/>
      <c r="U24" s="2346" t="s">
        <v>124</v>
      </c>
      <c r="V24" s="2347" t="s">
        <v>201</v>
      </c>
      <c r="W24" s="2348"/>
      <c r="X24" s="2349">
        <v>1</v>
      </c>
      <c r="Y24" s="2350" t="s">
        <v>174</v>
      </c>
      <c r="Z24" s="2351">
        <v>2700000</v>
      </c>
      <c r="AA24" s="2345"/>
      <c r="AB24" s="1370">
        <f>Z24</f>
        <v>2700000</v>
      </c>
      <c r="AC24" s="1371"/>
    </row>
    <row r="25" spans="1:29">
      <c r="A25" s="944">
        <v>3</v>
      </c>
      <c r="B25" s="3308" t="s">
        <v>932</v>
      </c>
      <c r="C25" s="3309"/>
      <c r="D25" s="2322"/>
      <c r="E25" s="2323"/>
      <c r="F25" s="2324"/>
      <c r="G25" s="955"/>
      <c r="H25" s="955"/>
      <c r="I25" s="2322"/>
      <c r="J25" s="2323"/>
      <c r="K25" s="2324"/>
      <c r="L25" s="955"/>
      <c r="M25" s="955"/>
      <c r="N25" s="945">
        <f t="shared" si="0"/>
        <v>0</v>
      </c>
      <c r="O25" s="2057"/>
      <c r="P25" s="2057"/>
      <c r="Q25" s="2057"/>
      <c r="U25" s="3304" t="s">
        <v>99</v>
      </c>
      <c r="V25" s="3292"/>
      <c r="W25" s="3292"/>
      <c r="X25" s="3292"/>
      <c r="Y25" s="3292"/>
      <c r="Z25" s="3293"/>
      <c r="AA25" s="33"/>
      <c r="AB25" s="38">
        <f>SUM(AB21:AB24)</f>
        <v>4500000</v>
      </c>
      <c r="AC25" s="47">
        <f>AB25</f>
        <v>4500000</v>
      </c>
    </row>
    <row r="26" spans="1:29">
      <c r="A26" s="944" t="s">
        <v>126</v>
      </c>
      <c r="B26" s="3308" t="s">
        <v>811</v>
      </c>
      <c r="C26" s="3309"/>
      <c r="D26" s="2322">
        <v>4</v>
      </c>
      <c r="E26" s="2323" t="s">
        <v>933</v>
      </c>
      <c r="F26" s="2324">
        <v>300000</v>
      </c>
      <c r="G26" s="955">
        <f>+F26*D26</f>
        <v>1200000</v>
      </c>
      <c r="H26" s="955"/>
      <c r="I26" s="2322"/>
      <c r="J26" s="2323" t="s">
        <v>933</v>
      </c>
      <c r="K26" s="2324">
        <v>300000</v>
      </c>
      <c r="L26" s="955">
        <f>+K26*I26</f>
        <v>0</v>
      </c>
      <c r="M26" s="955"/>
      <c r="N26" s="945">
        <f t="shared" si="0"/>
        <v>1200000</v>
      </c>
      <c r="O26" s="2057"/>
      <c r="P26" s="2057"/>
      <c r="Q26" s="2057"/>
      <c r="U26" s="58">
        <v>3</v>
      </c>
      <c r="V26" s="45" t="s">
        <v>202</v>
      </c>
      <c r="W26" s="34"/>
      <c r="X26" s="71">
        <v>1</v>
      </c>
      <c r="Y26" s="72" t="s">
        <v>174</v>
      </c>
      <c r="Z26" s="53">
        <v>5000000</v>
      </c>
      <c r="AA26" s="33"/>
      <c r="AB26" s="32">
        <f>+Z26*X26</f>
        <v>5000000</v>
      </c>
      <c r="AC26" s="49"/>
    </row>
    <row r="27" spans="1:29" s="534" customFormat="1">
      <c r="A27" s="3303" t="s">
        <v>163</v>
      </c>
      <c r="B27" s="3287"/>
      <c r="C27" s="3287"/>
      <c r="D27" s="3287"/>
      <c r="E27" s="3287"/>
      <c r="F27" s="3288"/>
      <c r="G27" s="2342">
        <f>G26</f>
        <v>1200000</v>
      </c>
      <c r="H27" s="2342">
        <f>G27</f>
        <v>1200000</v>
      </c>
      <c r="I27" s="2342"/>
      <c r="J27" s="2342"/>
      <c r="K27" s="2342"/>
      <c r="L27" s="2342">
        <f>L26</f>
        <v>0</v>
      </c>
      <c r="M27" s="2342">
        <f>L27</f>
        <v>0</v>
      </c>
      <c r="N27" s="2343">
        <f t="shared" si="0"/>
        <v>1200000</v>
      </c>
      <c r="O27" s="2344"/>
      <c r="P27" s="2344"/>
      <c r="Q27" s="2344"/>
      <c r="U27" s="3303" t="s">
        <v>102</v>
      </c>
      <c r="V27" s="3287"/>
      <c r="W27" s="3287"/>
      <c r="X27" s="3287"/>
      <c r="Y27" s="3287"/>
      <c r="Z27" s="3288"/>
      <c r="AA27" s="2345"/>
      <c r="AB27" s="1373">
        <f>AB26</f>
        <v>5000000</v>
      </c>
      <c r="AC27" s="1374">
        <f>AB27</f>
        <v>5000000</v>
      </c>
    </row>
    <row r="28" spans="1:29" s="534" customFormat="1">
      <c r="A28" s="3303" t="s">
        <v>131</v>
      </c>
      <c r="B28" s="3287"/>
      <c r="C28" s="3287"/>
      <c r="D28" s="3287"/>
      <c r="E28" s="3287"/>
      <c r="F28" s="3288"/>
      <c r="G28" s="2326">
        <f>G20+G24+G27</f>
        <v>2160000</v>
      </c>
      <c r="H28" s="2326">
        <f>SUM(H20:H27)</f>
        <v>2160000</v>
      </c>
      <c r="I28" s="2325"/>
      <c r="J28" s="2325"/>
      <c r="K28" s="2325"/>
      <c r="L28" s="2326">
        <f>L20+L24+L27</f>
        <v>0</v>
      </c>
      <c r="M28" s="2326">
        <f>SUM(M20:M27)</f>
        <v>0</v>
      </c>
      <c r="N28" s="2343">
        <f t="shared" si="0"/>
        <v>2160000</v>
      </c>
      <c r="O28" s="2321"/>
      <c r="P28" s="2321"/>
      <c r="Q28" s="2321"/>
      <c r="S28" s="534">
        <v>70000</v>
      </c>
    </row>
    <row r="29" spans="1:29">
      <c r="A29" s="28"/>
      <c r="B29" s="40"/>
      <c r="C29" s="40"/>
      <c r="D29" s="40"/>
      <c r="E29" s="40"/>
      <c r="F29" s="40"/>
      <c r="G29" s="40"/>
      <c r="I29" s="40"/>
      <c r="J29" s="40"/>
      <c r="K29" s="40"/>
      <c r="L29" s="40"/>
    </row>
    <row r="30" spans="1:29">
      <c r="A30" s="327"/>
      <c r="B30" s="263"/>
      <c r="C30" s="263"/>
      <c r="D30" s="263"/>
      <c r="E30" s="263"/>
      <c r="F30" s="263"/>
      <c r="G30" s="263"/>
      <c r="H30" s="328"/>
      <c r="I30" s="263"/>
      <c r="J30" s="263"/>
      <c r="K30" s="263"/>
      <c r="L30" s="263"/>
      <c r="M30" s="328"/>
      <c r="N30" s="328"/>
      <c r="O30" s="328"/>
      <c r="P30" s="328"/>
      <c r="Q30" s="328"/>
    </row>
    <row r="31" spans="1:29">
      <c r="A31" s="2962"/>
      <c r="B31" s="2962"/>
      <c r="C31" s="949"/>
      <c r="D31" s="2962"/>
      <c r="E31" s="2962"/>
      <c r="F31" s="2962"/>
      <c r="G31" s="2962"/>
      <c r="H31" s="275"/>
      <c r="I31" s="2962"/>
      <c r="J31" s="2962"/>
      <c r="K31" s="2962"/>
      <c r="L31" s="2962"/>
      <c r="M31" s="275"/>
      <c r="N31" s="275"/>
      <c r="O31" s="275"/>
      <c r="P31" s="275"/>
      <c r="Q31" s="275"/>
    </row>
    <row r="32" spans="1:29">
      <c r="A32" s="2962"/>
      <c r="B32" s="2962"/>
      <c r="C32" s="949"/>
      <c r="D32" s="2962"/>
      <c r="E32" s="2962"/>
      <c r="F32" s="2962"/>
      <c r="G32" s="2962"/>
      <c r="H32" s="275"/>
      <c r="I32" s="2962"/>
      <c r="J32" s="2962"/>
      <c r="K32" s="2962"/>
      <c r="L32" s="2962"/>
      <c r="M32" s="275"/>
      <c r="N32" s="275"/>
      <c r="O32" s="275"/>
      <c r="P32" s="275"/>
      <c r="Q32" s="275"/>
    </row>
    <row r="33" spans="1:20">
      <c r="A33" s="306"/>
      <c r="B33" s="949"/>
      <c r="C33" s="949"/>
      <c r="D33" s="307"/>
      <c r="E33" s="308"/>
      <c r="F33" s="953"/>
      <c r="G33" s="308"/>
      <c r="H33" s="328"/>
      <c r="I33" s="307"/>
      <c r="J33" s="308"/>
      <c r="K33" s="953"/>
      <c r="L33" s="308"/>
      <c r="M33" s="328"/>
      <c r="N33" s="328"/>
      <c r="O33" s="328"/>
      <c r="P33" s="328"/>
      <c r="Q33" s="328"/>
    </row>
    <row r="34" spans="1:20">
      <c r="A34" s="306"/>
      <c r="B34" s="949"/>
      <c r="C34" s="949"/>
      <c r="D34" s="949"/>
      <c r="E34" s="308"/>
      <c r="F34" s="308"/>
      <c r="G34" s="308"/>
      <c r="H34" s="328"/>
      <c r="I34" s="2137"/>
      <c r="J34" s="308"/>
      <c r="K34" s="308"/>
      <c r="L34" s="308"/>
      <c r="M34" s="328"/>
      <c r="N34" s="328"/>
      <c r="O34" s="328"/>
      <c r="P34" s="328"/>
      <c r="Q34" s="328"/>
    </row>
    <row r="35" spans="1:20">
      <c r="A35" s="306"/>
      <c r="B35" s="307"/>
      <c r="C35" s="307"/>
      <c r="D35" s="308"/>
      <c r="E35" s="308"/>
      <c r="F35" s="308"/>
      <c r="G35" s="308"/>
      <c r="H35" s="328"/>
      <c r="I35" s="308"/>
      <c r="J35" s="308"/>
      <c r="K35" s="308"/>
      <c r="L35" s="308"/>
      <c r="M35" s="328"/>
      <c r="N35" s="328"/>
      <c r="O35" s="328"/>
      <c r="P35" s="328"/>
      <c r="Q35" s="328"/>
      <c r="S35" s="61" t="e">
        <f>S37/D32</f>
        <v>#DIV/0!</v>
      </c>
    </row>
    <row r="36" spans="1:20">
      <c r="A36" s="306"/>
      <c r="B36" s="307"/>
      <c r="C36" s="307"/>
      <c r="D36" s="308"/>
      <c r="E36" s="308"/>
      <c r="F36" s="308"/>
      <c r="G36" s="308"/>
      <c r="H36" s="328"/>
      <c r="I36" s="308"/>
      <c r="J36" s="308"/>
      <c r="K36" s="308"/>
      <c r="L36" s="308"/>
      <c r="M36" s="328"/>
      <c r="N36" s="328"/>
      <c r="O36" s="328"/>
      <c r="P36" s="328"/>
      <c r="Q36" s="328"/>
    </row>
    <row r="37" spans="1:20">
      <c r="A37" s="2963"/>
      <c r="B37" s="2963"/>
      <c r="C37" s="950"/>
      <c r="D37" s="2963"/>
      <c r="E37" s="2963"/>
      <c r="F37" s="2963"/>
      <c r="G37" s="2963"/>
      <c r="H37" s="432"/>
      <c r="I37" s="2963"/>
      <c r="J37" s="2963"/>
      <c r="K37" s="2963"/>
      <c r="L37" s="2963"/>
      <c r="M37" s="432"/>
      <c r="N37" s="432"/>
      <c r="O37" s="432"/>
      <c r="P37" s="432"/>
      <c r="Q37" s="432"/>
      <c r="S37" s="61">
        <f>6058000-H36</f>
        <v>6058000</v>
      </c>
    </row>
    <row r="38" spans="1:20">
      <c r="A38" s="306"/>
      <c r="B38" s="949"/>
      <c r="C38" s="949"/>
      <c r="D38" s="2962"/>
      <c r="E38" s="2962"/>
      <c r="F38" s="2962"/>
      <c r="G38" s="2962"/>
      <c r="H38" s="328"/>
      <c r="I38" s="2962"/>
      <c r="J38" s="2962"/>
      <c r="K38" s="2962"/>
      <c r="L38" s="2962"/>
      <c r="M38" s="328"/>
      <c r="N38" s="328"/>
      <c r="O38" s="328"/>
      <c r="P38" s="328"/>
      <c r="Q38" s="328"/>
    </row>
    <row r="40" spans="1:20" ht="15" customHeight="1"/>
    <row r="46" spans="1:20">
      <c r="S46" t="s">
        <v>21</v>
      </c>
    </row>
    <row r="47" spans="1:20">
      <c r="T47" t="s">
        <v>21</v>
      </c>
    </row>
    <row r="55" spans="20:22">
      <c r="T55" t="s">
        <v>21</v>
      </c>
    </row>
    <row r="56" spans="20:22">
      <c r="V56" t="s">
        <v>21</v>
      </c>
    </row>
    <row r="58" spans="20:22">
      <c r="U58" t="s">
        <v>21</v>
      </c>
    </row>
    <row r="66" spans="19:19">
      <c r="S66">
        <f>S73/15</f>
        <v>666666.66666666663</v>
      </c>
    </row>
    <row r="73" spans="19:19">
      <c r="S73" s="61">
        <f>10000000-H37</f>
        <v>10000000</v>
      </c>
    </row>
    <row r="81" spans="1:17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  <c r="P81" s="141"/>
      <c r="Q81" s="141"/>
    </row>
  </sheetData>
  <customSheetViews>
    <customSheetView guid="{0F09EDAE-127A-4543-88A5-04139BD32AD8}" showPageBreaks="1" printArea="1" topLeftCell="A17">
      <selection activeCell="B17" sqref="B17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howPageBreaks="1" printArea="1" topLeftCell="A17">
      <selection activeCell="B17" sqref="B17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48">
    <mergeCell ref="N12:N15"/>
    <mergeCell ref="A1:N1"/>
    <mergeCell ref="A2:N2"/>
    <mergeCell ref="B17:C17"/>
    <mergeCell ref="B18:C18"/>
    <mergeCell ref="A3:H3"/>
    <mergeCell ref="A10:B10"/>
    <mergeCell ref="D10:E10"/>
    <mergeCell ref="A28:F28"/>
    <mergeCell ref="B16:C16"/>
    <mergeCell ref="M13:M15"/>
    <mergeCell ref="I31:L31"/>
    <mergeCell ref="H13:H15"/>
    <mergeCell ref="D13:D15"/>
    <mergeCell ref="E13:E15"/>
    <mergeCell ref="F13:F15"/>
    <mergeCell ref="G13:G15"/>
    <mergeCell ref="A12:A15"/>
    <mergeCell ref="B12:C15"/>
    <mergeCell ref="D12:H12"/>
    <mergeCell ref="B19:C19"/>
    <mergeCell ref="B21:C21"/>
    <mergeCell ref="B22:C22"/>
    <mergeCell ref="B23:C23"/>
    <mergeCell ref="I32:L32"/>
    <mergeCell ref="I37:L37"/>
    <mergeCell ref="I38:L38"/>
    <mergeCell ref="I10:J10"/>
    <mergeCell ref="I13:I15"/>
    <mergeCell ref="J13:J15"/>
    <mergeCell ref="K13:K15"/>
    <mergeCell ref="L13:L15"/>
    <mergeCell ref="I12:M12"/>
    <mergeCell ref="U19:Z19"/>
    <mergeCell ref="U25:Z25"/>
    <mergeCell ref="U27:Z27"/>
    <mergeCell ref="A20:F20"/>
    <mergeCell ref="A24:F24"/>
    <mergeCell ref="A27:F27"/>
    <mergeCell ref="B26:C26"/>
    <mergeCell ref="B25:C25"/>
    <mergeCell ref="D38:G38"/>
    <mergeCell ref="A31:B31"/>
    <mergeCell ref="D31:G31"/>
    <mergeCell ref="A32:B32"/>
    <mergeCell ref="D32:G32"/>
    <mergeCell ref="A37:B37"/>
    <mergeCell ref="D37:G37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86"/>
  <sheetViews>
    <sheetView workbookViewId="0">
      <selection sqref="A1:I1"/>
    </sheetView>
  </sheetViews>
  <sheetFormatPr defaultColWidth="4.42578125" defaultRowHeight="15"/>
  <cols>
    <col min="1" max="1" width="5.85546875" style="1432" customWidth="1"/>
    <col min="2" max="2" width="25.5703125" style="1433" customWidth="1"/>
    <col min="3" max="3" width="3.85546875" style="1433" bestFit="1" customWidth="1"/>
    <col min="4" max="4" width="4.85546875" style="1433" customWidth="1"/>
    <col min="5" max="5" width="11.42578125" style="1434" customWidth="1"/>
    <col min="6" max="6" width="11.28515625" style="1434" customWidth="1"/>
    <col min="7" max="7" width="14.28515625" style="1385" customWidth="1"/>
    <col min="8" max="8" width="17.140625" style="1433" customWidth="1"/>
    <col min="9" max="9" width="17.140625" style="1378" customWidth="1"/>
    <col min="10" max="10" width="11.42578125" style="1434" customWidth="1"/>
    <col min="11" max="11" width="11.28515625" style="1434" customWidth="1"/>
    <col min="12" max="12" width="14.28515625" style="1385" customWidth="1"/>
    <col min="13" max="13" width="17.140625" style="1433" customWidth="1"/>
    <col min="14" max="14" width="17.140625" style="1378" customWidth="1"/>
    <col min="15" max="15" width="16.28515625" style="1378" customWidth="1"/>
    <col min="16" max="16384" width="4.42578125" style="1378"/>
  </cols>
  <sheetData>
    <row r="1" spans="1:15" ht="18" customHeight="1">
      <c r="A1" s="3329" t="s">
        <v>1023</v>
      </c>
      <c r="B1" s="3329"/>
      <c r="C1" s="3329"/>
      <c r="D1" s="3329"/>
      <c r="E1" s="3329"/>
      <c r="F1" s="3329"/>
      <c r="G1" s="3329"/>
      <c r="H1" s="3329"/>
      <c r="I1" s="3329"/>
      <c r="J1" s="1378"/>
      <c r="K1" s="1378"/>
      <c r="L1" s="1378"/>
      <c r="M1" s="1378"/>
    </row>
    <row r="2" spans="1:15" ht="18" customHeight="1">
      <c r="A2" s="3329" t="s">
        <v>1024</v>
      </c>
      <c r="B2" s="3329"/>
      <c r="C2" s="3329"/>
      <c r="D2" s="3329"/>
      <c r="E2" s="3329"/>
      <c r="F2" s="3329"/>
      <c r="G2" s="3329"/>
      <c r="H2" s="3329"/>
      <c r="I2" s="3329"/>
      <c r="J2" s="1378"/>
      <c r="K2" s="1378"/>
      <c r="L2" s="1378"/>
      <c r="M2" s="1378"/>
    </row>
    <row r="3" spans="1:15" ht="18" customHeight="1">
      <c r="A3" s="1379"/>
      <c r="B3" s="1380"/>
      <c r="C3" s="1380"/>
      <c r="D3" s="1380"/>
      <c r="E3" s="1380"/>
      <c r="F3" s="1380"/>
      <c r="G3" s="1381"/>
      <c r="H3" s="1382"/>
      <c r="I3" s="1383"/>
      <c r="J3" s="1380"/>
      <c r="K3" s="1380"/>
      <c r="L3" s="1381"/>
      <c r="M3" s="1382"/>
      <c r="N3" s="1383"/>
    </row>
    <row r="4" spans="1:15" ht="18" customHeight="1">
      <c r="A4" s="1379"/>
      <c r="B4" s="1384" t="s">
        <v>1092</v>
      </c>
      <c r="C4" s="1384" t="s">
        <v>1287</v>
      </c>
      <c r="D4" s="1380"/>
      <c r="E4" s="1380"/>
      <c r="F4" s="1380"/>
      <c r="H4" s="1382"/>
      <c r="I4" s="1383"/>
      <c r="J4" s="1380"/>
      <c r="K4" s="1380"/>
      <c r="M4" s="1382"/>
      <c r="N4" s="1383"/>
    </row>
    <row r="5" spans="1:15" ht="18" customHeight="1">
      <c r="A5" s="1379"/>
      <c r="B5" s="1384" t="s">
        <v>1093</v>
      </c>
      <c r="C5" s="1384" t="s">
        <v>1288</v>
      </c>
      <c r="D5" s="1380"/>
      <c r="E5" s="1380"/>
      <c r="F5" s="1380"/>
      <c r="G5" s="1386"/>
      <c r="H5" s="1382"/>
      <c r="I5" s="1383"/>
      <c r="J5" s="1380"/>
      <c r="K5" s="1380"/>
      <c r="L5" s="1386" t="s">
        <v>1289</v>
      </c>
      <c r="M5" s="1382" t="s">
        <v>1332</v>
      </c>
      <c r="N5" s="1383"/>
    </row>
    <row r="6" spans="1:15" ht="18" customHeight="1">
      <c r="A6" s="1379"/>
      <c r="B6" s="1384" t="s">
        <v>1094</v>
      </c>
      <c r="C6" s="1384" t="s">
        <v>1290</v>
      </c>
      <c r="D6" s="1380"/>
      <c r="E6" s="1380"/>
      <c r="F6" s="1380"/>
      <c r="G6" s="1386"/>
      <c r="H6" s="1382"/>
      <c r="I6" s="1383"/>
      <c r="J6" s="1380"/>
      <c r="K6" s="1380"/>
      <c r="L6" s="1386" t="s">
        <v>66</v>
      </c>
      <c r="M6" s="1382" t="s">
        <v>1291</v>
      </c>
      <c r="N6" s="1383"/>
    </row>
    <row r="7" spans="1:15" ht="18" customHeight="1">
      <c r="A7" s="1379"/>
      <c r="B7" s="1384" t="s">
        <v>373</v>
      </c>
      <c r="C7" s="1384" t="s">
        <v>1292</v>
      </c>
      <c r="D7" s="1380"/>
      <c r="E7" s="1380"/>
      <c r="F7" s="1387">
        <f>LEN(H7)-2</f>
        <v>-2</v>
      </c>
      <c r="G7" s="1386"/>
      <c r="H7" s="3330"/>
      <c r="I7" s="3330"/>
      <c r="J7" s="1380"/>
      <c r="K7" s="1387">
        <f>LEN(M7)-2</f>
        <v>38</v>
      </c>
      <c r="L7" s="1386" t="s">
        <v>96</v>
      </c>
      <c r="M7" s="3330" t="s">
        <v>1293</v>
      </c>
      <c r="N7" s="3330"/>
    </row>
    <row r="8" spans="1:15" ht="18" customHeight="1">
      <c r="A8" s="1388"/>
      <c r="B8" s="1380"/>
      <c r="C8" s="1380"/>
      <c r="D8" s="1380"/>
      <c r="E8" s="1380"/>
      <c r="F8" s="1380"/>
      <c r="G8" s="1381"/>
      <c r="H8" s="3330"/>
      <c r="I8" s="3330"/>
      <c r="J8" s="1380"/>
      <c r="K8" s="1380"/>
      <c r="L8" s="1381"/>
      <c r="M8" s="3330"/>
      <c r="N8" s="3330"/>
    </row>
    <row r="9" spans="1:15" ht="18" customHeight="1">
      <c r="A9" s="1388"/>
      <c r="B9" s="1380"/>
      <c r="C9" s="1380"/>
      <c r="D9" s="1380"/>
      <c r="E9" s="1380"/>
      <c r="F9" s="1380"/>
      <c r="G9" s="1381"/>
      <c r="H9" s="2142"/>
      <c r="I9" s="2142"/>
      <c r="J9" s="1380"/>
      <c r="K9" s="1380"/>
      <c r="L9" s="1381"/>
      <c r="M9" s="2142"/>
      <c r="N9" s="2142"/>
    </row>
    <row r="10" spans="1:15" ht="18" customHeight="1">
      <c r="A10" s="3331" t="s">
        <v>1</v>
      </c>
      <c r="B10" s="3331"/>
      <c r="C10" s="3331"/>
      <c r="D10" s="3331"/>
      <c r="E10" s="3332" t="s">
        <v>1556</v>
      </c>
      <c r="F10" s="3332"/>
      <c r="G10" s="3332"/>
      <c r="H10" s="3332"/>
      <c r="I10" s="3332"/>
      <c r="J10" s="3332" t="s">
        <v>1557</v>
      </c>
      <c r="K10" s="3332"/>
      <c r="L10" s="3332"/>
      <c r="M10" s="3332"/>
      <c r="N10" s="3332"/>
      <c r="O10" s="3331" t="s">
        <v>1541</v>
      </c>
    </row>
    <row r="11" spans="1:15" ht="18" customHeight="1">
      <c r="A11" s="3331"/>
      <c r="B11" s="3331"/>
      <c r="C11" s="3331"/>
      <c r="D11" s="3331"/>
      <c r="E11" s="3331" t="s">
        <v>703</v>
      </c>
      <c r="F11" s="3331" t="s">
        <v>704</v>
      </c>
      <c r="G11" s="3331" t="s">
        <v>1294</v>
      </c>
      <c r="H11" s="3331" t="s">
        <v>1295</v>
      </c>
      <c r="I11" s="3331" t="s">
        <v>1296</v>
      </c>
      <c r="J11" s="3331" t="s">
        <v>703</v>
      </c>
      <c r="K11" s="3331" t="s">
        <v>704</v>
      </c>
      <c r="L11" s="3331" t="s">
        <v>1294</v>
      </c>
      <c r="M11" s="3331" t="s">
        <v>1295</v>
      </c>
      <c r="N11" s="3331" t="s">
        <v>1296</v>
      </c>
      <c r="O11" s="3331"/>
    </row>
    <row r="12" spans="1:15" ht="18" customHeight="1">
      <c r="A12" s="3331"/>
      <c r="B12" s="3331"/>
      <c r="C12" s="3331"/>
      <c r="D12" s="3331"/>
      <c r="E12" s="3331"/>
      <c r="F12" s="3331"/>
      <c r="G12" s="3331"/>
      <c r="H12" s="3331"/>
      <c r="I12" s="3331"/>
      <c r="J12" s="3331"/>
      <c r="K12" s="3331"/>
      <c r="L12" s="3331"/>
      <c r="M12" s="3331"/>
      <c r="N12" s="3331"/>
      <c r="O12" s="3331"/>
    </row>
    <row r="13" spans="1:15" ht="18" customHeight="1">
      <c r="A13" s="3325" t="s">
        <v>72</v>
      </c>
      <c r="B13" s="3326"/>
      <c r="C13" s="3326"/>
      <c r="D13" s="3326"/>
      <c r="E13" s="2383" t="s">
        <v>73</v>
      </c>
      <c r="F13" s="2383" t="s">
        <v>264</v>
      </c>
      <c r="G13" s="2384" t="s">
        <v>75</v>
      </c>
      <c r="H13" s="2385" t="s">
        <v>1297</v>
      </c>
      <c r="I13" s="2385" t="s">
        <v>77</v>
      </c>
      <c r="J13" s="2383" t="s">
        <v>73</v>
      </c>
      <c r="K13" s="2383" t="s">
        <v>264</v>
      </c>
      <c r="L13" s="2384" t="s">
        <v>75</v>
      </c>
      <c r="M13" s="2385" t="s">
        <v>1297</v>
      </c>
      <c r="N13" s="2385" t="s">
        <v>77</v>
      </c>
      <c r="O13" s="2385" t="s">
        <v>78</v>
      </c>
    </row>
    <row r="14" spans="1:15" s="1396" customFormat="1" ht="12.95" customHeight="1">
      <c r="A14" s="1389">
        <v>1</v>
      </c>
      <c r="B14" s="1390" t="s">
        <v>306</v>
      </c>
      <c r="C14" s="1391"/>
      <c r="D14" s="1392"/>
      <c r="E14" s="1393"/>
      <c r="F14" s="1393"/>
      <c r="G14" s="1394"/>
      <c r="H14" s="1395"/>
      <c r="I14" s="1395"/>
      <c r="J14" s="1393"/>
      <c r="K14" s="1393"/>
      <c r="L14" s="1394"/>
      <c r="M14" s="1395"/>
      <c r="N14" s="1395"/>
      <c r="O14" s="1395"/>
    </row>
    <row r="15" spans="1:15" s="1396" customFormat="1" ht="12.95" customHeight="1">
      <c r="A15" s="1397" t="s">
        <v>115</v>
      </c>
      <c r="B15" s="1390" t="s">
        <v>1298</v>
      </c>
      <c r="C15" s="1398">
        <v>1</v>
      </c>
      <c r="D15" s="1399">
        <v>1</v>
      </c>
      <c r="E15" s="1393">
        <f>C15*D15</f>
        <v>1</v>
      </c>
      <c r="F15" s="1393" t="s">
        <v>1299</v>
      </c>
      <c r="G15" s="1394">
        <v>315000</v>
      </c>
      <c r="H15" s="1395">
        <f>G15</f>
        <v>315000</v>
      </c>
      <c r="I15" s="1395"/>
      <c r="J15" s="1393"/>
      <c r="K15" s="1393" t="s">
        <v>1299</v>
      </c>
      <c r="L15" s="1394">
        <v>315000</v>
      </c>
      <c r="M15" s="1395">
        <f>L15*J15</f>
        <v>0</v>
      </c>
      <c r="N15" s="1395"/>
      <c r="O15" s="1395">
        <f>H15-M15</f>
        <v>315000</v>
      </c>
    </row>
    <row r="16" spans="1:15" s="1396" customFormat="1" ht="12.95" customHeight="1">
      <c r="A16" s="1400"/>
      <c r="B16" s="1401"/>
      <c r="C16" s="1402"/>
      <c r="D16" s="1402"/>
      <c r="E16" s="1403"/>
      <c r="F16" s="1402"/>
      <c r="G16" s="1404" t="s">
        <v>1300</v>
      </c>
      <c r="H16" s="1405"/>
      <c r="I16" s="1405">
        <f>H15</f>
        <v>315000</v>
      </c>
      <c r="J16" s="1403"/>
      <c r="K16" s="1402"/>
      <c r="L16" s="1404"/>
      <c r="M16" s="1405"/>
      <c r="N16" s="1405">
        <f>M15</f>
        <v>0</v>
      </c>
      <c r="O16" s="1405">
        <f>SUM(O15)</f>
        <v>315000</v>
      </c>
    </row>
    <row r="17" spans="1:15" s="1396" customFormat="1" ht="12.95" customHeight="1">
      <c r="A17" s="1406">
        <v>2</v>
      </c>
      <c r="B17" s="1407" t="s">
        <v>1301</v>
      </c>
      <c r="C17" s="1408"/>
      <c r="D17" s="1409"/>
      <c r="E17" s="1410"/>
      <c r="F17" s="1410"/>
      <c r="G17" s="1411"/>
      <c r="H17" s="1412"/>
      <c r="I17" s="1412"/>
      <c r="J17" s="1410"/>
      <c r="K17" s="1410"/>
      <c r="L17" s="1411"/>
      <c r="M17" s="1412"/>
      <c r="N17" s="1412"/>
      <c r="O17" s="1412">
        <f t="shared" ref="O17:O41" si="0">H17-M17</f>
        <v>0</v>
      </c>
    </row>
    <row r="18" spans="1:15" s="1396" customFormat="1" ht="12.95" customHeight="1">
      <c r="A18" s="1389">
        <v>2.2000000000000002</v>
      </c>
      <c r="B18" s="1390" t="s">
        <v>249</v>
      </c>
      <c r="C18" s="1391"/>
      <c r="D18" s="1392"/>
      <c r="E18" s="2012">
        <v>115</v>
      </c>
      <c r="F18" s="2012" t="s">
        <v>148</v>
      </c>
      <c r="G18" s="2013">
        <v>15000</v>
      </c>
      <c r="H18" s="1395">
        <f>E18*G18</f>
        <v>1725000</v>
      </c>
      <c r="I18" s="1395"/>
      <c r="J18" s="2012"/>
      <c r="K18" s="2012" t="s">
        <v>148</v>
      </c>
      <c r="L18" s="2013">
        <v>15000</v>
      </c>
      <c r="M18" s="1395">
        <f>J18*L18</f>
        <v>0</v>
      </c>
      <c r="N18" s="1395"/>
      <c r="O18" s="1395">
        <f t="shared" si="0"/>
        <v>1725000</v>
      </c>
    </row>
    <row r="19" spans="1:15" s="1396" customFormat="1" ht="12.95" customHeight="1">
      <c r="A19" s="1389">
        <v>2.2000000000000002</v>
      </c>
      <c r="B19" s="1390" t="s">
        <v>271</v>
      </c>
      <c r="C19" s="1391"/>
      <c r="D19" s="1392"/>
      <c r="E19" s="2012">
        <v>188</v>
      </c>
      <c r="F19" s="2012" t="s">
        <v>148</v>
      </c>
      <c r="G19" s="2013">
        <v>5000</v>
      </c>
      <c r="H19" s="1395">
        <f>E19*G19</f>
        <v>940000</v>
      </c>
      <c r="I19" s="1395"/>
      <c r="J19" s="2012"/>
      <c r="K19" s="2012" t="s">
        <v>148</v>
      </c>
      <c r="L19" s="2013">
        <v>5000</v>
      </c>
      <c r="M19" s="1395">
        <f>J19*L19</f>
        <v>0</v>
      </c>
      <c r="N19" s="1395"/>
      <c r="O19" s="1395">
        <f t="shared" si="0"/>
        <v>940000</v>
      </c>
    </row>
    <row r="20" spans="1:15" s="1396" customFormat="1" ht="12.95" customHeight="1">
      <c r="A20" s="1389">
        <v>2.2999999999999998</v>
      </c>
      <c r="B20" s="1390" t="s">
        <v>1302</v>
      </c>
      <c r="C20" s="1391"/>
      <c r="D20" s="1392"/>
      <c r="E20" s="2012">
        <v>20</v>
      </c>
      <c r="F20" s="2012" t="s">
        <v>1303</v>
      </c>
      <c r="G20" s="2013">
        <v>30000</v>
      </c>
      <c r="H20" s="1395">
        <f>E20*G20</f>
        <v>600000</v>
      </c>
      <c r="I20" s="1395"/>
      <c r="J20" s="2012"/>
      <c r="K20" s="2012" t="s">
        <v>1303</v>
      </c>
      <c r="L20" s="2013">
        <v>30000</v>
      </c>
      <c r="M20" s="1395">
        <f>J20*L20</f>
        <v>0</v>
      </c>
      <c r="N20" s="1395"/>
      <c r="O20" s="1395">
        <f t="shared" si="0"/>
        <v>600000</v>
      </c>
    </row>
    <row r="21" spans="1:15" s="1396" customFormat="1" ht="12.95" customHeight="1">
      <c r="A21" s="1400"/>
      <c r="B21" s="1401"/>
      <c r="C21" s="1402"/>
      <c r="D21" s="1402"/>
      <c r="E21" s="2014"/>
      <c r="F21" s="2015"/>
      <c r="G21" s="2016" t="s">
        <v>1304</v>
      </c>
      <c r="H21" s="2017"/>
      <c r="I21" s="1405">
        <f>H18+H19+H20</f>
        <v>3265000</v>
      </c>
      <c r="J21" s="2014"/>
      <c r="K21" s="2015"/>
      <c r="L21" s="2016"/>
      <c r="M21" s="2017">
        <f>SUM(M18:M20)</f>
        <v>0</v>
      </c>
      <c r="N21" s="1405">
        <f>M18+M19+M20</f>
        <v>0</v>
      </c>
      <c r="O21" s="1405">
        <f>SUM(O18:O20)</f>
        <v>3265000</v>
      </c>
    </row>
    <row r="22" spans="1:15" s="1396" customFormat="1" ht="12.95" customHeight="1">
      <c r="A22" s="1389">
        <v>3</v>
      </c>
      <c r="B22" s="1390" t="s">
        <v>1305</v>
      </c>
      <c r="C22" s="1398"/>
      <c r="D22" s="1399"/>
      <c r="E22" s="2012"/>
      <c r="F22" s="2012"/>
      <c r="G22" s="2013"/>
      <c r="H22" s="1395"/>
      <c r="I22" s="1395"/>
      <c r="J22" s="2012"/>
      <c r="K22" s="2012"/>
      <c r="L22" s="2013"/>
      <c r="M22" s="1395"/>
      <c r="N22" s="1395"/>
      <c r="O22" s="1395">
        <f t="shared" si="0"/>
        <v>0</v>
      </c>
    </row>
    <row r="23" spans="1:15" s="1396" customFormat="1" ht="12.95" customHeight="1">
      <c r="A23" s="1389">
        <v>3.1</v>
      </c>
      <c r="B23" s="1390" t="s">
        <v>1306</v>
      </c>
      <c r="C23" s="1391"/>
      <c r="D23" s="1392"/>
      <c r="E23" s="2012">
        <v>5</v>
      </c>
      <c r="F23" s="2012" t="s">
        <v>1307</v>
      </c>
      <c r="G23" s="2013">
        <v>20000</v>
      </c>
      <c r="H23" s="1395">
        <f>E23*G23</f>
        <v>100000</v>
      </c>
      <c r="I23" s="1395"/>
      <c r="J23" s="2012"/>
      <c r="K23" s="2012" t="s">
        <v>1307</v>
      </c>
      <c r="L23" s="2013">
        <v>20000</v>
      </c>
      <c r="M23" s="1395">
        <f>J23*L23</f>
        <v>0</v>
      </c>
      <c r="N23" s="1395"/>
      <c r="O23" s="1395">
        <f t="shared" si="0"/>
        <v>100000</v>
      </c>
    </row>
    <row r="24" spans="1:15" s="1396" customFormat="1" ht="12.95" customHeight="1">
      <c r="A24" s="1389">
        <v>3.2</v>
      </c>
      <c r="B24" s="1390" t="s">
        <v>950</v>
      </c>
      <c r="C24" s="1391"/>
      <c r="D24" s="1392"/>
      <c r="E24" s="2012">
        <v>1</v>
      </c>
      <c r="F24" s="2012" t="s">
        <v>1308</v>
      </c>
      <c r="G24" s="2013">
        <v>100000</v>
      </c>
      <c r="H24" s="1395">
        <f>E24*G24</f>
        <v>100000</v>
      </c>
      <c r="I24" s="1395"/>
      <c r="J24" s="2012"/>
      <c r="K24" s="2012" t="s">
        <v>1308</v>
      </c>
      <c r="L24" s="2013">
        <v>100000</v>
      </c>
      <c r="M24" s="1395">
        <f>J24*L24</f>
        <v>0</v>
      </c>
      <c r="N24" s="1395"/>
      <c r="O24" s="1395">
        <f t="shared" si="0"/>
        <v>100000</v>
      </c>
    </row>
    <row r="25" spans="1:15" s="1396" customFormat="1" ht="12.95" customHeight="1">
      <c r="A25" s="1389">
        <v>3.3</v>
      </c>
      <c r="B25" s="1390" t="s">
        <v>1309</v>
      </c>
      <c r="C25" s="1391"/>
      <c r="D25" s="1392"/>
      <c r="E25" s="2012">
        <v>1</v>
      </c>
      <c r="F25" s="2012" t="s">
        <v>1307</v>
      </c>
      <c r="G25" s="2013">
        <v>20000</v>
      </c>
      <c r="H25" s="1395">
        <f>E25*G25</f>
        <v>20000</v>
      </c>
      <c r="I25" s="1395"/>
      <c r="J25" s="2012"/>
      <c r="K25" s="2012" t="s">
        <v>1307</v>
      </c>
      <c r="L25" s="2013">
        <v>20000</v>
      </c>
      <c r="M25" s="1395">
        <f>J25*L25</f>
        <v>0</v>
      </c>
      <c r="N25" s="1395"/>
      <c r="O25" s="1395">
        <f t="shared" si="0"/>
        <v>20000</v>
      </c>
    </row>
    <row r="26" spans="1:15" s="1396" customFormat="1" ht="12.95" customHeight="1">
      <c r="A26" s="1389">
        <v>3.4</v>
      </c>
      <c r="B26" s="1390" t="s">
        <v>1310</v>
      </c>
      <c r="C26" s="1391"/>
      <c r="D26" s="1392"/>
      <c r="E26" s="2018" t="s">
        <v>1311</v>
      </c>
      <c r="F26" s="2012" t="s">
        <v>1276</v>
      </c>
      <c r="G26" s="2013">
        <v>16000</v>
      </c>
      <c r="H26" s="1395">
        <v>8000</v>
      </c>
      <c r="I26" s="1395"/>
      <c r="J26" s="2018"/>
      <c r="K26" s="2012" t="s">
        <v>1276</v>
      </c>
      <c r="L26" s="2013">
        <v>16000</v>
      </c>
      <c r="M26" s="1395"/>
      <c r="N26" s="1395"/>
      <c r="O26" s="1395">
        <f t="shared" si="0"/>
        <v>8000</v>
      </c>
    </row>
    <row r="27" spans="1:15" s="1396" customFormat="1" ht="12.95" customHeight="1">
      <c r="A27" s="1389">
        <v>3.5</v>
      </c>
      <c r="B27" s="1390" t="s">
        <v>1312</v>
      </c>
      <c r="C27" s="1391"/>
      <c r="D27" s="1392"/>
      <c r="E27" s="2012">
        <v>6</v>
      </c>
      <c r="F27" s="2012" t="s">
        <v>1299</v>
      </c>
      <c r="G27" s="2013">
        <v>2000</v>
      </c>
      <c r="H27" s="1395">
        <f>E27*G27</f>
        <v>12000</v>
      </c>
      <c r="I27" s="1395"/>
      <c r="J27" s="2012"/>
      <c r="K27" s="2012" t="s">
        <v>1299</v>
      </c>
      <c r="L27" s="2013">
        <v>2000</v>
      </c>
      <c r="M27" s="1395">
        <f>J27*L27</f>
        <v>0</v>
      </c>
      <c r="N27" s="1395"/>
      <c r="O27" s="1395">
        <f t="shared" si="0"/>
        <v>12000</v>
      </c>
    </row>
    <row r="28" spans="1:15" s="1396" customFormat="1" ht="12.95" customHeight="1">
      <c r="A28" s="1389">
        <v>3.6</v>
      </c>
      <c r="B28" s="1390" t="s">
        <v>1313</v>
      </c>
      <c r="C28" s="1391"/>
      <c r="D28" s="1392"/>
      <c r="E28" s="2012">
        <v>1</v>
      </c>
      <c r="F28" s="2012" t="s">
        <v>1314</v>
      </c>
      <c r="G28" s="2013">
        <v>20000</v>
      </c>
      <c r="H28" s="1395">
        <f>E28*G28</f>
        <v>20000</v>
      </c>
      <c r="I28" s="1395"/>
      <c r="J28" s="2012"/>
      <c r="K28" s="2012" t="s">
        <v>1314</v>
      </c>
      <c r="L28" s="2013">
        <v>20000</v>
      </c>
      <c r="M28" s="1395">
        <f>J28*L28</f>
        <v>0</v>
      </c>
      <c r="N28" s="1395"/>
      <c r="O28" s="1395">
        <f t="shared" si="0"/>
        <v>20000</v>
      </c>
    </row>
    <row r="29" spans="1:15" s="1396" customFormat="1" ht="12.95" customHeight="1">
      <c r="A29" s="1389">
        <v>3.7</v>
      </c>
      <c r="B29" s="1407" t="s">
        <v>291</v>
      </c>
      <c r="C29" s="1408"/>
      <c r="D29" s="1409"/>
      <c r="E29" s="2019">
        <v>1</v>
      </c>
      <c r="F29" s="2019" t="s">
        <v>136</v>
      </c>
      <c r="G29" s="2020">
        <v>25000</v>
      </c>
      <c r="H29" s="1412">
        <f>G29*E29</f>
        <v>25000</v>
      </c>
      <c r="I29" s="1412"/>
      <c r="J29" s="2019"/>
      <c r="K29" s="2019" t="s">
        <v>136</v>
      </c>
      <c r="L29" s="2020">
        <v>25000</v>
      </c>
      <c r="M29" s="1412">
        <f>L29*J29</f>
        <v>0</v>
      </c>
      <c r="N29" s="1412"/>
      <c r="O29" s="1412">
        <f t="shared" si="0"/>
        <v>25000</v>
      </c>
    </row>
    <row r="30" spans="1:15" s="1396" customFormat="1" ht="12.95" customHeight="1">
      <c r="A30" s="1389">
        <v>3.8</v>
      </c>
      <c r="B30" s="1390" t="s">
        <v>292</v>
      </c>
      <c r="C30" s="1391"/>
      <c r="D30" s="1392"/>
      <c r="E30" s="2012">
        <v>2</v>
      </c>
      <c r="F30" s="2019" t="s">
        <v>136</v>
      </c>
      <c r="G30" s="2013">
        <v>10000</v>
      </c>
      <c r="H30" s="1412">
        <f>G30*E30</f>
        <v>20000</v>
      </c>
      <c r="I30" s="1412"/>
      <c r="J30" s="2012"/>
      <c r="K30" s="2019" t="s">
        <v>136</v>
      </c>
      <c r="L30" s="2013">
        <v>10000</v>
      </c>
      <c r="M30" s="1412">
        <f>L30*J30</f>
        <v>0</v>
      </c>
      <c r="N30" s="1412"/>
      <c r="O30" s="1412">
        <f t="shared" si="0"/>
        <v>20000</v>
      </c>
    </row>
    <row r="31" spans="1:15" s="1413" customFormat="1" ht="12.95" customHeight="1">
      <c r="A31" s="1389">
        <v>3.9</v>
      </c>
      <c r="B31" s="1407" t="s">
        <v>293</v>
      </c>
      <c r="C31" s="1408"/>
      <c r="D31" s="1408"/>
      <c r="E31" s="2021">
        <v>2</v>
      </c>
      <c r="F31" s="2019" t="s">
        <v>136</v>
      </c>
      <c r="G31" s="2022">
        <v>5000</v>
      </c>
      <c r="H31" s="1412">
        <f>G31*E31</f>
        <v>10000</v>
      </c>
      <c r="I31" s="1412"/>
      <c r="J31" s="2021"/>
      <c r="K31" s="2019" t="s">
        <v>136</v>
      </c>
      <c r="L31" s="2022">
        <v>5000</v>
      </c>
      <c r="M31" s="1412">
        <f>L31*J31</f>
        <v>0</v>
      </c>
      <c r="N31" s="1412"/>
      <c r="O31" s="1412">
        <f t="shared" si="0"/>
        <v>10000</v>
      </c>
    </row>
    <row r="32" spans="1:15" s="1413" customFormat="1" ht="12.95" customHeight="1">
      <c r="A32" s="2009" t="s">
        <v>1463</v>
      </c>
      <c r="B32" s="1390" t="s">
        <v>160</v>
      </c>
      <c r="C32" s="1391"/>
      <c r="D32" s="1391"/>
      <c r="E32" s="2023">
        <v>2</v>
      </c>
      <c r="F32" s="2019" t="s">
        <v>136</v>
      </c>
      <c r="G32" s="2024">
        <v>15000</v>
      </c>
      <c r="H32" s="1412">
        <f>G32*E32</f>
        <v>30000</v>
      </c>
      <c r="I32" s="1412"/>
      <c r="J32" s="2023"/>
      <c r="K32" s="2019" t="s">
        <v>136</v>
      </c>
      <c r="L32" s="2024">
        <v>15000</v>
      </c>
      <c r="M32" s="1412">
        <f>L32*J32</f>
        <v>0</v>
      </c>
      <c r="N32" s="1412"/>
      <c r="O32" s="1412">
        <f t="shared" si="0"/>
        <v>30000</v>
      </c>
    </row>
    <row r="33" spans="1:15" s="1413" customFormat="1" ht="12.95" customHeight="1">
      <c r="A33" s="2010" t="s">
        <v>1464</v>
      </c>
      <c r="B33" s="1414" t="s">
        <v>1315</v>
      </c>
      <c r="C33" s="1415"/>
      <c r="D33" s="1415"/>
      <c r="E33" s="2025">
        <v>2</v>
      </c>
      <c r="F33" s="2026" t="s">
        <v>148</v>
      </c>
      <c r="G33" s="2027">
        <v>5000</v>
      </c>
      <c r="H33" s="1416">
        <f>G33*E33</f>
        <v>10000</v>
      </c>
      <c r="I33" s="1416"/>
      <c r="J33" s="2025"/>
      <c r="K33" s="2026" t="s">
        <v>148</v>
      </c>
      <c r="L33" s="2027">
        <v>5000</v>
      </c>
      <c r="M33" s="1416">
        <f>L33*J33</f>
        <v>0</v>
      </c>
      <c r="N33" s="1416"/>
      <c r="O33" s="1416">
        <f t="shared" si="0"/>
        <v>10000</v>
      </c>
    </row>
    <row r="34" spans="1:15" s="1413" customFormat="1" ht="12.95" customHeight="1">
      <c r="A34" s="1400"/>
      <c r="B34" s="1401"/>
      <c r="C34" s="1402"/>
      <c r="D34" s="1402"/>
      <c r="E34" s="2014"/>
      <c r="F34" s="2015"/>
      <c r="G34" s="2016" t="s">
        <v>1316</v>
      </c>
      <c r="H34" s="2017"/>
      <c r="I34" s="1405">
        <f>SUM(H22:H33)</f>
        <v>355000</v>
      </c>
      <c r="J34" s="2014"/>
      <c r="K34" s="2015"/>
      <c r="L34" s="2016"/>
      <c r="M34" s="2017"/>
      <c r="N34" s="1405">
        <f>SUM(M22:M33)</f>
        <v>0</v>
      </c>
      <c r="O34" s="1405">
        <f>SUM(O22:O33)</f>
        <v>355000</v>
      </c>
    </row>
    <row r="35" spans="1:15" ht="18" customHeight="1">
      <c r="A35" s="1417">
        <v>4</v>
      </c>
      <c r="B35" s="1390" t="s">
        <v>1317</v>
      </c>
      <c r="C35" s="1418"/>
      <c r="D35" s="1419"/>
      <c r="E35" s="2028"/>
      <c r="F35" s="2028"/>
      <c r="G35" s="2028"/>
      <c r="H35" s="2029"/>
      <c r="I35" s="1420"/>
      <c r="J35" s="2028"/>
      <c r="K35" s="2028"/>
      <c r="L35" s="2028"/>
      <c r="M35" s="2029"/>
      <c r="N35" s="1420"/>
      <c r="O35" s="1420"/>
    </row>
    <row r="36" spans="1:15" s="1396" customFormat="1" ht="12.95" customHeight="1">
      <c r="A36" s="1389">
        <v>4.0999999999999996</v>
      </c>
      <c r="B36" s="1390" t="s">
        <v>1318</v>
      </c>
      <c r="C36" s="1398">
        <v>1</v>
      </c>
      <c r="D36" s="1399">
        <v>23</v>
      </c>
      <c r="E36" s="2012">
        <f>C36*D36</f>
        <v>23</v>
      </c>
      <c r="F36" s="2012" t="s">
        <v>1319</v>
      </c>
      <c r="G36" s="2013">
        <v>75000</v>
      </c>
      <c r="H36" s="1395">
        <f>E36*G36</f>
        <v>1725000</v>
      </c>
      <c r="I36" s="1395"/>
      <c r="J36" s="2012"/>
      <c r="K36" s="2012" t="s">
        <v>1319</v>
      </c>
      <c r="L36" s="2013">
        <v>75000</v>
      </c>
      <c r="M36" s="1395">
        <f>J36*L36</f>
        <v>0</v>
      </c>
      <c r="N36" s="1395"/>
      <c r="O36" s="1395">
        <f t="shared" si="0"/>
        <v>1725000</v>
      </c>
    </row>
    <row r="37" spans="1:15" s="1396" customFormat="1" ht="12.95" customHeight="1">
      <c r="A37" s="1421"/>
      <c r="B37" s="1414"/>
      <c r="C37" s="1415"/>
      <c r="D37" s="1422"/>
      <c r="E37" s="2026"/>
      <c r="F37" s="2026"/>
      <c r="G37" s="2030"/>
      <c r="H37" s="1423"/>
      <c r="I37" s="1423"/>
      <c r="J37" s="2026"/>
      <c r="K37" s="2026"/>
      <c r="L37" s="2030"/>
      <c r="M37" s="1423"/>
      <c r="N37" s="1423"/>
      <c r="O37" s="1423">
        <f t="shared" si="0"/>
        <v>0</v>
      </c>
    </row>
    <row r="38" spans="1:15" s="1413" customFormat="1" ht="12.95" customHeight="1">
      <c r="A38" s="1400"/>
      <c r="B38" s="1401"/>
      <c r="C38" s="1402"/>
      <c r="D38" s="1402"/>
      <c r="E38" s="2014"/>
      <c r="F38" s="2015"/>
      <c r="G38" s="2016" t="s">
        <v>1320</v>
      </c>
      <c r="H38" s="2017"/>
      <c r="I38" s="1405">
        <f>SUM(H35:H37)</f>
        <v>1725000</v>
      </c>
      <c r="J38" s="2014"/>
      <c r="K38" s="2015"/>
      <c r="L38" s="2016"/>
      <c r="M38" s="2017"/>
      <c r="N38" s="1405">
        <f>SUM(M35:M37)</f>
        <v>0</v>
      </c>
      <c r="O38" s="1405">
        <f>SUM(O36:O37)</f>
        <v>1725000</v>
      </c>
    </row>
    <row r="39" spans="1:15" s="1396" customFormat="1" ht="12.95" customHeight="1">
      <c r="A39" s="1424">
        <v>5</v>
      </c>
      <c r="B39" s="1425" t="s">
        <v>1321</v>
      </c>
      <c r="C39" s="1426"/>
      <c r="D39" s="1426"/>
      <c r="E39" s="2031"/>
      <c r="F39" s="2032"/>
      <c r="G39" s="2033"/>
      <c r="H39" s="2034"/>
      <c r="I39" s="1427"/>
      <c r="J39" s="2031"/>
      <c r="K39" s="2032"/>
      <c r="L39" s="2033"/>
      <c r="M39" s="2034"/>
      <c r="N39" s="1427"/>
      <c r="O39" s="1427">
        <f t="shared" si="0"/>
        <v>0</v>
      </c>
    </row>
    <row r="40" spans="1:15" s="1396" customFormat="1" ht="12.95" customHeight="1">
      <c r="A40" s="1389">
        <v>5.0999999999999996</v>
      </c>
      <c r="B40" s="1390" t="s">
        <v>1322</v>
      </c>
      <c r="C40" s="1391"/>
      <c r="D40" s="1392"/>
      <c r="E40" s="2012">
        <v>23</v>
      </c>
      <c r="F40" s="2012" t="s">
        <v>1323</v>
      </c>
      <c r="G40" s="2013">
        <v>50000</v>
      </c>
      <c r="H40" s="1395">
        <f>E40*G40</f>
        <v>1150000</v>
      </c>
      <c r="I40" s="1395"/>
      <c r="J40" s="2012"/>
      <c r="K40" s="2012" t="s">
        <v>1323</v>
      </c>
      <c r="L40" s="2013">
        <v>50000</v>
      </c>
      <c r="M40" s="1395">
        <f>J40*L40</f>
        <v>0</v>
      </c>
      <c r="N40" s="1395"/>
      <c r="O40" s="1395">
        <f t="shared" si="0"/>
        <v>1150000</v>
      </c>
    </row>
    <row r="41" spans="1:15" s="1396" customFormat="1" ht="12.95" customHeight="1">
      <c r="A41" s="1389"/>
      <c r="B41" s="1390"/>
      <c r="C41" s="1391"/>
      <c r="D41" s="1392"/>
      <c r="E41" s="1393"/>
      <c r="F41" s="1393"/>
      <c r="G41" s="1394"/>
      <c r="H41" s="1395"/>
      <c r="I41" s="1395"/>
      <c r="J41" s="1393"/>
      <c r="K41" s="1393"/>
      <c r="L41" s="1394"/>
      <c r="M41" s="1395"/>
      <c r="N41" s="1395"/>
      <c r="O41" s="1395">
        <f t="shared" si="0"/>
        <v>0</v>
      </c>
    </row>
    <row r="42" spans="1:15" s="1396" customFormat="1" ht="12.95" customHeight="1">
      <c r="A42" s="1400"/>
      <c r="B42" s="1401"/>
      <c r="C42" s="1402"/>
      <c r="D42" s="1402"/>
      <c r="E42" s="1403"/>
      <c r="F42" s="1402"/>
      <c r="G42" s="1404" t="s">
        <v>1324</v>
      </c>
      <c r="H42" s="1405"/>
      <c r="I42" s="1405">
        <f>H40</f>
        <v>1150000</v>
      </c>
      <c r="J42" s="1403"/>
      <c r="K42" s="1402"/>
      <c r="L42" s="1404"/>
      <c r="M42" s="1405"/>
      <c r="N42" s="1405">
        <f>M40</f>
        <v>0</v>
      </c>
      <c r="O42" s="1405">
        <f>SUM(O39:O41)</f>
        <v>1150000</v>
      </c>
    </row>
    <row r="43" spans="1:15" s="1440" customFormat="1" ht="12.95" customHeight="1">
      <c r="A43" s="1438"/>
      <c r="B43" s="3327" t="s">
        <v>131</v>
      </c>
      <c r="C43" s="3327"/>
      <c r="D43" s="3327"/>
      <c r="E43" s="3327"/>
      <c r="F43" s="3328"/>
      <c r="G43" s="1439"/>
      <c r="H43" s="1437"/>
      <c r="I43" s="1437">
        <f>SUM(I21,I42,I34,I38,I16)</f>
        <v>6810000</v>
      </c>
      <c r="J43" s="2386"/>
      <c r="K43" s="2387"/>
      <c r="L43" s="2388"/>
      <c r="M43" s="2389"/>
      <c r="N43" s="2389">
        <f>SUM(N21,N42,N34,N38,N16)</f>
        <v>0</v>
      </c>
      <c r="O43" s="2389">
        <f>I43-M43</f>
        <v>6810000</v>
      </c>
    </row>
    <row r="44" spans="1:15" s="1413" customFormat="1" ht="12.95" customHeight="1">
      <c r="A44" s="1428"/>
      <c r="B44" s="1429"/>
      <c r="C44" s="1429"/>
      <c r="D44" s="1429"/>
      <c r="E44" s="1430"/>
      <c r="F44" s="1430"/>
      <c r="G44" s="1431"/>
      <c r="H44" s="1429"/>
      <c r="J44" s="1430"/>
      <c r="K44" s="1430"/>
      <c r="L44" s="1431"/>
      <c r="M44" s="1429"/>
      <c r="O44" s="2390"/>
    </row>
    <row r="45" spans="1:15" s="1413" customFormat="1" ht="12.95" customHeight="1">
      <c r="A45" s="1428"/>
      <c r="B45" s="1429"/>
      <c r="C45" s="1429"/>
      <c r="D45" s="1429"/>
      <c r="E45" s="1430"/>
      <c r="F45" s="1430"/>
      <c r="G45" s="1431"/>
      <c r="H45" s="1429"/>
      <c r="J45" s="1430"/>
      <c r="K45" s="1430"/>
      <c r="L45" s="1431"/>
      <c r="M45" s="1429"/>
    </row>
    <row r="46" spans="1:15" s="1413" customFormat="1" ht="12.95" customHeight="1">
      <c r="A46" s="1428"/>
      <c r="B46" s="1429"/>
      <c r="C46" s="1429"/>
      <c r="D46" s="1429"/>
      <c r="E46" s="1430"/>
      <c r="F46" s="1430"/>
      <c r="G46" s="1431"/>
      <c r="H46" s="1429"/>
      <c r="J46" s="1430"/>
      <c r="K46" s="1430"/>
      <c r="L46" s="1431"/>
      <c r="M46" s="1429"/>
    </row>
    <row r="47" spans="1:15" s="1413" customFormat="1" ht="12.95" customHeight="1">
      <c r="A47" s="1428"/>
      <c r="B47" s="1429"/>
      <c r="C47" s="1429"/>
      <c r="D47" s="1429"/>
      <c r="E47" s="1430"/>
      <c r="F47" s="1430"/>
      <c r="G47" s="1431"/>
      <c r="H47" s="1429"/>
      <c r="J47" s="1430"/>
      <c r="K47" s="1430"/>
      <c r="L47" s="1431"/>
      <c r="M47" s="1429"/>
    </row>
    <row r="48" spans="1:15" s="1413" customFormat="1" ht="12.95" customHeight="1">
      <c r="A48" s="1428"/>
      <c r="B48" s="1429"/>
      <c r="C48" s="1429"/>
      <c r="D48" s="1429"/>
      <c r="E48" s="1430"/>
      <c r="F48" s="1430"/>
      <c r="G48" s="1431"/>
      <c r="H48" s="1429"/>
      <c r="J48" s="1430"/>
      <c r="K48" s="1430"/>
      <c r="L48" s="1431"/>
      <c r="M48" s="1429"/>
    </row>
    <row r="49" spans="1:14" s="1413" customFormat="1" ht="12.95" customHeight="1">
      <c r="A49" s="1428"/>
      <c r="B49" s="1429"/>
      <c r="C49" s="1429"/>
      <c r="D49" s="1429"/>
      <c r="E49" s="1430"/>
      <c r="F49" s="1430"/>
      <c r="G49" s="1431"/>
      <c r="H49" s="1429"/>
      <c r="J49" s="1430"/>
      <c r="K49" s="1430"/>
      <c r="L49" s="1431"/>
      <c r="M49" s="1429"/>
    </row>
    <row r="50" spans="1:14" s="1413" customFormat="1" ht="12.95" customHeight="1">
      <c r="A50" s="1428"/>
      <c r="B50" s="1429"/>
      <c r="C50" s="1429"/>
      <c r="D50" s="1429"/>
      <c r="E50" s="1430"/>
      <c r="F50" s="1430"/>
      <c r="G50" s="1431"/>
      <c r="H50" s="1429"/>
      <c r="J50" s="1430"/>
      <c r="K50" s="1430"/>
      <c r="L50" s="1431"/>
      <c r="M50" s="1429"/>
    </row>
    <row r="51" spans="1:14" s="1413" customFormat="1" ht="12.95" customHeight="1">
      <c r="A51" s="1428"/>
      <c r="B51" s="1429"/>
      <c r="C51" s="1429"/>
      <c r="D51" s="1429"/>
      <c r="E51" s="1430"/>
      <c r="F51" s="1430"/>
      <c r="G51" s="1431"/>
      <c r="H51" s="1429"/>
      <c r="J51" s="1430"/>
      <c r="K51" s="1430"/>
      <c r="L51" s="1431"/>
      <c r="M51" s="1429"/>
    </row>
    <row r="52" spans="1:14" s="1413" customFormat="1" ht="12.95" customHeight="1">
      <c r="A52" s="1428"/>
      <c r="B52" s="1429"/>
      <c r="C52" s="1429"/>
      <c r="D52" s="1429"/>
      <c r="E52" s="1430"/>
      <c r="F52" s="1430"/>
      <c r="G52" s="1431"/>
      <c r="H52" s="1429"/>
      <c r="J52" s="1430"/>
      <c r="K52" s="1430"/>
      <c r="L52" s="1431"/>
      <c r="M52" s="1429"/>
    </row>
    <row r="53" spans="1:14" s="1413" customFormat="1" ht="12.95" customHeight="1">
      <c r="A53" s="1428"/>
      <c r="B53" s="1429"/>
      <c r="C53" s="1429"/>
      <c r="D53" s="1429"/>
      <c r="E53" s="1430"/>
      <c r="F53" s="1430"/>
      <c r="G53" s="1431"/>
      <c r="H53" s="1429"/>
      <c r="J53" s="1430"/>
      <c r="K53" s="1430"/>
      <c r="L53" s="1431"/>
      <c r="M53" s="1429"/>
    </row>
    <row r="54" spans="1:14" s="1413" customFormat="1" ht="12.95" customHeight="1">
      <c r="A54" s="1428"/>
      <c r="B54" s="1429"/>
      <c r="C54" s="1429"/>
      <c r="D54" s="1429"/>
      <c r="E54" s="1430"/>
      <c r="F54" s="1430"/>
      <c r="G54" s="1431"/>
      <c r="H54" s="1429"/>
      <c r="J54" s="1430"/>
      <c r="K54" s="1430"/>
      <c r="L54" s="1431"/>
      <c r="M54" s="1429"/>
    </row>
    <row r="55" spans="1:14" s="1413" customFormat="1" ht="18" customHeight="1">
      <c r="A55" s="1428"/>
      <c r="B55" s="1429"/>
      <c r="C55" s="1429"/>
      <c r="D55" s="1429"/>
      <c r="E55" s="1430"/>
      <c r="F55" s="1430"/>
      <c r="G55" s="1431"/>
      <c r="H55" s="1429"/>
      <c r="J55" s="1430"/>
      <c r="K55" s="1430"/>
      <c r="L55" s="1431"/>
      <c r="M55" s="1429"/>
    </row>
    <row r="56" spans="1:14" s="1413" customFormat="1" ht="12">
      <c r="A56" s="1428"/>
      <c r="B56" s="1429"/>
      <c r="C56" s="1429"/>
      <c r="D56" s="1429"/>
      <c r="E56" s="1430"/>
      <c r="F56" s="1430"/>
      <c r="G56" s="1431"/>
      <c r="H56" s="1429"/>
      <c r="J56" s="1430"/>
      <c r="K56" s="1430"/>
      <c r="L56" s="1431"/>
      <c r="M56" s="1429"/>
    </row>
    <row r="64" spans="1:14" s="1433" customFormat="1" hidden="1">
      <c r="A64" s="1432"/>
      <c r="E64" s="1434"/>
      <c r="F64" s="1434"/>
      <c r="G64" s="1385"/>
      <c r="I64" s="1378"/>
      <c r="J64" s="1434"/>
      <c r="K64" s="1434"/>
      <c r="L64" s="1385"/>
      <c r="N64" s="1378"/>
    </row>
    <row r="83" spans="7:13">
      <c r="G83" s="1435"/>
      <c r="H83" s="1436"/>
      <c r="L83" s="1435"/>
      <c r="M83" s="1436"/>
    </row>
    <row r="84" spans="7:13">
      <c r="G84" s="1435"/>
      <c r="H84" s="1436"/>
      <c r="L84" s="1435"/>
      <c r="M84" s="1436"/>
    </row>
    <row r="85" spans="7:13">
      <c r="G85" s="1435"/>
      <c r="H85" s="1436"/>
      <c r="L85" s="1435"/>
      <c r="M85" s="1436"/>
    </row>
    <row r="86" spans="7:13">
      <c r="G86" s="1435"/>
      <c r="H86" s="1436"/>
      <c r="L86" s="1435"/>
      <c r="M86" s="1436"/>
    </row>
  </sheetData>
  <customSheetViews>
    <customSheetView guid="{0F09EDAE-127A-4543-88A5-04139BD32AD8}" hiddenRows="1">
      <selection activeCell="I56" sqref="A1:I56"/>
      <pageMargins left="0.5" right="0.5" top="0.5" bottom="0.5" header="0.3" footer="0.45"/>
      <pageSetup paperSize="5" scale="85" orientation="portrait" horizontalDpi="4294967293" verticalDpi="4294967293" r:id="rId1"/>
      <headerFooter scaleWithDoc="0" alignWithMargins="0">
        <oddFooter>&amp;CPage &amp;P of &amp;N</oddFooter>
      </headerFooter>
    </customSheetView>
    <customSheetView guid="{C05430D3-5A25-4A4C-823C-7D6EA772E5F0}" showPageBreaks="1" hiddenRows="1">
      <selection activeCell="I56" sqref="A1:I56"/>
      <pageMargins left="0.5" right="0.5" top="0.5" bottom="0.5" header="0.3" footer="0.45"/>
      <pageSetup paperSize="5" scale="85" orientation="portrait" horizontalDpi="4294967293" verticalDpi="4294967293" r:id="rId2"/>
      <headerFooter scaleWithDoc="0" alignWithMargins="0">
        <oddFooter>&amp;CPage &amp;P of &amp;N</oddFooter>
      </headerFooter>
    </customSheetView>
  </customSheetViews>
  <mergeCells count="20">
    <mergeCell ref="O10:O12"/>
    <mergeCell ref="M7:N8"/>
    <mergeCell ref="J11:J12"/>
    <mergeCell ref="K11:K12"/>
    <mergeCell ref="L11:L12"/>
    <mergeCell ref="M11:M12"/>
    <mergeCell ref="N11:N12"/>
    <mergeCell ref="J10:N10"/>
    <mergeCell ref="A13:D13"/>
    <mergeCell ref="B43:F43"/>
    <mergeCell ref="A1:I1"/>
    <mergeCell ref="A2:I2"/>
    <mergeCell ref="H7:I8"/>
    <mergeCell ref="E11:E12"/>
    <mergeCell ref="F11:F12"/>
    <mergeCell ref="G11:G12"/>
    <mergeCell ref="H11:H12"/>
    <mergeCell ref="I11:I12"/>
    <mergeCell ref="E10:I10"/>
    <mergeCell ref="A10:D12"/>
  </mergeCells>
  <pageMargins left="0.5" right="0.5" top="0.5" bottom="0.5" header="0.3" footer="0.45"/>
  <pageSetup paperSize="5" scale="85" orientation="portrait" horizontalDpi="4294967293" verticalDpi="4294967293" r:id="rId3"/>
  <headerFooter scaleWithDoc="0" alignWithMargins="0">
    <oddFooter>&amp;CPage &amp;P of &amp;N</oddFooter>
  </headerFooter>
  <drawing r:id="rId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50"/>
  </sheetPr>
  <dimension ref="A1:N29"/>
  <sheetViews>
    <sheetView workbookViewId="0">
      <selection sqref="A1:N1"/>
    </sheetView>
  </sheetViews>
  <sheetFormatPr defaultRowHeight="15"/>
  <cols>
    <col min="1" max="1" width="4.7109375" customWidth="1"/>
    <col min="2" max="2" width="46.5703125" bestFit="1" customWidth="1"/>
    <col min="3" max="3" width="1.5703125" bestFit="1" customWidth="1"/>
    <col min="4" max="4" width="8.28515625" customWidth="1"/>
    <col min="5" max="5" width="8" customWidth="1"/>
    <col min="6" max="6" width="10.85546875" customWidth="1"/>
    <col min="7" max="7" width="13" customWidth="1"/>
    <col min="8" max="8" width="14.5703125" customWidth="1"/>
    <col min="9" max="9" width="8.28515625" customWidth="1"/>
    <col min="10" max="10" width="8" customWidth="1"/>
    <col min="11" max="11" width="10.85546875" customWidth="1"/>
    <col min="12" max="12" width="13" customWidth="1"/>
    <col min="13" max="13" width="14.5703125" customWidth="1"/>
    <col min="14" max="14" width="11.5703125" customWidth="1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/>
      <c r="L4" s="277"/>
      <c r="M4" s="277"/>
    </row>
    <row r="5" spans="1:14">
      <c r="A5" s="278"/>
      <c r="B5" s="279"/>
      <c r="C5" s="281"/>
      <c r="D5" s="279"/>
      <c r="E5" s="279"/>
      <c r="F5" s="947"/>
      <c r="G5" s="279"/>
      <c r="H5" s="264"/>
      <c r="I5" s="279"/>
      <c r="J5" s="279"/>
      <c r="K5" s="947"/>
      <c r="L5" s="279"/>
      <c r="M5" s="264"/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/>
      <c r="L6" s="351"/>
      <c r="M6" s="351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51"/>
      <c r="M7" s="351"/>
    </row>
    <row r="8" spans="1:14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</row>
    <row r="9" spans="1:14" ht="15" customHeight="1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</row>
    <row r="10" spans="1:14">
      <c r="A10" s="2980" t="s">
        <v>110</v>
      </c>
      <c r="B10" s="2980"/>
      <c r="C10" s="281" t="s">
        <v>46</v>
      </c>
      <c r="D10" s="2988">
        <f>M19</f>
        <v>0</v>
      </c>
      <c r="E10" s="2988"/>
      <c r="F10" s="689"/>
      <c r="G10" s="282"/>
      <c r="H10" s="282"/>
      <c r="I10" s="2988"/>
      <c r="J10" s="2988"/>
      <c r="K10" s="2136"/>
      <c r="L10" s="282"/>
      <c r="M10" s="282"/>
    </row>
    <row r="11" spans="1:14" ht="15" customHeight="1">
      <c r="A11" s="3296" t="s">
        <v>1</v>
      </c>
      <c r="B11" s="3296"/>
      <c r="C11" s="3296"/>
      <c r="D11" s="3310" t="s">
        <v>1523</v>
      </c>
      <c r="E11" s="3310"/>
      <c r="F11" s="3310"/>
      <c r="G11" s="3310"/>
      <c r="H11" s="3310"/>
      <c r="I11" s="3310" t="s">
        <v>1522</v>
      </c>
      <c r="J11" s="3310"/>
      <c r="K11" s="3310"/>
      <c r="L11" s="3310"/>
      <c r="M11" s="3310"/>
      <c r="N11" s="3296" t="s">
        <v>1541</v>
      </c>
    </row>
    <row r="12" spans="1:14" ht="15" customHeight="1">
      <c r="A12" s="3296"/>
      <c r="B12" s="3296"/>
      <c r="C12" s="3296"/>
      <c r="D12" s="3296" t="s">
        <v>60</v>
      </c>
      <c r="E12" s="3296" t="s">
        <v>97</v>
      </c>
      <c r="F12" s="3296" t="s">
        <v>112</v>
      </c>
      <c r="G12" s="3296" t="s">
        <v>113</v>
      </c>
      <c r="H12" s="3296" t="s">
        <v>114</v>
      </c>
      <c r="I12" s="3296" t="s">
        <v>60</v>
      </c>
      <c r="J12" s="3296" t="s">
        <v>97</v>
      </c>
      <c r="K12" s="3296" t="s">
        <v>112</v>
      </c>
      <c r="L12" s="3296" t="s">
        <v>113</v>
      </c>
      <c r="M12" s="3296" t="s">
        <v>114</v>
      </c>
      <c r="N12" s="3296"/>
    </row>
    <row r="13" spans="1:14">
      <c r="A13" s="3296"/>
      <c r="B13" s="3296"/>
      <c r="C13" s="3296"/>
      <c r="D13" s="3296"/>
      <c r="E13" s="3296"/>
      <c r="F13" s="3296"/>
      <c r="G13" s="3296"/>
      <c r="H13" s="3296"/>
      <c r="I13" s="3296"/>
      <c r="J13" s="3296"/>
      <c r="K13" s="3296"/>
      <c r="L13" s="3296"/>
      <c r="M13" s="3296"/>
      <c r="N13" s="3296"/>
    </row>
    <row r="14" spans="1:14">
      <c r="A14" s="3296"/>
      <c r="B14" s="3296"/>
      <c r="C14" s="3296"/>
      <c r="D14" s="3296"/>
      <c r="E14" s="3296"/>
      <c r="F14" s="3296"/>
      <c r="G14" s="3296"/>
      <c r="H14" s="3296"/>
      <c r="I14" s="3296"/>
      <c r="J14" s="3296"/>
      <c r="K14" s="3296"/>
      <c r="L14" s="3296"/>
      <c r="M14" s="3296"/>
      <c r="N14" s="3296"/>
    </row>
    <row r="15" spans="1:14">
      <c r="A15" s="944">
        <v>1</v>
      </c>
      <c r="B15" s="3294" t="s">
        <v>1157</v>
      </c>
      <c r="C15" s="3294"/>
      <c r="D15" s="955"/>
      <c r="E15" s="956"/>
      <c r="F15" s="955"/>
      <c r="G15" s="957"/>
      <c r="H15" s="957"/>
      <c r="I15" s="955"/>
      <c r="J15" s="956"/>
      <c r="K15" s="955"/>
      <c r="L15" s="957"/>
      <c r="M15" s="957"/>
      <c r="N15" s="957"/>
    </row>
    <row r="16" spans="1:14">
      <c r="A16" s="2327" t="s">
        <v>115</v>
      </c>
      <c r="B16" s="3333" t="s">
        <v>1160</v>
      </c>
      <c r="C16" s="3333"/>
      <c r="D16" s="2359">
        <v>1</v>
      </c>
      <c r="E16" s="2355" t="s">
        <v>1158</v>
      </c>
      <c r="F16" s="2331">
        <v>600000</v>
      </c>
      <c r="G16" s="2331">
        <f>+F16*D16</f>
        <v>600000</v>
      </c>
      <c r="H16" s="2332"/>
      <c r="I16" s="2331"/>
      <c r="J16" s="2355" t="s">
        <v>1158</v>
      </c>
      <c r="K16" s="2331">
        <v>600000</v>
      </c>
      <c r="L16" s="2331">
        <f>+K16*I16</f>
        <v>0</v>
      </c>
      <c r="M16" s="2332"/>
      <c r="N16" s="2332">
        <f>G16-L16</f>
        <v>600000</v>
      </c>
    </row>
    <row r="17" spans="1:14">
      <c r="A17" s="2334" t="s">
        <v>117</v>
      </c>
      <c r="B17" s="3334" t="s">
        <v>1159</v>
      </c>
      <c r="C17" s="3334"/>
      <c r="D17" s="2356">
        <v>1</v>
      </c>
      <c r="E17" s="2357" t="s">
        <v>1158</v>
      </c>
      <c r="F17" s="2358">
        <v>600000</v>
      </c>
      <c r="G17" s="2338">
        <f>+F17*D17</f>
        <v>600000</v>
      </c>
      <c r="H17" s="2338"/>
      <c r="I17" s="2356"/>
      <c r="J17" s="2357" t="s">
        <v>1158</v>
      </c>
      <c r="K17" s="2358">
        <v>600000</v>
      </c>
      <c r="L17" s="2338">
        <f>+K17*I17</f>
        <v>0</v>
      </c>
      <c r="M17" s="2338"/>
      <c r="N17" s="2338">
        <f t="shared" ref="N17:N19" si="0">G17-L17</f>
        <v>600000</v>
      </c>
    </row>
    <row r="18" spans="1:14">
      <c r="A18" s="3299" t="s">
        <v>99</v>
      </c>
      <c r="B18" s="3299"/>
      <c r="C18" s="3299"/>
      <c r="D18" s="3299"/>
      <c r="E18" s="3299"/>
      <c r="F18" s="3299"/>
      <c r="G18" s="2342">
        <f>SUM(G16:G17)</f>
        <v>1200000</v>
      </c>
      <c r="H18" s="2342">
        <f>G18</f>
        <v>1200000</v>
      </c>
      <c r="I18" s="2341"/>
      <c r="J18" s="2341"/>
      <c r="K18" s="2341"/>
      <c r="L18" s="2342">
        <f>SUM(L16:L17)</f>
        <v>0</v>
      </c>
      <c r="M18" s="2342">
        <f>L18</f>
        <v>0</v>
      </c>
      <c r="N18" s="2342">
        <f t="shared" si="0"/>
        <v>1200000</v>
      </c>
    </row>
    <row r="19" spans="1:14">
      <c r="A19" s="3299" t="s">
        <v>131</v>
      </c>
      <c r="B19" s="3299"/>
      <c r="C19" s="3299"/>
      <c r="D19" s="3299"/>
      <c r="E19" s="3299"/>
      <c r="F19" s="3299"/>
      <c r="G19" s="2326">
        <f>G18</f>
        <v>1200000</v>
      </c>
      <c r="H19" s="2326">
        <f>SUM(H15:H18)</f>
        <v>1200000</v>
      </c>
      <c r="I19" s="2341"/>
      <c r="J19" s="2341"/>
      <c r="K19" s="2341"/>
      <c r="L19" s="2326">
        <f>L18</f>
        <v>0</v>
      </c>
      <c r="M19" s="2326">
        <f>SUM(M15:M18)</f>
        <v>0</v>
      </c>
      <c r="N19" s="2326">
        <f t="shared" si="0"/>
        <v>1200000</v>
      </c>
    </row>
    <row r="20" spans="1:14">
      <c r="A20" s="28"/>
      <c r="B20" s="40"/>
      <c r="C20" s="40"/>
      <c r="D20" s="40"/>
      <c r="E20" s="40"/>
      <c r="F20" s="40"/>
      <c r="G20" s="40"/>
      <c r="I20" s="40"/>
      <c r="J20" s="40"/>
      <c r="K20" s="40"/>
      <c r="L20" s="40"/>
    </row>
    <row r="21" spans="1:14">
      <c r="A21" s="327"/>
      <c r="B21" s="263"/>
      <c r="C21" s="263"/>
      <c r="D21" s="263"/>
      <c r="E21" s="263"/>
      <c r="F21" s="263"/>
      <c r="G21" s="263"/>
      <c r="H21" s="328"/>
      <c r="I21" s="263"/>
      <c r="J21" s="263"/>
      <c r="K21" s="263"/>
      <c r="L21" s="263"/>
      <c r="M21" s="328"/>
    </row>
    <row r="22" spans="1:14">
      <c r="A22" s="2962"/>
      <c r="B22" s="2962"/>
      <c r="C22" s="949"/>
      <c r="D22" s="2962"/>
      <c r="E22" s="2962"/>
      <c r="F22" s="2962"/>
      <c r="G22" s="2962"/>
      <c r="H22" s="275"/>
      <c r="I22" s="2962"/>
      <c r="J22" s="2962"/>
      <c r="K22" s="2962"/>
      <c r="L22" s="2962"/>
      <c r="M22" s="275"/>
    </row>
    <row r="23" spans="1:14">
      <c r="A23" s="2962"/>
      <c r="B23" s="2962"/>
      <c r="C23" s="949"/>
      <c r="D23" s="2962"/>
      <c r="E23" s="2962"/>
      <c r="F23" s="2962"/>
      <c r="G23" s="2962"/>
      <c r="H23" s="275"/>
      <c r="I23" s="2962"/>
      <c r="J23" s="2962"/>
      <c r="K23" s="2962"/>
      <c r="L23" s="2962"/>
      <c r="M23" s="275"/>
    </row>
    <row r="24" spans="1:14">
      <c r="A24" s="306"/>
      <c r="B24" s="949"/>
      <c r="C24" s="949"/>
      <c r="D24" s="307"/>
      <c r="E24" s="308"/>
      <c r="F24" s="953"/>
      <c r="G24" s="308"/>
      <c r="H24" s="328"/>
      <c r="I24" s="307"/>
      <c r="J24" s="308"/>
      <c r="K24" s="953"/>
      <c r="L24" s="308"/>
      <c r="M24" s="328"/>
    </row>
    <row r="25" spans="1:14">
      <c r="A25" s="306"/>
      <c r="B25" s="949"/>
      <c r="C25" s="949"/>
      <c r="D25" s="949"/>
      <c r="E25" s="308"/>
      <c r="F25" s="308"/>
      <c r="G25" s="308"/>
      <c r="H25" s="328"/>
      <c r="I25" s="2137"/>
      <c r="J25" s="308"/>
      <c r="K25" s="308"/>
      <c r="L25" s="308"/>
      <c r="M25" s="328"/>
    </row>
    <row r="26" spans="1:14">
      <c r="A26" s="306"/>
      <c r="B26" s="307"/>
      <c r="C26" s="307"/>
      <c r="D26" s="308"/>
      <c r="E26" s="308"/>
      <c r="F26" s="308"/>
      <c r="G26" s="308"/>
      <c r="H26" s="328"/>
      <c r="I26" s="308"/>
      <c r="J26" s="308"/>
      <c r="K26" s="308"/>
      <c r="L26" s="308"/>
      <c r="M26" s="328"/>
    </row>
    <row r="27" spans="1:14">
      <c r="A27" s="306"/>
      <c r="B27" s="307"/>
      <c r="C27" s="307"/>
      <c r="D27" s="308"/>
      <c r="E27" s="308"/>
      <c r="F27" s="308"/>
      <c r="G27" s="308"/>
      <c r="H27" s="328"/>
      <c r="I27" s="308"/>
      <c r="J27" s="308"/>
      <c r="K27" s="308"/>
      <c r="L27" s="308"/>
      <c r="M27" s="328"/>
    </row>
    <row r="28" spans="1:14">
      <c r="A28" s="2963"/>
      <c r="B28" s="2963"/>
      <c r="C28" s="950"/>
      <c r="D28" s="2963"/>
      <c r="E28" s="2963"/>
      <c r="F28" s="2963"/>
      <c r="G28" s="2963"/>
      <c r="H28" s="432"/>
      <c r="I28" s="2963"/>
      <c r="J28" s="2963"/>
      <c r="K28" s="2963"/>
      <c r="L28" s="2963"/>
      <c r="M28" s="432"/>
    </row>
    <row r="29" spans="1:14">
      <c r="A29" s="306"/>
      <c r="B29" s="949"/>
      <c r="C29" s="949"/>
      <c r="D29" s="2962"/>
      <c r="E29" s="2962"/>
      <c r="F29" s="2962"/>
      <c r="G29" s="2962"/>
      <c r="H29" s="328"/>
      <c r="I29" s="2962"/>
      <c r="J29" s="2962"/>
      <c r="K29" s="2962"/>
      <c r="L29" s="2962"/>
      <c r="M29" s="328"/>
    </row>
  </sheetData>
  <customSheetViews>
    <customSheetView guid="{0F09EDAE-127A-4543-88A5-04139BD32AD8}" showPageBreaks="1" printArea="1" topLeftCell="A13">
      <selection activeCell="N32" sqref="N32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howPageBreaks="1" printArea="1">
      <selection activeCell="N32" sqref="N32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36">
    <mergeCell ref="N11:N14"/>
    <mergeCell ref="A1:N1"/>
    <mergeCell ref="A2:N2"/>
    <mergeCell ref="M12:M14"/>
    <mergeCell ref="I22:L22"/>
    <mergeCell ref="A18:F18"/>
    <mergeCell ref="D12:D14"/>
    <mergeCell ref="E12:E14"/>
    <mergeCell ref="F12:F14"/>
    <mergeCell ref="B15:C15"/>
    <mergeCell ref="B16:C16"/>
    <mergeCell ref="B17:C17"/>
    <mergeCell ref="A11:C14"/>
    <mergeCell ref="G12:G14"/>
    <mergeCell ref="H12:H14"/>
    <mergeCell ref="A3:H3"/>
    <mergeCell ref="I23:L23"/>
    <mergeCell ref="I28:L28"/>
    <mergeCell ref="I29:L29"/>
    <mergeCell ref="I10:J10"/>
    <mergeCell ref="I12:I14"/>
    <mergeCell ref="J12:J14"/>
    <mergeCell ref="K12:K14"/>
    <mergeCell ref="L12:L14"/>
    <mergeCell ref="I11:M11"/>
    <mergeCell ref="A10:B10"/>
    <mergeCell ref="D10:E10"/>
    <mergeCell ref="D11:H11"/>
    <mergeCell ref="D29:G29"/>
    <mergeCell ref="A19:F19"/>
    <mergeCell ref="A23:B23"/>
    <mergeCell ref="A28:B28"/>
    <mergeCell ref="A22:B22"/>
    <mergeCell ref="D22:G22"/>
    <mergeCell ref="D23:G23"/>
    <mergeCell ref="D28:G28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50"/>
  </sheetPr>
  <dimension ref="A1:O30"/>
  <sheetViews>
    <sheetView workbookViewId="0">
      <selection sqref="A1:H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9.42578125" customWidth="1"/>
    <col min="5" max="5" width="8" customWidth="1"/>
    <col min="6" max="6" width="10.85546875" customWidth="1"/>
    <col min="7" max="7" width="13" customWidth="1"/>
    <col min="8" max="8" width="14.7109375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H20</f>
        <v>2400000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58">
        <v>1</v>
      </c>
      <c r="B16" s="54" t="s">
        <v>237</v>
      </c>
      <c r="C16" s="34"/>
      <c r="D16" s="37"/>
      <c r="E16" s="35"/>
      <c r="F16" s="32"/>
      <c r="G16" s="39"/>
      <c r="H16" s="49"/>
    </row>
    <row r="17" spans="1:15">
      <c r="A17" s="58" t="s">
        <v>115</v>
      </c>
      <c r="B17" s="73" t="s">
        <v>238</v>
      </c>
      <c r="C17" s="34"/>
      <c r="D17" s="37">
        <v>12</v>
      </c>
      <c r="E17" s="35" t="s">
        <v>116</v>
      </c>
      <c r="F17" s="32">
        <v>200000</v>
      </c>
      <c r="G17" s="30">
        <f>+F17*D17</f>
        <v>2400000</v>
      </c>
      <c r="H17" s="52"/>
    </row>
    <row r="18" spans="1:15">
      <c r="A18" s="58"/>
      <c r="B18" s="64"/>
      <c r="C18" s="34"/>
      <c r="D18" s="67"/>
      <c r="E18" s="68"/>
      <c r="F18" s="69"/>
      <c r="G18" s="32"/>
      <c r="H18" s="46"/>
    </row>
    <row r="19" spans="1:15" ht="15.75" thickBot="1">
      <c r="A19" s="3304" t="s">
        <v>98</v>
      </c>
      <c r="B19" s="3292"/>
      <c r="C19" s="3292"/>
      <c r="D19" s="3292"/>
      <c r="E19" s="3292"/>
      <c r="F19" s="3293"/>
      <c r="G19" s="38">
        <f>SUM(G17:G18)</f>
        <v>2400000</v>
      </c>
      <c r="H19" s="47">
        <f>G19</f>
        <v>2400000</v>
      </c>
    </row>
    <row r="20" spans="1:15" ht="15.75" thickBot="1">
      <c r="A20" s="3289" t="s">
        <v>131</v>
      </c>
      <c r="B20" s="3290"/>
      <c r="C20" s="3290"/>
      <c r="D20" s="3290"/>
      <c r="E20" s="3290"/>
      <c r="F20" s="3290"/>
      <c r="G20" s="50">
        <f>G19</f>
        <v>2400000</v>
      </c>
      <c r="H20" s="50">
        <f>SUM(H16:H19)</f>
        <v>2400000</v>
      </c>
      <c r="O20" t="s">
        <v>21</v>
      </c>
    </row>
    <row r="21" spans="1:15">
      <c r="A21" s="28"/>
      <c r="B21" s="40"/>
      <c r="C21" s="40"/>
      <c r="D21" s="40"/>
      <c r="E21" s="40"/>
      <c r="F21" s="40"/>
      <c r="G21" s="40"/>
    </row>
    <row r="22" spans="1:15">
      <c r="A22" s="327"/>
      <c r="B22" s="263"/>
      <c r="C22" s="263"/>
      <c r="D22" s="263"/>
      <c r="E22" s="263"/>
      <c r="F22" s="263"/>
      <c r="G22" s="263"/>
      <c r="H22" s="328"/>
    </row>
    <row r="23" spans="1:15">
      <c r="A23" s="2962"/>
      <c r="B23" s="2962"/>
      <c r="C23" s="949"/>
      <c r="D23" s="2962"/>
      <c r="E23" s="2962"/>
      <c r="F23" s="2962"/>
      <c r="G23" s="2962"/>
      <c r="H23" s="275"/>
    </row>
    <row r="24" spans="1:15">
      <c r="A24" s="2962"/>
      <c r="B24" s="2962"/>
      <c r="C24" s="949"/>
      <c r="D24" s="2962"/>
      <c r="E24" s="2962"/>
      <c r="F24" s="2962"/>
      <c r="G24" s="2962"/>
      <c r="H24" s="275"/>
    </row>
    <row r="25" spans="1:15">
      <c r="A25" s="306"/>
      <c r="B25" s="949"/>
      <c r="C25" s="949"/>
      <c r="D25" s="307"/>
      <c r="E25" s="308"/>
      <c r="F25" s="953"/>
      <c r="G25" s="308"/>
      <c r="H25" s="328"/>
    </row>
    <row r="26" spans="1:15">
      <c r="A26" s="306"/>
      <c r="B26" s="949"/>
      <c r="C26" s="949"/>
      <c r="D26" s="949"/>
      <c r="E26" s="308"/>
      <c r="F26" s="308"/>
      <c r="G26" s="308"/>
      <c r="H26" s="328"/>
    </row>
    <row r="27" spans="1:15">
      <c r="A27" s="306"/>
      <c r="B27" s="307"/>
      <c r="C27" s="307"/>
      <c r="D27" s="308"/>
      <c r="E27" s="308"/>
      <c r="F27" s="308"/>
      <c r="G27" s="308"/>
      <c r="H27" s="328"/>
      <c r="N27" t="s">
        <v>21</v>
      </c>
    </row>
    <row r="28" spans="1:15">
      <c r="A28" s="306"/>
      <c r="B28" s="307"/>
      <c r="C28" s="307"/>
      <c r="D28" s="308"/>
      <c r="E28" s="308"/>
      <c r="F28" s="308"/>
      <c r="G28" s="308"/>
      <c r="H28" s="328"/>
    </row>
    <row r="29" spans="1:15">
      <c r="A29" s="2963"/>
      <c r="B29" s="2963"/>
      <c r="C29" s="950"/>
      <c r="D29" s="2963"/>
      <c r="E29" s="2963"/>
      <c r="F29" s="2963"/>
      <c r="G29" s="2963"/>
      <c r="H29" s="432"/>
    </row>
    <row r="30" spans="1:15">
      <c r="A30" s="306"/>
      <c r="B30" s="949"/>
      <c r="C30" s="949"/>
      <c r="D30" s="2962"/>
      <c r="E30" s="2962"/>
      <c r="F30" s="2962"/>
      <c r="G30" s="2962"/>
      <c r="H30" s="328"/>
    </row>
  </sheetData>
  <customSheetViews>
    <customSheetView guid="{0F09EDAE-127A-4543-88A5-04139BD32AD8}" showPageBreaks="1" printArea="1" topLeftCell="A9">
      <selection sqref="A1:H30"/>
      <pageMargins left="0.70866141732283472" right="0.70866141732283472" top="0.74803149606299213" bottom="0.74803149606299213" header="0.31496062992125984" footer="0.31496062992125984"/>
      <printOptions horizontalCentered="1"/>
      <pageSetup paperSize="5" scale="89" orientation="portrait" r:id="rId1"/>
    </customSheetView>
    <customSheetView guid="{C05430D3-5A25-4A4C-823C-7D6EA772E5F0}" showPageBreaks="1" printArea="1" topLeftCell="A9">
      <selection sqref="A1:H30"/>
      <pageMargins left="0.70866141732283472" right="0.70866141732283472" top="0.74803149606299213" bottom="0.74803149606299213" header="0.31496062992125984" footer="0.31496062992125984"/>
      <printOptions horizontalCentered="1"/>
      <pageSetup paperSize="5" scale="89" orientation="portrait" r:id="rId2"/>
    </customSheetView>
  </customSheetViews>
  <mergeCells count="21">
    <mergeCell ref="D30:G30"/>
    <mergeCell ref="A29:B29"/>
    <mergeCell ref="A2:H2"/>
    <mergeCell ref="D12:E12"/>
    <mergeCell ref="A20:F20"/>
    <mergeCell ref="G13:G15"/>
    <mergeCell ref="H13:H15"/>
    <mergeCell ref="D13:D15"/>
    <mergeCell ref="E13:E15"/>
    <mergeCell ref="F13:F15"/>
    <mergeCell ref="A13:C15"/>
    <mergeCell ref="A19:F19"/>
    <mergeCell ref="A3:H3"/>
    <mergeCell ref="A11:B11"/>
    <mergeCell ref="D11:E11"/>
    <mergeCell ref="D29:G29"/>
    <mergeCell ref="A1:H1"/>
    <mergeCell ref="A23:B23"/>
    <mergeCell ref="A24:B24"/>
    <mergeCell ref="D23:G23"/>
    <mergeCell ref="D24:G24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9" orientation="portrait" r:id="rId3"/>
  <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00B050"/>
  </sheetPr>
  <dimension ref="A1:N31"/>
  <sheetViews>
    <sheetView workbookViewId="0">
      <selection sqref="A1:H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9.42578125" customWidth="1"/>
    <col min="5" max="5" width="8" customWidth="1"/>
    <col min="6" max="6" width="10.85546875" customWidth="1"/>
    <col min="7" max="7" width="13" customWidth="1"/>
    <col min="8" max="8" width="14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H20</f>
        <v>3900000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8">
      <c r="A14" s="3274"/>
      <c r="B14" s="3275"/>
      <c r="C14" s="3276"/>
      <c r="D14" s="3281"/>
      <c r="E14" s="3281"/>
      <c r="F14" s="3284"/>
      <c r="G14" s="3269"/>
      <c r="H14" s="3269"/>
    </row>
    <row r="15" spans="1:8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8">
      <c r="A16" s="58">
        <v>1</v>
      </c>
      <c r="B16" s="54" t="s">
        <v>194</v>
      </c>
      <c r="C16" s="34"/>
      <c r="D16" s="37"/>
      <c r="E16" s="35"/>
      <c r="F16" s="32"/>
      <c r="G16" s="39"/>
      <c r="H16" s="49"/>
    </row>
    <row r="17" spans="1:14">
      <c r="A17" s="58" t="s">
        <v>115</v>
      </c>
      <c r="B17" s="64" t="s">
        <v>177</v>
      </c>
      <c r="C17" s="34"/>
      <c r="D17" s="67">
        <v>12</v>
      </c>
      <c r="E17" s="35" t="s">
        <v>116</v>
      </c>
      <c r="F17" s="69">
        <v>175000</v>
      </c>
      <c r="G17" s="30">
        <f>+F17*D17</f>
        <v>2100000</v>
      </c>
      <c r="H17" s="48"/>
    </row>
    <row r="18" spans="1:14">
      <c r="A18" s="58" t="s">
        <v>117</v>
      </c>
      <c r="B18" s="64" t="s">
        <v>178</v>
      </c>
      <c r="C18" s="34"/>
      <c r="D18" s="67">
        <v>12</v>
      </c>
      <c r="E18" s="35" t="s">
        <v>116</v>
      </c>
      <c r="F18" s="69">
        <v>150000</v>
      </c>
      <c r="G18" s="32">
        <f>+F18*D18</f>
        <v>1800000</v>
      </c>
      <c r="H18" s="46"/>
    </row>
    <row r="19" spans="1:14">
      <c r="A19" s="58"/>
      <c r="B19" s="70"/>
      <c r="C19" s="34"/>
      <c r="D19" s="67"/>
      <c r="E19" s="35"/>
      <c r="F19" s="69"/>
      <c r="G19" s="32"/>
      <c r="H19" s="46"/>
    </row>
    <row r="20" spans="1:14" ht="15.75" thickBot="1">
      <c r="A20" s="3304" t="s">
        <v>98</v>
      </c>
      <c r="B20" s="3292"/>
      <c r="C20" s="3292"/>
      <c r="D20" s="3292"/>
      <c r="E20" s="3292"/>
      <c r="F20" s="3293"/>
      <c r="G20" s="38">
        <f>SUM(G17:G19)</f>
        <v>3900000</v>
      </c>
      <c r="H20" s="47">
        <f>G20</f>
        <v>3900000</v>
      </c>
    </row>
    <row r="21" spans="1:14" ht="15.75" thickBot="1">
      <c r="A21" s="3289" t="s">
        <v>131</v>
      </c>
      <c r="B21" s="3290"/>
      <c r="C21" s="3290"/>
      <c r="D21" s="3290"/>
      <c r="E21" s="3290"/>
      <c r="F21" s="3290"/>
      <c r="G21" s="50">
        <f>G20</f>
        <v>3900000</v>
      </c>
      <c r="H21" s="50">
        <f>SUM(H17:H20)</f>
        <v>3900000</v>
      </c>
    </row>
    <row r="22" spans="1:14">
      <c r="A22" s="28"/>
      <c r="B22" s="40"/>
      <c r="C22" s="40"/>
      <c r="D22" s="40"/>
      <c r="E22" s="40"/>
      <c r="F22" s="40"/>
      <c r="G22" s="40"/>
    </row>
    <row r="23" spans="1:14">
      <c r="A23" s="327"/>
      <c r="B23" s="263"/>
      <c r="C23" s="263"/>
      <c r="D23" s="263"/>
      <c r="E23" s="263"/>
      <c r="F23" s="263"/>
      <c r="G23" s="263"/>
      <c r="H23" s="328"/>
    </row>
    <row r="24" spans="1:14">
      <c r="A24" s="2962"/>
      <c r="B24" s="2962"/>
      <c r="C24" s="949"/>
      <c r="D24" s="2962"/>
      <c r="E24" s="2962"/>
      <c r="F24" s="2962"/>
      <c r="G24" s="2962"/>
      <c r="H24" s="275"/>
    </row>
    <row r="25" spans="1:14">
      <c r="A25" s="2962"/>
      <c r="B25" s="2962"/>
      <c r="C25" s="949"/>
      <c r="D25" s="2962"/>
      <c r="E25" s="2962"/>
      <c r="F25" s="2962"/>
      <c r="G25" s="2962"/>
      <c r="H25" s="275"/>
    </row>
    <row r="26" spans="1:14">
      <c r="A26" s="306"/>
      <c r="B26" s="949"/>
      <c r="C26" s="949"/>
      <c r="D26" s="307"/>
      <c r="E26" s="308"/>
      <c r="F26" s="953"/>
      <c r="G26" s="308"/>
      <c r="H26" s="328"/>
    </row>
    <row r="27" spans="1:14">
      <c r="A27" s="306"/>
      <c r="B27" s="949"/>
      <c r="C27" s="949"/>
      <c r="D27" s="949"/>
      <c r="E27" s="308"/>
      <c r="F27" s="308"/>
      <c r="G27" s="308"/>
      <c r="H27" s="328"/>
      <c r="N27" t="s">
        <v>21</v>
      </c>
    </row>
    <row r="28" spans="1:14">
      <c r="A28" s="306"/>
      <c r="B28" s="307"/>
      <c r="C28" s="307"/>
      <c r="D28" s="308"/>
      <c r="E28" s="308"/>
      <c r="F28" s="308"/>
      <c r="G28" s="308"/>
      <c r="H28" s="328"/>
      <c r="N28" t="s">
        <v>21</v>
      </c>
    </row>
    <row r="29" spans="1:14">
      <c r="A29" s="306"/>
      <c r="B29" s="307"/>
      <c r="C29" s="307"/>
      <c r="D29" s="308"/>
      <c r="E29" s="308"/>
      <c r="F29" s="308"/>
      <c r="G29" s="308"/>
      <c r="H29" s="328"/>
    </row>
    <row r="30" spans="1:14">
      <c r="A30" s="2963"/>
      <c r="B30" s="2963"/>
      <c r="C30" s="950"/>
      <c r="D30" s="2963"/>
      <c r="E30" s="2963"/>
      <c r="F30" s="2963"/>
      <c r="G30" s="2963"/>
      <c r="H30" s="432"/>
    </row>
    <row r="31" spans="1:14">
      <c r="A31" s="306"/>
      <c r="B31" s="949"/>
      <c r="C31" s="949"/>
      <c r="D31" s="2962"/>
      <c r="E31" s="2962"/>
      <c r="F31" s="2962"/>
      <c r="G31" s="2962"/>
      <c r="H31" s="328"/>
    </row>
  </sheetData>
  <customSheetViews>
    <customSheetView guid="{0F09EDAE-127A-4543-88A5-04139BD32AD8}" showPageBreaks="1" printArea="1">
      <selection activeCell="A20" sqref="A20:F20"/>
      <pageMargins left="0.70866141732283472" right="0.70866141732283472" top="0.74803149606299213" bottom="0.74803149606299213" header="0.31496062992125984" footer="0.31496062992125984"/>
      <printOptions horizontalCentered="1"/>
      <pageSetup paperSize="5" scale="89" orientation="portrait" r:id="rId1"/>
    </customSheetView>
    <customSheetView guid="{C05430D3-5A25-4A4C-823C-7D6EA772E5F0}" showPageBreaks="1" printArea="1">
      <selection activeCell="H32" sqref="A1:H32"/>
      <pageMargins left="0.70866141732283472" right="0.70866141732283472" top="0.74803149606299213" bottom="0.74803149606299213" header="0.31496062992125984" footer="0.31496062992125984"/>
      <printOptions horizontalCentered="1"/>
      <pageSetup paperSize="5" scale="89" orientation="portrait" r:id="rId2"/>
    </customSheetView>
  </customSheetViews>
  <mergeCells count="21">
    <mergeCell ref="A25:B25"/>
    <mergeCell ref="D31:G31"/>
    <mergeCell ref="D12:E12"/>
    <mergeCell ref="A30:B30"/>
    <mergeCell ref="A21:F21"/>
    <mergeCell ref="A24:B24"/>
    <mergeCell ref="D24:G24"/>
    <mergeCell ref="D25:G25"/>
    <mergeCell ref="D30:G30"/>
    <mergeCell ref="A1:H1"/>
    <mergeCell ref="A2:H2"/>
    <mergeCell ref="H13:H15"/>
    <mergeCell ref="A20:F20"/>
    <mergeCell ref="D13:D15"/>
    <mergeCell ref="E13:E15"/>
    <mergeCell ref="F13:F15"/>
    <mergeCell ref="G13:G15"/>
    <mergeCell ref="A13:C15"/>
    <mergeCell ref="A3:H3"/>
    <mergeCell ref="A11:B11"/>
    <mergeCell ref="D11:E1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9" orientation="portrait" r:id="rId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50"/>
  </sheetPr>
  <dimension ref="A1:N66"/>
  <sheetViews>
    <sheetView workbookViewId="0">
      <selection sqref="A1:N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7" width="13" customWidth="1"/>
    <col min="8" max="8" width="14.5703125" customWidth="1"/>
    <col min="9" max="9" width="8.28515625" customWidth="1"/>
    <col min="10" max="10" width="8" customWidth="1"/>
    <col min="11" max="11" width="10.85546875" customWidth="1"/>
    <col min="12" max="12" width="13" customWidth="1"/>
    <col min="13" max="13" width="14.5703125" customWidth="1"/>
    <col min="14" max="14" width="13.42578125" customWidth="1"/>
  </cols>
  <sheetData>
    <row r="1" spans="1:14">
      <c r="A1" s="2961" t="s">
        <v>1023</v>
      </c>
      <c r="B1" s="2961"/>
      <c r="C1" s="2961"/>
      <c r="D1" s="2961"/>
      <c r="E1" s="2961"/>
      <c r="F1" s="2961"/>
      <c r="G1" s="2961"/>
      <c r="H1" s="2961"/>
      <c r="I1" s="2961"/>
      <c r="J1" s="2961"/>
      <c r="K1" s="2961"/>
      <c r="L1" s="2961"/>
      <c r="M1" s="2961"/>
      <c r="N1" s="2961"/>
    </row>
    <row r="2" spans="1:14">
      <c r="A2" s="2961" t="s">
        <v>1024</v>
      </c>
      <c r="B2" s="2961"/>
      <c r="C2" s="2961"/>
      <c r="D2" s="2961"/>
      <c r="E2" s="2961"/>
      <c r="F2" s="2961"/>
      <c r="G2" s="2961"/>
      <c r="H2" s="2961"/>
      <c r="I2" s="2961"/>
      <c r="J2" s="2961"/>
      <c r="K2" s="2961"/>
      <c r="L2" s="2961"/>
      <c r="M2" s="2961"/>
      <c r="N2" s="2961"/>
    </row>
    <row r="3" spans="1:14">
      <c r="A3" s="2961"/>
      <c r="B3" s="2961"/>
      <c r="C3" s="2961"/>
      <c r="D3" s="2961"/>
      <c r="E3" s="2961"/>
      <c r="F3" s="2961"/>
      <c r="G3" s="2961"/>
      <c r="H3" s="2961"/>
    </row>
    <row r="4" spans="1:14">
      <c r="A4" s="276"/>
      <c r="B4" s="277"/>
      <c r="C4" s="277"/>
      <c r="D4" s="277"/>
      <c r="E4" s="277" t="s">
        <v>21</v>
      </c>
      <c r="F4" s="277"/>
      <c r="G4" s="277"/>
      <c r="H4" s="277"/>
      <c r="I4" s="277"/>
      <c r="J4" s="277" t="s">
        <v>21</v>
      </c>
      <c r="K4" s="277"/>
      <c r="L4" s="277"/>
      <c r="M4" s="277"/>
    </row>
    <row r="5" spans="1:14">
      <c r="A5" s="278"/>
      <c r="B5" s="279"/>
      <c r="C5" s="281"/>
      <c r="D5" s="279"/>
      <c r="E5" s="279"/>
      <c r="F5" s="947"/>
      <c r="G5" s="279"/>
      <c r="H5" s="264"/>
      <c r="I5" s="279"/>
      <c r="J5" s="279"/>
      <c r="K5" s="947"/>
      <c r="L5" s="279"/>
      <c r="M5" s="264"/>
    </row>
    <row r="6" spans="1:14">
      <c r="A6" s="617"/>
      <c r="B6" s="279"/>
      <c r="C6" s="281"/>
      <c r="D6" s="351"/>
      <c r="E6" s="351"/>
      <c r="F6" s="279"/>
      <c r="G6" s="351"/>
      <c r="H6" s="351"/>
      <c r="I6" s="351"/>
      <c r="J6" s="351"/>
      <c r="K6" s="279"/>
      <c r="L6" s="351"/>
      <c r="M6" s="351"/>
    </row>
    <row r="7" spans="1:14">
      <c r="A7" s="278"/>
      <c r="B7" s="279"/>
      <c r="C7" s="281"/>
      <c r="D7" s="618"/>
      <c r="E7" s="279"/>
      <c r="F7" s="947"/>
      <c r="G7" s="351"/>
      <c r="H7" s="351"/>
      <c r="I7" s="618"/>
      <c r="J7" s="279"/>
      <c r="K7" s="947"/>
      <c r="L7" s="351"/>
      <c r="M7" s="351"/>
    </row>
    <row r="8" spans="1:14">
      <c r="A8" s="278"/>
      <c r="B8" s="279"/>
      <c r="C8" s="281"/>
      <c r="D8" s="279"/>
      <c r="E8" s="279"/>
      <c r="F8" s="279"/>
      <c r="G8" s="351"/>
      <c r="H8" s="351"/>
      <c r="I8" s="279"/>
      <c r="J8" s="279"/>
      <c r="K8" s="279"/>
      <c r="L8" s="351"/>
      <c r="M8" s="351"/>
    </row>
    <row r="9" spans="1:14" ht="15" customHeight="1">
      <c r="A9" s="278"/>
      <c r="B9" s="279"/>
      <c r="C9" s="279"/>
      <c r="D9" s="279"/>
      <c r="E9" s="279"/>
      <c r="F9" s="279"/>
      <c r="G9" s="279"/>
      <c r="H9" s="279"/>
      <c r="I9" s="279"/>
      <c r="J9" s="279"/>
      <c r="K9" s="279"/>
      <c r="L9" s="279"/>
      <c r="M9" s="279"/>
    </row>
    <row r="10" spans="1:14">
      <c r="A10" s="278"/>
      <c r="B10" s="279"/>
      <c r="C10" s="279"/>
      <c r="D10" s="279"/>
      <c r="E10" s="279"/>
      <c r="F10" s="279"/>
      <c r="G10" s="279"/>
      <c r="H10" s="279"/>
      <c r="I10" s="279"/>
      <c r="J10" s="279"/>
      <c r="K10" s="279"/>
      <c r="L10" s="279"/>
      <c r="M10" s="279"/>
    </row>
    <row r="11" spans="1:14">
      <c r="A11" s="2980" t="s">
        <v>110</v>
      </c>
      <c r="B11" s="2980"/>
      <c r="C11" s="281" t="s">
        <v>46</v>
      </c>
      <c r="D11" s="2988">
        <f>M56</f>
        <v>11550500</v>
      </c>
      <c r="E11" s="2988"/>
      <c r="F11" s="689"/>
      <c r="G11" s="282"/>
      <c r="H11" s="282"/>
      <c r="I11" s="2988"/>
      <c r="J11" s="2988"/>
      <c r="K11" s="2136"/>
      <c r="L11" s="282"/>
      <c r="M11" s="282"/>
    </row>
    <row r="12" spans="1:14" ht="15" customHeight="1">
      <c r="A12" s="3296" t="s">
        <v>1</v>
      </c>
      <c r="B12" s="3296"/>
      <c r="C12" s="3296"/>
      <c r="D12" s="3297" t="s">
        <v>1523</v>
      </c>
      <c r="E12" s="3297"/>
      <c r="F12" s="3297"/>
      <c r="G12" s="3297"/>
      <c r="H12" s="3297"/>
      <c r="I12" s="3297" t="s">
        <v>1522</v>
      </c>
      <c r="J12" s="3297"/>
      <c r="K12" s="3297"/>
      <c r="L12" s="3297"/>
      <c r="M12" s="3297"/>
      <c r="N12" s="3296" t="s">
        <v>1553</v>
      </c>
    </row>
    <row r="13" spans="1:14" ht="15" customHeight="1">
      <c r="A13" s="3296"/>
      <c r="B13" s="3296"/>
      <c r="C13" s="3296"/>
      <c r="D13" s="3296" t="s">
        <v>60</v>
      </c>
      <c r="E13" s="3296" t="s">
        <v>97</v>
      </c>
      <c r="F13" s="3296" t="s">
        <v>112</v>
      </c>
      <c r="G13" s="3296" t="s">
        <v>113</v>
      </c>
      <c r="H13" s="3296" t="s">
        <v>114</v>
      </c>
      <c r="I13" s="3296" t="s">
        <v>60</v>
      </c>
      <c r="J13" s="3296" t="s">
        <v>97</v>
      </c>
      <c r="K13" s="3296" t="s">
        <v>112</v>
      </c>
      <c r="L13" s="3296" t="s">
        <v>113</v>
      </c>
      <c r="M13" s="3296" t="s">
        <v>114</v>
      </c>
      <c r="N13" s="3296"/>
    </row>
    <row r="14" spans="1:14">
      <c r="A14" s="3296"/>
      <c r="B14" s="3296"/>
      <c r="C14" s="3296"/>
      <c r="D14" s="3296"/>
      <c r="E14" s="3296"/>
      <c r="F14" s="3296"/>
      <c r="G14" s="3296"/>
      <c r="H14" s="3296"/>
      <c r="I14" s="3296"/>
      <c r="J14" s="3296"/>
      <c r="K14" s="3296"/>
      <c r="L14" s="3296"/>
      <c r="M14" s="3296"/>
      <c r="N14" s="3296"/>
    </row>
    <row r="15" spans="1:14">
      <c r="A15" s="3296"/>
      <c r="B15" s="3296"/>
      <c r="C15" s="3296"/>
      <c r="D15" s="3296"/>
      <c r="E15" s="3296"/>
      <c r="F15" s="3296"/>
      <c r="G15" s="3296"/>
      <c r="H15" s="3296"/>
      <c r="I15" s="3296"/>
      <c r="J15" s="3296"/>
      <c r="K15" s="3296"/>
      <c r="L15" s="3296"/>
      <c r="M15" s="3296"/>
      <c r="N15" s="3296"/>
    </row>
    <row r="16" spans="1:14">
      <c r="A16" s="2360">
        <v>1</v>
      </c>
      <c r="B16" s="3337" t="s">
        <v>186</v>
      </c>
      <c r="C16" s="3337"/>
      <c r="D16" s="2361"/>
      <c r="E16" s="2362"/>
      <c r="F16" s="2361"/>
      <c r="G16" s="2363"/>
      <c r="H16" s="2363"/>
      <c r="I16" s="2361"/>
      <c r="J16" s="2362"/>
      <c r="K16" s="2361"/>
      <c r="L16" s="2363"/>
      <c r="M16" s="2363"/>
      <c r="N16" s="957"/>
    </row>
    <row r="17" spans="1:14">
      <c r="A17" s="2360" t="s">
        <v>115</v>
      </c>
      <c r="B17" s="3335" t="s">
        <v>177</v>
      </c>
      <c r="C17" s="3335"/>
      <c r="D17" s="2364">
        <v>12</v>
      </c>
      <c r="E17" s="2362" t="s">
        <v>116</v>
      </c>
      <c r="F17" s="2367">
        <v>150000</v>
      </c>
      <c r="G17" s="2361">
        <f>+F17*D17</f>
        <v>1800000</v>
      </c>
      <c r="H17" s="2361"/>
      <c r="I17" s="2364">
        <v>12</v>
      </c>
      <c r="J17" s="2362" t="s">
        <v>116</v>
      </c>
      <c r="K17" s="2367">
        <f>F17</f>
        <v>150000</v>
      </c>
      <c r="L17" s="2361">
        <f>+K17*I17</f>
        <v>1800000</v>
      </c>
      <c r="M17" s="2361"/>
      <c r="N17" s="945">
        <f>G17-L17</f>
        <v>0</v>
      </c>
    </row>
    <row r="18" spans="1:14">
      <c r="A18" s="2360" t="s">
        <v>117</v>
      </c>
      <c r="B18" s="3335" t="s">
        <v>934</v>
      </c>
      <c r="C18" s="3335"/>
      <c r="D18" s="2364">
        <v>12</v>
      </c>
      <c r="E18" s="2362" t="s">
        <v>116</v>
      </c>
      <c r="F18" s="2367">
        <v>135000</v>
      </c>
      <c r="G18" s="2361">
        <f>+F18*D18</f>
        <v>1620000</v>
      </c>
      <c r="H18" s="2361"/>
      <c r="I18" s="2364">
        <v>12</v>
      </c>
      <c r="J18" s="2362" t="s">
        <v>116</v>
      </c>
      <c r="K18" s="2367">
        <f t="shared" ref="K18:K21" si="0">F18</f>
        <v>135000</v>
      </c>
      <c r="L18" s="2361">
        <f>+K18*I18</f>
        <v>1620000</v>
      </c>
      <c r="M18" s="2361"/>
      <c r="N18" s="945">
        <f t="shared" ref="N18:N55" si="1">G18-L18</f>
        <v>0</v>
      </c>
    </row>
    <row r="19" spans="1:14">
      <c r="A19" s="2360" t="s">
        <v>117</v>
      </c>
      <c r="B19" s="3335" t="s">
        <v>178</v>
      </c>
      <c r="C19" s="3335"/>
      <c r="D19" s="2364">
        <v>12</v>
      </c>
      <c r="E19" s="2362" t="s">
        <v>116</v>
      </c>
      <c r="F19" s="2367">
        <v>125000</v>
      </c>
      <c r="G19" s="2361">
        <f>+F19*D19</f>
        <v>1500000</v>
      </c>
      <c r="H19" s="2361"/>
      <c r="I19" s="2364">
        <v>12</v>
      </c>
      <c r="J19" s="2362" t="s">
        <v>116</v>
      </c>
      <c r="K19" s="2367">
        <f t="shared" si="0"/>
        <v>125000</v>
      </c>
      <c r="L19" s="2361">
        <f>+K19*I19</f>
        <v>1500000</v>
      </c>
      <c r="M19" s="2361"/>
      <c r="N19" s="945">
        <f t="shared" si="1"/>
        <v>0</v>
      </c>
    </row>
    <row r="20" spans="1:14">
      <c r="A20" s="2360" t="s">
        <v>118</v>
      </c>
      <c r="B20" s="3335" t="s">
        <v>187</v>
      </c>
      <c r="C20" s="3335"/>
      <c r="D20" s="2364">
        <v>12</v>
      </c>
      <c r="E20" s="2362" t="s">
        <v>116</v>
      </c>
      <c r="F20" s="2367">
        <v>110000</v>
      </c>
      <c r="G20" s="2361">
        <f>+F20*D20</f>
        <v>1320000</v>
      </c>
      <c r="H20" s="2361"/>
      <c r="I20" s="2364">
        <v>12</v>
      </c>
      <c r="J20" s="2362" t="s">
        <v>116</v>
      </c>
      <c r="K20" s="2367">
        <f t="shared" si="0"/>
        <v>110000</v>
      </c>
      <c r="L20" s="2361">
        <f>+K20*I20</f>
        <v>1320000</v>
      </c>
      <c r="M20" s="2361"/>
      <c r="N20" s="945">
        <f t="shared" si="1"/>
        <v>0</v>
      </c>
    </row>
    <row r="21" spans="1:14">
      <c r="A21" s="2360" t="s">
        <v>119</v>
      </c>
      <c r="B21" s="3335" t="s">
        <v>275</v>
      </c>
      <c r="C21" s="3335"/>
      <c r="D21" s="2364">
        <v>48</v>
      </c>
      <c r="E21" s="2362" t="s">
        <v>116</v>
      </c>
      <c r="F21" s="2367">
        <v>100000</v>
      </c>
      <c r="G21" s="2361">
        <f>+F21*D21</f>
        <v>4800000</v>
      </c>
      <c r="H21" s="2361"/>
      <c r="I21" s="2364">
        <v>48</v>
      </c>
      <c r="J21" s="2362" t="s">
        <v>116</v>
      </c>
      <c r="K21" s="2367">
        <f t="shared" si="0"/>
        <v>100000</v>
      </c>
      <c r="L21" s="2361">
        <f>+K21*I21</f>
        <v>4800000</v>
      </c>
      <c r="M21" s="2361"/>
      <c r="N21" s="945">
        <f t="shared" si="1"/>
        <v>0</v>
      </c>
    </row>
    <row r="22" spans="1:14" s="534" customFormat="1" ht="17.25" customHeight="1">
      <c r="A22" s="3336" t="s">
        <v>98</v>
      </c>
      <c r="B22" s="3336"/>
      <c r="C22" s="3336"/>
      <c r="D22" s="3336"/>
      <c r="E22" s="3336"/>
      <c r="F22" s="3336"/>
      <c r="G22" s="2371">
        <f>SUM(G17:G21)</f>
        <v>11040000</v>
      </c>
      <c r="H22" s="2371">
        <f>G22</f>
        <v>11040000</v>
      </c>
      <c r="I22" s="2372"/>
      <c r="J22" s="2372"/>
      <c r="K22" s="2372"/>
      <c r="L22" s="2371">
        <f>SUM(L17:L21)</f>
        <v>11040000</v>
      </c>
      <c r="M22" s="2371">
        <f>L22</f>
        <v>11040000</v>
      </c>
      <c r="N22" s="2343">
        <f t="shared" si="1"/>
        <v>0</v>
      </c>
    </row>
    <row r="23" spans="1:14">
      <c r="A23" s="2360">
        <v>2</v>
      </c>
      <c r="B23" s="3335" t="s">
        <v>215</v>
      </c>
      <c r="C23" s="3335"/>
      <c r="D23" s="2361"/>
      <c r="E23" s="2362"/>
      <c r="F23" s="2361"/>
      <c r="G23" s="2363"/>
      <c r="H23" s="2363"/>
      <c r="I23" s="2361"/>
      <c r="J23" s="2362"/>
      <c r="K23" s="2361"/>
      <c r="L23" s="2363"/>
      <c r="M23" s="2363"/>
      <c r="N23" s="945">
        <f t="shared" si="1"/>
        <v>0</v>
      </c>
    </row>
    <row r="24" spans="1:14">
      <c r="A24" s="2360" t="s">
        <v>121</v>
      </c>
      <c r="B24" s="3335" t="s">
        <v>1418</v>
      </c>
      <c r="C24" s="3335"/>
      <c r="D24" s="2361">
        <v>3</v>
      </c>
      <c r="E24" s="2362" t="s">
        <v>339</v>
      </c>
      <c r="F24" s="2361">
        <v>50000</v>
      </c>
      <c r="G24" s="2368">
        <f>D24*F24</f>
        <v>150000</v>
      </c>
      <c r="H24" s="2363"/>
      <c r="I24" s="2361">
        <v>3</v>
      </c>
      <c r="J24" s="2362" t="s">
        <v>339</v>
      </c>
      <c r="K24" s="2361">
        <v>50000</v>
      </c>
      <c r="L24" s="2368">
        <f>I24*K24</f>
        <v>150000</v>
      </c>
      <c r="M24" s="2363"/>
      <c r="N24" s="945">
        <f t="shared" si="1"/>
        <v>0</v>
      </c>
    </row>
    <row r="25" spans="1:14">
      <c r="A25" s="2360" t="s">
        <v>122</v>
      </c>
      <c r="B25" s="3335" t="s">
        <v>286</v>
      </c>
      <c r="C25" s="3335"/>
      <c r="D25" s="2364">
        <v>5</v>
      </c>
      <c r="E25" s="2365" t="s">
        <v>136</v>
      </c>
      <c r="F25" s="2367">
        <v>25000</v>
      </c>
      <c r="G25" s="2361">
        <f>+F25*D25</f>
        <v>125000</v>
      </c>
      <c r="H25" s="2361"/>
      <c r="I25" s="2364"/>
      <c r="J25" s="2365" t="s">
        <v>136</v>
      </c>
      <c r="K25" s="2367">
        <v>25000</v>
      </c>
      <c r="L25" s="2361">
        <f>+K25*I25</f>
        <v>0</v>
      </c>
      <c r="M25" s="2361"/>
      <c r="N25" s="945">
        <f t="shared" si="1"/>
        <v>125000</v>
      </c>
    </row>
    <row r="26" spans="1:14">
      <c r="A26" s="2360" t="s">
        <v>123</v>
      </c>
      <c r="B26" s="3335" t="s">
        <v>147</v>
      </c>
      <c r="C26" s="3335"/>
      <c r="D26" s="2364">
        <v>32</v>
      </c>
      <c r="E26" s="2365" t="s">
        <v>148</v>
      </c>
      <c r="F26" s="2367">
        <v>40000</v>
      </c>
      <c r="G26" s="2361">
        <f>+F26*D26</f>
        <v>1280000</v>
      </c>
      <c r="H26" s="2361"/>
      <c r="I26" s="2364">
        <v>8</v>
      </c>
      <c r="J26" s="2365" t="s">
        <v>148</v>
      </c>
      <c r="K26" s="2367">
        <v>40000</v>
      </c>
      <c r="L26" s="2361">
        <f>+K26*I26</f>
        <v>320000</v>
      </c>
      <c r="M26" s="2361"/>
      <c r="N26" s="945">
        <f t="shared" si="1"/>
        <v>960000</v>
      </c>
    </row>
    <row r="27" spans="1:14">
      <c r="A27" s="2360" t="s">
        <v>124</v>
      </c>
      <c r="B27" s="3335" t="s">
        <v>273</v>
      </c>
      <c r="C27" s="3335"/>
      <c r="D27" s="2364">
        <v>1</v>
      </c>
      <c r="E27" s="2365" t="s">
        <v>136</v>
      </c>
      <c r="F27" s="2367">
        <v>15000</v>
      </c>
      <c r="G27" s="2361">
        <f>+F27*D27</f>
        <v>15000</v>
      </c>
      <c r="H27" s="2361"/>
      <c r="I27" s="2364">
        <v>1</v>
      </c>
      <c r="J27" s="2365" t="s">
        <v>136</v>
      </c>
      <c r="K27" s="2367">
        <v>15500</v>
      </c>
      <c r="L27" s="2361">
        <f>+K27*I27</f>
        <v>15500</v>
      </c>
      <c r="M27" s="2361"/>
      <c r="N27" s="945">
        <f t="shared" si="1"/>
        <v>-500</v>
      </c>
    </row>
    <row r="28" spans="1:14">
      <c r="A28" s="2360">
        <v>2.5</v>
      </c>
      <c r="B28" s="3335" t="s">
        <v>1450</v>
      </c>
      <c r="C28" s="3335"/>
      <c r="D28" s="2364">
        <v>4</v>
      </c>
      <c r="E28" s="2365" t="s">
        <v>136</v>
      </c>
      <c r="F28" s="2367">
        <v>2500</v>
      </c>
      <c r="G28" s="2361">
        <f>+F28*D28</f>
        <v>10000</v>
      </c>
      <c r="H28" s="2361"/>
      <c r="I28" s="2364">
        <v>8</v>
      </c>
      <c r="J28" s="2365" t="s">
        <v>136</v>
      </c>
      <c r="K28" s="2367">
        <v>2500</v>
      </c>
      <c r="L28" s="2361">
        <f>+K28*I28</f>
        <v>20000</v>
      </c>
      <c r="M28" s="2361"/>
      <c r="N28" s="945">
        <f t="shared" si="1"/>
        <v>-10000</v>
      </c>
    </row>
    <row r="29" spans="1:14">
      <c r="A29" s="2369">
        <v>2.6</v>
      </c>
      <c r="B29" s="3335" t="s">
        <v>287</v>
      </c>
      <c r="C29" s="3335"/>
      <c r="D29" s="2364">
        <v>4</v>
      </c>
      <c r="E29" s="2365" t="s">
        <v>148</v>
      </c>
      <c r="F29" s="2367">
        <v>5000</v>
      </c>
      <c r="G29" s="2361">
        <f>+F29*D29</f>
        <v>20000</v>
      </c>
      <c r="H29" s="2361"/>
      <c r="I29" s="2364">
        <v>1</v>
      </c>
      <c r="J29" s="2365" t="s">
        <v>148</v>
      </c>
      <c r="K29" s="2367">
        <v>5000</v>
      </c>
      <c r="L29" s="2361">
        <f>+K29*I29</f>
        <v>5000</v>
      </c>
      <c r="M29" s="2361"/>
      <c r="N29" s="945">
        <f t="shared" si="1"/>
        <v>15000</v>
      </c>
    </row>
    <row r="30" spans="1:14" s="534" customFormat="1">
      <c r="A30" s="3336" t="s">
        <v>99</v>
      </c>
      <c r="B30" s="3336"/>
      <c r="C30" s="3336"/>
      <c r="D30" s="3336"/>
      <c r="E30" s="3336"/>
      <c r="F30" s="3336"/>
      <c r="G30" s="2371">
        <f>SUM(G24:G29)</f>
        <v>1600000</v>
      </c>
      <c r="H30" s="2371">
        <f>G30</f>
        <v>1600000</v>
      </c>
      <c r="I30" s="2372"/>
      <c r="J30" s="2372"/>
      <c r="K30" s="2372"/>
      <c r="L30" s="2371">
        <f>SUM(L24:L29)</f>
        <v>510500</v>
      </c>
      <c r="M30" s="2371">
        <f>L30</f>
        <v>510500</v>
      </c>
      <c r="N30" s="2343">
        <f>G30-L30</f>
        <v>1089500</v>
      </c>
    </row>
    <row r="31" spans="1:14">
      <c r="A31" s="2360">
        <v>3</v>
      </c>
      <c r="B31" s="3335" t="s">
        <v>195</v>
      </c>
      <c r="C31" s="3335"/>
      <c r="D31" s="2361"/>
      <c r="E31" s="2362"/>
      <c r="F31" s="2361"/>
      <c r="G31" s="2363"/>
      <c r="H31" s="2363"/>
      <c r="I31" s="2361"/>
      <c r="J31" s="2362"/>
      <c r="K31" s="2361"/>
      <c r="L31" s="2363"/>
      <c r="M31" s="2363"/>
      <c r="N31" s="945">
        <f t="shared" si="1"/>
        <v>0</v>
      </c>
    </row>
    <row r="32" spans="1:14">
      <c r="A32" s="2360" t="s">
        <v>121</v>
      </c>
      <c r="B32" s="3335" t="s">
        <v>935</v>
      </c>
      <c r="C32" s="3335"/>
      <c r="D32" s="2364">
        <v>14</v>
      </c>
      <c r="E32" s="2365" t="s">
        <v>301</v>
      </c>
      <c r="F32" s="2367">
        <v>25000</v>
      </c>
      <c r="G32" s="2361">
        <f>+F32*D32</f>
        <v>350000</v>
      </c>
      <c r="H32" s="2361"/>
      <c r="I32" s="2364"/>
      <c r="J32" s="2365" t="s">
        <v>301</v>
      </c>
      <c r="K32" s="2367">
        <v>25000</v>
      </c>
      <c r="L32" s="2361">
        <f>+K32*I32</f>
        <v>0</v>
      </c>
      <c r="M32" s="2361"/>
      <c r="N32" s="945">
        <f t="shared" si="1"/>
        <v>350000</v>
      </c>
    </row>
    <row r="33" spans="1:14">
      <c r="A33" s="2360" t="s">
        <v>122</v>
      </c>
      <c r="B33" s="3335" t="s">
        <v>936</v>
      </c>
      <c r="C33" s="3335"/>
      <c r="D33" s="2364">
        <v>4</v>
      </c>
      <c r="E33" s="2365" t="s">
        <v>301</v>
      </c>
      <c r="F33" s="2367">
        <v>40000</v>
      </c>
      <c r="G33" s="2361">
        <f>+F33*D33</f>
        <v>160000</v>
      </c>
      <c r="H33" s="2361"/>
      <c r="I33" s="2364"/>
      <c r="J33" s="2365" t="s">
        <v>301</v>
      </c>
      <c r="K33" s="2367">
        <v>40000</v>
      </c>
      <c r="L33" s="2361">
        <f>+K33*I33</f>
        <v>0</v>
      </c>
      <c r="M33" s="2361"/>
      <c r="N33" s="945">
        <f t="shared" si="1"/>
        <v>160000</v>
      </c>
    </row>
    <row r="34" spans="1:14" s="534" customFormat="1">
      <c r="A34" s="3336" t="s">
        <v>102</v>
      </c>
      <c r="B34" s="3336"/>
      <c r="C34" s="3336"/>
      <c r="D34" s="3336"/>
      <c r="E34" s="3336"/>
      <c r="F34" s="3336"/>
      <c r="G34" s="2371">
        <f>SUM(G32:G33)</f>
        <v>510000</v>
      </c>
      <c r="H34" s="2371">
        <f>G34</f>
        <v>510000</v>
      </c>
      <c r="I34" s="2372"/>
      <c r="J34" s="2372"/>
      <c r="K34" s="2372"/>
      <c r="L34" s="2371">
        <f>SUM(L32:L33)</f>
        <v>0</v>
      </c>
      <c r="M34" s="2371">
        <f>L34</f>
        <v>0</v>
      </c>
      <c r="N34" s="2343">
        <f t="shared" si="1"/>
        <v>510000</v>
      </c>
    </row>
    <row r="35" spans="1:14">
      <c r="A35" s="2360">
        <v>4</v>
      </c>
      <c r="B35" s="3335" t="s">
        <v>1026</v>
      </c>
      <c r="C35" s="3335"/>
      <c r="D35" s="2361"/>
      <c r="E35" s="2362"/>
      <c r="F35" s="2361"/>
      <c r="G35" s="2363"/>
      <c r="H35" s="2363"/>
      <c r="I35" s="2361"/>
      <c r="J35" s="2362"/>
      <c r="K35" s="2361"/>
      <c r="L35" s="2363"/>
      <c r="M35" s="2363"/>
      <c r="N35" s="945">
        <f t="shared" si="1"/>
        <v>0</v>
      </c>
    </row>
    <row r="36" spans="1:14">
      <c r="A36" s="2360" t="s">
        <v>128</v>
      </c>
      <c r="B36" s="3335" t="s">
        <v>355</v>
      </c>
      <c r="C36" s="3335"/>
      <c r="D36" s="2361">
        <v>60</v>
      </c>
      <c r="E36" s="2362" t="s">
        <v>1029</v>
      </c>
      <c r="F36" s="2361">
        <v>20000</v>
      </c>
      <c r="G36" s="2368">
        <f>D36*F36</f>
        <v>1200000</v>
      </c>
      <c r="H36" s="2363"/>
      <c r="I36" s="2361"/>
      <c r="J36" s="2362" t="s">
        <v>1029</v>
      </c>
      <c r="K36" s="2361">
        <v>20000</v>
      </c>
      <c r="L36" s="2368">
        <f>I36*K36</f>
        <v>0</v>
      </c>
      <c r="M36" s="2363"/>
      <c r="N36" s="945">
        <f t="shared" si="1"/>
        <v>1200000</v>
      </c>
    </row>
    <row r="37" spans="1:14">
      <c r="A37" s="2360" t="s">
        <v>129</v>
      </c>
      <c r="B37" s="3335" t="s">
        <v>1028</v>
      </c>
      <c r="C37" s="3335"/>
      <c r="D37" s="2361">
        <v>60</v>
      </c>
      <c r="E37" s="2362" t="s">
        <v>1030</v>
      </c>
      <c r="F37" s="2361">
        <v>7000</v>
      </c>
      <c r="G37" s="2368">
        <f>D37*F37</f>
        <v>420000</v>
      </c>
      <c r="H37" s="2363"/>
      <c r="I37" s="2361"/>
      <c r="J37" s="2362" t="s">
        <v>1030</v>
      </c>
      <c r="K37" s="2361">
        <v>7000</v>
      </c>
      <c r="L37" s="2368">
        <f>I37*K37</f>
        <v>0</v>
      </c>
      <c r="M37" s="2363"/>
      <c r="N37" s="945">
        <f t="shared" si="1"/>
        <v>420000</v>
      </c>
    </row>
    <row r="38" spans="1:14">
      <c r="A38" s="2360"/>
      <c r="B38" s="3335" t="s">
        <v>946</v>
      </c>
      <c r="C38" s="3335"/>
      <c r="D38" s="2364">
        <v>2</v>
      </c>
      <c r="E38" s="2365" t="s">
        <v>255</v>
      </c>
      <c r="F38" s="2367">
        <v>25000</v>
      </c>
      <c r="G38" s="2368">
        <f>D38*F38</f>
        <v>50000</v>
      </c>
      <c r="H38" s="2361"/>
      <c r="I38" s="2364"/>
      <c r="J38" s="2365" t="s">
        <v>255</v>
      </c>
      <c r="K38" s="2367">
        <v>25000</v>
      </c>
      <c r="L38" s="2368">
        <f>I38*K38</f>
        <v>0</v>
      </c>
      <c r="M38" s="2361"/>
      <c r="N38" s="945">
        <f t="shared" si="1"/>
        <v>50000</v>
      </c>
    </row>
    <row r="39" spans="1:14" s="534" customFormat="1">
      <c r="A39" s="3336" t="s">
        <v>102</v>
      </c>
      <c r="B39" s="3336"/>
      <c r="C39" s="3336"/>
      <c r="D39" s="3336"/>
      <c r="E39" s="3336"/>
      <c r="F39" s="3336"/>
      <c r="G39" s="2371">
        <f>SUM(G36:G38)</f>
        <v>1670000</v>
      </c>
      <c r="H39" s="2371">
        <f>G39</f>
        <v>1670000</v>
      </c>
      <c r="I39" s="2372"/>
      <c r="J39" s="2372"/>
      <c r="K39" s="2372"/>
      <c r="L39" s="2371">
        <f>SUM(L36:L38)</f>
        <v>0</v>
      </c>
      <c r="M39" s="2371">
        <f>L39</f>
        <v>0</v>
      </c>
      <c r="N39" s="2343">
        <f t="shared" si="1"/>
        <v>1670000</v>
      </c>
    </row>
    <row r="40" spans="1:14">
      <c r="A40" s="2360">
        <v>5</v>
      </c>
      <c r="B40" s="3335" t="s">
        <v>810</v>
      </c>
      <c r="C40" s="3335"/>
      <c r="D40" s="2364"/>
      <c r="E40" s="2365"/>
      <c r="F40" s="2366"/>
      <c r="G40" s="2361"/>
      <c r="H40" s="2361"/>
      <c r="I40" s="2364"/>
      <c r="J40" s="2365"/>
      <c r="K40" s="2366"/>
      <c r="L40" s="2361"/>
      <c r="M40" s="2361"/>
      <c r="N40" s="945">
        <f t="shared" si="1"/>
        <v>0</v>
      </c>
    </row>
    <row r="41" spans="1:14">
      <c r="A41" s="2360" t="s">
        <v>170</v>
      </c>
      <c r="B41" s="3335" t="s">
        <v>1031</v>
      </c>
      <c r="C41" s="3335"/>
      <c r="D41" s="2364">
        <v>1</v>
      </c>
      <c r="E41" s="2365" t="s">
        <v>933</v>
      </c>
      <c r="F41" s="2366">
        <v>1000000</v>
      </c>
      <c r="G41" s="2361">
        <f>D41*F41</f>
        <v>1000000</v>
      </c>
      <c r="H41" s="2361"/>
      <c r="I41" s="2364"/>
      <c r="J41" s="2365" t="s">
        <v>933</v>
      </c>
      <c r="K41" s="2366">
        <v>1000000</v>
      </c>
      <c r="L41" s="2361">
        <f>I41*K41</f>
        <v>0</v>
      </c>
      <c r="M41" s="2361"/>
      <c r="N41" s="945">
        <f t="shared" si="1"/>
        <v>1000000</v>
      </c>
    </row>
    <row r="42" spans="1:14">
      <c r="A42" s="2360" t="s">
        <v>219</v>
      </c>
      <c r="B42" s="3335" t="s">
        <v>1032</v>
      </c>
      <c r="C42" s="3335"/>
      <c r="D42" s="2364">
        <v>2</v>
      </c>
      <c r="E42" s="2365" t="s">
        <v>1030</v>
      </c>
      <c r="F42" s="2366">
        <v>100000</v>
      </c>
      <c r="G42" s="2361">
        <f>D42*F42</f>
        <v>200000</v>
      </c>
      <c r="H42" s="2361"/>
      <c r="I42" s="2364"/>
      <c r="J42" s="2365" t="s">
        <v>1030</v>
      </c>
      <c r="K42" s="2366">
        <v>100000</v>
      </c>
      <c r="L42" s="2361">
        <f>I42*K42</f>
        <v>0</v>
      </c>
      <c r="M42" s="2361"/>
      <c r="N42" s="945">
        <f t="shared" si="1"/>
        <v>200000</v>
      </c>
    </row>
    <row r="43" spans="1:14" s="534" customFormat="1">
      <c r="A43" s="3336" t="s">
        <v>102</v>
      </c>
      <c r="B43" s="3336"/>
      <c r="C43" s="3336"/>
      <c r="D43" s="3336"/>
      <c r="E43" s="3336"/>
      <c r="F43" s="3336"/>
      <c r="G43" s="2371">
        <f>SUM(G41:G42)</f>
        <v>1200000</v>
      </c>
      <c r="H43" s="2371">
        <f>G43</f>
        <v>1200000</v>
      </c>
      <c r="I43" s="2372"/>
      <c r="J43" s="2372"/>
      <c r="K43" s="2372"/>
      <c r="L43" s="2371">
        <f>SUM(L41:L42)</f>
        <v>0</v>
      </c>
      <c r="M43" s="2371">
        <f>L43</f>
        <v>0</v>
      </c>
      <c r="N43" s="2343">
        <f t="shared" si="1"/>
        <v>1200000</v>
      </c>
    </row>
    <row r="44" spans="1:14">
      <c r="A44" s="2360">
        <v>6</v>
      </c>
      <c r="B44" s="3335" t="s">
        <v>1027</v>
      </c>
      <c r="C44" s="3335"/>
      <c r="D44" s="2364"/>
      <c r="E44" s="2365"/>
      <c r="F44" s="2366"/>
      <c r="G44" s="2361"/>
      <c r="H44" s="2361"/>
      <c r="I44" s="2364"/>
      <c r="J44" s="2365"/>
      <c r="K44" s="2366"/>
      <c r="L44" s="2361"/>
      <c r="M44" s="2361"/>
      <c r="N44" s="945">
        <f t="shared" si="1"/>
        <v>0</v>
      </c>
    </row>
    <row r="45" spans="1:14">
      <c r="A45" s="2360" t="s">
        <v>243</v>
      </c>
      <c r="B45" s="3335" t="s">
        <v>812</v>
      </c>
      <c r="C45" s="3335"/>
      <c r="D45" s="2364">
        <v>1</v>
      </c>
      <c r="E45" s="2365" t="s">
        <v>933</v>
      </c>
      <c r="F45" s="2366">
        <v>150000</v>
      </c>
      <c r="G45" s="2361">
        <f>D45*F45</f>
        <v>150000</v>
      </c>
      <c r="H45" s="2361"/>
      <c r="I45" s="2364"/>
      <c r="J45" s="2365" t="s">
        <v>933</v>
      </c>
      <c r="K45" s="2366">
        <v>150000</v>
      </c>
      <c r="L45" s="2361">
        <f>I45*K45</f>
        <v>0</v>
      </c>
      <c r="M45" s="2361"/>
      <c r="N45" s="945">
        <f t="shared" si="1"/>
        <v>150000</v>
      </c>
    </row>
    <row r="46" spans="1:14" s="534" customFormat="1">
      <c r="A46" s="3336" t="s">
        <v>102</v>
      </c>
      <c r="B46" s="3336"/>
      <c r="C46" s="3336"/>
      <c r="D46" s="3336"/>
      <c r="E46" s="3336"/>
      <c r="F46" s="3336"/>
      <c r="G46" s="2371">
        <f>SUM(G44:G45)</f>
        <v>150000</v>
      </c>
      <c r="H46" s="2371">
        <f>G46</f>
        <v>150000</v>
      </c>
      <c r="I46" s="2372"/>
      <c r="J46" s="2372"/>
      <c r="K46" s="2372"/>
      <c r="L46" s="2371">
        <f>SUM(L44:L45)</f>
        <v>0</v>
      </c>
      <c r="M46" s="2371">
        <f>L46</f>
        <v>0</v>
      </c>
      <c r="N46" s="2343">
        <f t="shared" si="1"/>
        <v>150000</v>
      </c>
    </row>
    <row r="47" spans="1:14">
      <c r="A47" s="2360">
        <v>7</v>
      </c>
      <c r="B47" s="3335" t="s">
        <v>813</v>
      </c>
      <c r="C47" s="3335"/>
      <c r="D47" s="2364"/>
      <c r="E47" s="2365"/>
      <c r="F47" s="2366"/>
      <c r="G47" s="2361"/>
      <c r="H47" s="2361"/>
      <c r="I47" s="2364"/>
      <c r="J47" s="2365"/>
      <c r="K47" s="2366"/>
      <c r="L47" s="2361"/>
      <c r="M47" s="2361"/>
      <c r="N47" s="945">
        <f t="shared" si="1"/>
        <v>0</v>
      </c>
    </row>
    <row r="48" spans="1:14">
      <c r="A48" s="2360" t="s">
        <v>242</v>
      </c>
      <c r="B48" s="3335" t="s">
        <v>1033</v>
      </c>
      <c r="C48" s="3335"/>
      <c r="D48" s="2364">
        <v>3</v>
      </c>
      <c r="E48" s="2365" t="s">
        <v>1034</v>
      </c>
      <c r="F48" s="2366">
        <v>100000</v>
      </c>
      <c r="G48" s="2361">
        <f>D48*F48</f>
        <v>300000</v>
      </c>
      <c r="H48" s="2361"/>
      <c r="I48" s="2364"/>
      <c r="J48" s="2365" t="s">
        <v>1034</v>
      </c>
      <c r="K48" s="2366">
        <v>100000</v>
      </c>
      <c r="L48" s="2361">
        <f>I48*K48</f>
        <v>0</v>
      </c>
      <c r="M48" s="2361"/>
      <c r="N48" s="945">
        <f t="shared" si="1"/>
        <v>300000</v>
      </c>
    </row>
    <row r="49" spans="1:14" s="534" customFormat="1">
      <c r="A49" s="3336" t="s">
        <v>102</v>
      </c>
      <c r="B49" s="3336"/>
      <c r="C49" s="3336"/>
      <c r="D49" s="3336"/>
      <c r="E49" s="3336"/>
      <c r="F49" s="3336"/>
      <c r="G49" s="2371">
        <f>SUM(G47:G48)</f>
        <v>300000</v>
      </c>
      <c r="H49" s="2371">
        <f>G49</f>
        <v>300000</v>
      </c>
      <c r="I49" s="2372"/>
      <c r="J49" s="2372"/>
      <c r="K49" s="2372"/>
      <c r="L49" s="2371">
        <f>SUM(L47:L48)</f>
        <v>0</v>
      </c>
      <c r="M49" s="2371">
        <f>L49</f>
        <v>0</v>
      </c>
      <c r="N49" s="2343">
        <f t="shared" si="1"/>
        <v>300000</v>
      </c>
    </row>
    <row r="50" spans="1:14">
      <c r="A50" s="2360">
        <v>8</v>
      </c>
      <c r="B50" s="3335" t="s">
        <v>814</v>
      </c>
      <c r="C50" s="3335"/>
      <c r="D50" s="2364"/>
      <c r="E50" s="2365"/>
      <c r="F50" s="2367">
        <v>140000</v>
      </c>
      <c r="G50" s="2361">
        <f>+F50*D50</f>
        <v>0</v>
      </c>
      <c r="H50" s="2361"/>
      <c r="I50" s="2364"/>
      <c r="J50" s="2365"/>
      <c r="K50" s="2367">
        <v>140000</v>
      </c>
      <c r="L50" s="2361">
        <f>+K50*I50</f>
        <v>0</v>
      </c>
      <c r="M50" s="2361"/>
      <c r="N50" s="945">
        <f t="shared" si="1"/>
        <v>0</v>
      </c>
    </row>
    <row r="51" spans="1:14">
      <c r="A51" s="2360" t="s">
        <v>216</v>
      </c>
      <c r="B51" s="3335" t="s">
        <v>272</v>
      </c>
      <c r="C51" s="3335"/>
      <c r="D51" s="2364">
        <v>4</v>
      </c>
      <c r="E51" s="2365" t="s">
        <v>84</v>
      </c>
      <c r="F51" s="2366">
        <v>35000</v>
      </c>
      <c r="G51" s="2361">
        <f>D51*F51</f>
        <v>140000</v>
      </c>
      <c r="H51" s="2361"/>
      <c r="I51" s="2364"/>
      <c r="J51" s="2365" t="s">
        <v>84</v>
      </c>
      <c r="K51" s="2366">
        <v>35000</v>
      </c>
      <c r="L51" s="2361">
        <f>I51*K51</f>
        <v>0</v>
      </c>
      <c r="M51" s="2361"/>
      <c r="N51" s="945">
        <f t="shared" si="1"/>
        <v>140000</v>
      </c>
    </row>
    <row r="52" spans="1:14" s="534" customFormat="1">
      <c r="A52" s="3336" t="s">
        <v>102</v>
      </c>
      <c r="B52" s="3336"/>
      <c r="C52" s="3336"/>
      <c r="D52" s="3336"/>
      <c r="E52" s="3336"/>
      <c r="F52" s="3336"/>
      <c r="G52" s="2371">
        <f>G51</f>
        <v>140000</v>
      </c>
      <c r="H52" s="2371">
        <f>G52</f>
        <v>140000</v>
      </c>
      <c r="I52" s="2372"/>
      <c r="J52" s="2372"/>
      <c r="K52" s="2372"/>
      <c r="L52" s="2371">
        <f>L51</f>
        <v>0</v>
      </c>
      <c r="M52" s="2371">
        <f>L52</f>
        <v>0</v>
      </c>
      <c r="N52" s="2343">
        <f t="shared" si="1"/>
        <v>140000</v>
      </c>
    </row>
    <row r="53" spans="1:14">
      <c r="A53" s="2360">
        <v>9</v>
      </c>
      <c r="B53" s="3335" t="s">
        <v>1424</v>
      </c>
      <c r="C53" s="3335"/>
      <c r="D53" s="2364"/>
      <c r="E53" s="2365"/>
      <c r="F53" s="2367"/>
      <c r="G53" s="2361">
        <f>+F53*D53</f>
        <v>0</v>
      </c>
      <c r="H53" s="2361"/>
      <c r="I53" s="2364"/>
      <c r="J53" s="2365"/>
      <c r="K53" s="2367"/>
      <c r="L53" s="2361">
        <f>+K53*I53</f>
        <v>0</v>
      </c>
      <c r="M53" s="2361"/>
      <c r="N53" s="945">
        <f t="shared" si="1"/>
        <v>0</v>
      </c>
    </row>
    <row r="54" spans="1:14">
      <c r="A54" s="2360">
        <v>9.1</v>
      </c>
      <c r="B54" s="3335" t="s">
        <v>1425</v>
      </c>
      <c r="C54" s="3335"/>
      <c r="D54" s="2364">
        <v>25</v>
      </c>
      <c r="E54" s="2365" t="s">
        <v>1099</v>
      </c>
      <c r="F54" s="2367">
        <v>35000</v>
      </c>
      <c r="G54" s="2361">
        <f>D54*F54</f>
        <v>875000</v>
      </c>
      <c r="H54" s="2361"/>
      <c r="I54" s="2364"/>
      <c r="J54" s="2365" t="s">
        <v>1099</v>
      </c>
      <c r="K54" s="2367">
        <v>35000</v>
      </c>
      <c r="L54" s="2361">
        <f>I54*K54</f>
        <v>0</v>
      </c>
      <c r="M54" s="2361"/>
      <c r="N54" s="945">
        <f t="shared" si="1"/>
        <v>875000</v>
      </c>
    </row>
    <row r="55" spans="1:14" s="534" customFormat="1">
      <c r="A55" s="3336" t="s">
        <v>102</v>
      </c>
      <c r="B55" s="3336"/>
      <c r="C55" s="3336"/>
      <c r="D55" s="3336"/>
      <c r="E55" s="3336"/>
      <c r="F55" s="3336"/>
      <c r="G55" s="2371">
        <f>G54</f>
        <v>875000</v>
      </c>
      <c r="H55" s="2371">
        <f>G55</f>
        <v>875000</v>
      </c>
      <c r="I55" s="2372"/>
      <c r="J55" s="2372"/>
      <c r="K55" s="2372"/>
      <c r="L55" s="2371">
        <f>L54</f>
        <v>0</v>
      </c>
      <c r="M55" s="2371">
        <f>L55</f>
        <v>0</v>
      </c>
      <c r="N55" s="2343">
        <f t="shared" si="1"/>
        <v>875000</v>
      </c>
    </row>
    <row r="56" spans="1:14" s="534" customFormat="1">
      <c r="A56" s="3336" t="s">
        <v>131</v>
      </c>
      <c r="B56" s="3336"/>
      <c r="C56" s="3336"/>
      <c r="D56" s="3336"/>
      <c r="E56" s="3336"/>
      <c r="F56" s="3336"/>
      <c r="G56" s="2370">
        <f>G22+G30</f>
        <v>12640000</v>
      </c>
      <c r="H56" s="2370">
        <f>SUM(H19:H55)</f>
        <v>17485000</v>
      </c>
      <c r="I56" s="2372"/>
      <c r="J56" s="2373"/>
      <c r="K56" s="2372"/>
      <c r="L56" s="2370">
        <f>L22+L30</f>
        <v>11550500</v>
      </c>
      <c r="M56" s="2370">
        <f>SUM(M19:M55)</f>
        <v>11550500</v>
      </c>
      <c r="N56" s="2343">
        <f>H56-L56</f>
        <v>5934500</v>
      </c>
    </row>
    <row r="57" spans="1:14">
      <c r="A57" s="28"/>
      <c r="B57" s="40"/>
      <c r="C57" s="40"/>
      <c r="D57" s="40"/>
      <c r="E57" s="40"/>
      <c r="F57" s="40"/>
      <c r="G57" s="40"/>
      <c r="I57" s="40"/>
      <c r="J57" s="40"/>
      <c r="K57" s="40"/>
      <c r="L57" s="40"/>
    </row>
    <row r="58" spans="1:14">
      <c r="A58" s="327"/>
      <c r="B58" s="263"/>
      <c r="C58" s="263"/>
      <c r="D58" s="263"/>
      <c r="E58" s="263"/>
      <c r="F58" s="263"/>
      <c r="G58" s="263"/>
      <c r="H58" s="328"/>
      <c r="I58" s="263"/>
      <c r="J58" s="263"/>
      <c r="K58" s="263"/>
      <c r="L58" s="263"/>
      <c r="M58" s="328"/>
    </row>
    <row r="59" spans="1:14">
      <c r="A59" s="2962"/>
      <c r="B59" s="2962"/>
      <c r="C59" s="949"/>
      <c r="D59" s="2962"/>
      <c r="E59" s="2962"/>
      <c r="F59" s="2962"/>
      <c r="G59" s="2962"/>
      <c r="H59" s="275"/>
      <c r="I59" s="2962"/>
      <c r="J59" s="2962"/>
      <c r="K59" s="2962"/>
      <c r="L59" s="2962"/>
      <c r="M59" s="275"/>
    </row>
    <row r="60" spans="1:14">
      <c r="A60" s="2962"/>
      <c r="B60" s="2962"/>
      <c r="C60" s="949"/>
      <c r="D60" s="2962"/>
      <c r="E60" s="2962"/>
      <c r="F60" s="2962"/>
      <c r="G60" s="2962"/>
      <c r="H60" s="275"/>
      <c r="I60" s="2962"/>
      <c r="J60" s="2962"/>
      <c r="K60" s="2962"/>
      <c r="L60" s="2962"/>
      <c r="M60" s="275"/>
    </row>
    <row r="61" spans="1:14">
      <c r="A61" s="306"/>
      <c r="B61" s="949"/>
      <c r="C61" s="949"/>
      <c r="D61" s="307"/>
      <c r="E61" s="308"/>
      <c r="F61" s="953"/>
      <c r="G61" s="308"/>
      <c r="H61" s="328"/>
      <c r="I61" s="307"/>
      <c r="J61" s="308"/>
      <c r="K61" s="953"/>
      <c r="L61" s="308"/>
      <c r="M61" s="328"/>
    </row>
    <row r="62" spans="1:14">
      <c r="A62" s="306"/>
      <c r="B62" s="949"/>
      <c r="C62" s="949"/>
      <c r="D62" s="949"/>
      <c r="E62" s="308"/>
      <c r="F62" s="308"/>
      <c r="G62" s="308"/>
      <c r="H62" s="328"/>
      <c r="I62" s="2137"/>
      <c r="J62" s="308"/>
      <c r="K62" s="308"/>
      <c r="L62" s="308"/>
      <c r="M62" s="328"/>
    </row>
    <row r="63" spans="1:14">
      <c r="A63" s="306"/>
      <c r="B63" s="307"/>
      <c r="C63" s="307"/>
      <c r="D63" s="308"/>
      <c r="E63" s="308"/>
      <c r="F63" s="308"/>
      <c r="G63" s="308"/>
      <c r="H63" s="328"/>
      <c r="I63" s="308"/>
      <c r="J63" s="308"/>
      <c r="K63" s="308"/>
      <c r="L63" s="308"/>
      <c r="M63" s="328"/>
    </row>
    <row r="64" spans="1:14">
      <c r="A64" s="306"/>
      <c r="B64" s="307"/>
      <c r="C64" s="307"/>
      <c r="D64" s="308"/>
      <c r="E64" s="308"/>
      <c r="F64" s="308"/>
      <c r="G64" s="308"/>
      <c r="H64" s="328"/>
      <c r="I64" s="308"/>
      <c r="J64" s="308"/>
      <c r="K64" s="308"/>
      <c r="L64" s="308"/>
      <c r="M64" s="328"/>
    </row>
    <row r="65" spans="1:13">
      <c r="A65" s="2963"/>
      <c r="B65" s="2963"/>
      <c r="C65" s="950"/>
      <c r="D65" s="2963"/>
      <c r="E65" s="2963"/>
      <c r="F65" s="2963"/>
      <c r="G65" s="2963"/>
      <c r="H65" s="432"/>
      <c r="I65" s="2963"/>
      <c r="J65" s="2963"/>
      <c r="K65" s="2963"/>
      <c r="L65" s="2963"/>
      <c r="M65" s="432"/>
    </row>
    <row r="66" spans="1:13">
      <c r="A66" s="306"/>
      <c r="B66" s="949"/>
      <c r="C66" s="949"/>
      <c r="D66" s="2962"/>
      <c r="E66" s="2962"/>
      <c r="F66" s="2962"/>
      <c r="G66" s="2962"/>
      <c r="H66" s="328"/>
      <c r="I66" s="2962"/>
      <c r="J66" s="2962"/>
      <c r="K66" s="2962"/>
      <c r="L66" s="2962"/>
      <c r="M66" s="328"/>
    </row>
  </sheetData>
  <customSheetViews>
    <customSheetView guid="{0F09EDAE-127A-4543-88A5-04139BD32AD8}" scale="115" showPageBreaks="1" printArea="1">
      <selection activeCell="N13" sqref="A1:XFD1048576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cale="115" showPageBreaks="1" printArea="1">
      <selection activeCell="N13" sqref="A1:XFD1048576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72">
    <mergeCell ref="N12:N15"/>
    <mergeCell ref="A1:N1"/>
    <mergeCell ref="A2:N2"/>
    <mergeCell ref="B51:C51"/>
    <mergeCell ref="B53:C53"/>
    <mergeCell ref="A3:H3"/>
    <mergeCell ref="A11:B11"/>
    <mergeCell ref="D11:E11"/>
    <mergeCell ref="B33:C33"/>
    <mergeCell ref="B35:C35"/>
    <mergeCell ref="B36:C36"/>
    <mergeCell ref="D12:H12"/>
    <mergeCell ref="I12:M12"/>
    <mergeCell ref="A12:C15"/>
    <mergeCell ref="B44:C44"/>
    <mergeCell ref="B45:C45"/>
    <mergeCell ref="L13:L15"/>
    <mergeCell ref="M13:M15"/>
    <mergeCell ref="I66:L66"/>
    <mergeCell ref="B16:C16"/>
    <mergeCell ref="B17:C17"/>
    <mergeCell ref="B18:C18"/>
    <mergeCell ref="B19:C19"/>
    <mergeCell ref="B20:C20"/>
    <mergeCell ref="B21:C21"/>
    <mergeCell ref="B23:C23"/>
    <mergeCell ref="B24:C24"/>
    <mergeCell ref="B25:C25"/>
    <mergeCell ref="B26:C26"/>
    <mergeCell ref="B27:C27"/>
    <mergeCell ref="B28:C28"/>
    <mergeCell ref="B29:C29"/>
    <mergeCell ref="I60:L60"/>
    <mergeCell ref="I65:L65"/>
    <mergeCell ref="A43:F43"/>
    <mergeCell ref="D65:G65"/>
    <mergeCell ref="A60:B60"/>
    <mergeCell ref="D59:G59"/>
    <mergeCell ref="D60:G60"/>
    <mergeCell ref="A46:F46"/>
    <mergeCell ref="A52:F52"/>
    <mergeCell ref="A49:F49"/>
    <mergeCell ref="A55:F55"/>
    <mergeCell ref="B54:C54"/>
    <mergeCell ref="B47:C47"/>
    <mergeCell ref="B48:C48"/>
    <mergeCell ref="B50:C50"/>
    <mergeCell ref="K13:K15"/>
    <mergeCell ref="D66:G66"/>
    <mergeCell ref="A22:F22"/>
    <mergeCell ref="G13:G15"/>
    <mergeCell ref="H13:H15"/>
    <mergeCell ref="D13:D15"/>
    <mergeCell ref="E13:E15"/>
    <mergeCell ref="F13:F15"/>
    <mergeCell ref="A30:F30"/>
    <mergeCell ref="A65:B65"/>
    <mergeCell ref="A56:F56"/>
    <mergeCell ref="A59:B59"/>
    <mergeCell ref="A39:F39"/>
    <mergeCell ref="B31:C31"/>
    <mergeCell ref="B32:C32"/>
    <mergeCell ref="I59:L59"/>
    <mergeCell ref="B38:C38"/>
    <mergeCell ref="B40:C40"/>
    <mergeCell ref="B41:C41"/>
    <mergeCell ref="B42:C42"/>
    <mergeCell ref="I11:J11"/>
    <mergeCell ref="I13:I15"/>
    <mergeCell ref="J13:J15"/>
    <mergeCell ref="A34:F34"/>
    <mergeCell ref="B37:C37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50"/>
  </sheetPr>
  <dimension ref="A1:P30"/>
  <sheetViews>
    <sheetView workbookViewId="0">
      <selection sqref="A1:H1"/>
    </sheetView>
  </sheetViews>
  <sheetFormatPr defaultRowHeight="15"/>
  <cols>
    <col min="1" max="1" width="4.7109375" customWidth="1"/>
    <col min="2" max="2" width="36.5703125" customWidth="1"/>
    <col min="3" max="3" width="1.85546875" customWidth="1"/>
    <col min="4" max="4" width="8.28515625" customWidth="1"/>
    <col min="5" max="5" width="8" customWidth="1"/>
    <col min="6" max="6" width="10.85546875" customWidth="1"/>
    <col min="7" max="7" width="13" customWidth="1"/>
    <col min="8" max="8" width="14.140625" customWidth="1"/>
  </cols>
  <sheetData>
    <row r="1" spans="1:16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16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16">
      <c r="A3" s="2961"/>
      <c r="B3" s="2961"/>
      <c r="C3" s="2961"/>
      <c r="D3" s="2961"/>
      <c r="E3" s="2961"/>
      <c r="F3" s="2961"/>
      <c r="G3" s="2961"/>
      <c r="H3" s="2961"/>
    </row>
    <row r="4" spans="1:16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16">
      <c r="A5" s="278"/>
      <c r="B5" s="279"/>
      <c r="C5" s="281"/>
      <c r="D5" s="279"/>
      <c r="E5" s="279"/>
      <c r="F5" s="947"/>
      <c r="G5" s="279"/>
      <c r="H5" s="264"/>
    </row>
    <row r="6" spans="1:16">
      <c r="A6" s="617"/>
      <c r="B6" s="279"/>
      <c r="C6" s="281"/>
      <c r="D6" s="351"/>
      <c r="E6" s="351"/>
      <c r="F6" s="279"/>
      <c r="G6" s="351"/>
      <c r="H6" s="351"/>
    </row>
    <row r="7" spans="1:16">
      <c r="A7" s="278"/>
      <c r="B7" s="279"/>
      <c r="C7" s="281"/>
      <c r="D7" s="618"/>
      <c r="E7" s="279"/>
      <c r="F7" s="947"/>
      <c r="G7" s="351"/>
      <c r="H7" s="351"/>
    </row>
    <row r="8" spans="1:16">
      <c r="A8" s="278"/>
      <c r="B8" s="279"/>
      <c r="C8" s="281"/>
      <c r="D8" s="279"/>
      <c r="E8" s="279"/>
      <c r="F8" s="279"/>
      <c r="G8" s="351"/>
      <c r="H8" s="351"/>
    </row>
    <row r="9" spans="1:16" ht="15" customHeight="1">
      <c r="A9" s="278"/>
      <c r="B9" s="279"/>
      <c r="C9" s="279"/>
      <c r="D9" s="279"/>
      <c r="E9" s="279"/>
      <c r="F9" s="279"/>
      <c r="G9" s="279"/>
      <c r="H9" s="279"/>
    </row>
    <row r="10" spans="1:16">
      <c r="A10" s="278"/>
      <c r="B10" s="279"/>
      <c r="C10" s="279"/>
      <c r="D10" s="279"/>
      <c r="E10" s="279"/>
      <c r="F10" s="279"/>
      <c r="G10" s="279"/>
      <c r="H10" s="279"/>
    </row>
    <row r="11" spans="1:16">
      <c r="A11" s="2980" t="s">
        <v>110</v>
      </c>
      <c r="B11" s="2980"/>
      <c r="C11" s="281" t="s">
        <v>46</v>
      </c>
      <c r="D11" s="2988">
        <f>H21</f>
        <v>0</v>
      </c>
      <c r="E11" s="2988"/>
      <c r="F11" s="689"/>
      <c r="G11" s="282"/>
      <c r="H11" s="282"/>
    </row>
    <row r="12" spans="1:16" ht="15.75" thickBot="1">
      <c r="A12" s="28"/>
      <c r="B12" s="26"/>
      <c r="C12" s="27"/>
      <c r="D12" s="2970"/>
      <c r="E12" s="2970"/>
      <c r="F12" s="28"/>
      <c r="G12" s="28"/>
    </row>
    <row r="13" spans="1:16" ht="15" customHeight="1">
      <c r="A13" s="3271" t="s">
        <v>1</v>
      </c>
      <c r="B13" s="3272"/>
      <c r="C13" s="3273"/>
      <c r="D13" s="3280" t="s">
        <v>60</v>
      </c>
      <c r="E13" s="3280" t="s">
        <v>97</v>
      </c>
      <c r="F13" s="3283" t="s">
        <v>112</v>
      </c>
      <c r="G13" s="3268" t="s">
        <v>113</v>
      </c>
      <c r="H13" s="3268" t="s">
        <v>114</v>
      </c>
    </row>
    <row r="14" spans="1:16">
      <c r="A14" s="3274"/>
      <c r="B14" s="3275"/>
      <c r="C14" s="3276"/>
      <c r="D14" s="3281"/>
      <c r="E14" s="3281"/>
      <c r="F14" s="3284"/>
      <c r="G14" s="3269"/>
      <c r="H14" s="3269"/>
    </row>
    <row r="15" spans="1:16" ht="15.75" thickBot="1">
      <c r="A15" s="3277"/>
      <c r="B15" s="3278"/>
      <c r="C15" s="3279"/>
      <c r="D15" s="3282"/>
      <c r="E15" s="3282"/>
      <c r="F15" s="3285"/>
      <c r="G15" s="3270"/>
      <c r="H15" s="3270"/>
    </row>
    <row r="16" spans="1:16">
      <c r="A16" s="58">
        <v>1</v>
      </c>
      <c r="B16" s="70" t="s">
        <v>331</v>
      </c>
      <c r="C16" s="34"/>
      <c r="D16" s="67"/>
      <c r="E16" s="35"/>
      <c r="F16" s="69"/>
      <c r="G16" s="32"/>
      <c r="H16" s="46"/>
      <c r="P16">
        <v>12000000</v>
      </c>
    </row>
    <row r="17" spans="1:16">
      <c r="A17" s="58" t="s">
        <v>115</v>
      </c>
      <c r="B17" s="64" t="s">
        <v>937</v>
      </c>
      <c r="C17" s="34"/>
      <c r="D17" s="67">
        <v>0</v>
      </c>
      <c r="E17" s="35" t="s">
        <v>116</v>
      </c>
      <c r="F17" s="69">
        <v>300000</v>
      </c>
      <c r="G17" s="30">
        <f>+F17*D17</f>
        <v>0</v>
      </c>
      <c r="H17" s="48"/>
      <c r="P17">
        <v>12783000</v>
      </c>
    </row>
    <row r="18" spans="1:16" ht="15.75">
      <c r="A18" s="58"/>
      <c r="B18" s="43"/>
      <c r="C18" s="34"/>
      <c r="D18" s="37"/>
      <c r="E18" s="35"/>
      <c r="F18" s="32"/>
      <c r="G18" s="30"/>
      <c r="H18" s="48"/>
      <c r="P18">
        <v>5203000</v>
      </c>
    </row>
    <row r="19" spans="1:16">
      <c r="A19" s="3291" t="s">
        <v>99</v>
      </c>
      <c r="B19" s="3292"/>
      <c r="C19" s="3292"/>
      <c r="D19" s="3292"/>
      <c r="E19" s="3292"/>
      <c r="F19" s="3293"/>
      <c r="G19" s="38">
        <f>SUM(G17:G18)</f>
        <v>0</v>
      </c>
      <c r="H19" s="47">
        <f>G19</f>
        <v>0</v>
      </c>
      <c r="P19">
        <f>SUM(P16:P18)</f>
        <v>29986000</v>
      </c>
    </row>
    <row r="20" spans="1:16" ht="15.75" thickBot="1">
      <c r="A20" s="3291"/>
      <c r="B20" s="3292"/>
      <c r="C20" s="3292"/>
      <c r="D20" s="3292"/>
      <c r="E20" s="3292"/>
      <c r="F20" s="3293"/>
      <c r="G20" s="38"/>
      <c r="H20" s="47"/>
    </row>
    <row r="21" spans="1:16" ht="15.75" thickBot="1">
      <c r="A21" s="3289" t="s">
        <v>131</v>
      </c>
      <c r="B21" s="3290"/>
      <c r="C21" s="3290"/>
      <c r="D21" s="3290"/>
      <c r="E21" s="3290"/>
      <c r="F21" s="3290"/>
      <c r="G21" s="50">
        <f>G19</f>
        <v>0</v>
      </c>
      <c r="H21" s="50">
        <f>SUM(H7:H20)</f>
        <v>0</v>
      </c>
    </row>
    <row r="22" spans="1:16">
      <c r="A22" s="327"/>
      <c r="B22" s="263"/>
      <c r="C22" s="263"/>
      <c r="D22" s="263"/>
      <c r="E22" s="263"/>
      <c r="F22" s="263"/>
      <c r="G22" s="263"/>
      <c r="H22" s="328"/>
    </row>
    <row r="23" spans="1:16">
      <c r="A23" s="2962"/>
      <c r="B23" s="2962"/>
      <c r="C23" s="949"/>
      <c r="D23" s="2962"/>
      <c r="E23" s="2962"/>
      <c r="F23" s="2962"/>
      <c r="G23" s="2962"/>
      <c r="H23" s="275"/>
    </row>
    <row r="24" spans="1:16">
      <c r="A24" s="2962"/>
      <c r="B24" s="2962"/>
      <c r="C24" s="949"/>
      <c r="D24" s="2962"/>
      <c r="E24" s="2962"/>
      <c r="F24" s="2962"/>
      <c r="G24" s="2962"/>
      <c r="H24" s="275"/>
    </row>
    <row r="25" spans="1:16">
      <c r="A25" s="306"/>
      <c r="B25" s="949"/>
      <c r="C25" s="949"/>
      <c r="D25" s="307"/>
      <c r="E25" s="308"/>
      <c r="F25" s="953"/>
      <c r="G25" s="308"/>
      <c r="H25" s="328"/>
    </row>
    <row r="26" spans="1:16">
      <c r="A26" s="306"/>
      <c r="B26" s="949"/>
      <c r="C26" s="949"/>
      <c r="D26" s="949"/>
      <c r="E26" s="308"/>
      <c r="F26" s="308"/>
      <c r="G26" s="308"/>
      <c r="H26" s="328"/>
    </row>
    <row r="27" spans="1:16">
      <c r="A27" s="306"/>
      <c r="B27" s="307"/>
      <c r="C27" s="307"/>
      <c r="D27" s="308"/>
      <c r="E27" s="308"/>
      <c r="F27" s="308"/>
      <c r="G27" s="308"/>
      <c r="H27" s="328"/>
    </row>
    <row r="28" spans="1:16">
      <c r="A28" s="306"/>
      <c r="B28" s="307"/>
      <c r="C28" s="307"/>
      <c r="D28" s="308"/>
      <c r="E28" s="308"/>
      <c r="F28" s="308"/>
      <c r="G28" s="308"/>
      <c r="H28" s="328"/>
    </row>
    <row r="29" spans="1:16">
      <c r="A29" s="2963"/>
      <c r="B29" s="2963"/>
      <c r="C29" s="950"/>
      <c r="D29" s="2963"/>
      <c r="E29" s="2963"/>
      <c r="F29" s="2963"/>
      <c r="G29" s="2963"/>
      <c r="H29" s="432"/>
    </row>
    <row r="30" spans="1:16">
      <c r="A30" s="306"/>
      <c r="B30" s="949"/>
      <c r="C30" s="949"/>
      <c r="D30" s="2962"/>
      <c r="E30" s="2962"/>
      <c r="F30" s="2962"/>
      <c r="G30" s="2962"/>
      <c r="H30" s="328"/>
    </row>
  </sheetData>
  <customSheetViews>
    <customSheetView guid="{0F09EDAE-127A-4543-88A5-04139BD32AD8}" showPageBreaks="1" printArea="1" topLeftCell="A13">
      <selection activeCell="A20" sqref="A20:XFD21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1"/>
    </customSheetView>
    <customSheetView guid="{C05430D3-5A25-4A4C-823C-7D6EA772E5F0}" showPageBreaks="1" printArea="1" topLeftCell="A13">
      <selection activeCell="J28" sqref="J28"/>
      <pageMargins left="0.70866141732283472" right="0.70866141732283472" top="0.74803149606299213" bottom="0.74803149606299213" header="0.31496062992125984" footer="0.31496062992125984"/>
      <printOptions horizontalCentered="1"/>
      <pageSetup paperSize="5" scale="90" orientation="portrait" r:id="rId2"/>
    </customSheetView>
  </customSheetViews>
  <mergeCells count="22">
    <mergeCell ref="D30:G30"/>
    <mergeCell ref="A23:B23"/>
    <mergeCell ref="A24:B24"/>
    <mergeCell ref="A29:B29"/>
    <mergeCell ref="D23:G23"/>
    <mergeCell ref="D24:G24"/>
    <mergeCell ref="D29:G29"/>
    <mergeCell ref="H13:H15"/>
    <mergeCell ref="A19:F19"/>
    <mergeCell ref="A20:F20"/>
    <mergeCell ref="A21:F21"/>
    <mergeCell ref="D12:E12"/>
    <mergeCell ref="A13:C15"/>
    <mergeCell ref="D13:D15"/>
    <mergeCell ref="E13:E15"/>
    <mergeCell ref="F13:F15"/>
    <mergeCell ref="G13:G15"/>
    <mergeCell ref="A1:H1"/>
    <mergeCell ref="A2:H2"/>
    <mergeCell ref="A3:H3"/>
    <mergeCell ref="A11:B11"/>
    <mergeCell ref="D11:E11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90" orientation="portrait" r:id="rId3"/>
  <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FFFF00"/>
  </sheetPr>
  <dimension ref="A1:S60"/>
  <sheetViews>
    <sheetView workbookViewId="0">
      <selection sqref="A1:H1"/>
    </sheetView>
  </sheetViews>
  <sheetFormatPr defaultRowHeight="15"/>
  <cols>
    <col min="1" max="1" width="4.7109375" customWidth="1"/>
    <col min="2" max="2" width="46.140625" customWidth="1"/>
    <col min="3" max="3" width="1.85546875" customWidth="1"/>
    <col min="4" max="4" width="8.28515625" customWidth="1"/>
    <col min="5" max="5" width="8.85546875" style="1261" customWidth="1"/>
    <col min="6" max="6" width="10.7109375" customWidth="1"/>
    <col min="7" max="8" width="13" customWidth="1"/>
    <col min="10" max="10" width="12.28515625" bestFit="1" customWidth="1"/>
    <col min="13" max="13" width="12" bestFit="1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1180" t="s">
        <v>21</v>
      </c>
      <c r="F4" s="277"/>
      <c r="G4" s="277"/>
      <c r="H4" s="277"/>
    </row>
    <row r="5" spans="1:8">
      <c r="A5" s="278"/>
      <c r="B5" s="279"/>
      <c r="C5" s="281"/>
      <c r="D5" s="279"/>
      <c r="E5" s="1180"/>
      <c r="F5" s="947"/>
      <c r="G5" s="279"/>
      <c r="H5" s="264"/>
    </row>
    <row r="6" spans="1:8">
      <c r="A6" s="617"/>
      <c r="B6" s="279"/>
      <c r="C6" s="281"/>
      <c r="D6" s="351"/>
      <c r="E6" s="1180"/>
      <c r="F6" s="279"/>
      <c r="G6" s="351"/>
      <c r="H6" s="351"/>
    </row>
    <row r="7" spans="1:8">
      <c r="A7" s="278"/>
      <c r="B7" s="279"/>
      <c r="C7" s="281"/>
      <c r="D7" s="618"/>
      <c r="E7" s="1180"/>
      <c r="F7" s="947"/>
      <c r="G7" s="351"/>
      <c r="H7" s="351"/>
    </row>
    <row r="8" spans="1:8">
      <c r="A8" s="278"/>
      <c r="B8" s="279"/>
      <c r="C8" s="281"/>
      <c r="D8" s="279"/>
      <c r="E8" s="1180"/>
      <c r="F8" s="279"/>
      <c r="G8" s="351"/>
      <c r="H8" s="351"/>
    </row>
    <row r="9" spans="1:8" ht="15" customHeight="1">
      <c r="A9" s="278"/>
      <c r="B9" s="279"/>
      <c r="C9" s="279"/>
      <c r="D9" s="279"/>
      <c r="E9" s="1180"/>
      <c r="F9" s="279"/>
      <c r="G9" s="279"/>
      <c r="H9" s="279"/>
    </row>
    <row r="10" spans="1:8">
      <c r="A10" s="278"/>
      <c r="B10" s="279"/>
      <c r="C10" s="279"/>
      <c r="D10" s="279"/>
      <c r="E10" s="1180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H49</f>
        <v>5000000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>
      <c r="A13" s="2989" t="s">
        <v>1</v>
      </c>
      <c r="B13" s="2990"/>
      <c r="C13" s="2991"/>
      <c r="D13" s="2998" t="s">
        <v>60</v>
      </c>
      <c r="E13" s="2998" t="s">
        <v>97</v>
      </c>
      <c r="F13" s="2989" t="s">
        <v>112</v>
      </c>
      <c r="G13" s="2998" t="s">
        <v>113</v>
      </c>
      <c r="H13" s="2991" t="s">
        <v>114</v>
      </c>
    </row>
    <row r="14" spans="1:8">
      <c r="A14" s="2992"/>
      <c r="B14" s="2993"/>
      <c r="C14" s="2994"/>
      <c r="D14" s="2999"/>
      <c r="E14" s="2999"/>
      <c r="F14" s="2992"/>
      <c r="G14" s="2999"/>
      <c r="H14" s="2994"/>
    </row>
    <row r="15" spans="1:8">
      <c r="A15" s="2995"/>
      <c r="B15" s="2996"/>
      <c r="C15" s="2997"/>
      <c r="D15" s="3000"/>
      <c r="E15" s="3000"/>
      <c r="F15" s="2995"/>
      <c r="G15" s="3000"/>
      <c r="H15" s="2997"/>
    </row>
    <row r="16" spans="1:8" ht="15.75">
      <c r="A16" s="116">
        <v>1</v>
      </c>
      <c r="B16" s="143" t="s">
        <v>317</v>
      </c>
      <c r="C16" s="117"/>
      <c r="D16" s="118"/>
      <c r="E16" s="1256"/>
      <c r="F16" s="120"/>
      <c r="G16" s="122"/>
      <c r="H16" s="123"/>
    </row>
    <row r="17" spans="1:19" ht="15.75">
      <c r="A17" s="124" t="s">
        <v>115</v>
      </c>
      <c r="B17" s="125" t="s">
        <v>304</v>
      </c>
      <c r="C17" s="126"/>
      <c r="D17" s="127">
        <v>24</v>
      </c>
      <c r="E17" s="1257" t="s">
        <v>302</v>
      </c>
      <c r="F17" s="129">
        <v>35000</v>
      </c>
      <c r="G17" s="120">
        <f>+F17*D17</f>
        <v>840000</v>
      </c>
      <c r="H17" s="131"/>
      <c r="K17">
        <v>41</v>
      </c>
    </row>
    <row r="18" spans="1:19" ht="15.75">
      <c r="A18" s="124" t="s">
        <v>117</v>
      </c>
      <c r="B18" s="125" t="s">
        <v>318</v>
      </c>
      <c r="C18" s="126"/>
      <c r="D18" s="127">
        <v>24</v>
      </c>
      <c r="E18" s="1257" t="s">
        <v>302</v>
      </c>
      <c r="F18" s="129">
        <v>17500</v>
      </c>
      <c r="G18" s="120">
        <f>+F18*D18</f>
        <v>420000</v>
      </c>
      <c r="H18" s="131"/>
      <c r="K18">
        <f>K17/10</f>
        <v>4.0999999999999996</v>
      </c>
      <c r="L18">
        <f>62/10</f>
        <v>6.2</v>
      </c>
    </row>
    <row r="19" spans="1:19" ht="15.75">
      <c r="A19" s="124"/>
      <c r="B19" s="125"/>
      <c r="C19" s="126"/>
      <c r="D19" s="127"/>
      <c r="E19" s="1257"/>
      <c r="F19" s="129"/>
      <c r="G19" s="120"/>
      <c r="H19" s="131"/>
    </row>
    <row r="20" spans="1:19">
      <c r="A20" s="3001" t="s">
        <v>98</v>
      </c>
      <c r="B20" s="3002"/>
      <c r="C20" s="3002"/>
      <c r="D20" s="3002"/>
      <c r="E20" s="3002"/>
      <c r="F20" s="3003"/>
      <c r="G20" s="132">
        <f>SUM(G17:G19)</f>
        <v>1260000</v>
      </c>
      <c r="H20" s="133">
        <f>G20</f>
        <v>1260000</v>
      </c>
      <c r="J20" t="s">
        <v>21</v>
      </c>
    </row>
    <row r="21" spans="1:19" ht="15.75">
      <c r="A21" s="124">
        <v>2</v>
      </c>
      <c r="B21" s="125" t="s">
        <v>299</v>
      </c>
      <c r="C21" s="126"/>
      <c r="D21" s="127"/>
      <c r="E21" s="1257"/>
      <c r="F21" s="129"/>
      <c r="G21" s="120"/>
      <c r="H21" s="131"/>
    </row>
    <row r="22" spans="1:19" ht="15.75">
      <c r="A22" s="124" t="s">
        <v>121</v>
      </c>
      <c r="B22" s="125" t="s">
        <v>576</v>
      </c>
      <c r="C22" s="126"/>
      <c r="D22" s="127">
        <v>3</v>
      </c>
      <c r="E22" s="1257" t="s">
        <v>281</v>
      </c>
      <c r="F22" s="129">
        <v>100000</v>
      </c>
      <c r="G22" s="120">
        <f>+F22*D22</f>
        <v>300000</v>
      </c>
      <c r="H22" s="131"/>
    </row>
    <row r="23" spans="1:19" ht="15.75">
      <c r="A23" s="124"/>
      <c r="B23" s="125"/>
      <c r="C23" s="126"/>
      <c r="D23" s="127"/>
      <c r="E23" s="1257"/>
      <c r="F23" s="129"/>
      <c r="G23" s="120"/>
      <c r="H23" s="131"/>
      <c r="K23" s="124" t="s">
        <v>122</v>
      </c>
      <c r="L23" s="125" t="s">
        <v>291</v>
      </c>
      <c r="M23" s="126"/>
      <c r="N23" s="127">
        <v>4</v>
      </c>
      <c r="O23" s="128" t="s">
        <v>136</v>
      </c>
      <c r="P23" s="129">
        <v>25000</v>
      </c>
      <c r="Q23" s="130"/>
      <c r="R23" s="120">
        <f>+P23*N23</f>
        <v>100000</v>
      </c>
      <c r="S23" s="131"/>
    </row>
    <row r="24" spans="1:19" ht="15.75">
      <c r="A24" s="3001" t="s">
        <v>99</v>
      </c>
      <c r="B24" s="3002"/>
      <c r="C24" s="3002"/>
      <c r="D24" s="3002"/>
      <c r="E24" s="3002"/>
      <c r="F24" s="3003"/>
      <c r="G24" s="132">
        <f>SUM(G22:G23)</f>
        <v>300000</v>
      </c>
      <c r="H24" s="133">
        <f>G24</f>
        <v>300000</v>
      </c>
      <c r="K24" s="124" t="s">
        <v>123</v>
      </c>
      <c r="L24" s="125" t="s">
        <v>292</v>
      </c>
      <c r="M24" s="126"/>
      <c r="N24" s="127">
        <v>4</v>
      </c>
      <c r="O24" s="128" t="s">
        <v>136</v>
      </c>
      <c r="P24" s="129">
        <v>3000</v>
      </c>
      <c r="Q24" s="130"/>
      <c r="R24" s="120">
        <f>+P24*N24</f>
        <v>12000</v>
      </c>
      <c r="S24" s="131"/>
    </row>
    <row r="25" spans="1:19" ht="15.75">
      <c r="A25" s="116">
        <v>3</v>
      </c>
      <c r="B25" s="125" t="s">
        <v>575</v>
      </c>
      <c r="C25" s="117"/>
      <c r="D25" s="118"/>
      <c r="E25" s="1256"/>
      <c r="F25" s="120"/>
      <c r="G25" s="122"/>
      <c r="H25" s="123"/>
    </row>
    <row r="26" spans="1:19">
      <c r="A26" s="124" t="s">
        <v>126</v>
      </c>
      <c r="B26" s="206" t="s">
        <v>176</v>
      </c>
      <c r="C26" s="207"/>
      <c r="D26" s="208">
        <v>1</v>
      </c>
      <c r="E26" s="1258" t="s">
        <v>283</v>
      </c>
      <c r="F26" s="129">
        <v>200000</v>
      </c>
      <c r="G26" s="120">
        <f>+F26*D26</f>
        <v>200000</v>
      </c>
      <c r="H26" s="131"/>
    </row>
    <row r="27" spans="1:19">
      <c r="A27" s="124" t="s">
        <v>127</v>
      </c>
      <c r="B27" s="206" t="s">
        <v>360</v>
      </c>
      <c r="C27" s="207"/>
      <c r="D27" s="208">
        <v>1</v>
      </c>
      <c r="E27" s="1258" t="s">
        <v>283</v>
      </c>
      <c r="F27" s="129">
        <v>175000</v>
      </c>
      <c r="G27" s="120">
        <f>+F27*D27</f>
        <v>175000</v>
      </c>
      <c r="H27" s="131"/>
      <c r="I27">
        <f>8*2*3</f>
        <v>48</v>
      </c>
    </row>
    <row r="28" spans="1:19">
      <c r="A28" s="124" t="s">
        <v>225</v>
      </c>
      <c r="B28" s="206" t="s">
        <v>361</v>
      </c>
      <c r="C28" s="207"/>
      <c r="D28" s="208">
        <v>1</v>
      </c>
      <c r="E28" s="1258" t="s">
        <v>283</v>
      </c>
      <c r="F28" s="129">
        <v>150000</v>
      </c>
      <c r="G28" s="120">
        <f>+F28*D28</f>
        <v>150000</v>
      </c>
      <c r="H28" s="131"/>
    </row>
    <row r="29" spans="1:19">
      <c r="A29" s="124" t="s">
        <v>226</v>
      </c>
      <c r="B29" s="206" t="s">
        <v>362</v>
      </c>
      <c r="C29" s="207"/>
      <c r="D29" s="208">
        <v>2</v>
      </c>
      <c r="E29" s="1258" t="s">
        <v>283</v>
      </c>
      <c r="F29" s="129">
        <v>125000</v>
      </c>
      <c r="G29" s="120">
        <f>+F29*D29</f>
        <v>250000</v>
      </c>
      <c r="H29" s="131"/>
      <c r="J29" t="s">
        <v>21</v>
      </c>
      <c r="K29" t="s">
        <v>21</v>
      </c>
    </row>
    <row r="30" spans="1:19">
      <c r="A30" s="3001" t="s">
        <v>102</v>
      </c>
      <c r="B30" s="3002"/>
      <c r="C30" s="3002"/>
      <c r="D30" s="3002"/>
      <c r="E30" s="3002"/>
      <c r="F30" s="3003"/>
      <c r="G30" s="132">
        <f>SUM(G26:G29)</f>
        <v>775000</v>
      </c>
      <c r="H30" s="133">
        <f>G30</f>
        <v>775000</v>
      </c>
      <c r="M30" t="s">
        <v>21</v>
      </c>
    </row>
    <row r="31" spans="1:19" ht="15.75">
      <c r="A31" s="124">
        <v>4</v>
      </c>
      <c r="B31" s="125" t="s">
        <v>296</v>
      </c>
      <c r="C31" s="126"/>
      <c r="D31" s="127"/>
      <c r="E31" s="1257"/>
      <c r="F31" s="129"/>
      <c r="G31" s="120"/>
      <c r="H31" s="131"/>
    </row>
    <row r="32" spans="1:19" ht="15.75">
      <c r="A32" s="124" t="s">
        <v>128</v>
      </c>
      <c r="B32" s="125" t="s">
        <v>289</v>
      </c>
      <c r="C32" s="126"/>
      <c r="D32" s="127">
        <v>1</v>
      </c>
      <c r="E32" s="1257" t="s">
        <v>141</v>
      </c>
      <c r="F32" s="129">
        <v>200000</v>
      </c>
      <c r="G32" s="120">
        <f>+F32*D32</f>
        <v>200000</v>
      </c>
      <c r="H32" s="131"/>
      <c r="J32" s="61">
        <f>G32/200</f>
        <v>1000</v>
      </c>
      <c r="K32" s="61">
        <f>J32/6</f>
        <v>166.66666666666666</v>
      </c>
      <c r="L32" s="61">
        <f>K32/3</f>
        <v>55.55555555555555</v>
      </c>
    </row>
    <row r="33" spans="1:16" ht="15.75">
      <c r="A33" s="124" t="s">
        <v>129</v>
      </c>
      <c r="B33" s="125" t="s">
        <v>272</v>
      </c>
      <c r="C33" s="126"/>
      <c r="D33" s="127">
        <v>1</v>
      </c>
      <c r="E33" s="1257" t="s">
        <v>323</v>
      </c>
      <c r="F33" s="129">
        <v>100000</v>
      </c>
      <c r="G33" s="120">
        <f>+F33*D33</f>
        <v>100000</v>
      </c>
      <c r="H33" s="131"/>
    </row>
    <row r="34" spans="1:16">
      <c r="A34" s="3001" t="s">
        <v>130</v>
      </c>
      <c r="B34" s="3002"/>
      <c r="C34" s="3002"/>
      <c r="D34" s="3002"/>
      <c r="E34" s="3002"/>
      <c r="F34" s="3003"/>
      <c r="G34" s="132">
        <f>SUM(G32:G33)</f>
        <v>300000</v>
      </c>
      <c r="H34" s="133">
        <f>G34</f>
        <v>300000</v>
      </c>
    </row>
    <row r="35" spans="1:16" ht="15.75">
      <c r="A35" s="124">
        <v>5</v>
      </c>
      <c r="B35" s="125" t="s">
        <v>215</v>
      </c>
      <c r="C35" s="126"/>
      <c r="D35" s="127"/>
      <c r="E35" s="1257"/>
      <c r="F35" s="129"/>
      <c r="G35" s="120"/>
      <c r="H35" s="131"/>
      <c r="P35" t="s">
        <v>21</v>
      </c>
    </row>
    <row r="36" spans="1:16" ht="15.75">
      <c r="A36" s="124" t="s">
        <v>170</v>
      </c>
      <c r="B36" s="125" t="s">
        <v>286</v>
      </c>
      <c r="C36" s="126"/>
      <c r="D36" s="127">
        <v>1</v>
      </c>
      <c r="E36" s="1257" t="s">
        <v>136</v>
      </c>
      <c r="F36" s="129">
        <v>75000</v>
      </c>
      <c r="G36" s="120">
        <f>+F36*D36</f>
        <v>75000</v>
      </c>
      <c r="H36" s="131"/>
      <c r="L36" t="s">
        <v>21</v>
      </c>
    </row>
    <row r="37" spans="1:16" ht="15.75">
      <c r="A37" s="124" t="s">
        <v>219</v>
      </c>
      <c r="B37" s="125" t="s">
        <v>147</v>
      </c>
      <c r="C37" s="126"/>
      <c r="D37" s="127">
        <v>1</v>
      </c>
      <c r="E37" s="1257" t="s">
        <v>136</v>
      </c>
      <c r="F37" s="129">
        <v>20000</v>
      </c>
      <c r="G37" s="120">
        <f>+F37*D37</f>
        <v>20000</v>
      </c>
      <c r="H37" s="131"/>
      <c r="P37" t="s">
        <v>21</v>
      </c>
    </row>
    <row r="38" spans="1:16" ht="15.75">
      <c r="A38" s="124" t="s">
        <v>223</v>
      </c>
      <c r="B38" s="125" t="s">
        <v>291</v>
      </c>
      <c r="C38" s="126"/>
      <c r="D38" s="127">
        <v>1</v>
      </c>
      <c r="E38" s="1257" t="s">
        <v>136</v>
      </c>
      <c r="F38" s="129">
        <v>25000</v>
      </c>
      <c r="G38" s="120">
        <f>+F38*D38</f>
        <v>25000</v>
      </c>
      <c r="H38" s="131"/>
      <c r="J38" s="61"/>
      <c r="M38" t="s">
        <v>21</v>
      </c>
    </row>
    <row r="39" spans="1:16" ht="15.75">
      <c r="A39" s="124" t="s">
        <v>270</v>
      </c>
      <c r="B39" s="194" t="s">
        <v>158</v>
      </c>
      <c r="C39" s="126"/>
      <c r="D39" s="127">
        <v>1</v>
      </c>
      <c r="E39" s="1257" t="s">
        <v>136</v>
      </c>
      <c r="F39" s="129">
        <v>15000</v>
      </c>
      <c r="G39" s="120">
        <f>+F39*D39</f>
        <v>15000</v>
      </c>
      <c r="H39" s="131"/>
      <c r="J39" s="61"/>
    </row>
    <row r="40" spans="1:16">
      <c r="A40" s="3001" t="s">
        <v>269</v>
      </c>
      <c r="B40" s="3002"/>
      <c r="C40" s="3002"/>
      <c r="D40" s="3002"/>
      <c r="E40" s="3002"/>
      <c r="F40" s="3003"/>
      <c r="G40" s="132">
        <f>SUM(G36:G39)</f>
        <v>135000</v>
      </c>
      <c r="H40" s="133">
        <f>G40</f>
        <v>135000</v>
      </c>
    </row>
    <row r="41" spans="1:16" ht="15.75">
      <c r="A41" s="116">
        <v>6</v>
      </c>
      <c r="B41" s="125" t="s">
        <v>324</v>
      </c>
      <c r="C41" s="117"/>
      <c r="D41" s="118"/>
      <c r="E41" s="1256"/>
      <c r="F41" s="120"/>
      <c r="G41" s="122"/>
      <c r="H41" s="123"/>
      <c r="J41" s="61">
        <f>J45/6</f>
        <v>833333.33333333337</v>
      </c>
    </row>
    <row r="42" spans="1:16" ht="15.75">
      <c r="A42" s="124" t="s">
        <v>243</v>
      </c>
      <c r="B42" s="125" t="s">
        <v>290</v>
      </c>
      <c r="C42" s="126"/>
      <c r="D42" s="127">
        <v>1</v>
      </c>
      <c r="E42" s="1257" t="s">
        <v>171</v>
      </c>
      <c r="F42" s="129">
        <v>180000</v>
      </c>
      <c r="G42" s="120">
        <f>+F42*D42</f>
        <v>180000</v>
      </c>
      <c r="H42" s="131"/>
      <c r="M42">
        <f>183000/8</f>
        <v>22875</v>
      </c>
    </row>
    <row r="43" spans="1:16" ht="15.75">
      <c r="A43" s="124" t="s">
        <v>244</v>
      </c>
      <c r="B43" s="125" t="s">
        <v>303</v>
      </c>
      <c r="C43" s="126"/>
      <c r="D43" s="127">
        <v>1</v>
      </c>
      <c r="E43" s="1257" t="s">
        <v>136</v>
      </c>
      <c r="F43" s="129">
        <v>250000</v>
      </c>
      <c r="G43" s="120">
        <f>+F43*D43</f>
        <v>250000</v>
      </c>
      <c r="H43" s="131"/>
      <c r="K43" t="s">
        <v>21</v>
      </c>
    </row>
    <row r="44" spans="1:16">
      <c r="A44" s="3001" t="s">
        <v>282</v>
      </c>
      <c r="B44" s="3002"/>
      <c r="C44" s="3002"/>
      <c r="D44" s="3002"/>
      <c r="E44" s="3002"/>
      <c r="F44" s="3003"/>
      <c r="G44" s="132">
        <f>SUM(G42:G43)</f>
        <v>430000</v>
      </c>
      <c r="H44" s="133">
        <f>G44</f>
        <v>430000</v>
      </c>
    </row>
    <row r="45" spans="1:16" ht="15.75">
      <c r="A45" s="124">
        <v>7</v>
      </c>
      <c r="B45" s="125" t="s">
        <v>368</v>
      </c>
      <c r="C45" s="126"/>
      <c r="D45" s="127"/>
      <c r="E45" s="1257"/>
      <c r="F45" s="129"/>
      <c r="G45" s="120"/>
      <c r="H45" s="131"/>
      <c r="J45" s="61">
        <f>10000000-H49</f>
        <v>5000000</v>
      </c>
    </row>
    <row r="46" spans="1:16" ht="15.75">
      <c r="A46" s="124" t="s">
        <v>242</v>
      </c>
      <c r="B46" s="125" t="s">
        <v>368</v>
      </c>
      <c r="C46" s="126"/>
      <c r="D46" s="127">
        <v>3</v>
      </c>
      <c r="E46" s="1257" t="s">
        <v>281</v>
      </c>
      <c r="F46" s="129">
        <v>600000</v>
      </c>
      <c r="G46" s="120">
        <f>+F46*D46</f>
        <v>1800000</v>
      </c>
      <c r="H46" s="131"/>
      <c r="M46" s="61" t="e">
        <f>H49+#REF!</f>
        <v>#REF!</v>
      </c>
    </row>
    <row r="47" spans="1:16" ht="15.75">
      <c r="A47" s="124"/>
      <c r="B47" s="125"/>
      <c r="C47" s="126"/>
      <c r="D47" s="127"/>
      <c r="E47" s="1257"/>
      <c r="F47" s="129"/>
      <c r="G47" s="120"/>
      <c r="H47" s="131"/>
    </row>
    <row r="48" spans="1:16">
      <c r="A48" s="3001" t="s">
        <v>130</v>
      </c>
      <c r="B48" s="3002"/>
      <c r="C48" s="3002"/>
      <c r="D48" s="3002"/>
      <c r="E48" s="3002"/>
      <c r="F48" s="3003"/>
      <c r="G48" s="132">
        <f>SUM(G46:G47)</f>
        <v>1800000</v>
      </c>
      <c r="H48" s="133">
        <f>G48</f>
        <v>1800000</v>
      </c>
      <c r="K48" t="s">
        <v>21</v>
      </c>
    </row>
    <row r="49" spans="1:10">
      <c r="A49" s="3004" t="s">
        <v>131</v>
      </c>
      <c r="B49" s="3005"/>
      <c r="C49" s="3005"/>
      <c r="D49" s="3005"/>
      <c r="E49" s="3005"/>
      <c r="F49" s="3005"/>
      <c r="G49" s="135">
        <f>G20+G24+G30+G34+G40+G44+G48</f>
        <v>5000000</v>
      </c>
      <c r="H49" s="136">
        <f>SUM(H17:H48)</f>
        <v>5000000</v>
      </c>
    </row>
    <row r="50" spans="1:10">
      <c r="A50" s="115"/>
      <c r="B50" s="137"/>
      <c r="C50" s="137"/>
      <c r="D50" s="137"/>
      <c r="E50" s="1259"/>
      <c r="F50" s="137"/>
      <c r="G50" s="137"/>
      <c r="H50" s="114"/>
      <c r="J50" s="61"/>
    </row>
    <row r="51" spans="1:10">
      <c r="A51" s="113"/>
      <c r="B51" s="113"/>
      <c r="C51" s="113"/>
      <c r="D51" s="113"/>
      <c r="E51" s="1260"/>
      <c r="F51" s="113"/>
      <c r="G51" s="113"/>
      <c r="H51" s="114"/>
    </row>
    <row r="52" spans="1:10">
      <c r="A52" s="2962"/>
      <c r="B52" s="2962"/>
      <c r="C52" s="433"/>
      <c r="D52" s="2962"/>
      <c r="E52" s="2962"/>
      <c r="F52" s="2962"/>
      <c r="G52" s="2962"/>
      <c r="H52" s="2962"/>
    </row>
    <row r="53" spans="1:10">
      <c r="A53" s="2962"/>
      <c r="B53" s="2962"/>
      <c r="C53" s="433"/>
      <c r="D53" s="2962"/>
      <c r="E53" s="2962"/>
      <c r="F53" s="2962"/>
      <c r="G53" s="2962"/>
      <c r="H53" s="2962"/>
    </row>
    <row r="54" spans="1:10">
      <c r="A54" s="306"/>
      <c r="B54" s="433"/>
      <c r="C54" s="433"/>
      <c r="D54" s="307"/>
      <c r="E54" s="1254"/>
      <c r="F54" s="308"/>
      <c r="G54" s="308"/>
      <c r="H54" s="264"/>
    </row>
    <row r="55" spans="1:10">
      <c r="A55" s="306"/>
      <c r="B55" s="433"/>
      <c r="C55" s="433"/>
      <c r="D55" s="433"/>
      <c r="E55" s="1254"/>
      <c r="F55" s="308"/>
      <c r="G55" s="308"/>
      <c r="H55" s="264"/>
    </row>
    <row r="56" spans="1:10">
      <c r="A56" s="306"/>
      <c r="B56" s="307"/>
      <c r="C56" s="307"/>
      <c r="D56" s="308"/>
      <c r="E56" s="1254"/>
      <c r="F56" s="308"/>
      <c r="G56" s="308"/>
      <c r="H56" s="264"/>
    </row>
    <row r="57" spans="1:10">
      <c r="A57" s="306"/>
      <c r="B57" s="307"/>
      <c r="C57" s="307"/>
      <c r="D57" s="308"/>
      <c r="E57" s="1254"/>
      <c r="F57" s="308"/>
      <c r="G57" s="308"/>
      <c r="H57" s="264"/>
    </row>
    <row r="58" spans="1:10">
      <c r="A58" s="2963"/>
      <c r="B58" s="2963"/>
      <c r="C58" s="434"/>
      <c r="D58" s="2963"/>
      <c r="E58" s="2963"/>
      <c r="F58" s="2963"/>
      <c r="G58" s="2963"/>
      <c r="H58" s="2963"/>
    </row>
    <row r="59" spans="1:10">
      <c r="A59" s="306"/>
      <c r="B59" s="433"/>
      <c r="C59" s="433"/>
      <c r="D59" s="2962"/>
      <c r="E59" s="2962"/>
      <c r="F59" s="2962"/>
      <c r="G59" s="2962"/>
      <c r="H59" s="264"/>
    </row>
    <row r="60" spans="1:10">
      <c r="A60" s="384"/>
      <c r="B60" s="384"/>
      <c r="C60" s="384"/>
      <c r="D60" s="384"/>
      <c r="E60" s="1255"/>
      <c r="F60" s="384"/>
      <c r="G60" s="384"/>
      <c r="H60" s="384"/>
    </row>
  </sheetData>
  <customSheetViews>
    <customSheetView guid="{0F09EDAE-127A-4543-88A5-04139BD32AD8}" showPageBreaks="1" printArea="1" topLeftCell="A21">
      <selection activeCell="F33" sqref="F33"/>
      <pageMargins left="0.70866141732283472" right="0.70866141732283472" top="0.74803149606299213" bottom="0.74803149606299213" header="0.31496062992125984" footer="0.31496062992125984"/>
      <printOptions horizontalCentered="1"/>
      <pageSetup paperSize="5" scale="82" orientation="portrait" r:id="rId1"/>
    </customSheetView>
    <customSheetView guid="{C05430D3-5A25-4A4C-823C-7D6EA772E5F0}" showPageBreaks="1" printArea="1" topLeftCell="A21">
      <selection activeCell="F33" sqref="F33"/>
      <pageMargins left="0.70866141732283472" right="0.70866141732283472" top="0.74803149606299213" bottom="0.74803149606299213" header="0.31496062992125984" footer="0.31496062992125984"/>
      <printOptions horizontalCentered="1"/>
      <pageSetup paperSize="5" scale="82" orientation="portrait" r:id="rId2"/>
    </customSheetView>
  </customSheetViews>
  <mergeCells count="27">
    <mergeCell ref="A24:F24"/>
    <mergeCell ref="A30:F30"/>
    <mergeCell ref="A34:F34"/>
    <mergeCell ref="A53:B53"/>
    <mergeCell ref="D53:H53"/>
    <mergeCell ref="A40:F40"/>
    <mergeCell ref="A44:F44"/>
    <mergeCell ref="A48:F48"/>
    <mergeCell ref="A49:F49"/>
    <mergeCell ref="A52:B52"/>
    <mergeCell ref="D52:H52"/>
    <mergeCell ref="A1:H1"/>
    <mergeCell ref="A3:H3"/>
    <mergeCell ref="A11:B11"/>
    <mergeCell ref="D11:E11"/>
    <mergeCell ref="D59:G59"/>
    <mergeCell ref="A2:H2"/>
    <mergeCell ref="D12:E12"/>
    <mergeCell ref="A13:C15"/>
    <mergeCell ref="D13:D15"/>
    <mergeCell ref="E13:E15"/>
    <mergeCell ref="F13:F15"/>
    <mergeCell ref="G13:G15"/>
    <mergeCell ref="H13:H15"/>
    <mergeCell ref="A58:B58"/>
    <mergeCell ref="D58:H58"/>
    <mergeCell ref="A20:F20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2" orientation="portrait" r:id="rId3"/>
  <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FF00"/>
  </sheetPr>
  <dimension ref="A1:S62"/>
  <sheetViews>
    <sheetView workbookViewId="0">
      <selection sqref="A1:H1"/>
    </sheetView>
  </sheetViews>
  <sheetFormatPr defaultRowHeight="15"/>
  <cols>
    <col min="1" max="1" width="4.7109375" customWidth="1"/>
    <col min="2" max="2" width="46.140625" customWidth="1"/>
    <col min="3" max="3" width="1.85546875" customWidth="1"/>
    <col min="4" max="4" width="8.28515625" customWidth="1"/>
    <col min="5" max="5" width="8.85546875" customWidth="1"/>
    <col min="6" max="6" width="10.7109375" customWidth="1"/>
    <col min="7" max="8" width="13" customWidth="1"/>
    <col min="10" max="10" width="12.28515625" bestFit="1" customWidth="1"/>
    <col min="13" max="13" width="12" bestFit="1" customWidth="1"/>
  </cols>
  <sheetData>
    <row r="1" spans="1:8">
      <c r="A1" s="2961" t="s">
        <v>1023</v>
      </c>
      <c r="B1" s="2961"/>
      <c r="C1" s="2961"/>
      <c r="D1" s="2961"/>
      <c r="E1" s="2961"/>
      <c r="F1" s="2961"/>
      <c r="G1" s="2961"/>
      <c r="H1" s="2961"/>
    </row>
    <row r="2" spans="1:8">
      <c r="A2" s="2961" t="s">
        <v>1024</v>
      </c>
      <c r="B2" s="2961"/>
      <c r="C2" s="2961"/>
      <c r="D2" s="2961"/>
      <c r="E2" s="2961"/>
      <c r="F2" s="2961"/>
      <c r="G2" s="2961"/>
      <c r="H2" s="2961"/>
    </row>
    <row r="3" spans="1:8">
      <c r="A3" s="2961"/>
      <c r="B3" s="2961"/>
      <c r="C3" s="2961"/>
      <c r="D3" s="2961"/>
      <c r="E3" s="2961"/>
      <c r="F3" s="2961"/>
      <c r="G3" s="2961"/>
      <c r="H3" s="2961"/>
    </row>
    <row r="4" spans="1:8">
      <c r="A4" s="276"/>
      <c r="B4" s="277"/>
      <c r="C4" s="277"/>
      <c r="D4" s="277"/>
      <c r="E4" s="277" t="s">
        <v>21</v>
      </c>
      <c r="F4" s="277"/>
      <c r="G4" s="277"/>
      <c r="H4" s="277"/>
    </row>
    <row r="5" spans="1:8">
      <c r="A5" s="278"/>
      <c r="B5" s="279"/>
      <c r="C5" s="281"/>
      <c r="D5" s="279"/>
      <c r="E5" s="279"/>
      <c r="F5" s="947"/>
      <c r="G5" s="279"/>
      <c r="H5" s="264"/>
    </row>
    <row r="6" spans="1:8">
      <c r="A6" s="617"/>
      <c r="B6" s="279"/>
      <c r="C6" s="281"/>
      <c r="D6" s="351"/>
      <c r="E6" s="351"/>
      <c r="F6" s="279"/>
      <c r="G6" s="351"/>
      <c r="H6" s="351"/>
    </row>
    <row r="7" spans="1:8">
      <c r="A7" s="278"/>
      <c r="B7" s="279"/>
      <c r="C7" s="281"/>
      <c r="D7" s="618"/>
      <c r="E7" s="279"/>
      <c r="F7" s="947"/>
      <c r="G7" s="351"/>
      <c r="H7" s="351"/>
    </row>
    <row r="8" spans="1:8">
      <c r="A8" s="278"/>
      <c r="B8" s="279"/>
      <c r="C8" s="281"/>
      <c r="D8" s="279"/>
      <c r="E8" s="279"/>
      <c r="F8" s="279"/>
      <c r="G8" s="351"/>
      <c r="H8" s="351"/>
    </row>
    <row r="9" spans="1:8" ht="15" customHeight="1">
      <c r="A9" s="278"/>
      <c r="B9" s="279"/>
      <c r="C9" s="279"/>
      <c r="D9" s="279"/>
      <c r="E9" s="279"/>
      <c r="F9" s="279"/>
      <c r="G9" s="279"/>
      <c r="H9" s="279"/>
    </row>
    <row r="10" spans="1:8">
      <c r="A10" s="278"/>
      <c r="B10" s="279"/>
      <c r="C10" s="279"/>
      <c r="D10" s="279"/>
      <c r="E10" s="279"/>
      <c r="F10" s="279"/>
      <c r="G10" s="279"/>
      <c r="H10" s="279"/>
    </row>
    <row r="11" spans="1:8">
      <c r="A11" s="2980" t="s">
        <v>110</v>
      </c>
      <c r="B11" s="2980"/>
      <c r="C11" s="281" t="s">
        <v>46</v>
      </c>
      <c r="D11" s="2988">
        <f>H51</f>
        <v>10000000</v>
      </c>
      <c r="E11" s="2988"/>
      <c r="F11" s="689"/>
      <c r="G11" s="282"/>
      <c r="H11" s="282"/>
    </row>
    <row r="12" spans="1:8" ht="15.75" thickBot="1">
      <c r="A12" s="28"/>
      <c r="B12" s="26"/>
      <c r="C12" s="27"/>
      <c r="D12" s="2970"/>
      <c r="E12" s="2970"/>
      <c r="F12" s="28"/>
      <c r="G12" s="28"/>
    </row>
    <row r="13" spans="1:8">
      <c r="A13" s="2989" t="s">
        <v>1</v>
      </c>
      <c r="B13" s="2990"/>
      <c r="C13" s="2991"/>
      <c r="D13" s="2998" t="s">
        <v>60</v>
      </c>
      <c r="E13" s="2998" t="s">
        <v>97</v>
      </c>
      <c r="F13" s="2989" t="s">
        <v>112</v>
      </c>
      <c r="G13" s="2998" t="s">
        <v>113</v>
      </c>
      <c r="H13" s="2991" t="s">
        <v>114</v>
      </c>
    </row>
    <row r="14" spans="1:8">
      <c r="A14" s="2992"/>
      <c r="B14" s="2993"/>
      <c r="C14" s="2994"/>
      <c r="D14" s="2999"/>
      <c r="E14" s="2999"/>
      <c r="F14" s="2992"/>
      <c r="G14" s="2999"/>
      <c r="H14" s="2994"/>
    </row>
    <row r="15" spans="1:8">
      <c r="A15" s="2995"/>
      <c r="B15" s="2996"/>
      <c r="C15" s="2997"/>
      <c r="D15" s="3000"/>
      <c r="E15" s="3000"/>
      <c r="F15" s="2995"/>
      <c r="G15" s="3000"/>
      <c r="H15" s="2997"/>
    </row>
    <row r="16" spans="1:8" ht="15.75">
      <c r="A16" s="116">
        <v>1</v>
      </c>
      <c r="B16" s="143" t="s">
        <v>317</v>
      </c>
      <c r="C16" s="117"/>
      <c r="D16" s="118"/>
      <c r="E16" s="119"/>
      <c r="F16" s="120"/>
      <c r="G16" s="122"/>
      <c r="H16" s="123"/>
    </row>
    <row r="17" spans="1:19" ht="15.75">
      <c r="A17" s="124" t="s">
        <v>115</v>
      </c>
      <c r="B17" s="125" t="s">
        <v>304</v>
      </c>
      <c r="C17" s="126"/>
      <c r="D17" s="127">
        <v>42</v>
      </c>
      <c r="E17" s="128" t="s">
        <v>302</v>
      </c>
      <c r="F17" s="129">
        <v>35000</v>
      </c>
      <c r="G17" s="120">
        <f>+F17*D17</f>
        <v>1470000</v>
      </c>
      <c r="H17" s="131"/>
      <c r="K17">
        <v>41</v>
      </c>
    </row>
    <row r="18" spans="1:19" ht="15.75">
      <c r="A18" s="124" t="s">
        <v>117</v>
      </c>
      <c r="B18" s="125" t="s">
        <v>318</v>
      </c>
      <c r="C18" s="126"/>
      <c r="D18" s="127">
        <v>42</v>
      </c>
      <c r="E18" s="128" t="s">
        <v>302</v>
      </c>
      <c r="F18" s="129">
        <v>17500</v>
      </c>
      <c r="G18" s="120">
        <f>+F18*D18</f>
        <v>735000</v>
      </c>
      <c r="H18" s="131"/>
      <c r="K18">
        <f>K17/10</f>
        <v>4.0999999999999996</v>
      </c>
      <c r="L18">
        <f>62/10</f>
        <v>6.2</v>
      </c>
    </row>
    <row r="19" spans="1:19" ht="15.75">
      <c r="A19" s="124"/>
      <c r="B19" s="125"/>
      <c r="C19" s="126"/>
      <c r="D19" s="127"/>
      <c r="E19" s="128"/>
      <c r="F19" s="129"/>
      <c r="G19" s="120"/>
      <c r="H19" s="131"/>
    </row>
    <row r="20" spans="1:19">
      <c r="A20" s="3001" t="s">
        <v>98</v>
      </c>
      <c r="B20" s="3002"/>
      <c r="C20" s="3002"/>
      <c r="D20" s="3002"/>
      <c r="E20" s="3002"/>
      <c r="F20" s="3003"/>
      <c r="G20" s="132">
        <f>SUM(G17:G19)</f>
        <v>2205000</v>
      </c>
      <c r="H20" s="133">
        <f>G20</f>
        <v>2205000</v>
      </c>
      <c r="J20" t="s">
        <v>21</v>
      </c>
    </row>
    <row r="21" spans="1:19" ht="15.75">
      <c r="A21" s="124">
        <v>2</v>
      </c>
      <c r="B21" s="125" t="s">
        <v>299</v>
      </c>
      <c r="C21" s="126"/>
      <c r="D21" s="127"/>
      <c r="E21" s="128"/>
      <c r="F21" s="129"/>
      <c r="G21" s="120"/>
      <c r="H21" s="131"/>
    </row>
    <row r="22" spans="1:19" ht="15.75">
      <c r="A22" s="124" t="s">
        <v>121</v>
      </c>
      <c r="B22" s="125" t="s">
        <v>359</v>
      </c>
      <c r="C22" s="126"/>
      <c r="D22" s="127">
        <v>24</v>
      </c>
      <c r="E22" s="128" t="s">
        <v>281</v>
      </c>
      <c r="F22" s="129">
        <v>100000</v>
      </c>
      <c r="G22" s="120">
        <f>+F22*D22</f>
        <v>2400000</v>
      </c>
      <c r="H22" s="131"/>
    </row>
    <row r="23" spans="1:19" ht="15.75">
      <c r="A23" s="124"/>
      <c r="B23" s="125"/>
      <c r="C23" s="126"/>
      <c r="D23" s="127"/>
      <c r="E23" s="128"/>
      <c r="F23" s="129"/>
      <c r="G23" s="120"/>
      <c r="H23" s="131"/>
      <c r="K23" s="124" t="s">
        <v>122</v>
      </c>
      <c r="L23" s="125" t="s">
        <v>291</v>
      </c>
      <c r="M23" s="126"/>
      <c r="N23" s="127">
        <v>4</v>
      </c>
      <c r="O23" s="128" t="s">
        <v>136</v>
      </c>
      <c r="P23" s="129">
        <v>25000</v>
      </c>
      <c r="Q23" s="130"/>
      <c r="R23" s="120">
        <f>+P23*N23</f>
        <v>100000</v>
      </c>
      <c r="S23" s="131"/>
    </row>
    <row r="24" spans="1:19" ht="15.75">
      <c r="A24" s="3001" t="s">
        <v>99</v>
      </c>
      <c r="B24" s="3002"/>
      <c r="C24" s="3002"/>
      <c r="D24" s="3002"/>
      <c r="E24" s="3002"/>
      <c r="F24" s="3003"/>
      <c r="G24" s="132">
        <f>SUM(G22:G23)</f>
        <v>2400000</v>
      </c>
      <c r="H24" s="133">
        <f>G24</f>
        <v>2400000</v>
      </c>
      <c r="K24" s="124" t="s">
        <v>123</v>
      </c>
      <c r="L24" s="125" t="s">
        <v>292</v>
      </c>
      <c r="M24" s="126"/>
      <c r="N24" s="127">
        <v>4</v>
      </c>
      <c r="O24" s="128" t="s">
        <v>136</v>
      </c>
      <c r="P24" s="129">
        <v>3000</v>
      </c>
      <c r="Q24" s="130"/>
      <c r="R24" s="120">
        <f>+P24*N24</f>
        <v>12000</v>
      </c>
      <c r="S24" s="131"/>
    </row>
    <row r="25" spans="1:19" ht="15.75">
      <c r="A25" s="116">
        <v>3</v>
      </c>
      <c r="B25" s="125" t="s">
        <v>575</v>
      </c>
      <c r="C25" s="117"/>
      <c r="D25" s="118"/>
      <c r="E25" s="119"/>
      <c r="F25" s="120"/>
      <c r="G25" s="122"/>
      <c r="H25" s="123"/>
    </row>
    <row r="26" spans="1:19">
      <c r="A26" s="124" t="s">
        <v>126</v>
      </c>
      <c r="B26" s="206" t="s">
        <v>176</v>
      </c>
      <c r="C26" s="207"/>
      <c r="D26" s="208">
        <v>1</v>
      </c>
      <c r="E26" s="192" t="s">
        <v>283</v>
      </c>
      <c r="F26" s="129">
        <v>250000</v>
      </c>
      <c r="G26" s="120">
        <f>+F26*D26</f>
        <v>250000</v>
      </c>
      <c r="H26" s="131"/>
    </row>
    <row r="27" spans="1:19">
      <c r="A27" s="124" t="s">
        <v>127</v>
      </c>
      <c r="B27" s="206" t="s">
        <v>360</v>
      </c>
      <c r="C27" s="207"/>
      <c r="D27" s="208">
        <v>1</v>
      </c>
      <c r="E27" s="192" t="s">
        <v>283</v>
      </c>
      <c r="F27" s="129">
        <v>225000</v>
      </c>
      <c r="G27" s="120">
        <f>+F27*D27</f>
        <v>225000</v>
      </c>
      <c r="H27" s="131"/>
      <c r="I27">
        <f>8*2*3</f>
        <v>48</v>
      </c>
    </row>
    <row r="28" spans="1:19">
      <c r="A28" s="124" t="s">
        <v>225</v>
      </c>
      <c r="B28" s="206" t="s">
        <v>361</v>
      </c>
      <c r="C28" s="207"/>
      <c r="D28" s="208">
        <v>1</v>
      </c>
      <c r="E28" s="192" t="s">
        <v>283</v>
      </c>
      <c r="F28" s="129">
        <v>200000</v>
      </c>
      <c r="G28" s="120">
        <f>+F28*D28</f>
        <v>200000</v>
      </c>
      <c r="H28" s="131"/>
    </row>
    <row r="29" spans="1:19">
      <c r="A29" s="3001" t="s">
        <v>102</v>
      </c>
      <c r="B29" s="3002"/>
      <c r="C29" s="3002"/>
      <c r="D29" s="3002"/>
      <c r="E29" s="3002"/>
      <c r="F29" s="3003"/>
      <c r="G29" s="132">
        <f>SUM(G26:G28)</f>
        <v>675000</v>
      </c>
      <c r="H29" s="133">
        <f>G29</f>
        <v>675000</v>
      </c>
      <c r="M29" t="s">
        <v>21</v>
      </c>
    </row>
    <row r="30" spans="1:19" ht="15.75">
      <c r="A30" s="124">
        <v>4</v>
      </c>
      <c r="B30" s="125" t="s">
        <v>300</v>
      </c>
      <c r="C30" s="117"/>
      <c r="D30" s="118"/>
      <c r="E30" s="119"/>
      <c r="F30" s="120"/>
      <c r="G30" s="122"/>
      <c r="H30" s="123"/>
    </row>
    <row r="31" spans="1:19" ht="15.75">
      <c r="A31" s="124" t="s">
        <v>128</v>
      </c>
      <c r="B31" s="125" t="s">
        <v>357</v>
      </c>
      <c r="C31" s="126"/>
      <c r="D31" s="127">
        <v>24</v>
      </c>
      <c r="E31" s="128" t="s">
        <v>148</v>
      </c>
      <c r="F31" s="129">
        <v>20000</v>
      </c>
      <c r="G31" s="120">
        <f>+F31*D31</f>
        <v>480000</v>
      </c>
      <c r="H31" s="131"/>
    </row>
    <row r="32" spans="1:19" ht="15.75">
      <c r="A32" s="124" t="s">
        <v>129</v>
      </c>
      <c r="B32" s="125" t="s">
        <v>358</v>
      </c>
      <c r="C32" s="126"/>
      <c r="D32" s="127">
        <v>48</v>
      </c>
      <c r="E32" s="128" t="s">
        <v>148</v>
      </c>
      <c r="F32" s="129">
        <v>7500</v>
      </c>
      <c r="G32" s="120">
        <f>+F32*D32</f>
        <v>360000</v>
      </c>
      <c r="H32" s="131"/>
      <c r="I32">
        <f>8*2*3</f>
        <v>48</v>
      </c>
    </row>
    <row r="33" spans="1:16" ht="15.75">
      <c r="A33" s="124" t="s">
        <v>217</v>
      </c>
      <c r="B33" s="125" t="s">
        <v>236</v>
      </c>
      <c r="C33" s="126"/>
      <c r="D33" s="127">
        <v>2</v>
      </c>
      <c r="E33" s="128" t="s">
        <v>255</v>
      </c>
      <c r="F33" s="129">
        <v>25000</v>
      </c>
      <c r="G33" s="120">
        <f>+F33*D33</f>
        <v>50000</v>
      </c>
      <c r="H33" s="131"/>
    </row>
    <row r="34" spans="1:16" ht="15.75">
      <c r="A34" s="124"/>
      <c r="B34" s="125"/>
      <c r="C34" s="126"/>
      <c r="D34" s="127"/>
      <c r="E34" s="128"/>
      <c r="F34" s="129"/>
      <c r="G34" s="120"/>
      <c r="H34" s="131"/>
      <c r="J34" t="s">
        <v>21</v>
      </c>
      <c r="K34" t="s">
        <v>21</v>
      </c>
    </row>
    <row r="35" spans="1:16">
      <c r="A35" s="3001" t="s">
        <v>130</v>
      </c>
      <c r="B35" s="3002"/>
      <c r="C35" s="3002"/>
      <c r="D35" s="3002"/>
      <c r="E35" s="3002"/>
      <c r="F35" s="3003"/>
      <c r="G35" s="132">
        <f>SUM(G31:G33)</f>
        <v>890000</v>
      </c>
      <c r="H35" s="133">
        <f>G35</f>
        <v>890000</v>
      </c>
    </row>
    <row r="36" spans="1:16" ht="15.75">
      <c r="A36" s="124">
        <v>5</v>
      </c>
      <c r="B36" s="125" t="s">
        <v>296</v>
      </c>
      <c r="C36" s="126"/>
      <c r="D36" s="127"/>
      <c r="E36" s="128"/>
      <c r="F36" s="129"/>
      <c r="G36" s="120"/>
      <c r="H36" s="131"/>
    </row>
    <row r="37" spans="1:16" ht="15.75">
      <c r="A37" s="124" t="s">
        <v>170</v>
      </c>
      <c r="B37" s="125" t="s">
        <v>294</v>
      </c>
      <c r="C37" s="126"/>
      <c r="D37" s="127">
        <v>8</v>
      </c>
      <c r="E37" s="128" t="s">
        <v>136</v>
      </c>
      <c r="F37" s="129">
        <v>10000</v>
      </c>
      <c r="G37" s="120">
        <f>+F37*D37</f>
        <v>80000</v>
      </c>
      <c r="H37" s="131"/>
    </row>
    <row r="38" spans="1:16" ht="15.75">
      <c r="A38" s="124" t="s">
        <v>219</v>
      </c>
      <c r="B38" s="125" t="s">
        <v>289</v>
      </c>
      <c r="C38" s="126"/>
      <c r="D38" s="127">
        <v>8</v>
      </c>
      <c r="E38" s="128" t="s">
        <v>141</v>
      </c>
      <c r="F38" s="129">
        <v>50000</v>
      </c>
      <c r="G38" s="120">
        <f>+F38*D38</f>
        <v>400000</v>
      </c>
      <c r="H38" s="131"/>
      <c r="J38" s="61">
        <f>G38/200</f>
        <v>2000</v>
      </c>
      <c r="K38" s="61">
        <f>J38/6</f>
        <v>333.33333333333331</v>
      </c>
      <c r="L38" s="61">
        <f>K38/3</f>
        <v>111.1111111111111</v>
      </c>
    </row>
    <row r="39" spans="1:16" ht="15.75">
      <c r="A39" s="124" t="s">
        <v>223</v>
      </c>
      <c r="B39" s="125" t="s">
        <v>272</v>
      </c>
      <c r="C39" s="126"/>
      <c r="D39" s="127">
        <v>1</v>
      </c>
      <c r="E39" s="128" t="s">
        <v>323</v>
      </c>
      <c r="F39" s="129">
        <v>30000</v>
      </c>
      <c r="G39" s="120">
        <f>+F39*D39</f>
        <v>30000</v>
      </c>
      <c r="H39" s="131"/>
    </row>
    <row r="40" spans="1:16">
      <c r="A40" s="3001" t="s">
        <v>269</v>
      </c>
      <c r="B40" s="3002"/>
      <c r="C40" s="3002"/>
      <c r="D40" s="3002"/>
      <c r="E40" s="3002"/>
      <c r="F40" s="3003"/>
      <c r="G40" s="132">
        <f>SUM(G37:G39)</f>
        <v>510000</v>
      </c>
      <c r="H40" s="133">
        <f>G40</f>
        <v>510000</v>
      </c>
    </row>
    <row r="41" spans="1:16" ht="15.75">
      <c r="A41" s="116">
        <v>6</v>
      </c>
      <c r="B41" s="125" t="s">
        <v>215</v>
      </c>
      <c r="C41" s="126"/>
      <c r="D41" s="127"/>
      <c r="E41" s="128"/>
      <c r="F41" s="129"/>
      <c r="G41" s="120"/>
      <c r="H41" s="131"/>
      <c r="P41" t="s">
        <v>21</v>
      </c>
    </row>
    <row r="42" spans="1:16" ht="15.75">
      <c r="A42" s="124" t="s">
        <v>243</v>
      </c>
      <c r="B42" s="125" t="s">
        <v>286</v>
      </c>
      <c r="C42" s="126"/>
      <c r="D42" s="127">
        <v>8</v>
      </c>
      <c r="E42" s="128" t="s">
        <v>136</v>
      </c>
      <c r="F42" s="129">
        <v>35000</v>
      </c>
      <c r="G42" s="120">
        <f>+F42*D42</f>
        <v>280000</v>
      </c>
      <c r="H42" s="131"/>
      <c r="L42" t="s">
        <v>21</v>
      </c>
    </row>
    <row r="43" spans="1:16" ht="15.75">
      <c r="A43" s="124" t="s">
        <v>244</v>
      </c>
      <c r="B43" s="125" t="s">
        <v>147</v>
      </c>
      <c r="C43" s="126"/>
      <c r="D43" s="127">
        <v>8</v>
      </c>
      <c r="E43" s="128" t="s">
        <v>136</v>
      </c>
      <c r="F43" s="129">
        <v>10000</v>
      </c>
      <c r="G43" s="120">
        <f>+F43*D43</f>
        <v>80000</v>
      </c>
      <c r="H43" s="131"/>
      <c r="P43" t="s">
        <v>21</v>
      </c>
    </row>
    <row r="44" spans="1:16" ht="15.75">
      <c r="A44" s="124" t="s">
        <v>245</v>
      </c>
      <c r="B44" s="125" t="s">
        <v>291</v>
      </c>
      <c r="C44" s="126"/>
      <c r="D44" s="127">
        <v>8</v>
      </c>
      <c r="E44" s="128" t="s">
        <v>136</v>
      </c>
      <c r="F44" s="129">
        <v>10000</v>
      </c>
      <c r="G44" s="120">
        <f>+F44*D44</f>
        <v>80000</v>
      </c>
      <c r="H44" s="131"/>
      <c r="J44" s="61"/>
      <c r="M44" t="s">
        <v>21</v>
      </c>
    </row>
    <row r="45" spans="1:16" ht="15.75">
      <c r="A45" s="124" t="s">
        <v>577</v>
      </c>
      <c r="B45" s="194" t="s">
        <v>158</v>
      </c>
      <c r="C45" s="126"/>
      <c r="D45" s="127">
        <v>8</v>
      </c>
      <c r="E45" s="128" t="s">
        <v>136</v>
      </c>
      <c r="F45" s="129">
        <v>10000</v>
      </c>
      <c r="G45" s="120">
        <f>+F45*D45</f>
        <v>80000</v>
      </c>
      <c r="H45" s="131"/>
      <c r="J45" s="61"/>
    </row>
    <row r="46" spans="1:16">
      <c r="A46" s="3001" t="s">
        <v>282</v>
      </c>
      <c r="B46" s="3002"/>
      <c r="C46" s="3002"/>
      <c r="D46" s="3002"/>
      <c r="E46" s="3002"/>
      <c r="F46" s="3003"/>
      <c r="G46" s="132">
        <f>SUM(G42:G45)</f>
        <v>520000</v>
      </c>
      <c r="H46" s="133">
        <f>G46</f>
        <v>520000</v>
      </c>
    </row>
    <row r="47" spans="1:16" ht="15.75">
      <c r="A47" s="116">
        <v>7</v>
      </c>
      <c r="B47" s="125" t="s">
        <v>324</v>
      </c>
      <c r="C47" s="117"/>
      <c r="D47" s="118"/>
      <c r="E47" s="119"/>
      <c r="F47" s="120"/>
      <c r="G47" s="122"/>
      <c r="H47" s="123"/>
      <c r="J47" s="61">
        <f>J51/6</f>
        <v>0</v>
      </c>
    </row>
    <row r="48" spans="1:16" ht="15.75">
      <c r="A48" s="124" t="s">
        <v>242</v>
      </c>
      <c r="B48" s="125" t="s">
        <v>290</v>
      </c>
      <c r="C48" s="126"/>
      <c r="D48" s="127">
        <v>8</v>
      </c>
      <c r="E48" s="128" t="s">
        <v>171</v>
      </c>
      <c r="F48" s="129">
        <v>150000</v>
      </c>
      <c r="G48" s="120">
        <f>+F48*D48</f>
        <v>1200000</v>
      </c>
      <c r="H48" s="131"/>
      <c r="M48">
        <f>183000/8</f>
        <v>22875</v>
      </c>
    </row>
    <row r="49" spans="1:13" ht="15.75">
      <c r="A49" s="124" t="s">
        <v>333</v>
      </c>
      <c r="B49" s="125" t="s">
        <v>303</v>
      </c>
      <c r="C49" s="126"/>
      <c r="D49" s="127">
        <v>8</v>
      </c>
      <c r="E49" s="128" t="s">
        <v>136</v>
      </c>
      <c r="F49" s="129">
        <v>200000</v>
      </c>
      <c r="G49" s="120">
        <f>+F49*D49</f>
        <v>1600000</v>
      </c>
      <c r="H49" s="131"/>
      <c r="K49" t="s">
        <v>21</v>
      </c>
    </row>
    <row r="50" spans="1:13">
      <c r="A50" s="3001" t="s">
        <v>347</v>
      </c>
      <c r="B50" s="3002"/>
      <c r="C50" s="3002"/>
      <c r="D50" s="3002"/>
      <c r="E50" s="3002"/>
      <c r="F50" s="3003"/>
      <c r="G50" s="132">
        <f>SUM(G48:G49)</f>
        <v>2800000</v>
      </c>
      <c r="H50" s="133">
        <f>G50</f>
        <v>2800000</v>
      </c>
    </row>
    <row r="51" spans="1:13">
      <c r="A51" s="3004" t="s">
        <v>131</v>
      </c>
      <c r="B51" s="3005"/>
      <c r="C51" s="3005"/>
      <c r="D51" s="3005"/>
      <c r="E51" s="3005"/>
      <c r="F51" s="3005"/>
      <c r="G51" s="135">
        <f>G20+G24+G35+G40+G46+G50+G29</f>
        <v>10000000</v>
      </c>
      <c r="H51" s="136">
        <f>SUM(H17:H50)</f>
        <v>10000000</v>
      </c>
      <c r="J51" s="61">
        <f>10000000-H51</f>
        <v>0</v>
      </c>
    </row>
    <row r="52" spans="1:13">
      <c r="A52" s="115"/>
      <c r="B52" s="137"/>
      <c r="C52" s="137"/>
      <c r="D52" s="137"/>
      <c r="E52" s="137"/>
      <c r="F52" s="137"/>
      <c r="G52" s="137"/>
      <c r="H52" s="114"/>
      <c r="M52" s="61" t="e">
        <f>H51+#REF!</f>
        <v>#REF!</v>
      </c>
    </row>
    <row r="53" spans="1:13">
      <c r="A53" s="113"/>
      <c r="B53" s="113"/>
      <c r="C53" s="113"/>
      <c r="D53" s="113"/>
      <c r="E53" s="113"/>
      <c r="F53" s="113"/>
      <c r="G53" s="113"/>
      <c r="H53" s="114"/>
    </row>
    <row r="54" spans="1:13">
      <c r="A54" s="2962"/>
      <c r="B54" s="2962"/>
      <c r="C54" s="433"/>
      <c r="D54" s="2962"/>
      <c r="E54" s="2962"/>
      <c r="F54" s="2962"/>
      <c r="G54" s="2962"/>
      <c r="H54" s="2962"/>
    </row>
    <row r="55" spans="1:13">
      <c r="A55" s="2962"/>
      <c r="B55" s="2962"/>
      <c r="C55" s="433"/>
      <c r="D55" s="2962"/>
      <c r="E55" s="2962"/>
      <c r="F55" s="2962"/>
      <c r="G55" s="2962"/>
      <c r="H55" s="2962"/>
      <c r="K55" t="s">
        <v>21</v>
      </c>
    </row>
    <row r="56" spans="1:13">
      <c r="A56" s="306"/>
      <c r="B56" s="433"/>
      <c r="C56" s="433"/>
      <c r="D56" s="307"/>
      <c r="E56" s="308"/>
      <c r="F56" s="308"/>
      <c r="G56" s="308"/>
      <c r="H56" s="264"/>
    </row>
    <row r="57" spans="1:13">
      <c r="A57" s="306"/>
      <c r="B57" s="433"/>
      <c r="C57" s="433"/>
      <c r="D57" s="433"/>
      <c r="E57" s="308"/>
      <c r="F57" s="308"/>
      <c r="G57" s="308"/>
      <c r="H57" s="264"/>
      <c r="J57" s="61"/>
    </row>
    <row r="58" spans="1:13">
      <c r="A58" s="306"/>
      <c r="B58" s="307"/>
      <c r="C58" s="307"/>
      <c r="D58" s="308"/>
      <c r="E58" s="308"/>
      <c r="F58" s="308"/>
      <c r="G58" s="308"/>
      <c r="H58" s="264"/>
    </row>
    <row r="59" spans="1:13">
      <c r="A59" s="306"/>
      <c r="B59" s="307"/>
      <c r="C59" s="307"/>
      <c r="D59" s="308"/>
      <c r="E59" s="308"/>
      <c r="F59" s="308"/>
      <c r="G59" s="308"/>
      <c r="H59" s="264"/>
    </row>
    <row r="60" spans="1:13">
      <c r="A60" s="2963"/>
      <c r="B60" s="2963"/>
      <c r="C60" s="434"/>
      <c r="D60" s="2963"/>
      <c r="E60" s="2963"/>
      <c r="F60" s="2963"/>
      <c r="G60" s="2963"/>
      <c r="H60" s="2963"/>
    </row>
    <row r="61" spans="1:13">
      <c r="A61" s="306"/>
      <c r="B61" s="433"/>
      <c r="C61" s="433"/>
      <c r="D61" s="2962"/>
      <c r="E61" s="2962"/>
      <c r="F61" s="2962"/>
      <c r="G61" s="2962"/>
      <c r="H61" s="264"/>
    </row>
    <row r="62" spans="1:13">
      <c r="A62" s="384"/>
      <c r="B62" s="384"/>
      <c r="C62" s="384"/>
      <c r="D62" s="384"/>
      <c r="E62" s="384"/>
      <c r="F62" s="384"/>
      <c r="G62" s="384"/>
      <c r="H62" s="384"/>
    </row>
  </sheetData>
  <customSheetViews>
    <customSheetView guid="{0F09EDAE-127A-4543-88A5-04139BD32AD8}" scale="85" showPageBreaks="1" printArea="1" topLeftCell="A28">
      <selection activeCell="I10" sqref="I10"/>
      <pageMargins left="0.70866141732283472" right="0.70866141732283472" top="0.74803149606299213" bottom="0.74803149606299213" header="0.31496062992125984" footer="0.31496062992125984"/>
      <printOptions horizontalCentered="1"/>
      <pageSetup paperSize="5" scale="82" orientation="portrait" r:id="rId1"/>
    </customSheetView>
    <customSheetView guid="{C05430D3-5A25-4A4C-823C-7D6EA772E5F0}" scale="85" showPageBreaks="1" printArea="1" topLeftCell="A28">
      <selection activeCell="I10" sqref="I10"/>
      <pageMargins left="0.70866141732283472" right="0.70866141732283472" top="0.74803149606299213" bottom="0.74803149606299213" header="0.31496062992125984" footer="0.31496062992125984"/>
      <printOptions horizontalCentered="1"/>
      <pageSetup paperSize="5" scale="82" orientation="portrait" r:id="rId2"/>
    </customSheetView>
  </customSheetViews>
  <mergeCells count="27">
    <mergeCell ref="A24:F24"/>
    <mergeCell ref="A35:F35"/>
    <mergeCell ref="A40:F40"/>
    <mergeCell ref="A55:B55"/>
    <mergeCell ref="D55:H55"/>
    <mergeCell ref="A46:F46"/>
    <mergeCell ref="A50:F50"/>
    <mergeCell ref="A29:F29"/>
    <mergeCell ref="A51:F51"/>
    <mergeCell ref="A54:B54"/>
    <mergeCell ref="D54:H54"/>
    <mergeCell ref="A1:H1"/>
    <mergeCell ref="A3:H3"/>
    <mergeCell ref="A11:B11"/>
    <mergeCell ref="D11:E11"/>
    <mergeCell ref="D61:G61"/>
    <mergeCell ref="A2:H2"/>
    <mergeCell ref="D12:E12"/>
    <mergeCell ref="A13:C15"/>
    <mergeCell ref="D13:D15"/>
    <mergeCell ref="E13:E15"/>
    <mergeCell ref="F13:F15"/>
    <mergeCell ref="G13:G15"/>
    <mergeCell ref="H13:H15"/>
    <mergeCell ref="A60:B60"/>
    <mergeCell ref="D60:H60"/>
    <mergeCell ref="A20:F20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82" orientation="portrait" r:id="rId3"/>
  <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FFFF00"/>
  </sheetPr>
  <dimension ref="A1:M32"/>
  <sheetViews>
    <sheetView workbookViewId="0">
      <selection sqref="A1:I1"/>
    </sheetView>
  </sheetViews>
  <sheetFormatPr defaultRowHeight="15"/>
  <cols>
    <col min="1" max="1" width="4.7109375" customWidth="1"/>
    <col min="2" max="2" width="46.140625" customWidth="1"/>
    <col min="3" max="3" width="1.85546875" customWidth="1"/>
    <col min="4" max="4" width="8.28515625" customWidth="1"/>
    <col min="5" max="5" width="8.85546875" customWidth="1"/>
    <col min="6" max="6" width="10.7109375" customWidth="1"/>
    <col min="7" max="7" width="9.140625" hidden="1" customWidth="1"/>
    <col min="8" max="9" width="13" customWidth="1"/>
    <col min="10" max="11" width="13" bestFit="1" customWidth="1"/>
  </cols>
  <sheetData>
    <row r="1" spans="1:9">
      <c r="A1" s="3340" t="s">
        <v>1102</v>
      </c>
      <c r="B1" s="3340"/>
      <c r="C1" s="3340"/>
      <c r="D1" s="3340"/>
      <c r="E1" s="3340"/>
      <c r="F1" s="3340"/>
      <c r="G1" s="3340"/>
      <c r="H1" s="3340"/>
      <c r="I1" s="3340"/>
    </row>
    <row r="2" spans="1:9" hidden="1">
      <c r="A2" s="3341"/>
      <c r="B2" s="3341"/>
      <c r="C2" s="3341"/>
      <c r="D2" s="3341"/>
      <c r="E2" s="3341"/>
      <c r="F2" s="3341"/>
      <c r="G2" s="3341"/>
      <c r="H2" s="3341"/>
      <c r="I2" s="3341"/>
    </row>
    <row r="3" spans="1:9">
      <c r="A3" s="3340" t="s">
        <v>1103</v>
      </c>
      <c r="B3" s="3340"/>
      <c r="C3" s="3340"/>
      <c r="D3" s="3340"/>
      <c r="E3" s="3340"/>
      <c r="F3" s="3340"/>
      <c r="G3" s="3340"/>
      <c r="H3" s="3340"/>
      <c r="I3" s="3340"/>
    </row>
    <row r="4" spans="1:9">
      <c r="A4" s="25" t="s">
        <v>105</v>
      </c>
      <c r="B4" s="25"/>
      <c r="C4" s="25"/>
      <c r="D4" s="25" t="s">
        <v>106</v>
      </c>
      <c r="E4" s="41" t="s">
        <v>46</v>
      </c>
      <c r="F4" s="25">
        <v>4.5</v>
      </c>
      <c r="G4" s="25"/>
      <c r="H4" s="25"/>
    </row>
    <row r="5" spans="1:9">
      <c r="A5" s="25" t="s">
        <v>107</v>
      </c>
      <c r="B5" s="25"/>
      <c r="C5" s="25"/>
      <c r="D5" s="25" t="s">
        <v>66</v>
      </c>
      <c r="E5" s="41" t="s">
        <v>46</v>
      </c>
      <c r="F5" s="25" t="s">
        <v>48</v>
      </c>
      <c r="G5" s="25"/>
      <c r="H5" s="25"/>
    </row>
    <row r="6" spans="1:9">
      <c r="A6" s="25" t="s">
        <v>108</v>
      </c>
      <c r="B6" s="25"/>
      <c r="C6" s="25"/>
      <c r="D6" s="25" t="s">
        <v>96</v>
      </c>
      <c r="E6" s="41" t="s">
        <v>46</v>
      </c>
      <c r="F6" s="3342" t="s">
        <v>1101</v>
      </c>
      <c r="G6" s="3342"/>
      <c r="H6" s="3342"/>
      <c r="I6" s="3342"/>
    </row>
    <row r="7" spans="1:9">
      <c r="A7" s="25" t="s">
        <v>109</v>
      </c>
      <c r="B7" s="25"/>
      <c r="C7" s="25"/>
      <c r="D7" s="25"/>
      <c r="E7" s="25"/>
      <c r="F7" s="3342"/>
      <c r="G7" s="3342"/>
      <c r="H7" s="3342"/>
      <c r="I7" s="3342"/>
    </row>
    <row r="8" spans="1:9">
      <c r="A8" s="25"/>
      <c r="B8" s="25"/>
      <c r="C8" s="25"/>
      <c r="D8" s="25"/>
      <c r="E8" s="25"/>
      <c r="F8" s="3342"/>
      <c r="G8" s="3342"/>
      <c r="H8" s="3342"/>
      <c r="I8" s="3342"/>
    </row>
    <row r="9" spans="1:9">
      <c r="A9" s="28"/>
      <c r="B9" s="26" t="s">
        <v>110</v>
      </c>
      <c r="C9" s="27" t="s">
        <v>46</v>
      </c>
      <c r="D9" s="3343">
        <f>I22</f>
        <v>40000000</v>
      </c>
      <c r="E9" s="3343"/>
      <c r="F9" s="28"/>
      <c r="G9" s="28"/>
      <c r="H9" s="28"/>
    </row>
    <row r="10" spans="1:9">
      <c r="A10" s="3344" t="s">
        <v>111</v>
      </c>
      <c r="B10" s="3347" t="s">
        <v>1</v>
      </c>
      <c r="C10" s="3348"/>
      <c r="D10" s="3351" t="s">
        <v>60</v>
      </c>
      <c r="E10" s="3351" t="s">
        <v>97</v>
      </c>
      <c r="F10" s="3347" t="s">
        <v>112</v>
      </c>
      <c r="G10" s="199"/>
      <c r="H10" s="3347" t="s">
        <v>113</v>
      </c>
      <c r="I10" s="3351" t="s">
        <v>114</v>
      </c>
    </row>
    <row r="11" spans="1:9">
      <c r="A11" s="3345"/>
      <c r="B11" s="3284"/>
      <c r="C11" s="3276"/>
      <c r="D11" s="3281"/>
      <c r="E11" s="3281"/>
      <c r="F11" s="3284"/>
      <c r="G11" s="1146"/>
      <c r="H11" s="3284"/>
      <c r="I11" s="3281"/>
    </row>
    <row r="12" spans="1:9">
      <c r="A12" s="3346"/>
      <c r="B12" s="3349"/>
      <c r="C12" s="3350"/>
      <c r="D12" s="3352"/>
      <c r="E12" s="3352"/>
      <c r="F12" s="3349"/>
      <c r="G12" s="200"/>
      <c r="H12" s="3349"/>
      <c r="I12" s="3352"/>
    </row>
    <row r="13" spans="1:9">
      <c r="A13" s="116">
        <v>1</v>
      </c>
      <c r="B13" s="201" t="s">
        <v>1060</v>
      </c>
      <c r="C13" s="202"/>
      <c r="D13" s="203"/>
      <c r="E13" s="204"/>
      <c r="F13" s="205"/>
      <c r="G13" s="121"/>
      <c r="H13" s="122"/>
      <c r="I13" s="123"/>
    </row>
    <row r="14" spans="1:9">
      <c r="A14" s="116" t="s">
        <v>115</v>
      </c>
      <c r="B14" s="206" t="s">
        <v>1098</v>
      </c>
      <c r="C14" s="207"/>
      <c r="D14" s="208">
        <v>1</v>
      </c>
      <c r="E14" s="192" t="s">
        <v>1099</v>
      </c>
      <c r="F14" s="129">
        <v>150000</v>
      </c>
      <c r="G14" s="121"/>
      <c r="H14" s="120">
        <f>+F14*D14</f>
        <v>150000</v>
      </c>
      <c r="I14" s="123"/>
    </row>
    <row r="15" spans="1:9">
      <c r="A15" s="116" t="s">
        <v>117</v>
      </c>
      <c r="B15" s="206" t="s">
        <v>179</v>
      </c>
      <c r="C15" s="207"/>
      <c r="D15" s="208">
        <v>2</v>
      </c>
      <c r="E15" s="192" t="s">
        <v>1099</v>
      </c>
      <c r="F15" s="129">
        <v>100000</v>
      </c>
      <c r="G15" s="121"/>
      <c r="H15" s="120">
        <f>+F15*D15</f>
        <v>200000</v>
      </c>
      <c r="I15" s="123"/>
    </row>
    <row r="16" spans="1:9">
      <c r="A16" s="116"/>
      <c r="B16" s="206"/>
      <c r="C16" s="207"/>
      <c r="D16" s="208"/>
      <c r="E16" s="192"/>
      <c r="F16" s="129"/>
      <c r="G16" s="121"/>
      <c r="H16" s="120"/>
      <c r="I16" s="123"/>
    </row>
    <row r="17" spans="1:13">
      <c r="A17" s="3001" t="s">
        <v>98</v>
      </c>
      <c r="B17" s="3002"/>
      <c r="C17" s="3002"/>
      <c r="D17" s="3002"/>
      <c r="E17" s="3002"/>
      <c r="F17" s="3003"/>
      <c r="G17" s="130"/>
      <c r="H17" s="132">
        <f>SUM(H14:H16)</f>
        <v>350000</v>
      </c>
      <c r="I17" s="133">
        <f>H17</f>
        <v>350000</v>
      </c>
      <c r="J17" s="56"/>
      <c r="K17" t="s">
        <v>21</v>
      </c>
    </row>
    <row r="18" spans="1:13" ht="15.75">
      <c r="A18" s="124">
        <v>2</v>
      </c>
      <c r="B18" s="125" t="s">
        <v>344</v>
      </c>
      <c r="C18" s="126"/>
      <c r="D18" s="127"/>
      <c r="E18" s="128"/>
      <c r="F18" s="129"/>
      <c r="G18" s="130"/>
      <c r="H18" s="120"/>
      <c r="I18" s="131"/>
      <c r="J18" s="56"/>
    </row>
    <row r="19" spans="1:13" ht="15.75">
      <c r="A19" s="124" t="s">
        <v>121</v>
      </c>
      <c r="B19" s="125" t="s">
        <v>1100</v>
      </c>
      <c r="C19" s="126"/>
      <c r="D19" s="127">
        <v>61</v>
      </c>
      <c r="E19" s="128" t="s">
        <v>336</v>
      </c>
      <c r="F19" s="129">
        <v>650000</v>
      </c>
      <c r="G19" s="130"/>
      <c r="H19" s="120">
        <f>+F19*D19</f>
        <v>39650000</v>
      </c>
      <c r="I19" s="131"/>
      <c r="J19" s="61">
        <f>D19*10</f>
        <v>610</v>
      </c>
      <c r="M19" t="s">
        <v>21</v>
      </c>
    </row>
    <row r="20" spans="1:13" ht="15.75">
      <c r="A20" s="124"/>
      <c r="B20" s="125"/>
      <c r="C20" s="126"/>
      <c r="D20" s="127"/>
      <c r="E20" s="128"/>
      <c r="F20" s="129"/>
      <c r="G20" s="130"/>
      <c r="H20" s="120"/>
      <c r="I20" s="131"/>
      <c r="J20" s="61"/>
    </row>
    <row r="21" spans="1:13" ht="15.75" thickBot="1">
      <c r="A21" s="3001" t="s">
        <v>99</v>
      </c>
      <c r="B21" s="3002"/>
      <c r="C21" s="3002"/>
      <c r="D21" s="3002"/>
      <c r="E21" s="3002"/>
      <c r="F21" s="3003"/>
      <c r="G21" s="130"/>
      <c r="H21" s="132">
        <f>SUM(H19)</f>
        <v>39650000</v>
      </c>
      <c r="I21" s="133">
        <f>H21</f>
        <v>39650000</v>
      </c>
      <c r="J21" s="56"/>
    </row>
    <row r="22" spans="1:13">
      <c r="A22" s="3004" t="s">
        <v>131</v>
      </c>
      <c r="B22" s="3005"/>
      <c r="C22" s="3005"/>
      <c r="D22" s="3005"/>
      <c r="E22" s="3005"/>
      <c r="F22" s="3005"/>
      <c r="G22" s="134"/>
      <c r="H22" s="135">
        <f>H17+H21</f>
        <v>40000000</v>
      </c>
      <c r="I22" s="136">
        <f>SUM(I14:I21)</f>
        <v>40000000</v>
      </c>
      <c r="J22" s="61">
        <f>40000000-I22</f>
        <v>0</v>
      </c>
      <c r="K22" s="61">
        <f>J22/2</f>
        <v>0</v>
      </c>
    </row>
    <row r="23" spans="1:13">
      <c r="A23" s="113"/>
      <c r="B23" s="113"/>
      <c r="C23" s="113"/>
      <c r="D23" s="113"/>
      <c r="E23" s="113"/>
      <c r="F23" s="113"/>
      <c r="G23" s="113"/>
      <c r="H23" s="113"/>
      <c r="I23" s="114"/>
    </row>
    <row r="24" spans="1:13">
      <c r="A24" s="3338"/>
      <c r="B24" s="3338"/>
      <c r="C24" s="1148"/>
      <c r="D24" s="3338"/>
      <c r="E24" s="3338"/>
      <c r="F24" s="3338"/>
      <c r="G24" s="3338"/>
      <c r="H24" s="3338"/>
      <c r="I24" s="3338"/>
    </row>
    <row r="25" spans="1:13">
      <c r="A25" s="3338"/>
      <c r="B25" s="3338"/>
      <c r="C25" s="1148"/>
      <c r="D25" s="3338"/>
      <c r="E25" s="3338"/>
      <c r="F25" s="3338"/>
      <c r="G25" s="3338"/>
      <c r="H25" s="3338"/>
      <c r="I25" s="3338"/>
    </row>
    <row r="26" spans="1:13">
      <c r="A26" s="138"/>
      <c r="B26" s="1148"/>
      <c r="C26" s="1148"/>
      <c r="D26" s="139"/>
      <c r="E26" s="140"/>
      <c r="F26" s="140"/>
      <c r="G26" s="140"/>
      <c r="H26" s="140"/>
      <c r="I26" s="114"/>
    </row>
    <row r="27" spans="1:13">
      <c r="A27" s="138"/>
      <c r="B27" s="1148"/>
      <c r="C27" s="1148"/>
      <c r="D27" s="1148"/>
      <c r="E27" s="140"/>
      <c r="F27" s="140"/>
      <c r="G27" s="140"/>
      <c r="H27" s="140"/>
      <c r="I27" s="114"/>
    </row>
    <row r="28" spans="1:13">
      <c r="A28" s="138"/>
      <c r="B28" s="139"/>
      <c r="C28" s="139"/>
      <c r="D28" s="140"/>
      <c r="E28" s="140"/>
      <c r="F28" s="140"/>
      <c r="G28" s="140"/>
      <c r="H28" s="140"/>
      <c r="I28" s="114"/>
    </row>
    <row r="29" spans="1:13">
      <c r="A29" s="138"/>
      <c r="B29" s="139"/>
      <c r="C29" s="139"/>
      <c r="D29" s="140"/>
      <c r="E29" s="140"/>
      <c r="F29" s="140"/>
      <c r="G29" s="140"/>
      <c r="H29" s="140"/>
      <c r="I29" s="114"/>
    </row>
    <row r="30" spans="1:13">
      <c r="A30" s="3339"/>
      <c r="B30" s="3339"/>
      <c r="C30" s="1147"/>
      <c r="D30" s="3339"/>
      <c r="E30" s="3339"/>
      <c r="F30" s="3339"/>
      <c r="G30" s="3339"/>
      <c r="H30" s="3339"/>
      <c r="I30" s="3339"/>
    </row>
    <row r="31" spans="1:13">
      <c r="A31" s="1147"/>
      <c r="B31" s="1147"/>
      <c r="C31" s="1147"/>
      <c r="D31" s="1147"/>
      <c r="E31" s="1147"/>
      <c r="F31" s="1147"/>
      <c r="G31" s="1147"/>
      <c r="H31" s="1147"/>
      <c r="I31" s="1147"/>
    </row>
    <row r="32" spans="1:13">
      <c r="A32" s="1147"/>
      <c r="B32" s="1147"/>
      <c r="C32" s="1147"/>
      <c r="D32" s="1147"/>
      <c r="E32" s="1147"/>
      <c r="F32" s="1147"/>
      <c r="G32" s="1147"/>
      <c r="H32" s="1147"/>
      <c r="I32" s="1147"/>
    </row>
  </sheetData>
  <customSheetViews>
    <customSheetView guid="{0F09EDAE-127A-4543-88A5-04139BD32AD8}" showPageBreaks="1" printArea="1" hiddenRows="1" hiddenColumns="1">
      <selection activeCell="K27" sqref="K27"/>
      <colBreaks count="1" manualBreakCount="1">
        <brk id="9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76" orientation="portrait" r:id="rId1"/>
    </customSheetView>
    <customSheetView guid="{C05430D3-5A25-4A4C-823C-7D6EA772E5F0}" showPageBreaks="1" printArea="1" hiddenRows="1" hiddenColumns="1">
      <selection sqref="A1:I32"/>
      <colBreaks count="1" manualBreakCount="1">
        <brk id="9" max="1048575" man="1"/>
      </colBreaks>
      <pageMargins left="0.70866141732283472" right="0.70866141732283472" top="0.74803149606299213" bottom="0.74803149606299213" header="0.31496062992125984" footer="0.31496062992125984"/>
      <printOptions horizontalCentered="1"/>
      <pageSetup paperSize="5" scale="76" orientation="portrait" r:id="rId2"/>
    </customSheetView>
  </customSheetViews>
  <mergeCells count="21">
    <mergeCell ref="D10:D12"/>
    <mergeCell ref="E10:E12"/>
    <mergeCell ref="F10:F12"/>
    <mergeCell ref="H10:H12"/>
    <mergeCell ref="I10:I12"/>
    <mergeCell ref="A25:B25"/>
    <mergeCell ref="D25:I25"/>
    <mergeCell ref="A30:B30"/>
    <mergeCell ref="D30:I30"/>
    <mergeCell ref="A1:I1"/>
    <mergeCell ref="A3:I3"/>
    <mergeCell ref="A17:F17"/>
    <mergeCell ref="A21:F21"/>
    <mergeCell ref="A22:F22"/>
    <mergeCell ref="A24:B24"/>
    <mergeCell ref="D24:I24"/>
    <mergeCell ref="A2:I2"/>
    <mergeCell ref="F6:I8"/>
    <mergeCell ref="D9:E9"/>
    <mergeCell ref="A10:A12"/>
    <mergeCell ref="B10:C12"/>
  </mergeCells>
  <printOptions horizontalCentered="1"/>
  <pageMargins left="0.70866141732283472" right="0.70866141732283472" top="0.74803149606299213" bottom="0.74803149606299213" header="0.31496062992125984" footer="0.31496062992125984"/>
  <pageSetup paperSize="5" scale="76" orientation="portrait" r:id="rId3"/>
  <colBreaks count="1" manualBreakCount="1">
    <brk id="9" max="1048575" man="1"/>
  </colBreaks>
  <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/>
  </sheetViews>
  <sheetFormatPr defaultRowHeight="15"/>
  <cols>
    <col min="1" max="1" width="21.7109375" customWidth="1"/>
    <col min="4" max="4" width="11.5703125" style="2002" bestFit="1" customWidth="1"/>
    <col min="5" max="5" width="13.28515625" style="2002" bestFit="1" customWidth="1"/>
  </cols>
  <sheetData>
    <row r="1" spans="1:5" s="1991" customFormat="1">
      <c r="A1" s="1800" t="s">
        <v>1350</v>
      </c>
      <c r="B1" s="1800" t="s">
        <v>60</v>
      </c>
      <c r="C1" s="1800" t="s">
        <v>97</v>
      </c>
      <c r="D1" s="2004" t="s">
        <v>1448</v>
      </c>
      <c r="E1" s="2004" t="s">
        <v>1449</v>
      </c>
    </row>
    <row r="2" spans="1:5">
      <c r="A2" s="957" t="s">
        <v>1444</v>
      </c>
      <c r="B2" s="957">
        <v>25</v>
      </c>
      <c r="C2" s="957"/>
      <c r="D2" s="2005">
        <v>20000</v>
      </c>
      <c r="E2" s="2003">
        <f>B2*D2</f>
        <v>500000</v>
      </c>
    </row>
    <row r="3" spans="1:5">
      <c r="A3" s="957" t="s">
        <v>271</v>
      </c>
      <c r="B3" s="957">
        <v>25</v>
      </c>
      <c r="C3" s="957"/>
      <c r="D3" s="2005">
        <v>7000</v>
      </c>
      <c r="E3" s="2003">
        <f t="shared" ref="E3:E13" si="0">B3*D3</f>
        <v>175000</v>
      </c>
    </row>
    <row r="4" spans="1:5">
      <c r="A4" s="957" t="s">
        <v>1445</v>
      </c>
      <c r="B4" s="957">
        <v>2</v>
      </c>
      <c r="C4" s="957"/>
      <c r="D4" s="2005">
        <v>25000</v>
      </c>
      <c r="E4" s="2003">
        <f t="shared" si="0"/>
        <v>50000</v>
      </c>
    </row>
    <row r="5" spans="1:5">
      <c r="A5" s="957"/>
      <c r="B5" s="957"/>
      <c r="C5" s="957"/>
      <c r="D5" s="2003"/>
      <c r="E5" s="2003">
        <f>SUM(E2:E4)</f>
        <v>725000</v>
      </c>
    </row>
    <row r="6" spans="1:5">
      <c r="A6" s="957" t="s">
        <v>1442</v>
      </c>
      <c r="B6" s="957"/>
      <c r="C6" s="957"/>
      <c r="D6" s="2003"/>
      <c r="E6" s="2003"/>
    </row>
    <row r="7" spans="1:5">
      <c r="A7" s="957" t="s">
        <v>1446</v>
      </c>
      <c r="B7" s="2006">
        <v>1</v>
      </c>
      <c r="C7" s="957"/>
      <c r="D7" s="2003">
        <v>50000</v>
      </c>
      <c r="E7" s="2003">
        <f t="shared" si="0"/>
        <v>50000</v>
      </c>
    </row>
    <row r="8" spans="1:5">
      <c r="A8" s="957" t="s">
        <v>147</v>
      </c>
      <c r="B8" s="2006">
        <v>1</v>
      </c>
      <c r="C8" s="957" t="s">
        <v>1177</v>
      </c>
      <c r="D8" s="2003">
        <v>40000</v>
      </c>
      <c r="E8" s="2003">
        <f t="shared" si="0"/>
        <v>40000</v>
      </c>
    </row>
    <row r="9" spans="1:5">
      <c r="A9" s="957" t="s">
        <v>1447</v>
      </c>
      <c r="B9" s="2006">
        <v>4</v>
      </c>
      <c r="C9" s="957" t="s">
        <v>1410</v>
      </c>
      <c r="D9" s="2003">
        <v>2500</v>
      </c>
      <c r="E9" s="2003">
        <f t="shared" si="0"/>
        <v>10000</v>
      </c>
    </row>
    <row r="10" spans="1:5">
      <c r="A10" s="957"/>
      <c r="B10" s="957"/>
      <c r="C10" s="957"/>
      <c r="D10" s="2003"/>
      <c r="E10" s="2003">
        <f>SUM(E7:E9)</f>
        <v>100000</v>
      </c>
    </row>
    <row r="11" spans="1:5">
      <c r="A11" s="957"/>
      <c r="B11" s="957"/>
      <c r="C11" s="957"/>
      <c r="D11" s="2003"/>
      <c r="E11" s="2003"/>
    </row>
    <row r="12" spans="1:5">
      <c r="A12" s="957" t="s">
        <v>811</v>
      </c>
      <c r="B12" s="957">
        <v>1</v>
      </c>
      <c r="C12" s="957" t="s">
        <v>1308</v>
      </c>
      <c r="D12" s="2003">
        <v>300000</v>
      </c>
      <c r="E12" s="2003">
        <f t="shared" si="0"/>
        <v>300000</v>
      </c>
    </row>
    <row r="13" spans="1:5">
      <c r="A13" s="957" t="s">
        <v>1443</v>
      </c>
      <c r="B13" s="957">
        <v>25</v>
      </c>
      <c r="C13" s="957" t="s">
        <v>1323</v>
      </c>
      <c r="D13" s="2003">
        <v>35000</v>
      </c>
      <c r="E13" s="2003">
        <f t="shared" si="0"/>
        <v>875000</v>
      </c>
    </row>
    <row r="14" spans="1:5">
      <c r="A14" s="957"/>
      <c r="B14" s="957"/>
      <c r="C14" s="957"/>
      <c r="D14" s="2003"/>
      <c r="E14" s="2003"/>
    </row>
    <row r="15" spans="1:5">
      <c r="A15" s="957"/>
      <c r="B15" s="957"/>
      <c r="C15" s="957"/>
      <c r="D15" s="2003" t="s">
        <v>31</v>
      </c>
      <c r="E15" s="2003">
        <f>E5+E10+E12+E13</f>
        <v>2000000</v>
      </c>
    </row>
    <row r="17" spans="4:5">
      <c r="D17" s="2002">
        <v>2000000</v>
      </c>
      <c r="E17" s="2002">
        <f>D17-E15</f>
        <v>0</v>
      </c>
    </row>
  </sheetData>
  <customSheetViews>
    <customSheetView guid="{0F09EDAE-127A-4543-88A5-04139BD32AD8}" scale="130" topLeftCell="A7">
      <selection activeCell="G9" sqref="G9"/>
      <pageMargins left="0.7" right="0.7" top="0.75" bottom="0.75" header="0.3" footer="0.3"/>
      <pageSetup orientation="portrait" horizontalDpi="4294967293" verticalDpi="0" r:id="rId1"/>
    </customSheetView>
    <customSheetView guid="{C05430D3-5A25-4A4C-823C-7D6EA772E5F0}" scale="130" showPageBreaks="1">
      <selection activeCell="J23" sqref="J23"/>
      <pageMargins left="0.7" right="0.7" top="0.75" bottom="0.75" header="0.3" footer="0.3"/>
      <pageSetup orientation="portrait" horizontalDpi="4294967293" verticalDpi="0" r:id="rId2"/>
    </customSheetView>
  </customSheetViews>
  <pageMargins left="0.7" right="0.7" top="0.75" bottom="0.75" header="0.3" footer="0.3"/>
  <pageSetup orientation="portrait" horizontalDpi="4294967293" verticalDpi="0"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"/>
  <sheetViews>
    <sheetView workbookViewId="0">
      <selection sqref="A1:H1"/>
    </sheetView>
  </sheetViews>
  <sheetFormatPr defaultRowHeight="15"/>
  <cols>
    <col min="1" max="1" width="4.7109375" style="113" customWidth="1"/>
    <col min="2" max="2" width="36.5703125" style="113" customWidth="1"/>
    <col min="3" max="3" width="1.85546875" style="113" customWidth="1"/>
    <col min="4" max="4" width="8.28515625" style="113" customWidth="1"/>
    <col min="5" max="5" width="8" style="113" customWidth="1"/>
    <col min="6" max="6" width="10.85546875" style="113" customWidth="1"/>
    <col min="7" max="7" width="13" style="113" customWidth="1"/>
    <col min="8" max="8" width="14.5703125" style="113" customWidth="1"/>
    <col min="9" max="9" width="9.140625" style="113"/>
    <col min="10" max="10" width="20.7109375" style="113" bestFit="1" customWidth="1"/>
    <col min="11" max="16384" width="9.140625" style="113"/>
  </cols>
  <sheetData>
    <row r="1" spans="1:8">
      <c r="A1" s="3341" t="s">
        <v>1023</v>
      </c>
      <c r="B1" s="3341"/>
      <c r="C1" s="3341"/>
      <c r="D1" s="3341"/>
      <c r="E1" s="3341"/>
      <c r="F1" s="3341"/>
      <c r="G1" s="3341"/>
      <c r="H1" s="3341"/>
    </row>
    <row r="2" spans="1:8">
      <c r="A2" s="3341" t="s">
        <v>1024</v>
      </c>
      <c r="B2" s="3341"/>
      <c r="C2" s="3341"/>
      <c r="D2" s="3341"/>
      <c r="E2" s="3341"/>
      <c r="F2" s="3341"/>
      <c r="G2" s="3341"/>
      <c r="H2" s="3341"/>
    </row>
    <row r="3" spans="1:8" ht="9" customHeight="1">
      <c r="A3" s="3341"/>
      <c r="B3" s="3341"/>
      <c r="C3" s="3341"/>
      <c r="D3" s="3341"/>
      <c r="E3" s="3341"/>
      <c r="F3" s="3341"/>
      <c r="G3" s="3341"/>
      <c r="H3" s="3341"/>
    </row>
    <row r="4" spans="1:8">
      <c r="A4" s="2047"/>
      <c r="B4" s="2048"/>
      <c r="C4" s="2048"/>
      <c r="D4" s="2048"/>
      <c r="E4" s="2048" t="s">
        <v>21</v>
      </c>
      <c r="F4" s="2048"/>
      <c r="G4" s="2048"/>
      <c r="H4" s="2048"/>
    </row>
    <row r="5" spans="1:8">
      <c r="A5" s="2049"/>
      <c r="B5" s="25"/>
      <c r="C5" s="27"/>
      <c r="D5" s="25"/>
      <c r="E5" s="25"/>
      <c r="F5" s="2050"/>
      <c r="G5" s="25"/>
    </row>
    <row r="6" spans="1:8">
      <c r="A6" s="2051"/>
      <c r="B6" s="25"/>
      <c r="C6" s="27"/>
      <c r="D6" s="112"/>
      <c r="E6" s="112"/>
      <c r="F6" s="25"/>
      <c r="G6" s="112"/>
      <c r="H6" s="112"/>
    </row>
    <row r="7" spans="1:8">
      <c r="A7" s="2049"/>
      <c r="B7" s="25"/>
      <c r="C7" s="27"/>
      <c r="D7" s="2052"/>
      <c r="E7" s="25"/>
    </row>
    <row r="8" spans="1:8">
      <c r="A8" s="2049"/>
      <c r="B8" s="25"/>
      <c r="C8" s="27"/>
      <c r="D8" s="25"/>
      <c r="E8" s="25"/>
      <c r="F8" s="2050"/>
      <c r="G8" s="112"/>
      <c r="H8" s="112"/>
    </row>
    <row r="9" spans="1:8" ht="9" customHeight="1">
      <c r="A9" s="2049"/>
      <c r="B9" s="25"/>
      <c r="C9" s="27"/>
      <c r="D9" s="25"/>
      <c r="E9" s="25"/>
      <c r="F9" s="2050"/>
      <c r="G9" s="112"/>
      <c r="H9" s="112"/>
    </row>
    <row r="10" spans="1:8">
      <c r="A10" s="3356" t="s">
        <v>110</v>
      </c>
      <c r="B10" s="3356"/>
      <c r="C10" s="27" t="s">
        <v>46</v>
      </c>
      <c r="D10" s="3357">
        <f>H55</f>
        <v>40000000</v>
      </c>
      <c r="E10" s="3357"/>
      <c r="F10" s="2078"/>
      <c r="G10" s="28"/>
      <c r="H10" s="28"/>
    </row>
    <row r="11" spans="1:8" ht="9" customHeight="1" thickBot="1">
      <c r="A11" s="28"/>
      <c r="B11" s="26"/>
      <c r="C11" s="27"/>
      <c r="D11" s="2970"/>
      <c r="E11" s="2970"/>
      <c r="F11" s="28"/>
      <c r="G11" s="28"/>
    </row>
    <row r="12" spans="1:8">
      <c r="A12" s="3271" t="s">
        <v>1</v>
      </c>
      <c r="B12" s="3272"/>
      <c r="C12" s="3273"/>
      <c r="D12" s="3280" t="s">
        <v>60</v>
      </c>
      <c r="E12" s="3280" t="s">
        <v>97</v>
      </c>
      <c r="F12" s="3283" t="s">
        <v>112</v>
      </c>
      <c r="G12" s="3268" t="s">
        <v>113</v>
      </c>
      <c r="H12" s="3268" t="s">
        <v>114</v>
      </c>
    </row>
    <row r="13" spans="1:8">
      <c r="A13" s="3274"/>
      <c r="B13" s="3275"/>
      <c r="C13" s="3276"/>
      <c r="D13" s="3281"/>
      <c r="E13" s="3281"/>
      <c r="F13" s="3284"/>
      <c r="G13" s="3269"/>
      <c r="H13" s="3269"/>
    </row>
    <row r="14" spans="1:8" ht="15.75" thickBot="1">
      <c r="A14" s="3277"/>
      <c r="B14" s="3278"/>
      <c r="C14" s="3279"/>
      <c r="D14" s="3282"/>
      <c r="E14" s="3282"/>
      <c r="F14" s="3285"/>
      <c r="G14" s="3270"/>
      <c r="H14" s="3270"/>
    </row>
    <row r="15" spans="1:8">
      <c r="A15" s="58">
        <v>1</v>
      </c>
      <c r="B15" s="54" t="s">
        <v>1470</v>
      </c>
      <c r="C15" s="34"/>
      <c r="D15" s="37"/>
      <c r="E15" s="35"/>
      <c r="F15" s="32"/>
      <c r="G15" s="2079"/>
      <c r="H15" s="2080"/>
    </row>
    <row r="16" spans="1:8">
      <c r="A16" s="58" t="s">
        <v>115</v>
      </c>
      <c r="B16" s="64" t="s">
        <v>1518</v>
      </c>
      <c r="C16" s="34"/>
      <c r="D16" s="67">
        <v>150</v>
      </c>
      <c r="E16" s="35" t="s">
        <v>1178</v>
      </c>
      <c r="F16" s="2113">
        <v>18000</v>
      </c>
      <c r="G16" s="30">
        <f>+F16*D16</f>
        <v>2700000</v>
      </c>
      <c r="H16" s="48"/>
    </row>
    <row r="17" spans="1:14">
      <c r="A17" s="58" t="s">
        <v>117</v>
      </c>
      <c r="B17" s="64" t="s">
        <v>1508</v>
      </c>
      <c r="C17" s="34"/>
      <c r="D17" s="67">
        <v>150</v>
      </c>
      <c r="E17" s="35" t="s">
        <v>1178</v>
      </c>
      <c r="F17" s="2113">
        <v>18000</v>
      </c>
      <c r="G17" s="30">
        <f>+F17*D17</f>
        <v>2700000</v>
      </c>
      <c r="H17" s="48"/>
    </row>
    <row r="18" spans="1:14">
      <c r="A18" s="58" t="s">
        <v>118</v>
      </c>
      <c r="B18" s="64" t="s">
        <v>1509</v>
      </c>
      <c r="C18" s="34"/>
      <c r="D18" s="67">
        <v>150</v>
      </c>
      <c r="E18" s="35" t="s">
        <v>1178</v>
      </c>
      <c r="F18" s="2113">
        <v>18000</v>
      </c>
      <c r="G18" s="32">
        <f>+F18*D18</f>
        <v>2700000</v>
      </c>
      <c r="H18" s="46"/>
    </row>
    <row r="19" spans="1:14">
      <c r="A19" s="58" t="s">
        <v>119</v>
      </c>
      <c r="B19" s="70" t="s">
        <v>1478</v>
      </c>
      <c r="C19" s="34"/>
      <c r="D19" s="67">
        <v>20</v>
      </c>
      <c r="E19" s="35" t="s">
        <v>1145</v>
      </c>
      <c r="F19" s="2113">
        <v>120000</v>
      </c>
      <c r="G19" s="36">
        <f>+F19*D19</f>
        <v>2400000</v>
      </c>
      <c r="H19" s="55"/>
    </row>
    <row r="20" spans="1:14" ht="17.25" customHeight="1">
      <c r="A20" s="3291" t="s">
        <v>98</v>
      </c>
      <c r="B20" s="3292"/>
      <c r="C20" s="3292"/>
      <c r="D20" s="3292"/>
      <c r="E20" s="3292"/>
      <c r="F20" s="3293"/>
      <c r="G20" s="38">
        <f>SUM(G16:G19)</f>
        <v>10500000</v>
      </c>
      <c r="H20" s="47">
        <f>G20</f>
        <v>10500000</v>
      </c>
      <c r="N20" s="2081"/>
    </row>
    <row r="21" spans="1:14">
      <c r="A21" s="58">
        <v>2</v>
      </c>
      <c r="B21" s="54" t="s">
        <v>1471</v>
      </c>
      <c r="C21" s="34"/>
      <c r="D21" s="37"/>
      <c r="E21" s="35"/>
      <c r="F21" s="32"/>
      <c r="G21" s="2079"/>
      <c r="H21" s="2080"/>
    </row>
    <row r="22" spans="1:14">
      <c r="A22" s="58" t="s">
        <v>121</v>
      </c>
      <c r="B22" s="73" t="s">
        <v>1472</v>
      </c>
      <c r="C22" s="34"/>
      <c r="D22" s="37">
        <v>2000</v>
      </c>
      <c r="E22" s="35" t="s">
        <v>1158</v>
      </c>
      <c r="F22" s="32">
        <v>8000</v>
      </c>
      <c r="G22" s="2082">
        <f>D22*F22</f>
        <v>16000000</v>
      </c>
      <c r="H22" s="2083"/>
    </row>
    <row r="23" spans="1:14">
      <c r="A23" s="58" t="s">
        <v>122</v>
      </c>
      <c r="B23" s="64" t="s">
        <v>1494</v>
      </c>
      <c r="C23" s="34"/>
      <c r="D23" s="67">
        <v>8</v>
      </c>
      <c r="E23" s="68" t="s">
        <v>1507</v>
      </c>
      <c r="F23" s="32">
        <v>25000</v>
      </c>
      <c r="G23" s="2082">
        <f t="shared" ref="G23:G26" si="0">D23*F23</f>
        <v>200000</v>
      </c>
      <c r="H23" s="48"/>
    </row>
    <row r="24" spans="1:14">
      <c r="A24" s="58" t="s">
        <v>123</v>
      </c>
      <c r="B24" s="64" t="s">
        <v>1490</v>
      </c>
      <c r="C24" s="34"/>
      <c r="D24" s="67">
        <v>10</v>
      </c>
      <c r="E24" s="68" t="s">
        <v>1158</v>
      </c>
      <c r="F24" s="69">
        <v>40000</v>
      </c>
      <c r="G24" s="2082">
        <f t="shared" si="0"/>
        <v>400000</v>
      </c>
      <c r="H24" s="48"/>
    </row>
    <row r="25" spans="1:14">
      <c r="A25" s="58" t="s">
        <v>124</v>
      </c>
      <c r="B25" s="64" t="s">
        <v>1491</v>
      </c>
      <c r="C25" s="34"/>
      <c r="D25" s="67">
        <v>3</v>
      </c>
      <c r="E25" s="68" t="s">
        <v>1507</v>
      </c>
      <c r="F25" s="69">
        <v>100000</v>
      </c>
      <c r="G25" s="2082">
        <f t="shared" si="0"/>
        <v>300000</v>
      </c>
      <c r="H25" s="48"/>
    </row>
    <row r="26" spans="1:14">
      <c r="A26" s="58" t="s">
        <v>125</v>
      </c>
      <c r="B26" s="64" t="s">
        <v>1492</v>
      </c>
      <c r="C26" s="34"/>
      <c r="D26" s="67">
        <v>2</v>
      </c>
      <c r="E26" s="68" t="s">
        <v>1158</v>
      </c>
      <c r="F26" s="69">
        <v>20000</v>
      </c>
      <c r="G26" s="2082">
        <f t="shared" si="0"/>
        <v>40000</v>
      </c>
      <c r="H26" s="48"/>
    </row>
    <row r="27" spans="1:14">
      <c r="A27" s="3291" t="s">
        <v>99</v>
      </c>
      <c r="B27" s="3292"/>
      <c r="C27" s="3292"/>
      <c r="D27" s="3292"/>
      <c r="E27" s="3292"/>
      <c r="F27" s="3293"/>
      <c r="G27" s="38">
        <f>SUM(G22:G26)</f>
        <v>16940000</v>
      </c>
      <c r="H27" s="47">
        <f>G27</f>
        <v>16940000</v>
      </c>
    </row>
    <row r="28" spans="1:14">
      <c r="A28" s="2092">
        <v>3</v>
      </c>
      <c r="B28" s="73" t="s">
        <v>1473</v>
      </c>
      <c r="C28" s="2061"/>
      <c r="D28" s="2121"/>
      <c r="E28" s="2122"/>
      <c r="F28" s="2089"/>
      <c r="G28" s="2079"/>
      <c r="H28" s="2080"/>
    </row>
    <row r="29" spans="1:14">
      <c r="A29" s="2124" t="s">
        <v>126</v>
      </c>
      <c r="B29" s="64" t="s">
        <v>1474</v>
      </c>
      <c r="C29" s="2061"/>
      <c r="D29" s="67">
        <v>3</v>
      </c>
      <c r="E29" s="68" t="s">
        <v>104</v>
      </c>
      <c r="F29" s="69">
        <v>700000</v>
      </c>
      <c r="G29" s="32">
        <f>+F29*D29</f>
        <v>2100000</v>
      </c>
      <c r="H29" s="48"/>
      <c r="J29" s="2084"/>
    </row>
    <row r="30" spans="1:14">
      <c r="A30" s="2125" t="s">
        <v>127</v>
      </c>
      <c r="B30" s="2043" t="s">
        <v>1516</v>
      </c>
      <c r="C30" s="2044"/>
      <c r="D30" s="2053">
        <v>1</v>
      </c>
      <c r="E30" s="2123" t="s">
        <v>104</v>
      </c>
      <c r="F30" s="2112">
        <v>2000000</v>
      </c>
      <c r="G30" s="32">
        <f>+F30*D30</f>
        <v>2000000</v>
      </c>
      <c r="H30" s="2046"/>
      <c r="J30" s="2084"/>
    </row>
    <row r="31" spans="1:14">
      <c r="A31" s="3291" t="s">
        <v>102</v>
      </c>
      <c r="B31" s="3292"/>
      <c r="C31" s="3292"/>
      <c r="D31" s="3292"/>
      <c r="E31" s="3292"/>
      <c r="F31" s="3293"/>
      <c r="G31" s="38">
        <f>SUM(G29:G30)</f>
        <v>4100000</v>
      </c>
      <c r="H31" s="47">
        <f>G31</f>
        <v>4100000</v>
      </c>
    </row>
    <row r="32" spans="1:14">
      <c r="A32" s="2087">
        <v>4</v>
      </c>
      <c r="B32" s="2088" t="s">
        <v>1475</v>
      </c>
      <c r="C32" s="44"/>
      <c r="D32" s="2089"/>
      <c r="E32" s="2090"/>
      <c r="F32" s="2091"/>
      <c r="G32" s="2079"/>
      <c r="H32" s="2080"/>
    </row>
    <row r="33" spans="1:8">
      <c r="A33" s="940" t="s">
        <v>128</v>
      </c>
      <c r="B33" s="954" t="s">
        <v>1502</v>
      </c>
      <c r="C33" s="941"/>
      <c r="D33" s="2119">
        <v>5</v>
      </c>
      <c r="E33" s="943" t="s">
        <v>1158</v>
      </c>
      <c r="F33" s="30">
        <v>110000</v>
      </c>
      <c r="G33" s="2082">
        <f>D33*F33</f>
        <v>550000</v>
      </c>
      <c r="H33" s="2083"/>
    </row>
    <row r="34" spans="1:8">
      <c r="A34" s="58" t="s">
        <v>129</v>
      </c>
      <c r="B34" s="954" t="s">
        <v>1506</v>
      </c>
      <c r="C34" s="941"/>
      <c r="D34" s="942">
        <v>5</v>
      </c>
      <c r="E34" s="943" t="s">
        <v>1158</v>
      </c>
      <c r="F34" s="30">
        <v>305000</v>
      </c>
      <c r="G34" s="2082">
        <f>D34*F34</f>
        <v>1525000</v>
      </c>
      <c r="H34" s="2083"/>
    </row>
    <row r="35" spans="1:8">
      <c r="A35" s="940" t="s">
        <v>217</v>
      </c>
      <c r="B35" s="73" t="s">
        <v>1480</v>
      </c>
      <c r="C35" s="34"/>
      <c r="D35" s="2114">
        <v>10</v>
      </c>
      <c r="E35" s="2076" t="s">
        <v>1489</v>
      </c>
      <c r="F35" s="32">
        <v>25000</v>
      </c>
      <c r="G35" s="2082">
        <f>D35*F35</f>
        <v>250000</v>
      </c>
      <c r="H35" s="2083"/>
    </row>
    <row r="36" spans="1:8">
      <c r="A36" s="58" t="s">
        <v>218</v>
      </c>
      <c r="B36" s="2054" t="s">
        <v>1483</v>
      </c>
      <c r="C36" s="31"/>
      <c r="D36" s="2115">
        <v>15</v>
      </c>
      <c r="E36" s="2077" t="s">
        <v>1158</v>
      </c>
      <c r="F36" s="69">
        <v>3000</v>
      </c>
      <c r="G36" s="2085">
        <f>D36*F36</f>
        <v>45000</v>
      </c>
      <c r="H36" s="46"/>
    </row>
    <row r="37" spans="1:8">
      <c r="A37" s="940" t="s">
        <v>1059</v>
      </c>
      <c r="B37" s="2054" t="s">
        <v>1484</v>
      </c>
      <c r="C37" s="2055"/>
      <c r="D37" s="2115">
        <v>10</v>
      </c>
      <c r="E37" s="2077" t="s">
        <v>1158</v>
      </c>
      <c r="F37" s="69">
        <v>3000</v>
      </c>
      <c r="G37" s="2085">
        <f t="shared" ref="G37:G43" si="1">D37*F37</f>
        <v>30000</v>
      </c>
      <c r="H37" s="2083"/>
    </row>
    <row r="38" spans="1:8">
      <c r="A38" s="58" t="s">
        <v>1482</v>
      </c>
      <c r="B38" s="2054" t="s">
        <v>1485</v>
      </c>
      <c r="C38" s="2055"/>
      <c r="D38" s="2115">
        <v>1</v>
      </c>
      <c r="E38" s="2077" t="s">
        <v>252</v>
      </c>
      <c r="F38" s="69">
        <v>35000</v>
      </c>
      <c r="G38" s="2085">
        <f t="shared" si="1"/>
        <v>35000</v>
      </c>
      <c r="H38" s="2083"/>
    </row>
    <row r="39" spans="1:8">
      <c r="A39" s="940" t="s">
        <v>1486</v>
      </c>
      <c r="B39" s="2054" t="s">
        <v>1500</v>
      </c>
      <c r="C39" s="2055"/>
      <c r="D39" s="2115">
        <v>10</v>
      </c>
      <c r="E39" s="2077" t="s">
        <v>1489</v>
      </c>
      <c r="F39" s="69">
        <v>45000</v>
      </c>
      <c r="G39" s="2085">
        <f t="shared" si="1"/>
        <v>450000</v>
      </c>
      <c r="H39" s="2083"/>
    </row>
    <row r="40" spans="1:8">
      <c r="A40" s="58" t="s">
        <v>1488</v>
      </c>
      <c r="B40" s="2054" t="s">
        <v>1487</v>
      </c>
      <c r="C40" s="2055"/>
      <c r="D40" s="2115">
        <v>10</v>
      </c>
      <c r="E40" s="2077" t="s">
        <v>1158</v>
      </c>
      <c r="F40" s="69">
        <v>5000</v>
      </c>
      <c r="G40" s="2085">
        <f t="shared" si="1"/>
        <v>50000</v>
      </c>
      <c r="H40" s="2083"/>
    </row>
    <row r="41" spans="1:8">
      <c r="A41" s="940" t="s">
        <v>1501</v>
      </c>
      <c r="B41" s="2054" t="s">
        <v>1481</v>
      </c>
      <c r="C41" s="2055"/>
      <c r="D41" s="2115">
        <v>5</v>
      </c>
      <c r="E41" s="2072" t="s">
        <v>1158</v>
      </c>
      <c r="F41" s="69">
        <v>22000</v>
      </c>
      <c r="G41" s="2085">
        <f t="shared" si="1"/>
        <v>110000</v>
      </c>
      <c r="H41" s="2083"/>
    </row>
    <row r="42" spans="1:8">
      <c r="A42" s="58" t="s">
        <v>1503</v>
      </c>
      <c r="B42" s="2108" t="s">
        <v>1504</v>
      </c>
      <c r="C42" s="2109"/>
      <c r="D42" s="2116">
        <v>30</v>
      </c>
      <c r="E42" s="2110" t="s">
        <v>1158</v>
      </c>
      <c r="F42" s="2111">
        <v>1000</v>
      </c>
      <c r="G42" s="2085">
        <f t="shared" si="1"/>
        <v>30000</v>
      </c>
      <c r="H42" s="2083"/>
    </row>
    <row r="43" spans="1:8">
      <c r="A43" s="940" t="s">
        <v>1505</v>
      </c>
      <c r="B43" s="2043" t="s">
        <v>1479</v>
      </c>
      <c r="C43" s="2044"/>
      <c r="D43" s="2117">
        <v>35</v>
      </c>
      <c r="E43" s="2107" t="s">
        <v>1489</v>
      </c>
      <c r="F43" s="2112">
        <v>72000</v>
      </c>
      <c r="G43" s="2085">
        <f t="shared" si="1"/>
        <v>2520000</v>
      </c>
      <c r="H43" s="2083"/>
    </row>
    <row r="44" spans="1:8">
      <c r="A44" s="3291" t="s">
        <v>130</v>
      </c>
      <c r="B44" s="3292"/>
      <c r="C44" s="3292"/>
      <c r="D44" s="3292"/>
      <c r="E44" s="3292"/>
      <c r="F44" s="3293"/>
      <c r="G44" s="38">
        <f>SUM(G33:G43)</f>
        <v>5595000</v>
      </c>
      <c r="H44" s="47">
        <f>G44</f>
        <v>5595000</v>
      </c>
    </row>
    <row r="45" spans="1:8">
      <c r="A45" s="2092">
        <v>5</v>
      </c>
      <c r="B45" s="2093" t="s">
        <v>1477</v>
      </c>
      <c r="C45" s="44"/>
      <c r="D45" s="2067"/>
      <c r="E45" s="2094"/>
      <c r="F45" s="2069"/>
      <c r="G45" s="2091"/>
      <c r="H45" s="2095"/>
    </row>
    <row r="46" spans="1:8">
      <c r="A46" s="2074" t="s">
        <v>170</v>
      </c>
      <c r="B46" s="2106" t="s">
        <v>1476</v>
      </c>
      <c r="C46" s="2044"/>
      <c r="D46" s="2068">
        <v>12</v>
      </c>
      <c r="E46" s="2045" t="s">
        <v>1493</v>
      </c>
      <c r="F46" s="2118">
        <v>50000</v>
      </c>
      <c r="G46" s="939">
        <f>D46*F46</f>
        <v>600000</v>
      </c>
      <c r="H46" s="2046"/>
    </row>
    <row r="47" spans="1:8">
      <c r="A47" s="2075" t="s">
        <v>219</v>
      </c>
      <c r="B47" s="64" t="s">
        <v>1499</v>
      </c>
      <c r="C47" s="2055"/>
      <c r="D47" s="67">
        <v>7</v>
      </c>
      <c r="E47" s="73" t="s">
        <v>1489</v>
      </c>
      <c r="F47" s="69">
        <v>35000</v>
      </c>
      <c r="G47" s="32">
        <f t="shared" ref="G47:G48" si="2">D47*F47</f>
        <v>245000</v>
      </c>
      <c r="H47" s="46"/>
    </row>
    <row r="48" spans="1:8">
      <c r="A48" s="2073" t="s">
        <v>223</v>
      </c>
      <c r="B48" s="2043" t="s">
        <v>1246</v>
      </c>
      <c r="C48" s="2044"/>
      <c r="D48" s="2053">
        <v>1</v>
      </c>
      <c r="E48" s="2045" t="s">
        <v>1276</v>
      </c>
      <c r="F48" s="2112">
        <v>20000</v>
      </c>
      <c r="G48" s="30">
        <f t="shared" si="2"/>
        <v>20000</v>
      </c>
      <c r="H48" s="2046"/>
    </row>
    <row r="49" spans="1:14">
      <c r="A49" s="3291" t="s">
        <v>269</v>
      </c>
      <c r="B49" s="3292"/>
      <c r="C49" s="3292"/>
      <c r="D49" s="3292"/>
      <c r="E49" s="3292"/>
      <c r="F49" s="3293"/>
      <c r="G49" s="38">
        <f>SUM(G46:G48)</f>
        <v>865000</v>
      </c>
      <c r="H49" s="47">
        <f>G49</f>
        <v>865000</v>
      </c>
    </row>
    <row r="50" spans="1:14">
      <c r="A50" s="2100">
        <v>6</v>
      </c>
      <c r="B50" s="2101" t="s">
        <v>1495</v>
      </c>
      <c r="C50" s="2102"/>
      <c r="D50" s="2103"/>
      <c r="E50" s="2104"/>
      <c r="F50" s="2105"/>
      <c r="G50" s="2091"/>
      <c r="H50" s="2095"/>
      <c r="L50" s="113">
        <v>2.44</v>
      </c>
      <c r="M50" s="113">
        <v>5</v>
      </c>
      <c r="N50" s="113">
        <f>L50*M50</f>
        <v>12.2</v>
      </c>
    </row>
    <row r="51" spans="1:14">
      <c r="A51" s="2096" t="s">
        <v>243</v>
      </c>
      <c r="B51" s="2097" t="s">
        <v>1496</v>
      </c>
      <c r="C51" s="2044"/>
      <c r="D51" s="2098">
        <v>20</v>
      </c>
      <c r="E51" s="2086" t="s">
        <v>1517</v>
      </c>
      <c r="F51" s="2099">
        <v>50000</v>
      </c>
      <c r="G51" s="30">
        <f>D51*F51</f>
        <v>1000000</v>
      </c>
      <c r="H51" s="48"/>
    </row>
    <row r="52" spans="1:14">
      <c r="A52" s="2058" t="s">
        <v>244</v>
      </c>
      <c r="B52" s="2059" t="s">
        <v>1497</v>
      </c>
      <c r="C52" s="2061"/>
      <c r="D52" s="2098">
        <v>20</v>
      </c>
      <c r="E52" s="2086" t="s">
        <v>1517</v>
      </c>
      <c r="F52" s="2060">
        <v>50000</v>
      </c>
      <c r="G52" s="30">
        <f t="shared" ref="G52" si="3">D52*F52</f>
        <v>1000000</v>
      </c>
      <c r="H52" s="48"/>
    </row>
    <row r="53" spans="1:14">
      <c r="A53" s="2062"/>
      <c r="B53" s="2059"/>
      <c r="C53" s="2061"/>
      <c r="D53" s="2070"/>
      <c r="E53" s="2086"/>
      <c r="F53" s="2071"/>
      <c r="G53" s="30"/>
      <c r="H53" s="48"/>
    </row>
    <row r="54" spans="1:14" ht="15.75" thickBot="1">
      <c r="A54" s="3353" t="s">
        <v>282</v>
      </c>
      <c r="B54" s="3354"/>
      <c r="C54" s="3354"/>
      <c r="D54" s="3354"/>
      <c r="E54" s="3354"/>
      <c r="F54" s="3355"/>
      <c r="G54" s="2065">
        <f>SUM(G51:G53)</f>
        <v>2000000</v>
      </c>
      <c r="H54" s="2066">
        <f>G54</f>
        <v>2000000</v>
      </c>
    </row>
    <row r="55" spans="1:14" ht="15.75" thickBot="1">
      <c r="A55" s="2063"/>
      <c r="B55" s="2064"/>
      <c r="C55" s="2064"/>
      <c r="D55" s="2064"/>
      <c r="E55" s="2064"/>
      <c r="F55" s="2128" t="s">
        <v>1498</v>
      </c>
      <c r="G55" s="2129">
        <f>SUM(G20,G27,G31,G44,G49,G54)</f>
        <v>40000000</v>
      </c>
      <c r="H55" s="2130">
        <f>H20+H27+H31+H44+H49+H54</f>
        <v>40000000</v>
      </c>
    </row>
    <row r="56" spans="1:14">
      <c r="A56" s="2056"/>
      <c r="B56" s="2056"/>
      <c r="C56" s="2056"/>
      <c r="D56" s="2056"/>
      <c r="E56" s="2056"/>
      <c r="F56" s="2056"/>
      <c r="G56" s="2057"/>
      <c r="H56" s="2057"/>
    </row>
    <row r="57" spans="1:14">
      <c r="A57" s="2056"/>
      <c r="B57" s="2120" t="s">
        <v>1510</v>
      </c>
      <c r="C57" s="2056"/>
      <c r="D57" s="2056"/>
      <c r="E57" s="2056"/>
      <c r="F57" s="2044" t="s">
        <v>1512</v>
      </c>
      <c r="G57" s="2057"/>
      <c r="H57" s="2057"/>
    </row>
    <row r="58" spans="1:14">
      <c r="A58" s="2056"/>
      <c r="B58" s="2120" t="s">
        <v>1341</v>
      </c>
      <c r="C58" s="2056"/>
      <c r="D58" s="2056"/>
      <c r="E58" s="2056"/>
      <c r="F58" s="2044" t="s">
        <v>1513</v>
      </c>
      <c r="G58" s="2057"/>
      <c r="H58" s="2057"/>
    </row>
    <row r="59" spans="1:14">
      <c r="F59" s="2050" t="s">
        <v>1514</v>
      </c>
    </row>
    <row r="63" spans="1:14">
      <c r="B63" s="1260" t="s">
        <v>1511</v>
      </c>
      <c r="F63" s="113" t="s">
        <v>1515</v>
      </c>
    </row>
  </sheetData>
  <customSheetViews>
    <customSheetView guid="{0F09EDAE-127A-4543-88A5-04139BD32AD8}" topLeftCell="A27">
      <selection activeCell="D34" sqref="D34"/>
      <pageMargins left="0.7" right="0.7" top="0.75" bottom="0.75" header="0.3" footer="0.3"/>
      <pageSetup paperSize="9" orientation="portrait" horizontalDpi="0" verticalDpi="0" r:id="rId1"/>
    </customSheetView>
    <customSheetView guid="{C05430D3-5A25-4A4C-823C-7D6EA772E5F0}" showPageBreaks="1" topLeftCell="A17">
      <selection activeCell="K33" sqref="K33"/>
      <pageMargins left="0.9055118110236221" right="0.70866141732283472" top="0.74803149606299213" bottom="0.74803149606299213" header="0.31496062992125984" footer="0.31496062992125984"/>
      <pageSetup paperSize="5" scale="90" orientation="portrait" horizontalDpi="0" verticalDpi="0" r:id="rId2"/>
    </customSheetView>
  </customSheetViews>
  <mergeCells count="18">
    <mergeCell ref="H12:H14"/>
    <mergeCell ref="A1:H1"/>
    <mergeCell ref="A2:H2"/>
    <mergeCell ref="A3:H3"/>
    <mergeCell ref="A10:B10"/>
    <mergeCell ref="D10:E10"/>
    <mergeCell ref="D11:E11"/>
    <mergeCell ref="A12:C14"/>
    <mergeCell ref="D12:D14"/>
    <mergeCell ref="E12:E14"/>
    <mergeCell ref="F12:F14"/>
    <mergeCell ref="G12:G14"/>
    <mergeCell ref="A20:F20"/>
    <mergeCell ref="A27:F27"/>
    <mergeCell ref="A31:F31"/>
    <mergeCell ref="A44:F44"/>
    <mergeCell ref="A54:F54"/>
    <mergeCell ref="A49:F49"/>
  </mergeCells>
  <pageMargins left="0.9055118110236221" right="0.70866141732283472" top="0.74803149606299213" bottom="0.74803149606299213" header="0.31496062992125984" footer="0.31496062992125984"/>
  <pageSetup paperSize="5" scale="90" orientation="portrait" horizontalDpi="0" verticalDpi="0" r:id="rId3"/>
  <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63"/>
  <sheetViews>
    <sheetView topLeftCell="A4" workbookViewId="0">
      <selection sqref="A1:H1"/>
    </sheetView>
  </sheetViews>
  <sheetFormatPr defaultRowHeight="15"/>
  <cols>
    <col min="1" max="1" width="4.7109375" style="113" customWidth="1"/>
    <col min="2" max="2" width="36.5703125" style="113" customWidth="1"/>
    <col min="3" max="3" width="1.85546875" style="113" customWidth="1"/>
    <col min="4" max="4" width="8.28515625" style="113" customWidth="1"/>
    <col min="5" max="5" width="8" style="113" customWidth="1"/>
    <col min="6" max="6" width="10.85546875" style="113" customWidth="1"/>
    <col min="7" max="7" width="13" style="113" customWidth="1"/>
    <col min="8" max="8" width="14.5703125" style="113" customWidth="1"/>
    <col min="9" max="9" width="9.140625" style="113"/>
    <col min="10" max="10" width="20.7109375" style="113" bestFit="1" customWidth="1"/>
    <col min="11" max="16384" width="9.140625" style="113"/>
  </cols>
  <sheetData>
    <row r="1" spans="1:8">
      <c r="A1" s="3341" t="s">
        <v>1023</v>
      </c>
      <c r="B1" s="3341"/>
      <c r="C1" s="3341"/>
      <c r="D1" s="3341"/>
      <c r="E1" s="3341"/>
      <c r="F1" s="3341"/>
      <c r="G1" s="3341"/>
      <c r="H1" s="3341"/>
    </row>
    <row r="2" spans="1:8">
      <c r="A2" s="3341" t="s">
        <v>1024</v>
      </c>
      <c r="B2" s="3341"/>
      <c r="C2" s="3341"/>
      <c r="D2" s="3341"/>
      <c r="E2" s="3341"/>
      <c r="F2" s="3341"/>
      <c r="G2" s="3341"/>
      <c r="H2" s="3341"/>
    </row>
    <row r="3" spans="1:8" ht="9" customHeight="1">
      <c r="A3" s="3341"/>
      <c r="B3" s="3341"/>
      <c r="C3" s="3341"/>
      <c r="D3" s="3341"/>
      <c r="E3" s="3341"/>
      <c r="F3" s="3341"/>
      <c r="G3" s="3341"/>
      <c r="H3" s="3341"/>
    </row>
    <row r="4" spans="1:8">
      <c r="A4" s="2047"/>
      <c r="B4" s="2048"/>
      <c r="C4" s="2048"/>
      <c r="D4" s="2048"/>
      <c r="E4" s="2048" t="s">
        <v>21</v>
      </c>
      <c r="F4" s="2048"/>
      <c r="G4" s="2048"/>
      <c r="H4" s="2048"/>
    </row>
    <row r="5" spans="1:8">
      <c r="A5" s="2049"/>
      <c r="B5" s="25"/>
      <c r="C5" s="27"/>
      <c r="D5" s="25"/>
      <c r="E5" s="25"/>
      <c r="F5" s="2050"/>
      <c r="G5" s="25"/>
    </row>
    <row r="6" spans="1:8">
      <c r="A6" s="2051"/>
      <c r="B6" s="25"/>
      <c r="C6" s="27"/>
      <c r="D6" s="112"/>
      <c r="E6" s="112"/>
      <c r="F6" s="25"/>
      <c r="G6" s="112"/>
      <c r="H6" s="112"/>
    </row>
    <row r="7" spans="1:8">
      <c r="A7" s="2049"/>
      <c r="B7" s="25"/>
      <c r="C7" s="27"/>
      <c r="D7" s="2052"/>
      <c r="E7" s="25"/>
    </row>
    <row r="8" spans="1:8">
      <c r="A8" s="2049"/>
      <c r="B8" s="25"/>
      <c r="C8" s="27"/>
      <c r="D8" s="25"/>
      <c r="E8" s="25"/>
      <c r="F8" s="2050"/>
      <c r="G8" s="112"/>
      <c r="H8" s="112"/>
    </row>
    <row r="9" spans="1:8" ht="9" customHeight="1">
      <c r="A9" s="2049"/>
      <c r="B9" s="25"/>
      <c r="C9" s="27"/>
      <c r="D9" s="25"/>
      <c r="E9" s="25"/>
      <c r="F9" s="2050"/>
      <c r="G9" s="112"/>
      <c r="H9" s="112"/>
    </row>
    <row r="10" spans="1:8">
      <c r="A10" s="3356" t="s">
        <v>110</v>
      </c>
      <c r="B10" s="3356"/>
      <c r="C10" s="27" t="s">
        <v>46</v>
      </c>
      <c r="D10" s="3357">
        <f>H55</f>
        <v>34855000</v>
      </c>
      <c r="E10" s="3357"/>
      <c r="F10" s="2078"/>
      <c r="G10" s="28"/>
      <c r="H10" s="28"/>
    </row>
    <row r="11" spans="1:8" ht="9" customHeight="1" thickBot="1">
      <c r="A11" s="28"/>
      <c r="B11" s="26"/>
      <c r="C11" s="27"/>
      <c r="D11" s="2970"/>
      <c r="E11" s="2970"/>
      <c r="F11" s="28"/>
      <c r="G11" s="28"/>
    </row>
    <row r="12" spans="1:8">
      <c r="A12" s="3271" t="s">
        <v>1</v>
      </c>
      <c r="B12" s="3272"/>
      <c r="C12" s="3273"/>
      <c r="D12" s="3280" t="s">
        <v>60</v>
      </c>
      <c r="E12" s="3280" t="s">
        <v>97</v>
      </c>
      <c r="F12" s="3283" t="s">
        <v>112</v>
      </c>
      <c r="G12" s="3268" t="s">
        <v>113</v>
      </c>
      <c r="H12" s="3268" t="s">
        <v>114</v>
      </c>
    </row>
    <row r="13" spans="1:8">
      <c r="A13" s="3274"/>
      <c r="B13" s="3275"/>
      <c r="C13" s="3276"/>
      <c r="D13" s="3281"/>
      <c r="E13" s="3281"/>
      <c r="F13" s="3284"/>
      <c r="G13" s="3269"/>
      <c r="H13" s="3269"/>
    </row>
    <row r="14" spans="1:8" ht="15.75" thickBot="1">
      <c r="A14" s="3277"/>
      <c r="B14" s="3278"/>
      <c r="C14" s="3279"/>
      <c r="D14" s="3282"/>
      <c r="E14" s="3282"/>
      <c r="F14" s="3285"/>
      <c r="G14" s="3270"/>
      <c r="H14" s="3270"/>
    </row>
    <row r="15" spans="1:8">
      <c r="A15" s="58">
        <v>1</v>
      </c>
      <c r="B15" s="54" t="s">
        <v>1470</v>
      </c>
      <c r="C15" s="34"/>
      <c r="D15" s="37"/>
      <c r="E15" s="35"/>
      <c r="F15" s="32"/>
      <c r="G15" s="2079"/>
      <c r="H15" s="2080"/>
    </row>
    <row r="16" spans="1:8">
      <c r="A16" s="58" t="s">
        <v>115</v>
      </c>
      <c r="B16" s="64" t="s">
        <v>1518</v>
      </c>
      <c r="C16" s="34"/>
      <c r="D16" s="67">
        <v>195</v>
      </c>
      <c r="E16" s="35" t="s">
        <v>1178</v>
      </c>
      <c r="F16" s="2113">
        <v>18000</v>
      </c>
      <c r="G16" s="30">
        <f>+F16*D16</f>
        <v>3510000</v>
      </c>
      <c r="H16" s="48"/>
    </row>
    <row r="17" spans="1:14">
      <c r="A17" s="58" t="s">
        <v>117</v>
      </c>
      <c r="B17" s="64" t="s">
        <v>1508</v>
      </c>
      <c r="C17" s="34"/>
      <c r="D17" s="67">
        <v>195</v>
      </c>
      <c r="E17" s="35" t="s">
        <v>1178</v>
      </c>
      <c r="F17" s="2113">
        <v>18000</v>
      </c>
      <c r="G17" s="30">
        <f>+F17*D17</f>
        <v>3510000</v>
      </c>
      <c r="H17" s="48"/>
    </row>
    <row r="18" spans="1:14">
      <c r="A18" s="58" t="s">
        <v>118</v>
      </c>
      <c r="B18" s="64" t="s">
        <v>1509</v>
      </c>
      <c r="C18" s="34"/>
      <c r="D18" s="67">
        <v>195</v>
      </c>
      <c r="E18" s="35" t="s">
        <v>1178</v>
      </c>
      <c r="F18" s="2113">
        <v>18000</v>
      </c>
      <c r="G18" s="32">
        <f>+F18*D18</f>
        <v>3510000</v>
      </c>
      <c r="H18" s="46"/>
    </row>
    <row r="19" spans="1:14">
      <c r="A19" s="58" t="s">
        <v>119</v>
      </c>
      <c r="B19" s="70" t="s">
        <v>1478</v>
      </c>
      <c r="C19" s="34"/>
      <c r="D19" s="67">
        <v>20</v>
      </c>
      <c r="E19" s="35" t="s">
        <v>1145</v>
      </c>
      <c r="F19" s="2113">
        <v>120000</v>
      </c>
      <c r="G19" s="36">
        <f>+F19*D19</f>
        <v>2400000</v>
      </c>
      <c r="H19" s="55"/>
    </row>
    <row r="20" spans="1:14" ht="17.25" customHeight="1">
      <c r="A20" s="3291" t="s">
        <v>98</v>
      </c>
      <c r="B20" s="3292"/>
      <c r="C20" s="3292"/>
      <c r="D20" s="3292"/>
      <c r="E20" s="3292"/>
      <c r="F20" s="3293"/>
      <c r="G20" s="38">
        <f>SUM(G16:G19)</f>
        <v>12930000</v>
      </c>
      <c r="H20" s="47">
        <f>G20</f>
        <v>12930000</v>
      </c>
      <c r="N20" s="2081"/>
    </row>
    <row r="21" spans="1:14">
      <c r="A21" s="58">
        <v>2</v>
      </c>
      <c r="B21" s="54" t="s">
        <v>1471</v>
      </c>
      <c r="C21" s="34"/>
      <c r="D21" s="37"/>
      <c r="E21" s="35"/>
      <c r="F21" s="32"/>
      <c r="G21" s="2079"/>
      <c r="H21" s="2080"/>
    </row>
    <row r="22" spans="1:14">
      <c r="A22" s="58" t="s">
        <v>121</v>
      </c>
      <c r="B22" s="73" t="s">
        <v>1472</v>
      </c>
      <c r="C22" s="34"/>
      <c r="D22" s="57">
        <v>2000</v>
      </c>
      <c r="E22" s="35" t="s">
        <v>1158</v>
      </c>
      <c r="F22" s="32">
        <v>8000</v>
      </c>
      <c r="G22" s="2082">
        <f>D22*F22</f>
        <v>16000000</v>
      </c>
      <c r="H22" s="2083"/>
    </row>
    <row r="23" spans="1:14">
      <c r="A23" s="58" t="s">
        <v>122</v>
      </c>
      <c r="B23" s="64" t="s">
        <v>1494</v>
      </c>
      <c r="C23" s="34"/>
      <c r="D23" s="67">
        <v>8</v>
      </c>
      <c r="E23" s="68" t="s">
        <v>1507</v>
      </c>
      <c r="F23" s="32">
        <v>25000</v>
      </c>
      <c r="G23" s="2082">
        <f t="shared" ref="G23:G26" si="0">D23*F23</f>
        <v>200000</v>
      </c>
      <c r="H23" s="48"/>
    </row>
    <row r="24" spans="1:14">
      <c r="A24" s="58" t="s">
        <v>123</v>
      </c>
      <c r="B24" s="64" t="s">
        <v>1490</v>
      </c>
      <c r="C24" s="34"/>
      <c r="D24" s="67">
        <v>10</v>
      </c>
      <c r="E24" s="68" t="s">
        <v>1158</v>
      </c>
      <c r="F24" s="69">
        <v>40000</v>
      </c>
      <c r="G24" s="2082">
        <f t="shared" si="0"/>
        <v>400000</v>
      </c>
      <c r="H24" s="48"/>
    </row>
    <row r="25" spans="1:14">
      <c r="A25" s="58" t="s">
        <v>124</v>
      </c>
      <c r="B25" s="64" t="s">
        <v>1491</v>
      </c>
      <c r="C25" s="34"/>
      <c r="D25" s="67">
        <v>3</v>
      </c>
      <c r="E25" s="68" t="s">
        <v>1507</v>
      </c>
      <c r="F25" s="69">
        <v>100000</v>
      </c>
      <c r="G25" s="2082">
        <f t="shared" si="0"/>
        <v>300000</v>
      </c>
      <c r="H25" s="48"/>
    </row>
    <row r="26" spans="1:14">
      <c r="A26" s="58" t="s">
        <v>125</v>
      </c>
      <c r="B26" s="64" t="s">
        <v>1492</v>
      </c>
      <c r="C26" s="34"/>
      <c r="D26" s="67">
        <v>3</v>
      </c>
      <c r="E26" s="68" t="s">
        <v>1158</v>
      </c>
      <c r="F26" s="69">
        <v>20000</v>
      </c>
      <c r="G26" s="2082">
        <f t="shared" si="0"/>
        <v>60000</v>
      </c>
      <c r="H26" s="48"/>
    </row>
    <row r="27" spans="1:14">
      <c r="A27" s="3291" t="s">
        <v>99</v>
      </c>
      <c r="B27" s="3292"/>
      <c r="C27" s="3292"/>
      <c r="D27" s="3292"/>
      <c r="E27" s="3292"/>
      <c r="F27" s="3293"/>
      <c r="G27" s="38">
        <f>SUM(G22:G26)</f>
        <v>16960000</v>
      </c>
      <c r="H27" s="47">
        <f>G27</f>
        <v>16960000</v>
      </c>
    </row>
    <row r="28" spans="1:14">
      <c r="A28" s="2092">
        <v>3</v>
      </c>
      <c r="B28" s="73" t="s">
        <v>1473</v>
      </c>
      <c r="C28" s="2061"/>
      <c r="D28" s="2121"/>
      <c r="E28" s="2122"/>
      <c r="F28" s="2089"/>
      <c r="G28" s="2079"/>
      <c r="H28" s="2080"/>
    </row>
    <row r="29" spans="1:14">
      <c r="A29" s="2124" t="s">
        <v>126</v>
      </c>
      <c r="B29" s="64" t="s">
        <v>1474</v>
      </c>
      <c r="C29" s="2061"/>
      <c r="D29" s="67">
        <v>3</v>
      </c>
      <c r="E29" s="68" t="s">
        <v>104</v>
      </c>
      <c r="F29" s="69">
        <v>700000</v>
      </c>
      <c r="G29" s="32">
        <f>+F29*D29</f>
        <v>2100000</v>
      </c>
      <c r="H29" s="48"/>
      <c r="J29" s="2084"/>
    </row>
    <row r="30" spans="1:14">
      <c r="A30" s="2125" t="s">
        <v>127</v>
      </c>
      <c r="B30" s="2043" t="s">
        <v>1516</v>
      </c>
      <c r="C30" s="2044"/>
      <c r="D30" s="2053">
        <v>1</v>
      </c>
      <c r="E30" s="2123" t="s">
        <v>104</v>
      </c>
      <c r="F30" s="2112">
        <v>2000000</v>
      </c>
      <c r="G30" s="32">
        <f>+F30*D30</f>
        <v>2000000</v>
      </c>
      <c r="H30" s="2046"/>
      <c r="J30" s="2084"/>
    </row>
    <row r="31" spans="1:14">
      <c r="A31" s="3291" t="s">
        <v>102</v>
      </c>
      <c r="B31" s="3292"/>
      <c r="C31" s="3292"/>
      <c r="D31" s="3292"/>
      <c r="E31" s="3292"/>
      <c r="F31" s="3293"/>
      <c r="G31" s="38">
        <f>SUM(G29:G30)</f>
        <v>4100000</v>
      </c>
      <c r="H31" s="47">
        <f>G31</f>
        <v>4100000</v>
      </c>
    </row>
    <row r="32" spans="1:14" hidden="1">
      <c r="A32" s="2594">
        <v>4</v>
      </c>
      <c r="B32" s="2595" t="s">
        <v>1475</v>
      </c>
      <c r="C32" s="2596"/>
      <c r="D32" s="2597"/>
      <c r="E32" s="2598"/>
      <c r="F32" s="2599"/>
      <c r="G32" s="2600"/>
      <c r="H32" s="2601"/>
    </row>
    <row r="33" spans="1:8" hidden="1">
      <c r="A33" s="2602" t="s">
        <v>128</v>
      </c>
      <c r="B33" s="2603" t="s">
        <v>1502</v>
      </c>
      <c r="C33" s="2604"/>
      <c r="D33" s="2605">
        <v>5</v>
      </c>
      <c r="E33" s="2606" t="s">
        <v>1158</v>
      </c>
      <c r="F33" s="2607">
        <v>110000</v>
      </c>
      <c r="G33" s="2608">
        <f>D33*F33</f>
        <v>550000</v>
      </c>
      <c r="H33" s="2609"/>
    </row>
    <row r="34" spans="1:8" hidden="1">
      <c r="A34" s="2610" t="s">
        <v>129</v>
      </c>
      <c r="B34" s="2603" t="s">
        <v>1506</v>
      </c>
      <c r="C34" s="2604"/>
      <c r="D34" s="2611">
        <v>5</v>
      </c>
      <c r="E34" s="2606" t="s">
        <v>1158</v>
      </c>
      <c r="F34" s="2607">
        <v>305000</v>
      </c>
      <c r="G34" s="2608">
        <f>D34*F34</f>
        <v>1525000</v>
      </c>
      <c r="H34" s="2609"/>
    </row>
    <row r="35" spans="1:8" hidden="1">
      <c r="A35" s="2602" t="s">
        <v>217</v>
      </c>
      <c r="B35" s="2612" t="s">
        <v>1480</v>
      </c>
      <c r="C35" s="2613"/>
      <c r="D35" s="2614">
        <v>10</v>
      </c>
      <c r="E35" s="2615" t="s">
        <v>1489</v>
      </c>
      <c r="F35" s="2616">
        <v>25000</v>
      </c>
      <c r="G35" s="2608">
        <f>D35*F35</f>
        <v>250000</v>
      </c>
      <c r="H35" s="2609"/>
    </row>
    <row r="36" spans="1:8" hidden="1">
      <c r="A36" s="2610" t="s">
        <v>218</v>
      </c>
      <c r="B36" s="2617" t="s">
        <v>1483</v>
      </c>
      <c r="C36" s="2618"/>
      <c r="D36" s="2614">
        <v>15</v>
      </c>
      <c r="E36" s="2619" t="s">
        <v>1158</v>
      </c>
      <c r="F36" s="2620">
        <v>3000</v>
      </c>
      <c r="G36" s="2621">
        <f>D36*F36</f>
        <v>45000</v>
      </c>
      <c r="H36" s="2622"/>
    </row>
    <row r="37" spans="1:8" hidden="1">
      <c r="A37" s="2602" t="s">
        <v>1059</v>
      </c>
      <c r="B37" s="2617" t="s">
        <v>1484</v>
      </c>
      <c r="C37" s="2623"/>
      <c r="D37" s="2614">
        <v>10</v>
      </c>
      <c r="E37" s="2619" t="s">
        <v>1158</v>
      </c>
      <c r="F37" s="2620">
        <v>3000</v>
      </c>
      <c r="G37" s="2621">
        <f t="shared" ref="G37:G43" si="1">D37*F37</f>
        <v>30000</v>
      </c>
      <c r="H37" s="2609"/>
    </row>
    <row r="38" spans="1:8" hidden="1">
      <c r="A38" s="2610" t="s">
        <v>1482</v>
      </c>
      <c r="B38" s="2617" t="s">
        <v>1485</v>
      </c>
      <c r="C38" s="2623"/>
      <c r="D38" s="2614">
        <v>1</v>
      </c>
      <c r="E38" s="2619" t="s">
        <v>252</v>
      </c>
      <c r="F38" s="2620">
        <v>35000</v>
      </c>
      <c r="G38" s="2621">
        <f t="shared" si="1"/>
        <v>35000</v>
      </c>
      <c r="H38" s="2609"/>
    </row>
    <row r="39" spans="1:8" hidden="1">
      <c r="A39" s="2602" t="s">
        <v>1486</v>
      </c>
      <c r="B39" s="2617" t="s">
        <v>1500</v>
      </c>
      <c r="C39" s="2623"/>
      <c r="D39" s="2614">
        <v>10</v>
      </c>
      <c r="E39" s="2619" t="s">
        <v>1489</v>
      </c>
      <c r="F39" s="2620">
        <v>45000</v>
      </c>
      <c r="G39" s="2621">
        <f t="shared" si="1"/>
        <v>450000</v>
      </c>
      <c r="H39" s="2609"/>
    </row>
    <row r="40" spans="1:8" hidden="1">
      <c r="A40" s="2610" t="s">
        <v>1488</v>
      </c>
      <c r="B40" s="2617" t="s">
        <v>1487</v>
      </c>
      <c r="C40" s="2623"/>
      <c r="D40" s="2614">
        <v>10</v>
      </c>
      <c r="E40" s="2619" t="s">
        <v>1158</v>
      </c>
      <c r="F40" s="2620">
        <v>5000</v>
      </c>
      <c r="G40" s="2621">
        <f t="shared" si="1"/>
        <v>50000</v>
      </c>
      <c r="H40" s="2609"/>
    </row>
    <row r="41" spans="1:8" hidden="1">
      <c r="A41" s="2602" t="s">
        <v>1501</v>
      </c>
      <c r="B41" s="2617" t="s">
        <v>1481</v>
      </c>
      <c r="C41" s="2623"/>
      <c r="D41" s="2614">
        <v>5</v>
      </c>
      <c r="E41" s="2624" t="s">
        <v>1158</v>
      </c>
      <c r="F41" s="2620">
        <v>22000</v>
      </c>
      <c r="G41" s="2621">
        <f t="shared" si="1"/>
        <v>110000</v>
      </c>
      <c r="H41" s="2609"/>
    </row>
    <row r="42" spans="1:8" hidden="1">
      <c r="A42" s="2610" t="s">
        <v>1503</v>
      </c>
      <c r="B42" s="2625" t="s">
        <v>1504</v>
      </c>
      <c r="C42" s="2626"/>
      <c r="D42" s="2627">
        <v>30</v>
      </c>
      <c r="E42" s="2628" t="s">
        <v>1158</v>
      </c>
      <c r="F42" s="2629">
        <v>1000</v>
      </c>
      <c r="G42" s="2621">
        <f t="shared" si="1"/>
        <v>30000</v>
      </c>
      <c r="H42" s="2609"/>
    </row>
    <row r="43" spans="1:8" hidden="1">
      <c r="A43" s="2602" t="s">
        <v>1505</v>
      </c>
      <c r="B43" s="2630" t="s">
        <v>1479</v>
      </c>
      <c r="C43" s="2631"/>
      <c r="D43" s="2632">
        <v>35</v>
      </c>
      <c r="E43" s="2633" t="s">
        <v>1489</v>
      </c>
      <c r="F43" s="2634">
        <v>72000</v>
      </c>
      <c r="G43" s="2621">
        <f t="shared" si="1"/>
        <v>2520000</v>
      </c>
      <c r="H43" s="2609"/>
    </row>
    <row r="44" spans="1:8" hidden="1">
      <c r="A44" s="3358" t="s">
        <v>130</v>
      </c>
      <c r="B44" s="3359"/>
      <c r="C44" s="3359"/>
      <c r="D44" s="3359"/>
      <c r="E44" s="3359"/>
      <c r="F44" s="3360"/>
      <c r="G44" s="2635"/>
      <c r="H44" s="2636">
        <f>G44</f>
        <v>0</v>
      </c>
    </row>
    <row r="45" spans="1:8">
      <c r="A45" s="2092">
        <v>4</v>
      </c>
      <c r="B45" s="2093" t="s">
        <v>1477</v>
      </c>
      <c r="C45" s="44"/>
      <c r="D45" s="2067"/>
      <c r="E45" s="2094"/>
      <c r="F45" s="2069"/>
      <c r="G45" s="2091"/>
      <c r="H45" s="2095"/>
    </row>
    <row r="46" spans="1:8">
      <c r="A46" s="2074">
        <v>4.0999999999999996</v>
      </c>
      <c r="B46" s="2106" t="s">
        <v>1597</v>
      </c>
      <c r="C46" s="2044"/>
      <c r="D46" s="2068">
        <v>12</v>
      </c>
      <c r="E46" s="2045" t="s">
        <v>1493</v>
      </c>
      <c r="F46" s="2118">
        <v>50000</v>
      </c>
      <c r="G46" s="939">
        <f>D46*F46</f>
        <v>600000</v>
      </c>
      <c r="H46" s="2046"/>
    </row>
    <row r="47" spans="1:8">
      <c r="A47" s="2075" t="s">
        <v>129</v>
      </c>
      <c r="B47" s="64" t="s">
        <v>1499</v>
      </c>
      <c r="C47" s="2055"/>
      <c r="D47" s="67">
        <v>7</v>
      </c>
      <c r="E47" s="73" t="s">
        <v>1489</v>
      </c>
      <c r="F47" s="69">
        <v>35000</v>
      </c>
      <c r="G47" s="32">
        <f t="shared" ref="G47:G48" si="2">D47*F47</f>
        <v>245000</v>
      </c>
      <c r="H47" s="46"/>
    </row>
    <row r="48" spans="1:8">
      <c r="A48" s="2073" t="s">
        <v>217</v>
      </c>
      <c r="B48" s="2043" t="s">
        <v>1246</v>
      </c>
      <c r="C48" s="2044"/>
      <c r="D48" s="2053">
        <v>1</v>
      </c>
      <c r="E48" s="2045" t="s">
        <v>1276</v>
      </c>
      <c r="F48" s="2112">
        <v>20000</v>
      </c>
      <c r="G48" s="30">
        <f t="shared" si="2"/>
        <v>20000</v>
      </c>
      <c r="H48" s="2046"/>
    </row>
    <row r="49" spans="1:14">
      <c r="A49" s="3291" t="s">
        <v>130</v>
      </c>
      <c r="B49" s="3292"/>
      <c r="C49" s="3292"/>
      <c r="D49" s="3292"/>
      <c r="E49" s="3292"/>
      <c r="F49" s="3293"/>
      <c r="G49" s="38">
        <f>SUM(G46:G48)</f>
        <v>865000</v>
      </c>
      <c r="H49" s="47">
        <f>G49</f>
        <v>865000</v>
      </c>
    </row>
    <row r="50" spans="1:14" s="2644" customFormat="1" hidden="1">
      <c r="A50" s="2637">
        <v>6</v>
      </c>
      <c r="B50" s="2638" t="s">
        <v>1495</v>
      </c>
      <c r="C50" s="2639"/>
      <c r="D50" s="2640"/>
      <c r="E50" s="2641"/>
      <c r="F50" s="2642"/>
      <c r="G50" s="2599"/>
      <c r="H50" s="2643"/>
      <c r="L50" s="2644">
        <v>2.44</v>
      </c>
      <c r="M50" s="2644">
        <v>5</v>
      </c>
      <c r="N50" s="2644">
        <f>L50*M50</f>
        <v>12.2</v>
      </c>
    </row>
    <row r="51" spans="1:14" s="2644" customFormat="1" hidden="1">
      <c r="A51" s="2645" t="s">
        <v>243</v>
      </c>
      <c r="B51" s="2646" t="s">
        <v>1496</v>
      </c>
      <c r="C51" s="2631"/>
      <c r="D51" s="2647">
        <v>20</v>
      </c>
      <c r="E51" s="2648" t="s">
        <v>1517</v>
      </c>
      <c r="F51" s="2649">
        <v>50000</v>
      </c>
      <c r="G51" s="2607"/>
      <c r="H51" s="2650"/>
    </row>
    <row r="52" spans="1:14" s="2644" customFormat="1" hidden="1">
      <c r="A52" s="2651" t="s">
        <v>244</v>
      </c>
      <c r="B52" s="2652" t="s">
        <v>1497</v>
      </c>
      <c r="C52" s="2653"/>
      <c r="D52" s="2647">
        <v>20</v>
      </c>
      <c r="E52" s="2648" t="s">
        <v>1517</v>
      </c>
      <c r="F52" s="2654">
        <v>50000</v>
      </c>
      <c r="G52" s="2607"/>
      <c r="H52" s="2650"/>
    </row>
    <row r="53" spans="1:14" hidden="1">
      <c r="A53" s="2062"/>
      <c r="B53" s="2059"/>
      <c r="C53" s="2061"/>
      <c r="D53" s="2070"/>
      <c r="E53" s="2086"/>
      <c r="F53" s="2071"/>
      <c r="G53" s="30"/>
      <c r="H53" s="48"/>
    </row>
    <row r="54" spans="1:14" ht="15.75" hidden="1" thickBot="1">
      <c r="A54" s="3353" t="s">
        <v>282</v>
      </c>
      <c r="B54" s="3354"/>
      <c r="C54" s="3354"/>
      <c r="D54" s="3354"/>
      <c r="E54" s="3354"/>
      <c r="F54" s="3355"/>
      <c r="G54" s="2065">
        <f>SUM(G51:G53)</f>
        <v>0</v>
      </c>
      <c r="H54" s="2066">
        <f>G54</f>
        <v>0</v>
      </c>
    </row>
    <row r="55" spans="1:14" ht="15.75" thickBot="1">
      <c r="A55" s="2534"/>
      <c r="B55" s="2535"/>
      <c r="C55" s="2535"/>
      <c r="D55" s="2535"/>
      <c r="E55" s="2535"/>
      <c r="F55" s="2128" t="s">
        <v>1498</v>
      </c>
      <c r="G55" s="2129">
        <f>SUM(G20,G27,G31,G44,G49,G54)</f>
        <v>34855000</v>
      </c>
      <c r="H55" s="2130">
        <f>H20+H27+H31+H44+H49+H54</f>
        <v>34855000</v>
      </c>
    </row>
    <row r="56" spans="1:14">
      <c r="A56" s="2056"/>
      <c r="B56" s="2056"/>
      <c r="C56" s="2056"/>
      <c r="D56" s="2056"/>
      <c r="E56" s="2056"/>
      <c r="F56" s="2056"/>
      <c r="G56" s="2057"/>
      <c r="H56" s="2057"/>
    </row>
    <row r="57" spans="1:14">
      <c r="A57" s="2056"/>
      <c r="B57" s="2120" t="s">
        <v>1510</v>
      </c>
      <c r="C57" s="2056"/>
      <c r="D57" s="2056"/>
      <c r="E57" s="2056"/>
      <c r="F57" s="2044" t="s">
        <v>1512</v>
      </c>
      <c r="G57" s="2057"/>
      <c r="H57" s="2057"/>
    </row>
    <row r="58" spans="1:14">
      <c r="A58" s="2056"/>
      <c r="B58" s="2120" t="s">
        <v>1341</v>
      </c>
      <c r="C58" s="2056"/>
      <c r="D58" s="2056"/>
      <c r="E58" s="2056"/>
      <c r="F58" s="2044" t="s">
        <v>1513</v>
      </c>
      <c r="G58" s="2057"/>
      <c r="H58" s="2057"/>
    </row>
    <row r="59" spans="1:14">
      <c r="F59" s="2050" t="s">
        <v>1514</v>
      </c>
    </row>
    <row r="63" spans="1:14">
      <c r="B63" s="1260" t="s">
        <v>1511</v>
      </c>
      <c r="F63" s="113" t="s">
        <v>1515</v>
      </c>
    </row>
  </sheetData>
  <mergeCells count="18">
    <mergeCell ref="A54:F54"/>
    <mergeCell ref="A12:C14"/>
    <mergeCell ref="D12:D14"/>
    <mergeCell ref="E12:E14"/>
    <mergeCell ref="F12:F14"/>
    <mergeCell ref="A20:F20"/>
    <mergeCell ref="A27:F27"/>
    <mergeCell ref="A31:F31"/>
    <mergeCell ref="A44:F44"/>
    <mergeCell ref="A49:F49"/>
    <mergeCell ref="G12:G14"/>
    <mergeCell ref="H12:H14"/>
    <mergeCell ref="A1:H1"/>
    <mergeCell ref="A2:H2"/>
    <mergeCell ref="A3:H3"/>
    <mergeCell ref="A10:B10"/>
    <mergeCell ref="D10:E10"/>
    <mergeCell ref="D11:E11"/>
  </mergeCells>
  <pageMargins left="0.9055118110236221" right="0.70866141732283472" top="0.74803149606299213" bottom="0.74803149606299213" header="0.31496062992125984" footer="0.31496062992125984"/>
  <pageSetup paperSize="5" scale="90" orientation="portrait" horizontalDpi="0" verticalDpi="0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sqref="A1:F1"/>
    </sheetView>
  </sheetViews>
  <sheetFormatPr defaultRowHeight="15"/>
  <cols>
    <col min="1" max="1" width="4.5703125" style="1261" bestFit="1" customWidth="1"/>
    <col min="2" max="2" width="65.85546875" bestFit="1" customWidth="1"/>
    <col min="3" max="4" width="9.5703125" style="1261" customWidth="1"/>
    <col min="5" max="5" width="16.7109375" style="2002" customWidth="1"/>
    <col min="6" max="6" width="17.140625" style="2002" bestFit="1" customWidth="1"/>
    <col min="7" max="7" width="26.28515625" customWidth="1"/>
  </cols>
  <sheetData>
    <row r="1" spans="1:7" ht="18">
      <c r="A1" s="2801" t="s">
        <v>1585</v>
      </c>
      <c r="B1" s="2801"/>
      <c r="C1" s="2801"/>
      <c r="D1" s="2801"/>
      <c r="E1" s="2801"/>
      <c r="F1" s="2801"/>
    </row>
    <row r="3" spans="1:7" s="2485" customFormat="1" ht="31.5">
      <c r="A3" s="2486" t="s">
        <v>1545</v>
      </c>
      <c r="B3" s="2486" t="s">
        <v>1568</v>
      </c>
      <c r="C3" s="2486" t="s">
        <v>60</v>
      </c>
      <c r="D3" s="2486" t="s">
        <v>97</v>
      </c>
      <c r="E3" s="2487" t="s">
        <v>1582</v>
      </c>
      <c r="F3" s="2487" t="s">
        <v>1569</v>
      </c>
    </row>
    <row r="4" spans="1:7" ht="21" customHeight="1">
      <c r="A4" s="2494">
        <v>1</v>
      </c>
      <c r="B4" s="2495" t="s">
        <v>1558</v>
      </c>
      <c r="C4" s="2494">
        <v>12</v>
      </c>
      <c r="D4" s="2494" t="s">
        <v>116</v>
      </c>
      <c r="E4" s="2496">
        <v>100000</v>
      </c>
      <c r="F4" s="2496">
        <f>E4*C4</f>
        <v>1200000</v>
      </c>
      <c r="G4" s="61">
        <f>SUM(F10:F16)+F8</f>
        <v>35973500</v>
      </c>
    </row>
    <row r="5" spans="1:7" ht="21" customHeight="1">
      <c r="A5" s="2497">
        <v>2</v>
      </c>
      <c r="B5" s="2498" t="s">
        <v>1559</v>
      </c>
      <c r="C5" s="2497">
        <v>120</v>
      </c>
      <c r="D5" s="2497" t="s">
        <v>116</v>
      </c>
      <c r="E5" s="2499">
        <v>100000</v>
      </c>
      <c r="F5" s="2499">
        <f>E5*C5</f>
        <v>12000000</v>
      </c>
      <c r="G5">
        <v>32604651</v>
      </c>
    </row>
    <row r="6" spans="1:7" ht="21" customHeight="1">
      <c r="A6" s="2497">
        <v>3</v>
      </c>
      <c r="B6" s="2498" t="s">
        <v>1560</v>
      </c>
      <c r="C6" s="2497">
        <v>1</v>
      </c>
      <c r="D6" s="2497" t="s">
        <v>174</v>
      </c>
      <c r="E6" s="2499">
        <f>'1.4 O PEM pkpkd rusak'!N103</f>
        <v>11390349</v>
      </c>
      <c r="F6" s="2499">
        <f>E6*C6</f>
        <v>11390349</v>
      </c>
      <c r="G6" s="61">
        <f>G4+G5</f>
        <v>68578151</v>
      </c>
    </row>
    <row r="7" spans="1:7" ht="21" customHeight="1">
      <c r="A7" s="2497">
        <v>4</v>
      </c>
      <c r="B7" s="2498" t="s">
        <v>14</v>
      </c>
      <c r="C7" s="2497">
        <v>84</v>
      </c>
      <c r="D7" s="2497" t="s">
        <v>116</v>
      </c>
      <c r="E7" s="2499">
        <v>100000</v>
      </c>
      <c r="F7" s="2499">
        <v>8400000</v>
      </c>
      <c r="G7" s="61">
        <f>F18-G6</f>
        <v>5590849</v>
      </c>
    </row>
    <row r="8" spans="1:7" ht="21" customHeight="1">
      <c r="A8" s="2497">
        <v>5</v>
      </c>
      <c r="B8" s="2498" t="s">
        <v>1561</v>
      </c>
      <c r="C8" s="2497">
        <v>1</v>
      </c>
      <c r="D8" s="2497" t="s">
        <v>174</v>
      </c>
      <c r="E8" s="2499">
        <f>'1.6 OP BPD'!N40</f>
        <v>3439500</v>
      </c>
      <c r="F8" s="2499">
        <f>E8*C8</f>
        <v>3439500</v>
      </c>
    </row>
    <row r="9" spans="1:7" ht="21" customHeight="1">
      <c r="A9" s="2497">
        <v>6</v>
      </c>
      <c r="B9" s="2498" t="s">
        <v>821</v>
      </c>
      <c r="C9" s="2497">
        <v>192</v>
      </c>
      <c r="D9" s="2497" t="s">
        <v>116</v>
      </c>
      <c r="E9" s="2499">
        <v>75000</v>
      </c>
      <c r="F9" s="2499">
        <f>E9*C9</f>
        <v>14400000</v>
      </c>
    </row>
    <row r="10" spans="1:7" ht="21" customHeight="1">
      <c r="A10" s="2497">
        <v>7</v>
      </c>
      <c r="B10" s="2498" t="s">
        <v>1562</v>
      </c>
      <c r="C10" s="2497">
        <v>1</v>
      </c>
      <c r="D10" s="2497" t="s">
        <v>174</v>
      </c>
      <c r="E10" s="2499">
        <f>'1.9 Musdes'!N21</f>
        <v>6500000</v>
      </c>
      <c r="F10" s="2499">
        <v>6500000</v>
      </c>
    </row>
    <row r="11" spans="1:7" ht="21" customHeight="1">
      <c r="A11" s="2497">
        <v>8</v>
      </c>
      <c r="B11" s="2498" t="s">
        <v>1563</v>
      </c>
      <c r="C11" s="2497">
        <v>1</v>
      </c>
      <c r="D11" s="2497" t="s">
        <v>174</v>
      </c>
      <c r="E11" s="2499">
        <f>'1.10 Hnr RKP'!N26</f>
        <v>3880000</v>
      </c>
      <c r="F11" s="2499">
        <v>3880000</v>
      </c>
    </row>
    <row r="12" spans="1:7" ht="21" customHeight="1">
      <c r="A12" s="2497">
        <v>9</v>
      </c>
      <c r="B12" s="2498" t="s">
        <v>1564</v>
      </c>
      <c r="C12" s="2497">
        <v>1</v>
      </c>
      <c r="D12" s="2497" t="s">
        <v>174</v>
      </c>
      <c r="E12" s="2499">
        <f>'1.12 Pemilihan BPD'!N44</f>
        <v>0</v>
      </c>
      <c r="F12" s="2499">
        <v>5649000</v>
      </c>
    </row>
    <row r="13" spans="1:7" ht="21" customHeight="1">
      <c r="A13" s="2497">
        <v>10</v>
      </c>
      <c r="B13" s="2498" t="s">
        <v>806</v>
      </c>
      <c r="C13" s="2497">
        <v>1</v>
      </c>
      <c r="D13" s="2497" t="s">
        <v>174</v>
      </c>
      <c r="E13" s="2499">
        <f>'3.3 HUT RI'!N28</f>
        <v>2160000</v>
      </c>
      <c r="F13" s="2499">
        <v>2160000</v>
      </c>
    </row>
    <row r="14" spans="1:7" ht="21" customHeight="1">
      <c r="A14" s="2497">
        <v>11</v>
      </c>
      <c r="B14" s="2498" t="s">
        <v>1565</v>
      </c>
      <c r="C14" s="2497">
        <v>1</v>
      </c>
      <c r="D14" s="2497" t="s">
        <v>174</v>
      </c>
      <c r="E14" s="2499">
        <f>'3.9 STQ - '!O43</f>
        <v>6810000</v>
      </c>
      <c r="F14" s="2499">
        <v>6810000</v>
      </c>
    </row>
    <row r="15" spans="1:7" ht="21" customHeight="1">
      <c r="A15" s="2497">
        <v>12</v>
      </c>
      <c r="B15" s="2498" t="s">
        <v>1566</v>
      </c>
      <c r="C15" s="2497">
        <v>1</v>
      </c>
      <c r="D15" s="2497" t="s">
        <v>174</v>
      </c>
      <c r="E15" s="2499">
        <f>'3.4 KATARUNA'!N19</f>
        <v>1200000</v>
      </c>
      <c r="F15" s="2499">
        <v>1200000</v>
      </c>
    </row>
    <row r="16" spans="1:7" ht="21" customHeight="1">
      <c r="A16" s="2500">
        <v>13</v>
      </c>
      <c r="B16" s="2501" t="s">
        <v>1567</v>
      </c>
      <c r="C16" s="2500">
        <v>1</v>
      </c>
      <c r="D16" s="2500" t="s">
        <v>174</v>
      </c>
      <c r="E16" s="2502">
        <f>'3.7 PKK'!N56</f>
        <v>5934500</v>
      </c>
      <c r="F16" s="2502">
        <v>6335000</v>
      </c>
    </row>
    <row r="17" spans="1:6" s="534" customFormat="1" ht="21" customHeight="1">
      <c r="A17" s="2488"/>
      <c r="B17" s="2489" t="s">
        <v>1583</v>
      </c>
      <c r="C17" s="2488"/>
      <c r="D17" s="2488"/>
      <c r="E17" s="2490"/>
      <c r="F17" s="2490">
        <f>SUM(F4:F16)</f>
        <v>83363849</v>
      </c>
    </row>
    <row r="18" spans="1:6" s="534" customFormat="1" ht="21" customHeight="1">
      <c r="A18" s="2488"/>
      <c r="B18" s="2491" t="s">
        <v>1584</v>
      </c>
      <c r="C18" s="2492"/>
      <c r="D18" s="2492"/>
      <c r="E18" s="2493"/>
      <c r="F18" s="2490">
        <v>74169000</v>
      </c>
    </row>
    <row r="19" spans="1:6" s="534" customFormat="1" ht="21" customHeight="1">
      <c r="A19" s="2488"/>
      <c r="B19" s="2491" t="s">
        <v>1538</v>
      </c>
      <c r="C19" s="2492"/>
      <c r="D19" s="2492"/>
      <c r="E19" s="2493"/>
      <c r="F19" s="2490">
        <f>F17-F18</f>
        <v>9194849</v>
      </c>
    </row>
  </sheetData>
  <customSheetViews>
    <customSheetView guid="{C05430D3-5A25-4A4C-823C-7D6EA772E5F0}">
      <selection activeCell="N26" sqref="N26"/>
      <pageMargins left="0.7" right="0.7" top="0.75" bottom="0.75" header="0.3" footer="0.3"/>
    </customSheetView>
  </customSheetViews>
  <mergeCells count="1">
    <mergeCell ref="A1:F1"/>
  </mergeCells>
  <pageMargins left="0.7" right="0.7" top="0.75" bottom="0.75" header="0.3" footer="0.3"/>
  <pageSetup paperSize="5" orientation="landscape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"/>
  <sheetViews>
    <sheetView workbookViewId="0">
      <selection sqref="A1:H1"/>
    </sheetView>
  </sheetViews>
  <sheetFormatPr defaultRowHeight="15"/>
  <cols>
    <col min="1" max="1" width="4.7109375" style="113" customWidth="1"/>
    <col min="2" max="2" width="36.5703125" style="113" customWidth="1"/>
    <col min="3" max="3" width="1.85546875" style="113" customWidth="1"/>
    <col min="4" max="4" width="8.28515625" style="113" customWidth="1"/>
    <col min="5" max="5" width="8" style="113" customWidth="1"/>
    <col min="6" max="6" width="10.85546875" style="113" customWidth="1"/>
    <col min="7" max="7" width="20.42578125" style="113" bestFit="1" customWidth="1"/>
    <col min="8" max="8" width="14.5703125" style="113" customWidth="1"/>
    <col min="9" max="9" width="9.140625" style="113"/>
    <col min="10" max="10" width="20.7109375" style="113" bestFit="1" customWidth="1"/>
    <col min="11" max="16384" width="9.140625" style="113"/>
  </cols>
  <sheetData>
    <row r="1" spans="1:10">
      <c r="A1" s="3341" t="s">
        <v>1023</v>
      </c>
      <c r="B1" s="3341"/>
      <c r="C1" s="3341"/>
      <c r="D1" s="3341"/>
      <c r="E1" s="3341"/>
      <c r="F1" s="3341"/>
      <c r="G1" s="3341"/>
      <c r="H1" s="3341"/>
    </row>
    <row r="2" spans="1:10">
      <c r="A2" s="3341" t="s">
        <v>1024</v>
      </c>
      <c r="B2" s="3341"/>
      <c r="C2" s="3341"/>
      <c r="D2" s="3341"/>
      <c r="E2" s="3341"/>
      <c r="F2" s="3341"/>
      <c r="G2" s="3341"/>
      <c r="H2" s="3341"/>
    </row>
    <row r="3" spans="1:10" ht="9" customHeight="1">
      <c r="A3" s="3341"/>
      <c r="B3" s="3341"/>
      <c r="C3" s="3341"/>
      <c r="D3" s="3341"/>
      <c r="E3" s="3341"/>
      <c r="F3" s="3341"/>
      <c r="G3" s="3341"/>
      <c r="H3" s="3341"/>
    </row>
    <row r="4" spans="1:10">
      <c r="A4" s="2047"/>
      <c r="B4" s="2048"/>
      <c r="C4" s="2048"/>
      <c r="D4" s="2048"/>
      <c r="E4" s="2048" t="s">
        <v>21</v>
      </c>
      <c r="F4" s="2048"/>
      <c r="G4" s="2048"/>
      <c r="H4" s="2048"/>
    </row>
    <row r="5" spans="1:10">
      <c r="A5" s="2049"/>
      <c r="B5" s="25"/>
      <c r="C5" s="27"/>
      <c r="D5" s="25"/>
      <c r="E5" s="25"/>
      <c r="F5" s="2050"/>
      <c r="G5" s="25"/>
    </row>
    <row r="6" spans="1:10">
      <c r="A6" s="2051"/>
      <c r="B6" s="25"/>
      <c r="C6" s="27"/>
      <c r="D6" s="112"/>
      <c r="E6" s="112"/>
      <c r="F6" s="25"/>
      <c r="G6" s="112"/>
      <c r="H6" s="112"/>
    </row>
    <row r="7" spans="1:10">
      <c r="A7" s="2049"/>
      <c r="B7" s="25"/>
      <c r="C7" s="27"/>
      <c r="D7" s="2052"/>
      <c r="E7" s="25"/>
    </row>
    <row r="8" spans="1:10">
      <c r="A8" s="2049"/>
      <c r="B8" s="25"/>
      <c r="C8" s="27"/>
      <c r="D8" s="25"/>
      <c r="E8" s="25"/>
      <c r="F8" s="2050"/>
      <c r="G8" s="112"/>
      <c r="H8" s="112"/>
    </row>
    <row r="9" spans="1:10" ht="9" customHeight="1">
      <c r="A9" s="2049"/>
      <c r="B9" s="25"/>
      <c r="C9" s="27"/>
      <c r="D9" s="25"/>
      <c r="E9" s="25"/>
      <c r="F9" s="2050"/>
      <c r="G9" s="112"/>
      <c r="H9" s="112"/>
    </row>
    <row r="10" spans="1:10">
      <c r="A10" s="3356" t="s">
        <v>110</v>
      </c>
      <c r="B10" s="3356"/>
      <c r="C10" s="27" t="s">
        <v>46</v>
      </c>
      <c r="D10" s="3357">
        <f>H19</f>
        <v>239400000</v>
      </c>
      <c r="E10" s="3357"/>
      <c r="F10" s="2078"/>
      <c r="G10" s="28"/>
      <c r="H10" s="28"/>
    </row>
    <row r="11" spans="1:10" ht="9" customHeight="1" thickBot="1">
      <c r="A11" s="28"/>
      <c r="B11" s="26"/>
      <c r="C11" s="27"/>
      <c r="D11" s="2970"/>
      <c r="E11" s="2970"/>
      <c r="F11" s="28"/>
      <c r="G11" s="28"/>
    </row>
    <row r="12" spans="1:10">
      <c r="A12" s="3271" t="s">
        <v>1</v>
      </c>
      <c r="B12" s="3272"/>
      <c r="C12" s="3273"/>
      <c r="D12" s="3280" t="s">
        <v>60</v>
      </c>
      <c r="E12" s="3280" t="s">
        <v>97</v>
      </c>
      <c r="F12" s="3283" t="s">
        <v>112</v>
      </c>
      <c r="G12" s="3268" t="s">
        <v>113</v>
      </c>
      <c r="H12" s="3268" t="s">
        <v>114</v>
      </c>
    </row>
    <row r="13" spans="1:10">
      <c r="A13" s="3274"/>
      <c r="B13" s="3275"/>
      <c r="C13" s="3276"/>
      <c r="D13" s="3281"/>
      <c r="E13" s="3281"/>
      <c r="F13" s="3284"/>
      <c r="G13" s="3269"/>
      <c r="H13" s="3269"/>
    </row>
    <row r="14" spans="1:10" ht="15.75" thickBot="1">
      <c r="A14" s="3277"/>
      <c r="B14" s="3278"/>
      <c r="C14" s="3279"/>
      <c r="D14" s="3282"/>
      <c r="E14" s="3282"/>
      <c r="F14" s="3285"/>
      <c r="G14" s="3270"/>
      <c r="H14" s="3270"/>
      <c r="J14" s="113">
        <v>803180000</v>
      </c>
    </row>
    <row r="15" spans="1:10">
      <c r="A15" s="58">
        <v>1</v>
      </c>
      <c r="B15" s="54" t="s">
        <v>1598</v>
      </c>
      <c r="C15" s="34"/>
      <c r="D15" s="37"/>
      <c r="E15" s="35"/>
      <c r="F15" s="32"/>
      <c r="G15" s="2079"/>
      <c r="H15" s="2080"/>
    </row>
    <row r="16" spans="1:10">
      <c r="A16" s="58" t="s">
        <v>115</v>
      </c>
      <c r="B16" s="64" t="s">
        <v>1599</v>
      </c>
      <c r="C16" s="34"/>
      <c r="D16" s="67">
        <f>133*3</f>
        <v>399</v>
      </c>
      <c r="E16" s="35" t="s">
        <v>116</v>
      </c>
      <c r="F16" s="2113">
        <v>600000</v>
      </c>
      <c r="G16" s="30">
        <f>+F16*D16</f>
        <v>239400000</v>
      </c>
      <c r="H16" s="48"/>
    </row>
    <row r="17" spans="1:14">
      <c r="A17" s="58"/>
      <c r="B17" s="70"/>
      <c r="C17" s="34"/>
      <c r="D17" s="67"/>
      <c r="E17" s="35"/>
      <c r="F17" s="2113"/>
      <c r="G17" s="36"/>
      <c r="H17" s="55"/>
      <c r="J17" s="2655">
        <f>30%*803180000</f>
        <v>240954000</v>
      </c>
    </row>
    <row r="18" spans="1:14" ht="17.25" customHeight="1">
      <c r="A18" s="3291" t="s">
        <v>98</v>
      </c>
      <c r="B18" s="3292"/>
      <c r="C18" s="3292"/>
      <c r="D18" s="3292"/>
      <c r="E18" s="3292"/>
      <c r="F18" s="3293"/>
      <c r="G18" s="38">
        <f>G16</f>
        <v>239400000</v>
      </c>
      <c r="H18" s="47">
        <f>G18</f>
        <v>239400000</v>
      </c>
      <c r="N18" s="2081"/>
    </row>
    <row r="19" spans="1:14" ht="15.75" thickBot="1">
      <c r="A19" s="2534"/>
      <c r="B19" s="2535"/>
      <c r="C19" s="2535"/>
      <c r="D19" s="2535"/>
      <c r="E19" s="2535"/>
      <c r="F19" s="2128" t="s">
        <v>1498</v>
      </c>
      <c r="G19" s="2129">
        <f>G18</f>
        <v>239400000</v>
      </c>
      <c r="H19" s="2130">
        <f>G19</f>
        <v>239400000</v>
      </c>
      <c r="J19" s="2656">
        <v>240954000</v>
      </c>
    </row>
    <row r="20" spans="1:14">
      <c r="A20" s="2056"/>
      <c r="B20" s="2056"/>
      <c r="C20" s="2056"/>
      <c r="D20" s="2056"/>
      <c r="E20" s="2056"/>
      <c r="F20" s="2056"/>
      <c r="G20" s="2057"/>
      <c r="H20" s="2057"/>
      <c r="J20" s="2657">
        <f>J19-H19</f>
        <v>1554000</v>
      </c>
    </row>
    <row r="21" spans="1:14">
      <c r="A21" s="2056"/>
      <c r="B21" s="2120" t="s">
        <v>1510</v>
      </c>
      <c r="C21" s="2056"/>
      <c r="D21" s="2056"/>
      <c r="E21" s="2056"/>
      <c r="F21" s="2044" t="s">
        <v>1512</v>
      </c>
      <c r="G21" s="2057"/>
      <c r="H21" s="2057"/>
    </row>
    <row r="22" spans="1:14">
      <c r="A22" s="2056"/>
      <c r="B22" s="2120" t="s">
        <v>1341</v>
      </c>
      <c r="C22" s="2056"/>
      <c r="D22" s="2056"/>
      <c r="E22" s="2056"/>
      <c r="F22" s="2044" t="s">
        <v>1513</v>
      </c>
      <c r="G22" s="2057"/>
      <c r="H22" s="2057"/>
    </row>
    <row r="23" spans="1:14">
      <c r="F23" s="2050" t="s">
        <v>1514</v>
      </c>
      <c r="J23" s="2657">
        <f>H19/J14*100</f>
        <v>29.806519086630644</v>
      </c>
    </row>
    <row r="27" spans="1:14">
      <c r="B27" s="1260" t="s">
        <v>1511</v>
      </c>
      <c r="F27" s="113" t="s">
        <v>1515</v>
      </c>
    </row>
    <row r="28" spans="1:14">
      <c r="J28" s="2657">
        <f>J19/3</f>
        <v>80318000</v>
      </c>
    </row>
  </sheetData>
  <mergeCells count="13">
    <mergeCell ref="A18:F18"/>
    <mergeCell ref="A12:C14"/>
    <mergeCell ref="D12:D14"/>
    <mergeCell ref="E12:E14"/>
    <mergeCell ref="F12:F14"/>
    <mergeCell ref="G12:G14"/>
    <mergeCell ref="H12:H14"/>
    <mergeCell ref="A1:H1"/>
    <mergeCell ref="A2:H2"/>
    <mergeCell ref="A3:H3"/>
    <mergeCell ref="A10:B10"/>
    <mergeCell ref="D10:E10"/>
    <mergeCell ref="D11:E11"/>
  </mergeCells>
  <pageMargins left="0.9055118110236221" right="0.70866141732283472" top="0.74803149606299213" bottom="0.74803149606299213" header="0.31496062992125984" footer="0.31496062992125984"/>
  <pageSetup paperSize="5" scale="9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47</vt:i4>
      </vt:variant>
    </vt:vector>
  </HeadingPairs>
  <TitlesOfParts>
    <vt:vector size="106" baseType="lpstr">
      <vt:lpstr>PINTU</vt:lpstr>
      <vt:lpstr>RAK COBA COBA</vt:lpstr>
      <vt:lpstr>utak atik baraeng di kecamatan</vt:lpstr>
      <vt:lpstr>Pnj APBDES</vt:lpstr>
      <vt:lpstr>RKP</vt:lpstr>
      <vt:lpstr>RKP (2)</vt:lpstr>
      <vt:lpstr>Buku-besar-RKP-Perubahan</vt:lpstr>
      <vt:lpstr>DU-RKP</vt:lpstr>
      <vt:lpstr>PAGU</vt:lpstr>
      <vt:lpstr>APBDES</vt:lpstr>
      <vt:lpstr>4.4 Bintek Perikanan</vt:lpstr>
      <vt:lpstr>4.3 Pelatihan karng taruna</vt:lpstr>
      <vt:lpstr>RKA</vt:lpstr>
      <vt:lpstr>RAK </vt:lpstr>
      <vt:lpstr>RKK</vt:lpstr>
      <vt:lpstr>RAK</vt:lpstr>
      <vt:lpstr>1.1 Siltun Kds</vt:lpstr>
      <vt:lpstr>1.2 Siltun Prngkt </vt:lpstr>
      <vt:lpstr>1.3 Bpjs </vt:lpstr>
      <vt:lpstr>1.4 O PEM pkpkd rusak</vt:lpstr>
      <vt:lpstr>1.4 O PEM UTK OPSI 2</vt:lpstr>
      <vt:lpstr>1.4 O PEM </vt:lpstr>
      <vt:lpstr>1.5 BPD</vt:lpstr>
      <vt:lpstr>1.6 OP BPD</vt:lpstr>
      <vt:lpstr>1.7 RT</vt:lpstr>
      <vt:lpstr>1.8 Mdl</vt:lpstr>
      <vt:lpstr>1.9 Musdes</vt:lpstr>
      <vt:lpstr>1.10 Hnr RKP</vt:lpstr>
      <vt:lpstr>1.11 Aset</vt:lpstr>
      <vt:lpstr>1.12 Pemilihan BPD</vt:lpstr>
      <vt:lpstr>1.13 Profil</vt:lpstr>
      <vt:lpstr>1.13 PBB</vt:lpstr>
      <vt:lpstr>1.14 TKD</vt:lpstr>
      <vt:lpstr>PSI Desa</vt:lpstr>
      <vt:lpstr> LOMDES</vt:lpstr>
      <vt:lpstr>2.1 PAMSIMAS (2)</vt:lpstr>
      <vt:lpstr>2.1 PAMSIMAS</vt:lpstr>
      <vt:lpstr>2.1 PAUD DAN TK</vt:lpstr>
      <vt:lpstr>2.2 PAUD DAN TK (Teralis TK)</vt:lpstr>
      <vt:lpstr>2.2 HONOR MAdrasah</vt:lpstr>
      <vt:lpstr>2.3A. PSYANDU</vt:lpstr>
      <vt:lpstr>3.1 Linmas</vt:lpstr>
      <vt:lpstr>3.2 Kagmaan SARA</vt:lpstr>
      <vt:lpstr>3.3 HUT RI</vt:lpstr>
      <vt:lpstr>3.9 STQ - </vt:lpstr>
      <vt:lpstr>3.4 KATARUNA</vt:lpstr>
      <vt:lpstr>3.5 L.A</vt:lpstr>
      <vt:lpstr>3.6 LPM</vt:lpstr>
      <vt:lpstr>3.7 PKK</vt:lpstr>
      <vt:lpstr>3.8 HONOR RT</vt:lpstr>
      <vt:lpstr>4.1 Kds</vt:lpstr>
      <vt:lpstr>4.2 Prnkt</vt:lpstr>
      <vt:lpstr>4.5 Embung</vt:lpstr>
      <vt:lpstr>RINCIAN JAMBORE</vt:lpstr>
      <vt:lpstr>PENANGGULANGAN BENCANA</vt:lpstr>
      <vt:lpstr>BENCANA</vt:lpstr>
      <vt:lpstr>ringkasan pengurangan</vt:lpstr>
      <vt:lpstr>Sheet2</vt:lpstr>
      <vt:lpstr>BLT DESA</vt:lpstr>
      <vt:lpstr>' LOMDES'!Print_Area</vt:lpstr>
      <vt:lpstr>'1.1 Siltun Kds'!Print_Area</vt:lpstr>
      <vt:lpstr>'1.10 Hnr RKP'!Print_Area</vt:lpstr>
      <vt:lpstr>'1.11 Aset'!Print_Area</vt:lpstr>
      <vt:lpstr>'1.12 Pemilihan BPD'!Print_Area</vt:lpstr>
      <vt:lpstr>'1.13 PBB'!Print_Area</vt:lpstr>
      <vt:lpstr>'1.13 Profil'!Print_Area</vt:lpstr>
      <vt:lpstr>'1.14 TKD'!Print_Area</vt:lpstr>
      <vt:lpstr>'1.2 Siltun Prngkt '!Print_Area</vt:lpstr>
      <vt:lpstr>'1.3 Bpjs '!Print_Area</vt:lpstr>
      <vt:lpstr>'1.5 BPD'!Print_Area</vt:lpstr>
      <vt:lpstr>'1.6 OP BPD'!Print_Area</vt:lpstr>
      <vt:lpstr>'1.7 RT'!Print_Area</vt:lpstr>
      <vt:lpstr>'1.8 Mdl'!Print_Area</vt:lpstr>
      <vt:lpstr>'1.9 Musdes'!Print_Area</vt:lpstr>
      <vt:lpstr>'2.1 PAMSIMAS'!Print_Area</vt:lpstr>
      <vt:lpstr>'2.1 PAMSIMAS (2)'!Print_Area</vt:lpstr>
      <vt:lpstr>'2.1 PAUD DAN TK'!Print_Area</vt:lpstr>
      <vt:lpstr>'2.2 HONOR MAdrasah'!Print_Area</vt:lpstr>
      <vt:lpstr>'2.2 PAUD DAN TK (Teralis TK)'!Print_Area</vt:lpstr>
      <vt:lpstr>'2.3A. PSYANDU'!Print_Area</vt:lpstr>
      <vt:lpstr>'3.1 Linmas'!Print_Area</vt:lpstr>
      <vt:lpstr>'3.2 Kagmaan SARA'!Print_Area</vt:lpstr>
      <vt:lpstr>'3.3 HUT RI'!Print_Area</vt:lpstr>
      <vt:lpstr>'3.4 KATARUNA'!Print_Area</vt:lpstr>
      <vt:lpstr>'3.5 L.A'!Print_Area</vt:lpstr>
      <vt:lpstr>'3.6 LPM'!Print_Area</vt:lpstr>
      <vt:lpstr>'3.7 PKK'!Print_Area</vt:lpstr>
      <vt:lpstr>'3.8 HONOR RT'!Print_Area</vt:lpstr>
      <vt:lpstr>'4.1 Kds'!Print_Area</vt:lpstr>
      <vt:lpstr>'4.2 Prnkt'!Print_Area</vt:lpstr>
      <vt:lpstr>'4.3 Pelatihan karng taruna'!Print_Area</vt:lpstr>
      <vt:lpstr>'4.4 Bintek Perikanan'!Print_Area</vt:lpstr>
      <vt:lpstr>'4.5 Embung'!Print_Area</vt:lpstr>
      <vt:lpstr>'DU-RKP'!Print_Area</vt:lpstr>
      <vt:lpstr>'Pnj APBDES'!Print_Area</vt:lpstr>
      <vt:lpstr>'PSI Desa'!Print_Area</vt:lpstr>
      <vt:lpstr>RAK!Print_Area</vt:lpstr>
      <vt:lpstr>'RAK '!Print_Area</vt:lpstr>
      <vt:lpstr>'RAK COBA COBA'!Print_Area</vt:lpstr>
      <vt:lpstr>RKA!Print_Area</vt:lpstr>
      <vt:lpstr>RKK!Print_Area</vt:lpstr>
      <vt:lpstr>Sisa_ADD</vt:lpstr>
      <vt:lpstr>Sisa_BKP</vt:lpstr>
      <vt:lpstr>Sisa_DD</vt:lpstr>
      <vt:lpstr>Sisa_PAD</vt:lpstr>
      <vt:lpstr>Sisa_PBH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koko the best</dc:creator>
  <cp:lastModifiedBy>Ujang RH</cp:lastModifiedBy>
  <cp:lastPrinted>2020-05-10T14:09:01Z</cp:lastPrinted>
  <dcterms:created xsi:type="dcterms:W3CDTF">2016-04-25T16:05:04Z</dcterms:created>
  <dcterms:modified xsi:type="dcterms:W3CDTF">2020-05-12T23:11:44Z</dcterms:modified>
</cp:coreProperties>
</file>