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13" activeTab="16"/>
  </bookViews>
  <sheets>
    <sheet name="Sheet1" sheetId="1" r:id="rId1"/>
    <sheet name="2. Pekerjaan Bowplank" sheetId="14" r:id="rId2"/>
    <sheet name="3. Pekerjaan Pondasi" sheetId="15" r:id="rId3"/>
    <sheet name="4. Pekerjaan Cor Sloof" sheetId="4" r:id="rId4"/>
    <sheet name="5. Pekerjaan Tiang Tepi" sheetId="5" r:id="rId5"/>
    <sheet name="6. Pekerjaan Tiang Tengah" sheetId="6" r:id="rId6"/>
    <sheet name="7.Pekerjaan Cor Sloof Atas Tepi" sheetId="7" r:id="rId7"/>
    <sheet name="8. Pek Cor Sloof Ats tengah" sheetId="8" r:id="rId8"/>
    <sheet name="9. Pekerjaan dinding" sheetId="9" r:id="rId9"/>
    <sheet name="10. Pekerjaan Ram" sheetId="10" r:id="rId10"/>
    <sheet name="11. Pekerjaan Atap B. Utama" sheetId="11" r:id="rId11"/>
    <sheet name="12. Pek. Pemasangan Listplank" sheetId="13" r:id="rId12"/>
    <sheet name="13. Pekerjaan Lantai" sheetId="12" r:id="rId13"/>
    <sheet name="14. Pekerjaan Tiang Teras" sheetId="16" r:id="rId14"/>
    <sheet name="15. Pek Cor Sloof tiang teras" sheetId="17" r:id="rId15"/>
    <sheet name="16. Pekerjaan Atap teras" sheetId="18" r:id="rId16"/>
    <sheet name="rekap" sheetId="2" r:id="rId1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K19" i="2"/>
  <c r="K22" i="2"/>
  <c r="C16" i="2" l="1"/>
  <c r="C15" i="2"/>
  <c r="C14" i="2"/>
  <c r="C8" i="2"/>
  <c r="C7" i="2"/>
  <c r="C5" i="2"/>
  <c r="C4" i="2"/>
  <c r="C3" i="2"/>
  <c r="C38" i="18"/>
  <c r="C17" i="18"/>
  <c r="E21" i="18"/>
  <c r="C39" i="18"/>
  <c r="C42" i="18"/>
  <c r="C21" i="18"/>
  <c r="C24" i="18" s="1"/>
  <c r="C20" i="18"/>
  <c r="C11" i="18"/>
  <c r="C14" i="18" s="1"/>
  <c r="C28" i="18"/>
  <c r="C53" i="17"/>
  <c r="C56" i="17" s="1"/>
  <c r="C52" i="17"/>
  <c r="C50" i="17"/>
  <c r="C30" i="17"/>
  <c r="C35" i="17" s="1"/>
  <c r="C20" i="17"/>
  <c r="C23" i="17" s="1"/>
  <c r="C16" i="17"/>
  <c r="C11" i="17"/>
  <c r="C19" i="17" s="1"/>
  <c r="C10" i="17"/>
  <c r="C33" i="16"/>
  <c r="C49" i="16"/>
  <c r="C52" i="16" s="1"/>
  <c r="C38" i="16"/>
  <c r="C22" i="16"/>
  <c r="C25" i="16" s="1"/>
  <c r="C21" i="16"/>
  <c r="C18" i="16"/>
  <c r="C26" i="16" s="1"/>
  <c r="C11" i="16"/>
  <c r="C15" i="16" s="1"/>
  <c r="C10" i="16"/>
  <c r="C31" i="12"/>
  <c r="C15" i="12"/>
  <c r="C8" i="12"/>
  <c r="D12" i="12"/>
  <c r="A23" i="13"/>
  <c r="C6" i="13" s="1"/>
  <c r="A22" i="13"/>
  <c r="C19" i="15"/>
  <c r="C16" i="15"/>
  <c r="C32" i="18" l="1"/>
  <c r="C31" i="18"/>
  <c r="C13" i="18"/>
  <c r="C23" i="18"/>
  <c r="C41" i="18"/>
  <c r="C10" i="18"/>
  <c r="C36" i="17"/>
  <c r="C43" i="17" s="1"/>
  <c r="C24" i="17"/>
  <c r="C27" i="17" s="1"/>
  <c r="C13" i="17"/>
  <c r="C39" i="17"/>
  <c r="C14" i="17"/>
  <c r="C40" i="17"/>
  <c r="C48" i="17"/>
  <c r="C55" i="17"/>
  <c r="C16" i="16"/>
  <c r="C30" i="16"/>
  <c r="C29" i="16"/>
  <c r="C46" i="16"/>
  <c r="C40" i="16"/>
  <c r="C44" i="16"/>
  <c r="C43" i="16"/>
  <c r="C47" i="16"/>
  <c r="C41" i="16"/>
  <c r="C55" i="16"/>
  <c r="C54" i="16"/>
  <c r="C37" i="16"/>
  <c r="C51" i="16"/>
  <c r="I21" i="2"/>
  <c r="C35" i="18" l="1"/>
  <c r="C34" i="18"/>
  <c r="C44" i="17"/>
  <c r="C28" i="17"/>
  <c r="C47" i="17"/>
  <c r="F20" i="2"/>
  <c r="C21" i="2" l="1"/>
  <c r="D21" i="2" s="1"/>
  <c r="F21" i="2" s="1"/>
  <c r="C8" i="15"/>
  <c r="C15" i="15"/>
  <c r="C24" i="15"/>
  <c r="C25" i="15"/>
  <c r="C29" i="15" s="1"/>
  <c r="C27" i="15"/>
  <c r="C32" i="15"/>
  <c r="C14" i="14"/>
  <c r="C13" i="14"/>
  <c r="C11" i="14"/>
  <c r="C10" i="14"/>
  <c r="C11" i="13"/>
  <c r="C10" i="2" s="1"/>
  <c r="C10" i="13"/>
  <c r="C7" i="13"/>
  <c r="C35" i="12"/>
  <c r="C38" i="12" s="1"/>
  <c r="C34" i="12"/>
  <c r="C19" i="12"/>
  <c r="C23" i="12" s="1"/>
  <c r="C18" i="12"/>
  <c r="C12" i="12"/>
  <c r="C19" i="2" s="1"/>
  <c r="D19" i="2" s="1"/>
  <c r="F19" i="2" s="1"/>
  <c r="C11" i="12"/>
  <c r="C42" i="11"/>
  <c r="C41" i="11"/>
  <c r="C39" i="11"/>
  <c r="C38" i="11"/>
  <c r="C28" i="11"/>
  <c r="C32" i="11" s="1"/>
  <c r="C34" i="11" s="1"/>
  <c r="C21" i="11"/>
  <c r="C24" i="11" s="1"/>
  <c r="C20" i="11"/>
  <c r="C14" i="11"/>
  <c r="C13" i="11"/>
  <c r="C11" i="11"/>
  <c r="C10" i="11"/>
  <c r="C7" i="11"/>
  <c r="C10" i="10"/>
  <c r="C9" i="10"/>
  <c r="C11" i="9"/>
  <c r="C14" i="9"/>
  <c r="C19" i="9"/>
  <c r="C12" i="9"/>
  <c r="C16" i="9" s="1"/>
  <c r="C16" i="8"/>
  <c r="C50" i="8"/>
  <c r="C53" i="8" s="1"/>
  <c r="C30" i="8"/>
  <c r="C36" i="8" s="1"/>
  <c r="C48" i="8" s="1"/>
  <c r="C20" i="8"/>
  <c r="C23" i="8"/>
  <c r="C11" i="8"/>
  <c r="C14" i="8" s="1"/>
  <c r="C10" i="8"/>
  <c r="C18" i="7"/>
  <c r="C49" i="7"/>
  <c r="C51" i="7" s="1"/>
  <c r="C32" i="7"/>
  <c r="C37" i="7" s="1"/>
  <c r="C22" i="7"/>
  <c r="C11" i="7"/>
  <c r="C15" i="7" s="1"/>
  <c r="C10" i="7"/>
  <c r="C49" i="6"/>
  <c r="C52" i="6" s="1"/>
  <c r="C33" i="6"/>
  <c r="C37" i="6" s="1"/>
  <c r="C22" i="6"/>
  <c r="C25" i="6" s="1"/>
  <c r="C21" i="6"/>
  <c r="C18" i="6"/>
  <c r="C11" i="6"/>
  <c r="C15" i="6" s="1"/>
  <c r="C10" i="6"/>
  <c r="C18" i="5"/>
  <c r="C22" i="5"/>
  <c r="C25" i="5" s="1"/>
  <c r="C23" i="4"/>
  <c r="C21" i="5"/>
  <c r="C50" i="5"/>
  <c r="C53" i="5" s="1"/>
  <c r="C55" i="5" s="1"/>
  <c r="C30" i="5"/>
  <c r="C11" i="5"/>
  <c r="C15" i="5" s="1"/>
  <c r="C10" i="5"/>
  <c r="C51" i="4"/>
  <c r="C54" i="4" s="1"/>
  <c r="C57" i="4" s="1"/>
  <c r="C33" i="4"/>
  <c r="C38" i="4" s="1"/>
  <c r="C27" i="4"/>
  <c r="C30" i="4" s="1"/>
  <c r="C19" i="4"/>
  <c r="C13" i="4"/>
  <c r="C17" i="4" s="1"/>
  <c r="C12" i="4"/>
  <c r="C26" i="4" l="1"/>
  <c r="C39" i="4"/>
  <c r="C45" i="4" s="1"/>
  <c r="C22" i="4"/>
  <c r="C37" i="12"/>
  <c r="C26" i="12"/>
  <c r="C27" i="12"/>
  <c r="C23" i="11"/>
  <c r="C31" i="11"/>
  <c r="C35" i="8"/>
  <c r="C16" i="6"/>
  <c r="C26" i="6"/>
  <c r="C30" i="6" s="1"/>
  <c r="C16" i="5"/>
  <c r="C36" i="5"/>
  <c r="C44" i="5" s="1"/>
  <c r="C27" i="5"/>
  <c r="C28" i="5"/>
  <c r="C24" i="5"/>
  <c r="C56" i="5"/>
  <c r="C56" i="4"/>
  <c r="C31" i="4"/>
  <c r="C30" i="15"/>
  <c r="C17" i="14"/>
  <c r="C28" i="14" s="1"/>
  <c r="C20" i="14"/>
  <c r="C22" i="12"/>
  <c r="C35" i="11"/>
  <c r="C17" i="9"/>
  <c r="C23" i="9" s="1"/>
  <c r="C26" i="9" s="1"/>
  <c r="C34" i="9" s="1"/>
  <c r="C43" i="8"/>
  <c r="C56" i="8"/>
  <c r="C55" i="8"/>
  <c r="C24" i="8"/>
  <c r="C19" i="8"/>
  <c r="C44" i="8"/>
  <c r="C52" i="8"/>
  <c r="C13" i="8"/>
  <c r="C39" i="8"/>
  <c r="C47" i="8"/>
  <c r="C40" i="8"/>
  <c r="C26" i="7"/>
  <c r="C30" i="7" s="1"/>
  <c r="C47" i="7"/>
  <c r="C42" i="7"/>
  <c r="C25" i="7"/>
  <c r="C36" i="7"/>
  <c r="C21" i="7"/>
  <c r="C43" i="7"/>
  <c r="C14" i="7"/>
  <c r="C39" i="7"/>
  <c r="C46" i="7"/>
  <c r="C52" i="7"/>
  <c r="C40" i="7"/>
  <c r="C55" i="6"/>
  <c r="C54" i="6"/>
  <c r="C38" i="6"/>
  <c r="C51" i="6"/>
  <c r="C35" i="5"/>
  <c r="C52" i="5"/>
  <c r="C53" i="4"/>
  <c r="C16" i="4"/>
  <c r="C6" i="2" l="1"/>
  <c r="D6" i="2" s="1"/>
  <c r="F6" i="2" s="1"/>
  <c r="C48" i="4"/>
  <c r="D8" i="2"/>
  <c r="F8" i="2" s="1"/>
  <c r="C39" i="5"/>
  <c r="C47" i="5"/>
  <c r="C48" i="5"/>
  <c r="C41" i="4"/>
  <c r="C49" i="4"/>
  <c r="D5" i="2" s="1"/>
  <c r="F5" i="2" s="1"/>
  <c r="C44" i="4"/>
  <c r="C42" i="4"/>
  <c r="C22" i="9"/>
  <c r="C30" i="9"/>
  <c r="C29" i="9"/>
  <c r="C29" i="6"/>
  <c r="C43" i="5"/>
  <c r="C40" i="5"/>
  <c r="C35" i="15"/>
  <c r="C36" i="15"/>
  <c r="C39" i="15" s="1"/>
  <c r="C21" i="14"/>
  <c r="C27" i="14"/>
  <c r="C32" i="14"/>
  <c r="C31" i="14"/>
  <c r="C33" i="9"/>
  <c r="C28" i="8"/>
  <c r="C27" i="8"/>
  <c r="C29" i="7"/>
  <c r="C54" i="7"/>
  <c r="C55" i="7"/>
  <c r="C43" i="6"/>
  <c r="C41" i="6"/>
  <c r="C46" i="6"/>
  <c r="C40" i="6"/>
  <c r="C44" i="6"/>
  <c r="C47" i="6"/>
  <c r="D7" i="2"/>
  <c r="F7" i="2" s="1"/>
  <c r="D9" i="2"/>
  <c r="F9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I25" i="1"/>
  <c r="I24" i="1"/>
  <c r="I23" i="1"/>
  <c r="I19" i="1"/>
  <c r="I18" i="1"/>
  <c r="I12" i="1"/>
  <c r="I8" i="1"/>
  <c r="I4" i="1"/>
  <c r="I3" i="1"/>
  <c r="E47" i="1"/>
  <c r="E48" i="1" s="1"/>
  <c r="E46" i="1"/>
  <c r="E43" i="1"/>
  <c r="E39" i="1"/>
  <c r="E40" i="1" s="1"/>
  <c r="E30" i="1"/>
  <c r="E7" i="1"/>
  <c r="E26" i="1"/>
  <c r="E33" i="1"/>
  <c r="E27" i="1"/>
  <c r="E10" i="1"/>
  <c r="E3" i="1"/>
  <c r="E4" i="1" s="1"/>
  <c r="E17" i="1" s="1"/>
  <c r="B20" i="1"/>
  <c r="B19" i="1"/>
  <c r="B18" i="1"/>
  <c r="B13" i="1"/>
  <c r="B12" i="1"/>
  <c r="B11" i="1"/>
  <c r="A3" i="1"/>
  <c r="B4" i="1" s="1"/>
  <c r="D10" i="2" l="1"/>
  <c r="F22" i="2"/>
  <c r="C43" i="15"/>
  <c r="D3" i="2" s="1"/>
  <c r="F3" i="2" s="1"/>
  <c r="C46" i="15"/>
  <c r="C47" i="15"/>
  <c r="D4" i="2" s="1"/>
  <c r="F4" i="2" s="1"/>
  <c r="C42" i="15"/>
  <c r="C38" i="14"/>
  <c r="C11" i="2" s="1"/>
  <c r="D11" i="2" s="1"/>
  <c r="F11" i="2" s="1"/>
  <c r="C37" i="14"/>
  <c r="E34" i="1"/>
  <c r="E35" i="1" s="1"/>
  <c r="E11" i="1"/>
  <c r="E12" i="1" s="1"/>
  <c r="E18" i="1" s="1"/>
  <c r="B5" i="1"/>
  <c r="B6" i="1"/>
  <c r="F10" i="2" l="1"/>
  <c r="F23" i="2"/>
  <c r="F25" i="2" s="1"/>
</calcChain>
</file>

<file path=xl/sharedStrings.xml><?xml version="1.0" encoding="utf-8"?>
<sst xmlns="http://schemas.openxmlformats.org/spreadsheetml/2006/main" count="1077" uniqueCount="234">
  <si>
    <t>Semen</t>
  </si>
  <si>
    <t>Pasir</t>
  </si>
  <si>
    <t>Koral</t>
  </si>
  <si>
    <t>Tiang</t>
  </si>
  <si>
    <t>Sloof Bawah</t>
  </si>
  <si>
    <t>Besi 8</t>
  </si>
  <si>
    <t>m</t>
  </si>
  <si>
    <t>Besi 6</t>
  </si>
  <si>
    <t>Panjang 1 cincin</t>
  </si>
  <si>
    <t>Jarak antar cincin</t>
  </si>
  <si>
    <t>panjang tiang</t>
  </si>
  <si>
    <t>Jumlah cincin</t>
  </si>
  <si>
    <t>Panjang total cincin</t>
  </si>
  <si>
    <t>Kebutuhan besi 6</t>
  </si>
  <si>
    <t>Pembesian 1 Buah tiang</t>
  </si>
  <si>
    <t>Jumlah tiang</t>
  </si>
  <si>
    <t>Keb besi 8</t>
  </si>
  <si>
    <t>Keb besi 6</t>
  </si>
  <si>
    <t>btg</t>
  </si>
  <si>
    <t>Kebutuhan Besi Untuk Seluruh Tiang</t>
  </si>
  <si>
    <t>Sloof Atas</t>
  </si>
  <si>
    <t>Semen pasir koral</t>
  </si>
  <si>
    <t xml:space="preserve">Besi </t>
  </si>
  <si>
    <t>panjang sloof</t>
  </si>
  <si>
    <t>Pembesian Cor Sloof Bawah</t>
  </si>
  <si>
    <t>Pembesian Cor Sloof Atas</t>
  </si>
  <si>
    <t>Atap</t>
  </si>
  <si>
    <t>Kanal c</t>
  </si>
  <si>
    <t>Panjang 1 kuda kuda</t>
  </si>
  <si>
    <t>cm</t>
  </si>
  <si>
    <t>=</t>
  </si>
  <si>
    <t>Jumlah kuda-kuda</t>
  </si>
  <si>
    <t>Kebutuhan besi kanal c</t>
  </si>
  <si>
    <t>Panjang total kanal c</t>
  </si>
  <si>
    <t>Besi reng</t>
  </si>
  <si>
    <t>Panjang reng</t>
  </si>
  <si>
    <t>Jumlah reng</t>
  </si>
  <si>
    <t>Panjang total reng</t>
  </si>
  <si>
    <t>Kebutuhan besi reng</t>
  </si>
  <si>
    <t>Seng galvalum</t>
  </si>
  <si>
    <t>Luas Atap</t>
  </si>
  <si>
    <t>cm2</t>
  </si>
  <si>
    <t>Luas Galvalum</t>
  </si>
  <si>
    <t>Kebutuhan Galvalum</t>
  </si>
  <si>
    <t>Keping</t>
  </si>
  <si>
    <t>Kawat ikat</t>
  </si>
  <si>
    <t>Papan</t>
  </si>
  <si>
    <t>Kasau</t>
  </si>
  <si>
    <t>Paku</t>
  </si>
  <si>
    <t>Benang</t>
  </si>
  <si>
    <t>Kanal C</t>
  </si>
  <si>
    <t>Galvalum</t>
  </si>
  <si>
    <t>Baut</t>
  </si>
  <si>
    <t>Dyna bolt</t>
  </si>
  <si>
    <t>Upah</t>
  </si>
  <si>
    <t>Kebutuhan papan</t>
  </si>
  <si>
    <t>Panjang total bowplank (Ptb)</t>
  </si>
  <si>
    <t>Panjang papan (Pp)</t>
  </si>
  <si>
    <t>Lb+( Restan bowplank kiri + Restan bowplank kanan)</t>
  </si>
  <si>
    <t>Panjang Patok (P)</t>
  </si>
  <si>
    <t>Jarak antar patok (J)</t>
  </si>
  <si>
    <t>Jumlah patok (Jp)</t>
  </si>
  <si>
    <t>Pb +( Restan bowplank)</t>
  </si>
  <si>
    <t>Ptb / Pp</t>
  </si>
  <si>
    <t>P x Jp</t>
  </si>
  <si>
    <t xml:space="preserve">Ptb / J +1 </t>
  </si>
  <si>
    <t>Kebutuhan Kayu kasau</t>
  </si>
  <si>
    <t>Ptp / Pk</t>
  </si>
  <si>
    <t>Panjang kayu kasau (Pk)</t>
  </si>
  <si>
    <t>PEKERJAAN GALIAN PONDASI</t>
  </si>
  <si>
    <t>(Pb x 2)+Lb</t>
  </si>
  <si>
    <t>Panjang bangunan (Pb)</t>
  </si>
  <si>
    <t>Lebar bangunan  (Lb)</t>
  </si>
  <si>
    <t>Panjang bowplank (Pbl)</t>
  </si>
  <si>
    <t>Lebar Bowplank (Lbl)</t>
  </si>
  <si>
    <t>(Pbl * 2)+Lbl</t>
  </si>
  <si>
    <t>Panjang total  patok (Ptp)</t>
  </si>
  <si>
    <t>Panjang pondasi ( Ppn )</t>
  </si>
  <si>
    <t>Lebar Pondasi ( Lpn)</t>
  </si>
  <si>
    <t>Volume Pondasi (Vol Pn)</t>
  </si>
  <si>
    <t>Kedalaman Pondasi (Kpn)</t>
  </si>
  <si>
    <t>Ppn x Lpn x Kpn</t>
  </si>
  <si>
    <t>Panjang Pasangan Bata (PPb)</t>
  </si>
  <si>
    <t>Lebar Pasangan Bata (LBp)</t>
  </si>
  <si>
    <t>Tinggi Pasangan Bata (TPb)</t>
  </si>
  <si>
    <t>Volume Pasangan Bata (VPb)</t>
  </si>
  <si>
    <t>PPb x LPb x TPb</t>
  </si>
  <si>
    <t>PEKERJAAN PASANGAN BATA PONDASI</t>
  </si>
  <si>
    <t>VPb / VBn</t>
  </si>
  <si>
    <t>Volume Bata + Nat (VBn)</t>
  </si>
  <si>
    <t>Volume Bata Murni (VBm)</t>
  </si>
  <si>
    <t>Volume total bata tanpa nat (VBTn)</t>
  </si>
  <si>
    <t>Jumlah batu bata (JBb)</t>
  </si>
  <si>
    <t>JBb x VBm</t>
  </si>
  <si>
    <t>Volume Nat (Vn)</t>
  </si>
  <si>
    <t>VPb - VBTn</t>
  </si>
  <si>
    <t>Kebutuhan pasir</t>
  </si>
  <si>
    <t>Kebutuhan semen</t>
  </si>
  <si>
    <t>1/4 x Vn/0.024</t>
  </si>
  <si>
    <t>Kebutuhan Pasir</t>
  </si>
  <si>
    <t>3/4 x Vn</t>
  </si>
  <si>
    <t>PEKERJAAN COR SLOOF</t>
  </si>
  <si>
    <t>Pekerjaan Pembesian</t>
  </si>
  <si>
    <t>Panjang total sloof (PTs)</t>
  </si>
  <si>
    <t>Jumlah lajur (Jl)</t>
  </si>
  <si>
    <t>PTs x Jl</t>
  </si>
  <si>
    <t>Kebutuhan besi 8</t>
  </si>
  <si>
    <t>Panjang total besi 8 (Ptb 8)</t>
  </si>
  <si>
    <t>PTb 8 / Panjang Besi</t>
  </si>
  <si>
    <t>Panjang satu buah ring (Pr)</t>
  </si>
  <si>
    <t>Jumlah ring (Jr)</t>
  </si>
  <si>
    <t>(PTs / Jar)+1</t>
  </si>
  <si>
    <t>Jarak antar ring (Jar)</t>
  </si>
  <si>
    <t>Panjang total besi ring (Ptbr)</t>
  </si>
  <si>
    <t>Pr x Jr</t>
  </si>
  <si>
    <t>Ptbr / Panjang besi 6</t>
  </si>
  <si>
    <t>Pekerjaan Cor</t>
  </si>
  <si>
    <t>Panjang sloof (Ps)</t>
  </si>
  <si>
    <t>Lebar sloof (Ls)</t>
  </si>
  <si>
    <t>Tinggi sloof (Ts)</t>
  </si>
  <si>
    <t>Volume Sloof (Vs)</t>
  </si>
  <si>
    <t>Ps x Ls x Ts</t>
  </si>
  <si>
    <t>Kebutuhan koral</t>
  </si>
  <si>
    <t>1/4 x Vs / 0.024</t>
  </si>
  <si>
    <t>3/4 x Vs</t>
  </si>
  <si>
    <t>2/4 x Vs</t>
  </si>
  <si>
    <t>Kebutuhan Papan Cor</t>
  </si>
  <si>
    <t>Panjang Total sloof (PTs)</t>
  </si>
  <si>
    <t>Pnajang total papan cor (PTPc)</t>
  </si>
  <si>
    <t>PTs x 2</t>
  </si>
  <si>
    <t>PTPc/Panjang papan</t>
  </si>
  <si>
    <t>Panjang Tiang (Ps)</t>
  </si>
  <si>
    <t>Lebar Tiang (Ls)</t>
  </si>
  <si>
    <t>Tinggi Tiang (Ts)</t>
  </si>
  <si>
    <t>Volume Tiang (Vs)</t>
  </si>
  <si>
    <t>Panjang Total Tiang (PTs)</t>
  </si>
  <si>
    <t>Panjang Tiang (PT)</t>
  </si>
  <si>
    <t>PT x Jl</t>
  </si>
  <si>
    <t>(PT / Jar)+1</t>
  </si>
  <si>
    <t>Jumlah tiang (Jt)</t>
  </si>
  <si>
    <t>PTb 8 / Panjang Besi x Jt</t>
  </si>
  <si>
    <t>Ptbr / Panjang besi 6 X Jt</t>
  </si>
  <si>
    <t>1/4 x Vs / 0.024 x Jt</t>
  </si>
  <si>
    <t>2/4 x Vs x Jt</t>
  </si>
  <si>
    <t>3/4 x Vs x Jt</t>
  </si>
  <si>
    <t>PTPc/Panjang papan x Jt</t>
  </si>
  <si>
    <t>Luas Seluruh Bidang Dinding (Ld)</t>
  </si>
  <si>
    <t>Ketebalan dinding (Td)</t>
  </si>
  <si>
    <t>Volume Dinding (Vd)</t>
  </si>
  <si>
    <t>Ld x Td</t>
  </si>
  <si>
    <t>Vd / VBn</t>
  </si>
  <si>
    <t>A. Kayu untuk bingkai ram</t>
  </si>
  <si>
    <t>Panjang total bingkai (Pb)</t>
  </si>
  <si>
    <t>Kebutuhan kayu</t>
  </si>
  <si>
    <t>Pb / Panjang Kayu</t>
  </si>
  <si>
    <t>B. Kebutuhan Ram</t>
  </si>
  <si>
    <t>A. Kebutuhan Kayu untuk bantalan besi kanal</t>
  </si>
  <si>
    <t>Pajang bantalan (Pb)</t>
  </si>
  <si>
    <t>Jumlah bantalan (Jb)</t>
  </si>
  <si>
    <t>Pb x Jb</t>
  </si>
  <si>
    <t>Panjang total bantalan (PTb)</t>
  </si>
  <si>
    <t xml:space="preserve">Kebutuhan Kayu </t>
  </si>
  <si>
    <t>PTb / Panjang Kayu</t>
  </si>
  <si>
    <t>B. Kebutuhan besi kanal</t>
  </si>
  <si>
    <t>Jumlah kuda kuda (Jk)</t>
  </si>
  <si>
    <t>Panjang kuda kuda (Pk)</t>
  </si>
  <si>
    <t>Panjang total kuda kuda (PTk)</t>
  </si>
  <si>
    <t>Pk x Jk</t>
  </si>
  <si>
    <t>Kebutuhan besi kanal</t>
  </si>
  <si>
    <t>Ptk / Panjang Besi kanal</t>
  </si>
  <si>
    <t>C. Kebutuhan besi reng</t>
  </si>
  <si>
    <t>Panjang reng (Pr)</t>
  </si>
  <si>
    <t>Jumlah reng (Jr)</t>
  </si>
  <si>
    <t>Panjang total reng(PTr)</t>
  </si>
  <si>
    <t>PTr / Panjang Besi reng</t>
  </si>
  <si>
    <t>D. Kebutuhan Seng Galvalum</t>
  </si>
  <si>
    <t>Luas Bidang atap (La)</t>
  </si>
  <si>
    <t>Kebutuhan Seng Galvalum</t>
  </si>
  <si>
    <t>(La/Ls)</t>
  </si>
  <si>
    <t>Luas Bidang Seng Galvalum Ukuran 0.8 x 8 m (Ls)</t>
  </si>
  <si>
    <t>PEKERJAAN LANTAI</t>
  </si>
  <si>
    <t>A. Pekerjaan Urugan tanah</t>
  </si>
  <si>
    <t>Luas Urugan (L)</t>
  </si>
  <si>
    <t>Ketebalan urugan (T)</t>
  </si>
  <si>
    <t>Volume Urugan (Vol)</t>
  </si>
  <si>
    <t>L x T</t>
  </si>
  <si>
    <t>Luas Plasteran (L)</t>
  </si>
  <si>
    <t>Ketebalan Plasteran (T)</t>
  </si>
  <si>
    <t>1/4 x Vol /0.024</t>
  </si>
  <si>
    <t>3/4 x Vol</t>
  </si>
  <si>
    <t>Volume Plasteran (Vol)</t>
  </si>
  <si>
    <t>B. Pekerjaan Plasteran</t>
  </si>
  <si>
    <t>C. Pekerjaan Acian</t>
  </si>
  <si>
    <t>Luas Acian (L)</t>
  </si>
  <si>
    <t>Ketebalan acian (T)</t>
  </si>
  <si>
    <t>Volume acian (Vol)</t>
  </si>
  <si>
    <t>Luas Total Listplank (Ll)</t>
  </si>
  <si>
    <t>Luas 1 Keping Papan (Lp)</t>
  </si>
  <si>
    <t>Kebutuhan Papan Listplank</t>
  </si>
  <si>
    <t>Ll / Lp</t>
  </si>
  <si>
    <t>TAKE OFF SHEET</t>
  </si>
  <si>
    <t>Jenis Sarana</t>
  </si>
  <si>
    <t>:</t>
  </si>
  <si>
    <t>Tempat Bermain PAUD Nurul I'anah</t>
  </si>
  <si>
    <t>Jenis Pekerjaan</t>
  </si>
  <si>
    <t>Pemasangan Bowplank</t>
  </si>
  <si>
    <t>A. Kebutuhan papan bowplank</t>
  </si>
  <si>
    <t>B. Kebutuhan kayu kasau untuk patok</t>
  </si>
  <si>
    <t>Pemasangan Pondasi</t>
  </si>
  <si>
    <t>Tanah urug</t>
  </si>
  <si>
    <t>Ram</t>
  </si>
  <si>
    <t>Batu Bata</t>
  </si>
  <si>
    <t>No.</t>
  </si>
  <si>
    <t>Uraian</t>
  </si>
  <si>
    <t>Volume</t>
  </si>
  <si>
    <t>Pembulatan Volume</t>
  </si>
  <si>
    <t>Harga Satuan</t>
  </si>
  <si>
    <t>Jumlah</t>
  </si>
  <si>
    <t>Pintu</t>
  </si>
  <si>
    <t>tpk</t>
  </si>
  <si>
    <t>Cor Sloof</t>
  </si>
  <si>
    <t>Pekerjaan Pengecoran</t>
  </si>
  <si>
    <t>Pemasangan Tiang Tepi</t>
  </si>
  <si>
    <t>Pemasangan Tiang Tengah</t>
  </si>
  <si>
    <t>Pembuatan cor atas tepi</t>
  </si>
  <si>
    <t>Pembuatan Cor sloof tengah atas</t>
  </si>
  <si>
    <t>Pekerjaan dinding</t>
  </si>
  <si>
    <t>Pemasangan ram</t>
  </si>
  <si>
    <t>Pemasangan Listplank</t>
  </si>
  <si>
    <t>Pekerjaan Lantai</t>
  </si>
  <si>
    <t>Pemasangan atap bangunan utama</t>
  </si>
  <si>
    <t>Pembuatan Cor sloof tiang teras</t>
  </si>
  <si>
    <t>Pengerjaan tiang teras</t>
  </si>
  <si>
    <t>Pemasangan atap bangunan teras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</si>
</sst>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&quot; M&quot;"/>
    <numFmt numFmtId="167" formatCode="0.0&quot; M&quot;"/>
    <numFmt numFmtId="168" formatCode="0.0&quot; Keping&quot;"/>
    <numFmt numFmtId="169" formatCode="0.0&quot; Batang&quot;"/>
    <numFmt numFmtId="170" formatCode="0&quot; M3&quot;"/>
    <numFmt numFmtId="171" formatCode="0.00&quot; M&quot;"/>
    <numFmt numFmtId="172" formatCode="0.00&quot; M3&quot;"/>
    <numFmt numFmtId="173" formatCode="0&quot; Buah&quot;"/>
    <numFmt numFmtId="174" formatCode="0.0000&quot; M3&quot;"/>
    <numFmt numFmtId="175" formatCode="0.000000&quot; M3&quot;"/>
    <numFmt numFmtId="176" formatCode="0&quot; Zak&quot;"/>
    <numFmt numFmtId="177" formatCode="0.0&quot; Zak&quot;"/>
    <numFmt numFmtId="178" formatCode="0&quot; M2&quot;"/>
    <numFmt numFmtId="179" formatCode="0.0&quot; M2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70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173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175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79" fontId="0" fillId="0" borderId="0" xfId="0" applyNumberForma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64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18</xdr:row>
      <xdr:rowOff>114300</xdr:rowOff>
    </xdr:from>
    <xdr:to>
      <xdr:col>3</xdr:col>
      <xdr:colOff>619124</xdr:colOff>
      <xdr:row>22</xdr:row>
      <xdr:rowOff>28575</xdr:rowOff>
    </xdr:to>
    <xdr:sp macro="" textlink="">
      <xdr:nvSpPr>
        <xdr:cNvPr id="2" name="Rectangle 1"/>
        <xdr:cNvSpPr/>
      </xdr:nvSpPr>
      <xdr:spPr>
        <a:xfrm>
          <a:off x="1847849" y="3352800"/>
          <a:ext cx="600075" cy="6762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 x 15 cm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I3" sqref="I3"/>
    </sheetView>
  </sheetViews>
  <sheetFormatPr defaultRowHeight="15" x14ac:dyDescent="0.25"/>
  <cols>
    <col min="1" max="1" width="11.85546875" bestFit="1" customWidth="1"/>
    <col min="2" max="2" width="12" bestFit="1" customWidth="1"/>
    <col min="4" max="4" width="18.42578125" bestFit="1" customWidth="1"/>
    <col min="5" max="5" width="12" bestFit="1" customWidth="1"/>
    <col min="7" max="7" width="21.7109375" bestFit="1" customWidth="1"/>
    <col min="8" max="8" width="2" bestFit="1" customWidth="1"/>
  </cols>
  <sheetData>
    <row r="1" spans="1:10" x14ac:dyDescent="0.25">
      <c r="A1" s="38" t="s">
        <v>21</v>
      </c>
      <c r="B1" s="38"/>
      <c r="D1" s="38" t="s">
        <v>22</v>
      </c>
      <c r="E1" s="38"/>
      <c r="G1" s="2" t="s">
        <v>26</v>
      </c>
    </row>
    <row r="2" spans="1:10" x14ac:dyDescent="0.25">
      <c r="A2" s="1" t="s">
        <v>3</v>
      </c>
      <c r="D2" s="1" t="s">
        <v>14</v>
      </c>
      <c r="E2" s="1"/>
      <c r="G2" s="1" t="s">
        <v>27</v>
      </c>
    </row>
    <row r="3" spans="1:10" x14ac:dyDescent="0.25">
      <c r="A3">
        <f>0.12*6</f>
        <v>0.72</v>
      </c>
      <c r="D3" t="s">
        <v>5</v>
      </c>
      <c r="E3">
        <f>6.5*4</f>
        <v>26</v>
      </c>
      <c r="F3" t="s">
        <v>6</v>
      </c>
      <c r="G3" t="s">
        <v>28</v>
      </c>
      <c r="H3" t="s">
        <v>30</v>
      </c>
      <c r="I3">
        <f xml:space="preserve"> (288*2)+480+613</f>
        <v>1669</v>
      </c>
      <c r="J3" t="s">
        <v>29</v>
      </c>
    </row>
    <row r="4" spans="1:10" x14ac:dyDescent="0.25">
      <c r="A4" t="s">
        <v>0</v>
      </c>
      <c r="B4">
        <f>1/6*A3/0.024</f>
        <v>5</v>
      </c>
      <c r="D4" t="s">
        <v>16</v>
      </c>
      <c r="E4">
        <f>E3/12</f>
        <v>2.1666666666666665</v>
      </c>
      <c r="F4" t="s">
        <v>18</v>
      </c>
      <c r="H4" t="s">
        <v>30</v>
      </c>
      <c r="I4">
        <f>I3/100</f>
        <v>16.690000000000001</v>
      </c>
      <c r="J4" t="s">
        <v>6</v>
      </c>
    </row>
    <row r="5" spans="1:10" x14ac:dyDescent="0.25">
      <c r="A5" t="s">
        <v>1</v>
      </c>
      <c r="B5">
        <f>2/6*A3</f>
        <v>0.24</v>
      </c>
    </row>
    <row r="6" spans="1:10" x14ac:dyDescent="0.25">
      <c r="A6" t="s">
        <v>2</v>
      </c>
      <c r="B6">
        <f>3/6*A3</f>
        <v>0.36</v>
      </c>
      <c r="D6" t="s">
        <v>7</v>
      </c>
      <c r="G6" t="s">
        <v>31</v>
      </c>
      <c r="H6" t="s">
        <v>30</v>
      </c>
      <c r="I6">
        <v>10</v>
      </c>
    </row>
    <row r="7" spans="1:10" x14ac:dyDescent="0.25">
      <c r="D7" t="s">
        <v>8</v>
      </c>
      <c r="E7">
        <f>0.15*4+0.05</f>
        <v>0.65</v>
      </c>
    </row>
    <row r="8" spans="1:10" x14ac:dyDescent="0.25">
      <c r="D8" t="s">
        <v>9</v>
      </c>
      <c r="E8">
        <v>0.15</v>
      </c>
      <c r="G8" t="s">
        <v>33</v>
      </c>
      <c r="H8" t="s">
        <v>30</v>
      </c>
      <c r="I8">
        <f>I4*I6</f>
        <v>166.9</v>
      </c>
    </row>
    <row r="9" spans="1:10" x14ac:dyDescent="0.25">
      <c r="A9" s="1" t="s">
        <v>4</v>
      </c>
      <c r="D9" t="s">
        <v>10</v>
      </c>
      <c r="E9">
        <v>6</v>
      </c>
      <c r="F9" t="s">
        <v>6</v>
      </c>
    </row>
    <row r="10" spans="1:10" x14ac:dyDescent="0.25">
      <c r="A10">
        <v>0.93</v>
      </c>
      <c r="D10" t="s">
        <v>11</v>
      </c>
      <c r="E10">
        <f>E9/E8+1</f>
        <v>41</v>
      </c>
    </row>
    <row r="11" spans="1:10" x14ac:dyDescent="0.25">
      <c r="A11" t="s">
        <v>0</v>
      </c>
      <c r="B11">
        <f>1/6*A10/0.024</f>
        <v>6.458333333333333</v>
      </c>
      <c r="D11" t="s">
        <v>12</v>
      </c>
      <c r="E11">
        <f>E10*E7</f>
        <v>26.650000000000002</v>
      </c>
    </row>
    <row r="12" spans="1:10" x14ac:dyDescent="0.25">
      <c r="A12" t="s">
        <v>1</v>
      </c>
      <c r="B12">
        <f>2/6*A10</f>
        <v>0.31</v>
      </c>
      <c r="D12" t="s">
        <v>13</v>
      </c>
      <c r="E12">
        <f>E11/6</f>
        <v>4.4416666666666673</v>
      </c>
      <c r="G12" t="s">
        <v>32</v>
      </c>
      <c r="H12" t="s">
        <v>30</v>
      </c>
      <c r="I12">
        <f>I8/6</f>
        <v>27.816666666666666</v>
      </c>
      <c r="J12" t="s">
        <v>18</v>
      </c>
    </row>
    <row r="13" spans="1:10" x14ac:dyDescent="0.25">
      <c r="A13" t="s">
        <v>2</v>
      </c>
      <c r="B13">
        <f>3/6*A10</f>
        <v>0.46500000000000002</v>
      </c>
    </row>
    <row r="15" spans="1:10" x14ac:dyDescent="0.25">
      <c r="D15" s="1" t="s">
        <v>19</v>
      </c>
      <c r="E15" s="1"/>
      <c r="F15" s="1"/>
      <c r="G15" s="1" t="s">
        <v>34</v>
      </c>
    </row>
    <row r="16" spans="1:10" x14ac:dyDescent="0.25">
      <c r="A16" s="1" t="s">
        <v>20</v>
      </c>
      <c r="D16" t="s">
        <v>15</v>
      </c>
      <c r="E16">
        <v>6</v>
      </c>
      <c r="G16" t="s">
        <v>35</v>
      </c>
      <c r="H16" t="s">
        <v>30</v>
      </c>
      <c r="I16">
        <v>8.8000000000000007</v>
      </c>
    </row>
    <row r="17" spans="1:10" x14ac:dyDescent="0.25">
      <c r="A17">
        <v>0.93</v>
      </c>
      <c r="D17" t="s">
        <v>16</v>
      </c>
      <c r="E17">
        <f>E4*E16</f>
        <v>13</v>
      </c>
      <c r="F17" t="s">
        <v>18</v>
      </c>
      <c r="G17" t="s">
        <v>36</v>
      </c>
      <c r="H17" t="s">
        <v>30</v>
      </c>
      <c r="I17">
        <v>13</v>
      </c>
    </row>
    <row r="18" spans="1:10" x14ac:dyDescent="0.25">
      <c r="A18" t="s">
        <v>0</v>
      </c>
      <c r="B18">
        <f>1/6*A17/0.024</f>
        <v>6.458333333333333</v>
      </c>
      <c r="D18" t="s">
        <v>17</v>
      </c>
      <c r="E18">
        <f>E12*E16</f>
        <v>26.650000000000006</v>
      </c>
      <c r="F18" t="s">
        <v>18</v>
      </c>
      <c r="G18" t="s">
        <v>37</v>
      </c>
      <c r="H18" t="s">
        <v>30</v>
      </c>
      <c r="I18">
        <f>I16*I17</f>
        <v>114.4</v>
      </c>
      <c r="J18" t="s">
        <v>6</v>
      </c>
    </row>
    <row r="19" spans="1:10" x14ac:dyDescent="0.25">
      <c r="A19" t="s">
        <v>1</v>
      </c>
      <c r="B19">
        <f>2/6*A17</f>
        <v>0.31</v>
      </c>
      <c r="G19" t="s">
        <v>38</v>
      </c>
      <c r="H19" t="s">
        <v>30</v>
      </c>
      <c r="I19">
        <f>I18/6</f>
        <v>19.066666666666666</v>
      </c>
      <c r="J19" t="s">
        <v>18</v>
      </c>
    </row>
    <row r="20" spans="1:10" x14ac:dyDescent="0.25">
      <c r="A20" t="s">
        <v>2</v>
      </c>
      <c r="B20">
        <f>3/6*A17</f>
        <v>0.46500000000000002</v>
      </c>
    </row>
    <row r="22" spans="1:10" x14ac:dyDescent="0.25">
      <c r="G22" s="1" t="s">
        <v>39</v>
      </c>
    </row>
    <row r="23" spans="1:10" x14ac:dyDescent="0.25">
      <c r="G23" t="s">
        <v>40</v>
      </c>
      <c r="H23" t="s">
        <v>30</v>
      </c>
      <c r="I23">
        <f>6 * 8.8</f>
        <v>52.800000000000004</v>
      </c>
      <c r="J23" t="s">
        <v>41</v>
      </c>
    </row>
    <row r="24" spans="1:10" x14ac:dyDescent="0.25">
      <c r="G24" t="s">
        <v>42</v>
      </c>
      <c r="H24" t="s">
        <v>30</v>
      </c>
      <c r="I24">
        <f>1*3</f>
        <v>3</v>
      </c>
    </row>
    <row r="25" spans="1:10" x14ac:dyDescent="0.25">
      <c r="D25" s="1" t="s">
        <v>24</v>
      </c>
      <c r="G25" t="s">
        <v>43</v>
      </c>
      <c r="H25" t="s">
        <v>30</v>
      </c>
      <c r="I25">
        <f>I23/3</f>
        <v>17.600000000000001</v>
      </c>
      <c r="J25" t="s">
        <v>44</v>
      </c>
    </row>
    <row r="26" spans="1:10" x14ac:dyDescent="0.25">
      <c r="D26" t="s">
        <v>5</v>
      </c>
      <c r="E26">
        <f>24*4</f>
        <v>96</v>
      </c>
      <c r="F26" t="s">
        <v>6</v>
      </c>
    </row>
    <row r="27" spans="1:10" x14ac:dyDescent="0.25">
      <c r="D27" t="s">
        <v>16</v>
      </c>
      <c r="E27">
        <f>E26/12</f>
        <v>8</v>
      </c>
      <c r="F27" t="s">
        <v>18</v>
      </c>
    </row>
    <row r="29" spans="1:10" x14ac:dyDescent="0.25">
      <c r="D29" t="s">
        <v>7</v>
      </c>
    </row>
    <row r="30" spans="1:10" x14ac:dyDescent="0.25">
      <c r="D30" t="s">
        <v>8</v>
      </c>
      <c r="E30">
        <f>0.15*4+0.05</f>
        <v>0.65</v>
      </c>
    </row>
    <row r="31" spans="1:10" x14ac:dyDescent="0.25">
      <c r="D31" t="s">
        <v>9</v>
      </c>
      <c r="E31">
        <v>0.15</v>
      </c>
    </row>
    <row r="32" spans="1:10" x14ac:dyDescent="0.25">
      <c r="D32" t="s">
        <v>23</v>
      </c>
      <c r="E32">
        <v>24</v>
      </c>
      <c r="F32" t="s">
        <v>6</v>
      </c>
    </row>
    <row r="33" spans="4:6" x14ac:dyDescent="0.25">
      <c r="D33" t="s">
        <v>11</v>
      </c>
      <c r="E33">
        <f>E32/E31+1</f>
        <v>161</v>
      </c>
    </row>
    <row r="34" spans="4:6" x14ac:dyDescent="0.25">
      <c r="D34" t="s">
        <v>12</v>
      </c>
      <c r="E34">
        <f>E33*E30</f>
        <v>104.65</v>
      </c>
    </row>
    <row r="35" spans="4:6" x14ac:dyDescent="0.25">
      <c r="D35" t="s">
        <v>13</v>
      </c>
      <c r="E35">
        <f>E34/6</f>
        <v>17.441666666666666</v>
      </c>
    </row>
    <row r="38" spans="4:6" x14ac:dyDescent="0.25">
      <c r="D38" s="1" t="s">
        <v>25</v>
      </c>
    </row>
    <row r="39" spans="4:6" x14ac:dyDescent="0.25">
      <c r="D39" t="s">
        <v>5</v>
      </c>
      <c r="E39">
        <f>24*4</f>
        <v>96</v>
      </c>
      <c r="F39" t="s">
        <v>6</v>
      </c>
    </row>
    <row r="40" spans="4:6" x14ac:dyDescent="0.25">
      <c r="D40" t="s">
        <v>16</v>
      </c>
      <c r="E40">
        <f>E39/12</f>
        <v>8</v>
      </c>
      <c r="F40" t="s">
        <v>18</v>
      </c>
    </row>
    <row r="42" spans="4:6" x14ac:dyDescent="0.25">
      <c r="D42" t="s">
        <v>7</v>
      </c>
    </row>
    <row r="43" spans="4:6" x14ac:dyDescent="0.25">
      <c r="D43" t="s">
        <v>8</v>
      </c>
      <c r="E43">
        <f>0.15*4+0.05</f>
        <v>0.65</v>
      </c>
    </row>
    <row r="44" spans="4:6" x14ac:dyDescent="0.25">
      <c r="D44" t="s">
        <v>9</v>
      </c>
      <c r="E44">
        <v>0.15</v>
      </c>
    </row>
    <row r="45" spans="4:6" x14ac:dyDescent="0.25">
      <c r="D45" t="s">
        <v>23</v>
      </c>
      <c r="E45">
        <v>24</v>
      </c>
      <c r="F45" t="s">
        <v>6</v>
      </c>
    </row>
    <row r="46" spans="4:6" x14ac:dyDescent="0.25">
      <c r="D46" t="s">
        <v>11</v>
      </c>
      <c r="E46">
        <f>E45/E44+1</f>
        <v>161</v>
      </c>
    </row>
    <row r="47" spans="4:6" x14ac:dyDescent="0.25">
      <c r="D47" t="s">
        <v>12</v>
      </c>
      <c r="E47">
        <f>E46*E43</f>
        <v>104.65</v>
      </c>
    </row>
    <row r="48" spans="4:6" x14ac:dyDescent="0.25">
      <c r="D48" t="s">
        <v>13</v>
      </c>
      <c r="E48">
        <f>E47/6</f>
        <v>17.441666666666666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5" sqref="C15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4" ht="15.75" x14ac:dyDescent="0.25">
      <c r="A1" s="39" t="s">
        <v>200</v>
      </c>
      <c r="B1" s="39"/>
      <c r="C1" s="39"/>
    </row>
    <row r="2" spans="1:4" ht="15.75" x14ac:dyDescent="0.25">
      <c r="A2" s="13"/>
      <c r="B2" s="13"/>
      <c r="C2" s="23"/>
    </row>
    <row r="3" spans="1:4" x14ac:dyDescent="0.25">
      <c r="A3" t="s">
        <v>201</v>
      </c>
      <c r="B3" t="s">
        <v>202</v>
      </c>
      <c r="C3" s="4" t="s">
        <v>203</v>
      </c>
    </row>
    <row r="4" spans="1:4" ht="15.75" thickBot="1" x14ac:dyDescent="0.3">
      <c r="A4" s="14" t="s">
        <v>204</v>
      </c>
      <c r="B4" s="14" t="s">
        <v>202</v>
      </c>
      <c r="C4" s="15" t="s">
        <v>227</v>
      </c>
    </row>
    <row r="5" spans="1:4" ht="15.75" thickTop="1" x14ac:dyDescent="0.25"/>
    <row r="6" spans="1:4" s="1" customFormat="1" x14ac:dyDescent="0.25">
      <c r="A6" s="1" t="s">
        <v>151</v>
      </c>
      <c r="C6" s="27"/>
    </row>
    <row r="7" spans="1:4" x14ac:dyDescent="0.25">
      <c r="A7" t="s">
        <v>152</v>
      </c>
      <c r="B7" t="s">
        <v>30</v>
      </c>
      <c r="C7" s="17">
        <v>46.39</v>
      </c>
    </row>
    <row r="8" spans="1:4" x14ac:dyDescent="0.25">
      <c r="A8" t="s">
        <v>153</v>
      </c>
      <c r="B8" t="s">
        <v>30</v>
      </c>
      <c r="C8" s="4" t="s">
        <v>154</v>
      </c>
    </row>
    <row r="9" spans="1:4" x14ac:dyDescent="0.25">
      <c r="B9" t="s">
        <v>30</v>
      </c>
      <c r="C9" s="4" t="str">
        <f>C7&amp;" / 4"</f>
        <v>46.39 / 4</v>
      </c>
    </row>
    <row r="10" spans="1:4" x14ac:dyDescent="0.25">
      <c r="B10" t="s">
        <v>30</v>
      </c>
      <c r="C10" s="9">
        <f>C7/4</f>
        <v>11.5975</v>
      </c>
    </row>
    <row r="12" spans="1:4" s="1" customFormat="1" x14ac:dyDescent="0.25">
      <c r="A12" s="1" t="s">
        <v>155</v>
      </c>
      <c r="B12" s="1" t="s">
        <v>30</v>
      </c>
      <c r="C12" s="25">
        <v>22</v>
      </c>
      <c r="D12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115" zoomScaleNormal="115" workbookViewId="0">
      <selection activeCell="C7" sqref="C7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230</v>
      </c>
    </row>
    <row r="5" spans="1:3" ht="15.75" thickTop="1" x14ac:dyDescent="0.25"/>
    <row r="6" spans="1:3" x14ac:dyDescent="0.25">
      <c r="A6" t="s">
        <v>156</v>
      </c>
    </row>
    <row r="7" spans="1:3" x14ac:dyDescent="0.25">
      <c r="A7" t="s">
        <v>157</v>
      </c>
      <c r="B7" t="s">
        <v>30</v>
      </c>
      <c r="C7" s="17">
        <f xml:space="preserve"> 6.6</f>
        <v>6.6</v>
      </c>
    </row>
    <row r="8" spans="1:3" x14ac:dyDescent="0.25">
      <c r="A8" t="s">
        <v>158</v>
      </c>
      <c r="B8" t="s">
        <v>30</v>
      </c>
      <c r="C8" s="4">
        <v>2</v>
      </c>
    </row>
    <row r="9" spans="1:3" x14ac:dyDescent="0.25">
      <c r="A9" t="s">
        <v>160</v>
      </c>
      <c r="B9" t="s">
        <v>30</v>
      </c>
      <c r="C9" s="4" t="s">
        <v>159</v>
      </c>
    </row>
    <row r="10" spans="1:3" x14ac:dyDescent="0.25">
      <c r="B10" t="s">
        <v>30</v>
      </c>
      <c r="C10" s="4" t="str">
        <f>C7&amp;" x "&amp;C8</f>
        <v>6.6 x 2</v>
      </c>
    </row>
    <row r="11" spans="1:3" x14ac:dyDescent="0.25">
      <c r="B11" t="s">
        <v>30</v>
      </c>
      <c r="C11" s="17">
        <f>C7*C8</f>
        <v>13.2</v>
      </c>
    </row>
    <row r="12" spans="1:3" x14ac:dyDescent="0.25">
      <c r="A12" t="s">
        <v>161</v>
      </c>
      <c r="B12" t="s">
        <v>30</v>
      </c>
      <c r="C12" s="4" t="s">
        <v>162</v>
      </c>
    </row>
    <row r="13" spans="1:3" x14ac:dyDescent="0.25">
      <c r="B13" t="s">
        <v>30</v>
      </c>
      <c r="C13" s="4" t="str">
        <f>C11&amp;" / 4"</f>
        <v>13.2 / 4</v>
      </c>
    </row>
    <row r="14" spans="1:3" x14ac:dyDescent="0.25">
      <c r="B14" t="s">
        <v>30</v>
      </c>
      <c r="C14" s="9">
        <f>C11/4</f>
        <v>3.3</v>
      </c>
    </row>
    <row r="16" spans="1:3" x14ac:dyDescent="0.25">
      <c r="A16" t="s">
        <v>163</v>
      </c>
    </row>
    <row r="17" spans="1:3" x14ac:dyDescent="0.25">
      <c r="A17" t="s">
        <v>165</v>
      </c>
      <c r="B17" t="s">
        <v>30</v>
      </c>
      <c r="C17" s="17">
        <v>7.14</v>
      </c>
    </row>
    <row r="18" spans="1:3" x14ac:dyDescent="0.25">
      <c r="A18" t="s">
        <v>164</v>
      </c>
      <c r="B18" t="s">
        <v>30</v>
      </c>
      <c r="C18" s="4">
        <v>7</v>
      </c>
    </row>
    <row r="19" spans="1:3" x14ac:dyDescent="0.25">
      <c r="A19" t="s">
        <v>166</v>
      </c>
      <c r="B19" t="s">
        <v>30</v>
      </c>
      <c r="C19" s="4" t="s">
        <v>167</v>
      </c>
    </row>
    <row r="20" spans="1:3" x14ac:dyDescent="0.25">
      <c r="B20" t="s">
        <v>30</v>
      </c>
      <c r="C20" s="4" t="str">
        <f>C17&amp;" x "&amp;C18</f>
        <v>7.14 x 7</v>
      </c>
    </row>
    <row r="21" spans="1:3" x14ac:dyDescent="0.25">
      <c r="B21" t="s">
        <v>30</v>
      </c>
      <c r="C21" s="17">
        <f>C17*C18</f>
        <v>49.98</v>
      </c>
    </row>
    <row r="22" spans="1:3" x14ac:dyDescent="0.25">
      <c r="A22" t="s">
        <v>168</v>
      </c>
      <c r="B22" t="s">
        <v>30</v>
      </c>
      <c r="C22" s="4" t="s">
        <v>169</v>
      </c>
    </row>
    <row r="23" spans="1:3" x14ac:dyDescent="0.25">
      <c r="B23" t="s">
        <v>30</v>
      </c>
      <c r="C23" s="4" t="str">
        <f>C21&amp;" / 6"</f>
        <v>49.98 / 6</v>
      </c>
    </row>
    <row r="24" spans="1:3" x14ac:dyDescent="0.25">
      <c r="B24" t="s">
        <v>30</v>
      </c>
      <c r="C24" s="9">
        <f>C21/6</f>
        <v>8.33</v>
      </c>
    </row>
    <row r="27" spans="1:3" x14ac:dyDescent="0.25">
      <c r="A27" t="s">
        <v>170</v>
      </c>
    </row>
    <row r="28" spans="1:3" x14ac:dyDescent="0.25">
      <c r="A28" t="s">
        <v>171</v>
      </c>
      <c r="B28" t="s">
        <v>30</v>
      </c>
      <c r="C28" s="17">
        <f>C7</f>
        <v>6.6</v>
      </c>
    </row>
    <row r="29" spans="1:3" x14ac:dyDescent="0.25">
      <c r="A29" t="s">
        <v>172</v>
      </c>
      <c r="B29" t="s">
        <v>30</v>
      </c>
      <c r="C29" s="4">
        <v>9</v>
      </c>
    </row>
    <row r="30" spans="1:3" x14ac:dyDescent="0.25">
      <c r="A30" t="s">
        <v>173</v>
      </c>
      <c r="B30" t="s">
        <v>30</v>
      </c>
      <c r="C30" s="4" t="s">
        <v>167</v>
      </c>
    </row>
    <row r="31" spans="1:3" x14ac:dyDescent="0.25">
      <c r="B31" t="s">
        <v>30</v>
      </c>
      <c r="C31" s="4" t="str">
        <f>C28&amp;" x "&amp;C29</f>
        <v>6.6 x 9</v>
      </c>
    </row>
    <row r="32" spans="1:3" x14ac:dyDescent="0.25">
      <c r="B32" t="s">
        <v>30</v>
      </c>
      <c r="C32" s="17">
        <f>C28*C29</f>
        <v>59.4</v>
      </c>
    </row>
    <row r="33" spans="1:3" x14ac:dyDescent="0.25">
      <c r="A33" t="s">
        <v>38</v>
      </c>
      <c r="B33" t="s">
        <v>30</v>
      </c>
      <c r="C33" s="4" t="s">
        <v>174</v>
      </c>
    </row>
    <row r="34" spans="1:3" x14ac:dyDescent="0.25">
      <c r="B34" t="s">
        <v>30</v>
      </c>
      <c r="C34" s="4" t="str">
        <f>C32&amp;" / 6"</f>
        <v>59.4 / 6</v>
      </c>
    </row>
    <row r="35" spans="1:3" x14ac:dyDescent="0.25">
      <c r="B35" t="s">
        <v>30</v>
      </c>
      <c r="C35" s="9">
        <f>C32/6</f>
        <v>9.9</v>
      </c>
    </row>
    <row r="37" spans="1:3" x14ac:dyDescent="0.25">
      <c r="A37" t="s">
        <v>175</v>
      </c>
    </row>
    <row r="38" spans="1:3" x14ac:dyDescent="0.25">
      <c r="A38" t="s">
        <v>176</v>
      </c>
      <c r="B38" t="s">
        <v>30</v>
      </c>
      <c r="C38" s="25">
        <f>7.24*6.6</f>
        <v>47.783999999999999</v>
      </c>
    </row>
    <row r="39" spans="1:3" x14ac:dyDescent="0.25">
      <c r="A39" t="s">
        <v>179</v>
      </c>
      <c r="B39" t="s">
        <v>30</v>
      </c>
      <c r="C39" s="28">
        <f>0.8*7.24</f>
        <v>5.7920000000000007</v>
      </c>
    </row>
    <row r="40" spans="1:3" x14ac:dyDescent="0.25">
      <c r="A40" t="s">
        <v>177</v>
      </c>
      <c r="B40" t="s">
        <v>30</v>
      </c>
      <c r="C40" s="4" t="s">
        <v>178</v>
      </c>
    </row>
    <row r="41" spans="1:3" x14ac:dyDescent="0.25">
      <c r="B41" t="s">
        <v>30</v>
      </c>
      <c r="C41" s="4" t="str">
        <f>C38&amp;" / "&amp;C39</f>
        <v>47.784 / 5.792</v>
      </c>
    </row>
    <row r="42" spans="1:3" x14ac:dyDescent="0.25">
      <c r="B42" t="s">
        <v>30</v>
      </c>
      <c r="C42" s="8">
        <f>C38/C39</f>
        <v>8.2499999999999982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9" sqref="C19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228</v>
      </c>
    </row>
    <row r="5" spans="1:3" ht="15.75" thickTop="1" x14ac:dyDescent="0.25"/>
    <row r="6" spans="1:3" x14ac:dyDescent="0.25">
      <c r="A6" t="s">
        <v>196</v>
      </c>
      <c r="B6" t="s">
        <v>30</v>
      </c>
      <c r="C6" s="28">
        <f>A23/10000</f>
        <v>6.6749999999999998</v>
      </c>
    </row>
    <row r="7" spans="1:3" x14ac:dyDescent="0.25">
      <c r="A7" t="s">
        <v>197</v>
      </c>
      <c r="B7" t="s">
        <v>30</v>
      </c>
      <c r="C7" s="28">
        <f>0.3*4</f>
        <v>1.2</v>
      </c>
    </row>
    <row r="9" spans="1:3" x14ac:dyDescent="0.25">
      <c r="A9" t="s">
        <v>198</v>
      </c>
      <c r="B9" t="s">
        <v>30</v>
      </c>
      <c r="C9" s="4" t="s">
        <v>199</v>
      </c>
    </row>
    <row r="10" spans="1:3" x14ac:dyDescent="0.25">
      <c r="B10" t="s">
        <v>30</v>
      </c>
      <c r="C10" s="4" t="str">
        <f>C6&amp;" / "&amp;C7</f>
        <v>6.675 / 1.2</v>
      </c>
    </row>
    <row r="11" spans="1:3" x14ac:dyDescent="0.25">
      <c r="B11" t="s">
        <v>30</v>
      </c>
      <c r="C11" s="8">
        <f>C6/C7</f>
        <v>5.5625</v>
      </c>
    </row>
    <row r="16" spans="1:3" x14ac:dyDescent="0.25">
      <c r="A16">
        <v>715</v>
      </c>
    </row>
    <row r="17" spans="1:2" x14ac:dyDescent="0.25">
      <c r="A17">
        <v>715</v>
      </c>
    </row>
    <row r="18" spans="1:2" x14ac:dyDescent="0.25">
      <c r="A18">
        <v>660</v>
      </c>
    </row>
    <row r="19" spans="1:2" x14ac:dyDescent="0.25">
      <c r="A19">
        <v>200</v>
      </c>
    </row>
    <row r="20" spans="1:2" x14ac:dyDescent="0.25">
      <c r="A20">
        <v>190</v>
      </c>
    </row>
    <row r="21" spans="1:2" x14ac:dyDescent="0.25">
      <c r="A21">
        <v>190</v>
      </c>
    </row>
    <row r="22" spans="1:2" x14ac:dyDescent="0.25">
      <c r="A22">
        <f>SUM(A16:A21)</f>
        <v>2670</v>
      </c>
    </row>
    <row r="23" spans="1:2" x14ac:dyDescent="0.25">
      <c r="A23">
        <f>A22*25</f>
        <v>66750</v>
      </c>
      <c r="B23" t="s">
        <v>41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8" workbookViewId="0">
      <selection sqref="A1:C39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5" ht="15.75" x14ac:dyDescent="0.25">
      <c r="A1" s="39" t="s">
        <v>200</v>
      </c>
      <c r="B1" s="39"/>
      <c r="C1" s="39"/>
    </row>
    <row r="2" spans="1:5" ht="15.75" x14ac:dyDescent="0.25">
      <c r="A2" s="13"/>
      <c r="B2" s="13"/>
      <c r="C2" s="23"/>
    </row>
    <row r="3" spans="1:5" x14ac:dyDescent="0.25">
      <c r="A3" t="s">
        <v>201</v>
      </c>
      <c r="B3" t="s">
        <v>202</v>
      </c>
      <c r="C3" s="4" t="s">
        <v>203</v>
      </c>
    </row>
    <row r="4" spans="1:5" ht="15.75" thickBot="1" x14ac:dyDescent="0.3">
      <c r="A4" s="14" t="s">
        <v>204</v>
      </c>
      <c r="B4" s="14" t="s">
        <v>202</v>
      </c>
      <c r="C4" s="15" t="s">
        <v>229</v>
      </c>
    </row>
    <row r="5" spans="1:5" ht="15.75" thickTop="1" x14ac:dyDescent="0.25"/>
    <row r="6" spans="1:5" x14ac:dyDescent="0.25">
      <c r="A6" t="s">
        <v>180</v>
      </c>
    </row>
    <row r="7" spans="1:5" x14ac:dyDescent="0.25">
      <c r="A7" t="s">
        <v>181</v>
      </c>
    </row>
    <row r="8" spans="1:5" x14ac:dyDescent="0.25">
      <c r="A8" t="s">
        <v>182</v>
      </c>
      <c r="B8" t="s">
        <v>30</v>
      </c>
      <c r="C8" s="25">
        <f>D12/10000</f>
        <v>37.158000000000001</v>
      </c>
    </row>
    <row r="9" spans="1:5" x14ac:dyDescent="0.25">
      <c r="A9" t="s">
        <v>183</v>
      </c>
      <c r="B9" t="s">
        <v>30</v>
      </c>
      <c r="C9" s="17">
        <v>0.2</v>
      </c>
    </row>
    <row r="10" spans="1:5" x14ac:dyDescent="0.25">
      <c r="A10" t="s">
        <v>184</v>
      </c>
      <c r="B10" t="s">
        <v>30</v>
      </c>
      <c r="C10" s="4" t="s">
        <v>185</v>
      </c>
      <c r="D10">
        <v>38130</v>
      </c>
    </row>
    <row r="11" spans="1:5" x14ac:dyDescent="0.25">
      <c r="B11" t="s">
        <v>30</v>
      </c>
      <c r="C11" s="4" t="str">
        <f>C8&amp;" x "&amp;C9</f>
        <v>37.158 x 0.2</v>
      </c>
      <c r="D11">
        <v>333450</v>
      </c>
    </row>
    <row r="12" spans="1:5" x14ac:dyDescent="0.25">
      <c r="B12" t="s">
        <v>30</v>
      </c>
      <c r="C12" s="18">
        <f>C8*C9</f>
        <v>7.4316000000000004</v>
      </c>
      <c r="D12">
        <f>SUM(D10:D11)</f>
        <v>371580</v>
      </c>
      <c r="E12" t="s">
        <v>41</v>
      </c>
    </row>
    <row r="14" spans="1:5" x14ac:dyDescent="0.25">
      <c r="A14" t="s">
        <v>191</v>
      </c>
    </row>
    <row r="15" spans="1:5" x14ac:dyDescent="0.25">
      <c r="A15" t="s">
        <v>186</v>
      </c>
      <c r="B15" t="s">
        <v>30</v>
      </c>
      <c r="C15" s="25">
        <f>C8</f>
        <v>37.158000000000001</v>
      </c>
    </row>
    <row r="16" spans="1:5" x14ac:dyDescent="0.25">
      <c r="A16" t="s">
        <v>187</v>
      </c>
      <c r="B16" t="s">
        <v>30</v>
      </c>
      <c r="C16" s="17">
        <v>0.05</v>
      </c>
    </row>
    <row r="17" spans="1:3" x14ac:dyDescent="0.25">
      <c r="A17" t="s">
        <v>190</v>
      </c>
      <c r="B17" t="s">
        <v>30</v>
      </c>
      <c r="C17" s="4" t="s">
        <v>185</v>
      </c>
    </row>
    <row r="18" spans="1:3" x14ac:dyDescent="0.25">
      <c r="B18" t="s">
        <v>30</v>
      </c>
      <c r="C18" s="4" t="str">
        <f>C15&amp;" x "&amp;C16</f>
        <v>37.158 x 0.05</v>
      </c>
    </row>
    <row r="19" spans="1:3" x14ac:dyDescent="0.25">
      <c r="B19" t="s">
        <v>30</v>
      </c>
      <c r="C19" s="18">
        <f>C15*C16</f>
        <v>1.8579000000000001</v>
      </c>
    </row>
    <row r="21" spans="1:3" x14ac:dyDescent="0.25">
      <c r="A21" t="s">
        <v>97</v>
      </c>
      <c r="B21" t="s">
        <v>30</v>
      </c>
      <c r="C21" s="4" t="s">
        <v>188</v>
      </c>
    </row>
    <row r="22" spans="1:3" x14ac:dyDescent="0.25">
      <c r="B22" t="s">
        <v>30</v>
      </c>
      <c r="C22" s="4" t="str">
        <f>"1/4 x "&amp;C19&amp;" / 0.024"</f>
        <v>1/4 x 1.8579 / 0.024</v>
      </c>
    </row>
    <row r="23" spans="1:3" x14ac:dyDescent="0.25">
      <c r="B23" t="s">
        <v>30</v>
      </c>
      <c r="C23" s="24">
        <f>1/4*C19/0.024</f>
        <v>19.353125000000002</v>
      </c>
    </row>
    <row r="25" spans="1:3" x14ac:dyDescent="0.25">
      <c r="A25" t="s">
        <v>99</v>
      </c>
      <c r="B25" t="s">
        <v>30</v>
      </c>
      <c r="C25" s="4" t="s">
        <v>189</v>
      </c>
    </row>
    <row r="26" spans="1:3" x14ac:dyDescent="0.25">
      <c r="B26" t="s">
        <v>30</v>
      </c>
      <c r="C26" s="4" t="str">
        <f>"3/4 x "&amp;C19</f>
        <v>3/4 x 1.8579</v>
      </c>
    </row>
    <row r="27" spans="1:3" x14ac:dyDescent="0.25">
      <c r="B27" t="s">
        <v>30</v>
      </c>
      <c r="C27" s="18">
        <f>3/4*C19</f>
        <v>1.3934250000000001</v>
      </c>
    </row>
    <row r="30" spans="1:3" x14ac:dyDescent="0.25">
      <c r="A30" t="s">
        <v>192</v>
      </c>
      <c r="B30" t="s">
        <v>30</v>
      </c>
    </row>
    <row r="31" spans="1:3" x14ac:dyDescent="0.25">
      <c r="A31" t="s">
        <v>193</v>
      </c>
      <c r="B31" t="s">
        <v>30</v>
      </c>
      <c r="C31" s="25">
        <f>C8</f>
        <v>37.158000000000001</v>
      </c>
    </row>
    <row r="32" spans="1:3" x14ac:dyDescent="0.25">
      <c r="A32" t="s">
        <v>194</v>
      </c>
      <c r="B32" t="s">
        <v>30</v>
      </c>
      <c r="C32" s="17">
        <v>0.01</v>
      </c>
    </row>
    <row r="33" spans="1:3" x14ac:dyDescent="0.25">
      <c r="A33" t="s">
        <v>195</v>
      </c>
      <c r="B33" t="s">
        <v>30</v>
      </c>
      <c r="C33" s="4" t="s">
        <v>185</v>
      </c>
    </row>
    <row r="34" spans="1:3" x14ac:dyDescent="0.25">
      <c r="B34" t="s">
        <v>30</v>
      </c>
      <c r="C34" s="4" t="str">
        <f>C31&amp;" x "&amp;C32</f>
        <v>37.158 x 0.01</v>
      </c>
    </row>
    <row r="35" spans="1:3" x14ac:dyDescent="0.25">
      <c r="B35" t="s">
        <v>30</v>
      </c>
      <c r="C35" s="18">
        <f>C31*C32</f>
        <v>0.37158000000000002</v>
      </c>
    </row>
    <row r="36" spans="1:3" x14ac:dyDescent="0.25">
      <c r="A36" t="s">
        <v>97</v>
      </c>
      <c r="B36" t="s">
        <v>30</v>
      </c>
      <c r="C36" s="4" t="s">
        <v>188</v>
      </c>
    </row>
    <row r="37" spans="1:3" x14ac:dyDescent="0.25">
      <c r="B37" t="s">
        <v>30</v>
      </c>
      <c r="C37" s="4" t="str">
        <f>"1/4 x "&amp;C35&amp;" / 0.024"</f>
        <v>1/4 x 0.37158 / 0.024</v>
      </c>
    </row>
    <row r="38" spans="1:3" x14ac:dyDescent="0.25">
      <c r="B38" t="s">
        <v>30</v>
      </c>
      <c r="C38" s="24">
        <f>1/4*C35/0.024</f>
        <v>3.870625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0" zoomScale="115" zoomScaleNormal="115" workbookViewId="0">
      <selection activeCell="C8" sqref="C8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37"/>
      <c r="B2" s="37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232</v>
      </c>
    </row>
    <row r="5" spans="1:3" ht="15.75" thickTop="1" x14ac:dyDescent="0.25"/>
    <row r="6" spans="1:3" x14ac:dyDescent="0.25">
      <c r="A6" s="3" t="s">
        <v>102</v>
      </c>
    </row>
    <row r="7" spans="1:3" x14ac:dyDescent="0.25">
      <c r="A7" t="s">
        <v>136</v>
      </c>
      <c r="B7" t="s">
        <v>30</v>
      </c>
      <c r="C7" s="17">
        <v>2.7</v>
      </c>
    </row>
    <row r="8" spans="1:3" x14ac:dyDescent="0.25">
      <c r="A8" t="s">
        <v>104</v>
      </c>
      <c r="B8" t="s">
        <v>30</v>
      </c>
      <c r="C8" s="17">
        <v>4</v>
      </c>
    </row>
    <row r="9" spans="1:3" x14ac:dyDescent="0.25">
      <c r="A9" t="s">
        <v>107</v>
      </c>
      <c r="B9" t="s">
        <v>30</v>
      </c>
      <c r="C9" s="6" t="s">
        <v>137</v>
      </c>
    </row>
    <row r="10" spans="1:3" x14ac:dyDescent="0.25">
      <c r="B10" t="s">
        <v>30</v>
      </c>
      <c r="C10" s="6" t="str">
        <f>C7&amp;" x "&amp;C8</f>
        <v>2.7 x 4</v>
      </c>
    </row>
    <row r="11" spans="1:3" x14ac:dyDescent="0.25">
      <c r="B11" t="s">
        <v>30</v>
      </c>
      <c r="C11" s="17">
        <f>C7*C8</f>
        <v>10.8</v>
      </c>
    </row>
    <row r="12" spans="1:3" x14ac:dyDescent="0.25">
      <c r="A12" t="s">
        <v>139</v>
      </c>
      <c r="B12" t="s">
        <v>30</v>
      </c>
      <c r="C12" s="4">
        <v>1</v>
      </c>
    </row>
    <row r="14" spans="1:3" x14ac:dyDescent="0.25">
      <c r="A14" t="s">
        <v>106</v>
      </c>
      <c r="B14" t="s">
        <v>30</v>
      </c>
      <c r="C14" s="4" t="s">
        <v>140</v>
      </c>
    </row>
    <row r="15" spans="1:3" x14ac:dyDescent="0.25">
      <c r="B15" t="s">
        <v>30</v>
      </c>
      <c r="C15" s="4" t="str">
        <f>C11&amp;" / 12 x "&amp;C12</f>
        <v>10.8 / 12 x 1</v>
      </c>
    </row>
    <row r="16" spans="1:3" x14ac:dyDescent="0.25">
      <c r="B16" t="s">
        <v>30</v>
      </c>
      <c r="C16" s="9">
        <f>C11/12*3</f>
        <v>2.7</v>
      </c>
    </row>
    <row r="17" spans="1:3" x14ac:dyDescent="0.25">
      <c r="A17" t="s">
        <v>13</v>
      </c>
    </row>
    <row r="18" spans="1:3" x14ac:dyDescent="0.25">
      <c r="A18" t="s">
        <v>109</v>
      </c>
      <c r="B18" t="s">
        <v>30</v>
      </c>
      <c r="C18" s="17">
        <f>(0.1*4)+0.1</f>
        <v>0.5</v>
      </c>
    </row>
    <row r="19" spans="1:3" x14ac:dyDescent="0.25">
      <c r="A19" t="s">
        <v>112</v>
      </c>
      <c r="B19" t="s">
        <v>30</v>
      </c>
      <c r="C19" s="17">
        <v>0.15</v>
      </c>
    </row>
    <row r="20" spans="1:3" x14ac:dyDescent="0.25">
      <c r="A20" t="s">
        <v>110</v>
      </c>
      <c r="B20" t="s">
        <v>30</v>
      </c>
      <c r="C20" s="4" t="s">
        <v>138</v>
      </c>
    </row>
    <row r="21" spans="1:3" x14ac:dyDescent="0.25">
      <c r="B21" t="s">
        <v>30</v>
      </c>
      <c r="C21" s="4" t="str">
        <f>"("&amp;C8&amp;"/"&amp;C19&amp;")+1"</f>
        <v>(4/0.15)+1</v>
      </c>
    </row>
    <row r="22" spans="1:3" x14ac:dyDescent="0.25">
      <c r="B22" t="s">
        <v>30</v>
      </c>
      <c r="C22" s="4">
        <f>(C7/C19)+1</f>
        <v>19.000000000000004</v>
      </c>
    </row>
    <row r="24" spans="1:3" x14ac:dyDescent="0.25">
      <c r="A24" t="s">
        <v>113</v>
      </c>
      <c r="B24" t="s">
        <v>30</v>
      </c>
      <c r="C24" s="4" t="s">
        <v>114</v>
      </c>
    </row>
    <row r="25" spans="1:3" x14ac:dyDescent="0.25">
      <c r="B25" t="s">
        <v>30</v>
      </c>
      <c r="C25" s="4" t="str">
        <f>C18&amp;" x "&amp;C22</f>
        <v>0.5 x 19</v>
      </c>
    </row>
    <row r="26" spans="1:3" x14ac:dyDescent="0.25">
      <c r="B26" t="s">
        <v>30</v>
      </c>
      <c r="C26" s="17">
        <f>C18*C22</f>
        <v>9.5000000000000018</v>
      </c>
    </row>
    <row r="28" spans="1:3" x14ac:dyDescent="0.25">
      <c r="A28" t="s">
        <v>13</v>
      </c>
      <c r="B28" t="s">
        <v>30</v>
      </c>
      <c r="C28" s="4" t="s">
        <v>141</v>
      </c>
    </row>
    <row r="29" spans="1:3" x14ac:dyDescent="0.25">
      <c r="B29" t="s">
        <v>30</v>
      </c>
      <c r="C29" s="4" t="str">
        <f>C26&amp;" / 6 x "&amp;C12</f>
        <v>9.5 / 6 x 1</v>
      </c>
    </row>
    <row r="30" spans="1:3" x14ac:dyDescent="0.25">
      <c r="B30" t="s">
        <v>30</v>
      </c>
      <c r="C30" s="9">
        <f>C26/6*C12</f>
        <v>1.5833333333333337</v>
      </c>
    </row>
    <row r="32" spans="1:3" x14ac:dyDescent="0.25">
      <c r="A32" s="3" t="s">
        <v>116</v>
      </c>
    </row>
    <row r="33" spans="1:3" x14ac:dyDescent="0.25">
      <c r="A33" t="s">
        <v>131</v>
      </c>
      <c r="B33" t="s">
        <v>30</v>
      </c>
      <c r="C33" s="17">
        <f>C7</f>
        <v>2.7</v>
      </c>
    </row>
    <row r="34" spans="1:3" x14ac:dyDescent="0.25">
      <c r="A34" t="s">
        <v>132</v>
      </c>
      <c r="B34" t="s">
        <v>30</v>
      </c>
      <c r="C34" s="17">
        <v>0.15</v>
      </c>
    </row>
    <row r="35" spans="1:3" x14ac:dyDescent="0.25">
      <c r="A35" t="s">
        <v>133</v>
      </c>
      <c r="B35" t="s">
        <v>30</v>
      </c>
      <c r="C35" s="17">
        <v>0.15</v>
      </c>
    </row>
    <row r="36" spans="1:3" x14ac:dyDescent="0.25">
      <c r="A36" t="s">
        <v>134</v>
      </c>
      <c r="B36" t="s">
        <v>30</v>
      </c>
      <c r="C36" s="4" t="s">
        <v>121</v>
      </c>
    </row>
    <row r="37" spans="1:3" x14ac:dyDescent="0.25">
      <c r="B37" t="s">
        <v>30</v>
      </c>
      <c r="C37" s="4" t="str">
        <f>C33&amp;" x "&amp;C34&amp;" x "&amp;C35</f>
        <v>2.7 x 0.15 x 0.15</v>
      </c>
    </row>
    <row r="38" spans="1:3" x14ac:dyDescent="0.25">
      <c r="B38" t="s">
        <v>30</v>
      </c>
      <c r="C38" s="18">
        <f>C33*C34*C35</f>
        <v>6.0749999999999998E-2</v>
      </c>
    </row>
    <row r="39" spans="1:3" x14ac:dyDescent="0.25">
      <c r="A39" t="s">
        <v>97</v>
      </c>
      <c r="B39" t="s">
        <v>30</v>
      </c>
      <c r="C39" s="4" t="s">
        <v>142</v>
      </c>
    </row>
    <row r="40" spans="1:3" x14ac:dyDescent="0.25">
      <c r="B40" t="s">
        <v>30</v>
      </c>
      <c r="C40" s="4" t="str">
        <f>"1/4 x "&amp;C38&amp;" /0.024 x " &amp;C12</f>
        <v>1/4 x 0.06075 /0.024 x 1</v>
      </c>
    </row>
    <row r="41" spans="1:3" x14ac:dyDescent="0.25">
      <c r="B41" t="s">
        <v>30</v>
      </c>
      <c r="C41" s="24">
        <f>1/4*C38/0.024*3</f>
        <v>1.8984375</v>
      </c>
    </row>
    <row r="42" spans="1:3" x14ac:dyDescent="0.25">
      <c r="A42" t="s">
        <v>96</v>
      </c>
      <c r="B42" t="s">
        <v>30</v>
      </c>
      <c r="C42" s="4" t="s">
        <v>143</v>
      </c>
    </row>
    <row r="43" spans="1:3" x14ac:dyDescent="0.25">
      <c r="B43" t="s">
        <v>30</v>
      </c>
      <c r="C43" s="4" t="str">
        <f>"2/4 x "&amp;C38&amp;" x "&amp;C12</f>
        <v>2/4 x 0.06075 x 1</v>
      </c>
    </row>
    <row r="44" spans="1:3" x14ac:dyDescent="0.25">
      <c r="B44" t="s">
        <v>30</v>
      </c>
      <c r="C44" s="18">
        <f>2/4*C38*3</f>
        <v>9.1124999999999998E-2</v>
      </c>
    </row>
    <row r="45" spans="1:3" x14ac:dyDescent="0.25">
      <c r="A45" t="s">
        <v>122</v>
      </c>
      <c r="B45" t="s">
        <v>30</v>
      </c>
      <c r="C45" s="4" t="s">
        <v>144</v>
      </c>
    </row>
    <row r="46" spans="1:3" x14ac:dyDescent="0.25">
      <c r="B46" t="s">
        <v>30</v>
      </c>
      <c r="C46" s="4" t="str">
        <f>"3/4 x "&amp;C38&amp;" x "&amp;C12</f>
        <v>3/4 x 0.06075 x 1</v>
      </c>
    </row>
    <row r="47" spans="1:3" x14ac:dyDescent="0.25">
      <c r="B47" t="s">
        <v>30</v>
      </c>
      <c r="C47" s="18">
        <f>3/4*C38*C12</f>
        <v>4.5562499999999999E-2</v>
      </c>
    </row>
    <row r="48" spans="1:3" x14ac:dyDescent="0.25">
      <c r="A48" t="s">
        <v>126</v>
      </c>
    </row>
    <row r="49" spans="1:3" x14ac:dyDescent="0.25">
      <c r="A49" t="s">
        <v>135</v>
      </c>
      <c r="B49" t="s">
        <v>30</v>
      </c>
      <c r="C49" s="17">
        <f>C7</f>
        <v>2.7</v>
      </c>
    </row>
    <row r="50" spans="1:3" x14ac:dyDescent="0.25">
      <c r="A50" t="s">
        <v>128</v>
      </c>
      <c r="B50" t="s">
        <v>30</v>
      </c>
      <c r="C50" s="4" t="s">
        <v>129</v>
      </c>
    </row>
    <row r="51" spans="1:3" x14ac:dyDescent="0.25">
      <c r="B51" t="s">
        <v>30</v>
      </c>
      <c r="C51" s="4" t="str">
        <f>C49&amp;" x 2"</f>
        <v>2.7 x 2</v>
      </c>
    </row>
    <row r="52" spans="1:3" x14ac:dyDescent="0.25">
      <c r="B52" t="s">
        <v>30</v>
      </c>
      <c r="C52" s="17">
        <f>C49*2</f>
        <v>5.4</v>
      </c>
    </row>
    <row r="53" spans="1:3" x14ac:dyDescent="0.25">
      <c r="A53" t="s">
        <v>126</v>
      </c>
      <c r="B53" t="s">
        <v>30</v>
      </c>
      <c r="C53" s="4" t="s">
        <v>145</v>
      </c>
    </row>
    <row r="54" spans="1:3" x14ac:dyDescent="0.25">
      <c r="B54" t="s">
        <v>30</v>
      </c>
      <c r="C54" s="4" t="str">
        <f>C52&amp;"/4 x "&amp;C12</f>
        <v>5.4/4 x 1</v>
      </c>
    </row>
    <row r="55" spans="1:3" x14ac:dyDescent="0.25">
      <c r="B55" t="s">
        <v>30</v>
      </c>
      <c r="C55" s="8">
        <f>C52/4*C12</f>
        <v>1.35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C16" sqref="C16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37"/>
      <c r="B2" s="37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231</v>
      </c>
    </row>
    <row r="5" spans="1:3" ht="15.75" thickTop="1" x14ac:dyDescent="0.25">
      <c r="A5" s="1"/>
    </row>
    <row r="6" spans="1:3" x14ac:dyDescent="0.25">
      <c r="A6" s="1" t="s">
        <v>102</v>
      </c>
    </row>
    <row r="7" spans="1:3" x14ac:dyDescent="0.25">
      <c r="A7" t="s">
        <v>103</v>
      </c>
      <c r="B7" t="s">
        <v>30</v>
      </c>
      <c r="C7" s="17">
        <v>1.7</v>
      </c>
    </row>
    <row r="8" spans="1:3" x14ac:dyDescent="0.25">
      <c r="A8" t="s">
        <v>104</v>
      </c>
      <c r="B8" t="s">
        <v>30</v>
      </c>
      <c r="C8" s="17">
        <v>4</v>
      </c>
    </row>
    <row r="9" spans="1:3" x14ac:dyDescent="0.25">
      <c r="A9" t="s">
        <v>107</v>
      </c>
      <c r="B9" t="s">
        <v>30</v>
      </c>
      <c r="C9" s="17" t="s">
        <v>105</v>
      </c>
    </row>
    <row r="10" spans="1:3" x14ac:dyDescent="0.25">
      <c r="B10" t="s">
        <v>30</v>
      </c>
      <c r="C10" s="17" t="str">
        <f>C7&amp;" x "&amp;C8</f>
        <v>1.7 x 4</v>
      </c>
    </row>
    <row r="11" spans="1:3" x14ac:dyDescent="0.25">
      <c r="B11" t="s">
        <v>30</v>
      </c>
      <c r="C11" s="17">
        <f>C7*C8</f>
        <v>6.8</v>
      </c>
    </row>
    <row r="12" spans="1:3" x14ac:dyDescent="0.25">
      <c r="A12" t="s">
        <v>106</v>
      </c>
      <c r="B12" t="s">
        <v>30</v>
      </c>
      <c r="C12" s="4" t="s">
        <v>108</v>
      </c>
    </row>
    <row r="13" spans="1:3" x14ac:dyDescent="0.25">
      <c r="B13" t="s">
        <v>30</v>
      </c>
      <c r="C13" s="4" t="str">
        <f>C11&amp;" / 12"</f>
        <v>6.8 / 12</v>
      </c>
    </row>
    <row r="14" spans="1:3" x14ac:dyDescent="0.25">
      <c r="B14" t="s">
        <v>30</v>
      </c>
      <c r="C14" s="9">
        <f>C11/12</f>
        <v>0.56666666666666665</v>
      </c>
    </row>
    <row r="15" spans="1:3" x14ac:dyDescent="0.25">
      <c r="A15" t="s">
        <v>13</v>
      </c>
      <c r="C15" s="4"/>
    </row>
    <row r="16" spans="1:3" x14ac:dyDescent="0.25">
      <c r="A16" t="s">
        <v>109</v>
      </c>
      <c r="B16" t="s">
        <v>30</v>
      </c>
      <c r="C16" s="17">
        <f>(0.1*4)+0.1</f>
        <v>0.5</v>
      </c>
    </row>
    <row r="17" spans="1:3" x14ac:dyDescent="0.25">
      <c r="A17" t="s">
        <v>112</v>
      </c>
      <c r="B17" t="s">
        <v>30</v>
      </c>
      <c r="C17" s="17">
        <v>0.15</v>
      </c>
    </row>
    <row r="18" spans="1:3" x14ac:dyDescent="0.25">
      <c r="A18" t="s">
        <v>110</v>
      </c>
      <c r="B18" t="s">
        <v>30</v>
      </c>
      <c r="C18" s="4" t="s">
        <v>111</v>
      </c>
    </row>
    <row r="19" spans="1:3" x14ac:dyDescent="0.25">
      <c r="B19" t="s">
        <v>30</v>
      </c>
      <c r="C19" s="4" t="str">
        <f>"("&amp;C11&amp;"/"&amp;C17&amp;")+1"</f>
        <v>(6.8/0.15)+1</v>
      </c>
    </row>
    <row r="20" spans="1:3" x14ac:dyDescent="0.25">
      <c r="B20" t="s">
        <v>30</v>
      </c>
      <c r="C20" s="4">
        <f>(C7/C17)+1</f>
        <v>12.333333333333334</v>
      </c>
    </row>
    <row r="21" spans="1:3" x14ac:dyDescent="0.25">
      <c r="C21" s="4"/>
    </row>
    <row r="22" spans="1:3" x14ac:dyDescent="0.25">
      <c r="A22" t="s">
        <v>113</v>
      </c>
      <c r="B22" t="s">
        <v>30</v>
      </c>
      <c r="C22" s="4" t="s">
        <v>114</v>
      </c>
    </row>
    <row r="23" spans="1:3" x14ac:dyDescent="0.25">
      <c r="B23" t="s">
        <v>30</v>
      </c>
      <c r="C23" s="4" t="str">
        <f>C16&amp;" x "&amp;C20</f>
        <v>0.5 x 12.3333333333333</v>
      </c>
    </row>
    <row r="24" spans="1:3" x14ac:dyDescent="0.25">
      <c r="B24" t="s">
        <v>30</v>
      </c>
      <c r="C24" s="17">
        <f>C16*C20</f>
        <v>6.166666666666667</v>
      </c>
    </row>
    <row r="25" spans="1:3" x14ac:dyDescent="0.25">
      <c r="C25" s="4"/>
    </row>
    <row r="26" spans="1:3" x14ac:dyDescent="0.25">
      <c r="A26" t="s">
        <v>13</v>
      </c>
      <c r="B26" t="s">
        <v>30</v>
      </c>
      <c r="C26" s="4" t="s">
        <v>115</v>
      </c>
    </row>
    <row r="27" spans="1:3" x14ac:dyDescent="0.25">
      <c r="B27" t="s">
        <v>30</v>
      </c>
      <c r="C27" s="4" t="str">
        <f>C24&amp;" / 6"</f>
        <v>6.16666666666667 / 6</v>
      </c>
    </row>
    <row r="28" spans="1:3" x14ac:dyDescent="0.25">
      <c r="B28" t="s">
        <v>30</v>
      </c>
      <c r="C28" s="9">
        <f>C24/6</f>
        <v>1.0277777777777779</v>
      </c>
    </row>
    <row r="29" spans="1:3" x14ac:dyDescent="0.25">
      <c r="A29" t="s">
        <v>116</v>
      </c>
      <c r="C29" s="4"/>
    </row>
    <row r="30" spans="1:3" x14ac:dyDescent="0.25">
      <c r="A30" t="s">
        <v>117</v>
      </c>
      <c r="B30" t="s">
        <v>30</v>
      </c>
      <c r="C30" s="17">
        <f>C7</f>
        <v>1.7</v>
      </c>
    </row>
    <row r="31" spans="1:3" x14ac:dyDescent="0.25">
      <c r="A31" t="s">
        <v>118</v>
      </c>
      <c r="B31" t="s">
        <v>30</v>
      </c>
      <c r="C31" s="17">
        <v>0.15</v>
      </c>
    </row>
    <row r="32" spans="1:3" x14ac:dyDescent="0.25">
      <c r="A32" t="s">
        <v>119</v>
      </c>
      <c r="B32" t="s">
        <v>30</v>
      </c>
      <c r="C32" s="17">
        <v>0.15</v>
      </c>
    </row>
    <row r="33" spans="1:3" x14ac:dyDescent="0.25">
      <c r="C33" s="4"/>
    </row>
    <row r="34" spans="1:3" x14ac:dyDescent="0.25">
      <c r="A34" t="s">
        <v>120</v>
      </c>
      <c r="B34" t="s">
        <v>30</v>
      </c>
      <c r="C34" s="4" t="s">
        <v>121</v>
      </c>
    </row>
    <row r="35" spans="1:3" x14ac:dyDescent="0.25">
      <c r="B35" t="s">
        <v>30</v>
      </c>
      <c r="C35" s="4" t="str">
        <f>C30&amp;" x "&amp;C31&amp;" x "&amp;C32</f>
        <v>1.7 x 0.15 x 0.15</v>
      </c>
    </row>
    <row r="36" spans="1:3" x14ac:dyDescent="0.25">
      <c r="B36" t="s">
        <v>30</v>
      </c>
      <c r="C36" s="18">
        <f>C30*C31*C32</f>
        <v>3.8249999999999999E-2</v>
      </c>
    </row>
    <row r="37" spans="1:3" x14ac:dyDescent="0.25">
      <c r="C37" s="4"/>
    </row>
    <row r="38" spans="1:3" x14ac:dyDescent="0.25">
      <c r="A38" t="s">
        <v>97</v>
      </c>
      <c r="B38" t="s">
        <v>30</v>
      </c>
      <c r="C38" s="4" t="s">
        <v>123</v>
      </c>
    </row>
    <row r="39" spans="1:3" x14ac:dyDescent="0.25">
      <c r="B39" t="s">
        <v>30</v>
      </c>
      <c r="C39" s="4" t="str">
        <f>"1/4 x "&amp;C36&amp;" /0.024"</f>
        <v>1/4 x 0.03825 /0.024</v>
      </c>
    </row>
    <row r="40" spans="1:3" x14ac:dyDescent="0.25">
      <c r="B40" t="s">
        <v>30</v>
      </c>
      <c r="C40" s="24">
        <f>1/4*C36/0.024</f>
        <v>0.3984375</v>
      </c>
    </row>
    <row r="41" spans="1:3" x14ac:dyDescent="0.25">
      <c r="C41" s="4"/>
    </row>
    <row r="42" spans="1:3" x14ac:dyDescent="0.25">
      <c r="A42" t="s">
        <v>96</v>
      </c>
      <c r="B42" t="s">
        <v>30</v>
      </c>
      <c r="C42" s="4" t="s">
        <v>125</v>
      </c>
    </row>
    <row r="43" spans="1:3" x14ac:dyDescent="0.25">
      <c r="B43" t="s">
        <v>30</v>
      </c>
      <c r="C43" s="4" t="str">
        <f>"2/4 x "&amp;C36</f>
        <v>2/4 x 0.03825</v>
      </c>
    </row>
    <row r="44" spans="1:3" x14ac:dyDescent="0.25">
      <c r="B44" t="s">
        <v>30</v>
      </c>
      <c r="C44" s="18">
        <f>2/4*C36</f>
        <v>1.9125E-2</v>
      </c>
    </row>
    <row r="45" spans="1:3" x14ac:dyDescent="0.25">
      <c r="C45" s="4"/>
    </row>
    <row r="46" spans="1:3" x14ac:dyDescent="0.25">
      <c r="A46" t="s">
        <v>122</v>
      </c>
      <c r="B46" t="s">
        <v>30</v>
      </c>
      <c r="C46" s="4" t="s">
        <v>124</v>
      </c>
    </row>
    <row r="47" spans="1:3" x14ac:dyDescent="0.25">
      <c r="B47" t="s">
        <v>30</v>
      </c>
      <c r="C47" s="4" t="str">
        <f>"3/4 x "&amp;C36</f>
        <v>3/4 x 0.03825</v>
      </c>
    </row>
    <row r="48" spans="1:3" x14ac:dyDescent="0.25">
      <c r="B48" t="s">
        <v>30</v>
      </c>
      <c r="C48" s="18">
        <f>3/4*C36</f>
        <v>2.8687499999999998E-2</v>
      </c>
    </row>
    <row r="49" spans="1:3" x14ac:dyDescent="0.25">
      <c r="A49" t="s">
        <v>126</v>
      </c>
      <c r="C49" s="4"/>
    </row>
    <row r="50" spans="1:3" x14ac:dyDescent="0.25">
      <c r="A50" t="s">
        <v>127</v>
      </c>
      <c r="B50" t="s">
        <v>30</v>
      </c>
      <c r="C50" s="17">
        <f>C7</f>
        <v>1.7</v>
      </c>
    </row>
    <row r="51" spans="1:3" x14ac:dyDescent="0.25">
      <c r="A51" t="s">
        <v>128</v>
      </c>
      <c r="B51" t="s">
        <v>30</v>
      </c>
      <c r="C51" s="17" t="s">
        <v>129</v>
      </c>
    </row>
    <row r="52" spans="1:3" x14ac:dyDescent="0.25">
      <c r="B52" t="s">
        <v>30</v>
      </c>
      <c r="C52" s="17" t="str">
        <f>C50&amp;" x 2"</f>
        <v>1.7 x 2</v>
      </c>
    </row>
    <row r="53" spans="1:3" x14ac:dyDescent="0.25">
      <c r="B53" t="s">
        <v>30</v>
      </c>
      <c r="C53" s="17">
        <f>C50*2</f>
        <v>3.4</v>
      </c>
    </row>
    <row r="54" spans="1:3" x14ac:dyDescent="0.25">
      <c r="A54" t="s">
        <v>126</v>
      </c>
      <c r="B54" t="s">
        <v>30</v>
      </c>
      <c r="C54" s="4" t="s">
        <v>130</v>
      </c>
    </row>
    <row r="55" spans="1:3" x14ac:dyDescent="0.25">
      <c r="B55" t="s">
        <v>30</v>
      </c>
      <c r="C55" s="4" t="str">
        <f>C53&amp;"/4"</f>
        <v>3.4/4</v>
      </c>
    </row>
    <row r="56" spans="1:3" x14ac:dyDescent="0.25">
      <c r="B56" t="s">
        <v>30</v>
      </c>
      <c r="C56" s="8">
        <f>C53/4</f>
        <v>0.85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8" zoomScale="115" zoomScaleNormal="115" workbookViewId="0">
      <selection activeCell="C28" sqref="C28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5" ht="15.75" x14ac:dyDescent="0.25">
      <c r="A1" s="39" t="s">
        <v>200</v>
      </c>
      <c r="B1" s="39"/>
      <c r="C1" s="39"/>
    </row>
    <row r="2" spans="1:5" ht="15.75" x14ac:dyDescent="0.25">
      <c r="A2" s="37"/>
      <c r="B2" s="37"/>
      <c r="C2" s="23"/>
    </row>
    <row r="3" spans="1:5" x14ac:dyDescent="0.25">
      <c r="A3" t="s">
        <v>201</v>
      </c>
      <c r="B3" t="s">
        <v>202</v>
      </c>
      <c r="C3" s="4" t="s">
        <v>203</v>
      </c>
    </row>
    <row r="4" spans="1:5" ht="15.75" thickBot="1" x14ac:dyDescent="0.3">
      <c r="A4" s="14" t="s">
        <v>204</v>
      </c>
      <c r="B4" s="14" t="s">
        <v>202</v>
      </c>
      <c r="C4" s="15" t="s">
        <v>233</v>
      </c>
    </row>
    <row r="5" spans="1:5" ht="15.75" thickTop="1" x14ac:dyDescent="0.25"/>
    <row r="6" spans="1:5" x14ac:dyDescent="0.25">
      <c r="A6" t="s">
        <v>156</v>
      </c>
    </row>
    <row r="7" spans="1:5" x14ac:dyDescent="0.25">
      <c r="A7" t="s">
        <v>157</v>
      </c>
      <c r="B7" t="s">
        <v>30</v>
      </c>
      <c r="C7" s="17">
        <v>2</v>
      </c>
    </row>
    <row r="8" spans="1:5" x14ac:dyDescent="0.25">
      <c r="A8" t="s">
        <v>158</v>
      </c>
      <c r="B8" t="s">
        <v>30</v>
      </c>
      <c r="C8" s="4">
        <v>2</v>
      </c>
    </row>
    <row r="9" spans="1:5" x14ac:dyDescent="0.25">
      <c r="A9" t="s">
        <v>160</v>
      </c>
      <c r="B9" t="s">
        <v>30</v>
      </c>
      <c r="C9" s="4" t="s">
        <v>159</v>
      </c>
    </row>
    <row r="10" spans="1:5" x14ac:dyDescent="0.25">
      <c r="B10" t="s">
        <v>30</v>
      </c>
      <c r="C10" s="4" t="str">
        <f>C7&amp;" x "&amp;C8</f>
        <v>2 x 2</v>
      </c>
    </row>
    <row r="11" spans="1:5" x14ac:dyDescent="0.25">
      <c r="B11" t="s">
        <v>30</v>
      </c>
      <c r="C11" s="17">
        <f>C7*C8</f>
        <v>4</v>
      </c>
    </row>
    <row r="12" spans="1:5" x14ac:dyDescent="0.25">
      <c r="A12" t="s">
        <v>161</v>
      </c>
      <c r="B12" t="s">
        <v>30</v>
      </c>
      <c r="C12" s="4" t="s">
        <v>162</v>
      </c>
    </row>
    <row r="13" spans="1:5" x14ac:dyDescent="0.25">
      <c r="B13" t="s">
        <v>30</v>
      </c>
      <c r="C13" s="4" t="str">
        <f>C11&amp;" / 4"</f>
        <v>4 / 4</v>
      </c>
    </row>
    <row r="14" spans="1:5" x14ac:dyDescent="0.25">
      <c r="B14" t="s">
        <v>30</v>
      </c>
      <c r="C14" s="9">
        <f>C11/4</f>
        <v>1</v>
      </c>
    </row>
    <row r="16" spans="1:5" x14ac:dyDescent="0.25">
      <c r="A16" t="s">
        <v>163</v>
      </c>
      <c r="E16">
        <v>380</v>
      </c>
    </row>
    <row r="17" spans="1:6" x14ac:dyDescent="0.25">
      <c r="A17" t="s">
        <v>165</v>
      </c>
      <c r="B17" t="s">
        <v>30</v>
      </c>
      <c r="C17" s="17">
        <f>E21/100</f>
        <v>8.35</v>
      </c>
      <c r="E17">
        <v>313</v>
      </c>
    </row>
    <row r="18" spans="1:6" x14ac:dyDescent="0.25">
      <c r="A18" t="s">
        <v>164</v>
      </c>
      <c r="B18" t="s">
        <v>30</v>
      </c>
      <c r="C18" s="4">
        <v>6</v>
      </c>
      <c r="E18">
        <v>32</v>
      </c>
    </row>
    <row r="19" spans="1:6" x14ac:dyDescent="0.25">
      <c r="A19" t="s">
        <v>166</v>
      </c>
      <c r="B19" t="s">
        <v>30</v>
      </c>
      <c r="C19" s="4" t="s">
        <v>167</v>
      </c>
      <c r="E19">
        <v>55</v>
      </c>
    </row>
    <row r="20" spans="1:6" x14ac:dyDescent="0.25">
      <c r="B20" t="s">
        <v>30</v>
      </c>
      <c r="C20" s="4" t="str">
        <f>C17&amp;" x "&amp;C18</f>
        <v>8.35 x 6</v>
      </c>
      <c r="E20">
        <v>55</v>
      </c>
    </row>
    <row r="21" spans="1:6" x14ac:dyDescent="0.25">
      <c r="B21" t="s">
        <v>30</v>
      </c>
      <c r="C21" s="17">
        <f>C17*C18</f>
        <v>50.099999999999994</v>
      </c>
      <c r="E21">
        <f>SUM(E16:E20)</f>
        <v>835</v>
      </c>
      <c r="F21" t="s">
        <v>29</v>
      </c>
    </row>
    <row r="22" spans="1:6" x14ac:dyDescent="0.25">
      <c r="A22" t="s">
        <v>168</v>
      </c>
      <c r="B22" t="s">
        <v>30</v>
      </c>
      <c r="C22" s="4" t="s">
        <v>169</v>
      </c>
    </row>
    <row r="23" spans="1:6" x14ac:dyDescent="0.25">
      <c r="B23" t="s">
        <v>30</v>
      </c>
      <c r="C23" s="4" t="str">
        <f>C21&amp;" / 6"</f>
        <v>50.1 / 6</v>
      </c>
    </row>
    <row r="24" spans="1:6" x14ac:dyDescent="0.25">
      <c r="B24" t="s">
        <v>30</v>
      </c>
      <c r="C24" s="9">
        <f>C21/6</f>
        <v>8.35</v>
      </c>
    </row>
    <row r="27" spans="1:6" x14ac:dyDescent="0.25">
      <c r="A27" t="s">
        <v>170</v>
      </c>
    </row>
    <row r="28" spans="1:6" x14ac:dyDescent="0.25">
      <c r="A28" t="s">
        <v>171</v>
      </c>
      <c r="B28" t="s">
        <v>30</v>
      </c>
      <c r="C28" s="17">
        <f>C7</f>
        <v>2</v>
      </c>
    </row>
    <row r="29" spans="1:6" x14ac:dyDescent="0.25">
      <c r="A29" t="s">
        <v>172</v>
      </c>
      <c r="B29" t="s">
        <v>30</v>
      </c>
      <c r="C29" s="4">
        <v>6</v>
      </c>
    </row>
    <row r="30" spans="1:6" x14ac:dyDescent="0.25">
      <c r="A30" t="s">
        <v>173</v>
      </c>
      <c r="B30" t="s">
        <v>30</v>
      </c>
      <c r="C30" s="4" t="s">
        <v>167</v>
      </c>
    </row>
    <row r="31" spans="1:6" x14ac:dyDescent="0.25">
      <c r="B31" t="s">
        <v>30</v>
      </c>
      <c r="C31" s="4" t="str">
        <f>C28&amp;" x "&amp;C29</f>
        <v>2 x 6</v>
      </c>
    </row>
    <row r="32" spans="1:6" x14ac:dyDescent="0.25">
      <c r="B32" t="s">
        <v>30</v>
      </c>
      <c r="C32" s="17">
        <f>C28*C29</f>
        <v>12</v>
      </c>
    </row>
    <row r="33" spans="1:3" x14ac:dyDescent="0.25">
      <c r="A33" t="s">
        <v>38</v>
      </c>
      <c r="B33" t="s">
        <v>30</v>
      </c>
      <c r="C33" s="4" t="s">
        <v>174</v>
      </c>
    </row>
    <row r="34" spans="1:3" x14ac:dyDescent="0.25">
      <c r="B34" t="s">
        <v>30</v>
      </c>
      <c r="C34" s="4" t="str">
        <f>C32&amp;" / 6"</f>
        <v>12 / 6</v>
      </c>
    </row>
    <row r="35" spans="1:3" x14ac:dyDescent="0.25">
      <c r="B35" t="s">
        <v>30</v>
      </c>
      <c r="C35" s="9">
        <f>C32/6</f>
        <v>2</v>
      </c>
    </row>
    <row r="37" spans="1:3" x14ac:dyDescent="0.25">
      <c r="A37" t="s">
        <v>175</v>
      </c>
    </row>
    <row r="38" spans="1:3" x14ac:dyDescent="0.25">
      <c r="A38" t="s">
        <v>176</v>
      </c>
      <c r="B38" t="s">
        <v>30</v>
      </c>
      <c r="C38" s="25">
        <f>3.8*2</f>
        <v>7.6</v>
      </c>
    </row>
    <row r="39" spans="1:3" x14ac:dyDescent="0.25">
      <c r="A39" t="s">
        <v>179</v>
      </c>
      <c r="B39" t="s">
        <v>30</v>
      </c>
      <c r="C39" s="28">
        <f>0.8*7.24</f>
        <v>5.7920000000000007</v>
      </c>
    </row>
    <row r="40" spans="1:3" x14ac:dyDescent="0.25">
      <c r="A40" t="s">
        <v>177</v>
      </c>
      <c r="B40" t="s">
        <v>30</v>
      </c>
      <c r="C40" s="4" t="s">
        <v>178</v>
      </c>
    </row>
    <row r="41" spans="1:3" x14ac:dyDescent="0.25">
      <c r="B41" t="s">
        <v>30</v>
      </c>
      <c r="C41" s="4" t="str">
        <f>C38&amp;" / "&amp;C39</f>
        <v>7.6 / 5.792</v>
      </c>
    </row>
    <row r="42" spans="1:3" x14ac:dyDescent="0.25">
      <c r="B42" t="s">
        <v>30</v>
      </c>
      <c r="C42" s="8">
        <f>C38/C39</f>
        <v>1.3121546961325965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zoomScale="145" zoomScaleNormal="145" workbookViewId="0">
      <selection activeCell="K24" sqref="K24"/>
    </sheetView>
  </sheetViews>
  <sheetFormatPr defaultRowHeight="15" x14ac:dyDescent="0.25"/>
  <cols>
    <col min="1" max="1" width="5" style="10" customWidth="1"/>
    <col min="2" max="2" width="10.7109375" bestFit="1" customWidth="1"/>
    <col min="3" max="3" width="9.140625" style="10"/>
    <col min="4" max="4" width="11.7109375" style="10" customWidth="1"/>
    <col min="5" max="5" width="12.42578125" bestFit="1" customWidth="1"/>
    <col min="6" max="6" width="13.28515625" bestFit="1" customWidth="1"/>
    <col min="9" max="9" width="11.28515625" bestFit="1" customWidth="1"/>
  </cols>
  <sheetData>
    <row r="2" spans="1:6" s="35" customFormat="1" ht="30" x14ac:dyDescent="0.25">
      <c r="A2" s="34" t="s">
        <v>212</v>
      </c>
      <c r="B2" s="34" t="s">
        <v>213</v>
      </c>
      <c r="C2" s="34" t="s">
        <v>214</v>
      </c>
      <c r="D2" s="34" t="s">
        <v>215</v>
      </c>
      <c r="E2" s="34" t="s">
        <v>216</v>
      </c>
      <c r="F2" s="34" t="s">
        <v>217</v>
      </c>
    </row>
    <row r="3" spans="1:6" x14ac:dyDescent="0.25">
      <c r="A3" s="30">
        <v>1</v>
      </c>
      <c r="B3" s="29" t="s">
        <v>0</v>
      </c>
      <c r="C3" s="30">
        <f>'3. Pekerjaan Pondasi'!C43+'4. Pekerjaan Cor Sloof'!C42+'5. Pekerjaan Tiang Tepi'!C40+'6. Pekerjaan Tiang Tengah'!C41+'7.Pekerjaan Cor Sloof Atas Tepi'!C40+'8. Pek Cor Sloof Ats tengah'!C40+'9. Pekerjaan dinding'!C30+'13. Pekerjaan Lantai'!C23+'13. Pekerjaan Lantai'!C38+'14. Pekerjaan Tiang Teras'!C41+'15. Pek Cor Sloof tiang teras'!C40</f>
        <v>57.634083333333329</v>
      </c>
      <c r="D3" s="30" t="str">
        <f>FIXED(C3,0)</f>
        <v>58</v>
      </c>
      <c r="E3" s="31">
        <v>80000</v>
      </c>
      <c r="F3" s="32">
        <f>D3*E3</f>
        <v>4640000</v>
      </c>
    </row>
    <row r="4" spans="1:6" x14ac:dyDescent="0.25">
      <c r="A4" s="30">
        <v>2</v>
      </c>
      <c r="B4" s="29" t="s">
        <v>1</v>
      </c>
      <c r="C4" s="30">
        <f>'3. Pekerjaan Pondasi'!C47+'4. Pekerjaan Cor Sloof'!C45+'5. Pekerjaan Tiang Tepi'!C44+'6. Pekerjaan Tiang Tengah'!C44+'7.Pekerjaan Cor Sloof Atas Tepi'!C43+'8. Pek Cor Sloof Ats tengah'!C44+'9. Pekerjaan dinding'!C34+'13. Pekerjaan Lantai'!C27+'14. Pekerjaan Tiang Teras'!C44+'15. Pek Cor Sloof tiang teras'!C44</f>
        <v>3.3934689999999992</v>
      </c>
      <c r="D4" s="30" t="str">
        <f t="shared" ref="D4:D21" si="0">FIXED(C4,0)</f>
        <v>3</v>
      </c>
      <c r="E4" s="31">
        <v>220000</v>
      </c>
      <c r="F4" s="32">
        <f t="shared" ref="F4:F21" si="1">D4*E4</f>
        <v>660000</v>
      </c>
    </row>
    <row r="5" spans="1:6" x14ac:dyDescent="0.25">
      <c r="A5" s="30">
        <v>3</v>
      </c>
      <c r="B5" s="29" t="s">
        <v>2</v>
      </c>
      <c r="C5" s="30">
        <f>'4. Pekerjaan Cor Sloof'!C49+'5. Pekerjaan Tiang Tepi'!C48+'6. Pekerjaan Tiang Tengah'!C47+'7.Pekerjaan Cor Sloof Atas Tepi'!C47+'8. Pek Cor Sloof Ats tengah'!C48+'14. Pekerjaan Tiang Teras'!C47+'15. Pek Cor Sloof tiang teras'!C48</f>
        <v>1.294125</v>
      </c>
      <c r="D5" s="30" t="str">
        <f t="shared" si="0"/>
        <v>1</v>
      </c>
      <c r="E5" s="31">
        <v>450000</v>
      </c>
      <c r="F5" s="32">
        <f t="shared" si="1"/>
        <v>450000</v>
      </c>
    </row>
    <row r="6" spans="1:6" x14ac:dyDescent="0.25">
      <c r="A6" s="30">
        <v>4</v>
      </c>
      <c r="B6" s="29" t="s">
        <v>211</v>
      </c>
      <c r="C6" s="33">
        <f>'3. Pekerjaan Pondasi'!C30+'9. Pekerjaan dinding'!C17</f>
        <v>2517</v>
      </c>
      <c r="D6" s="30" t="str">
        <f t="shared" si="0"/>
        <v>2,517</v>
      </c>
      <c r="E6" s="31">
        <v>650</v>
      </c>
      <c r="F6" s="32">
        <f t="shared" si="1"/>
        <v>1636050</v>
      </c>
    </row>
    <row r="7" spans="1:6" x14ac:dyDescent="0.25">
      <c r="A7" s="30">
        <v>5</v>
      </c>
      <c r="B7" s="29" t="s">
        <v>5</v>
      </c>
      <c r="C7" s="30">
        <f>'4. Pekerjaan Cor Sloof'!C17+'5. Pekerjaan Tiang Tepi'!C16+'6. Pekerjaan Tiang Tengah'!C16+'7.Pekerjaan Cor Sloof Atas Tepi'!C15+'8. Pek Cor Sloof Ats tengah'!C14+'14. Pekerjaan Tiang Teras'!C16+'15. Pek Cor Sloof tiang teras'!C24</f>
        <v>25.933333333333334</v>
      </c>
      <c r="D7" s="30" t="str">
        <f t="shared" si="0"/>
        <v>26</v>
      </c>
      <c r="E7" s="31">
        <v>60000</v>
      </c>
      <c r="F7" s="32">
        <f t="shared" si="1"/>
        <v>1560000</v>
      </c>
    </row>
    <row r="8" spans="1:6" x14ac:dyDescent="0.25">
      <c r="A8" s="30">
        <v>6</v>
      </c>
      <c r="B8" s="29" t="s">
        <v>7</v>
      </c>
      <c r="C8" s="30">
        <f>'4. Pekerjaan Cor Sloof'!C31+'5. Pekerjaan Tiang Tepi'!C28+'6. Pekerjaan Tiang Tengah'!C30+'7.Pekerjaan Cor Sloof Atas Tepi'!C30+'8. Pek Cor Sloof Ats tengah'!C28+'14. Pekerjaan Tiang Teras'!C30+'15. Pek Cor Sloof tiang teras'!C28</f>
        <v>35.311111111111117</v>
      </c>
      <c r="D8" s="30" t="str">
        <f t="shared" si="0"/>
        <v>35</v>
      </c>
      <c r="E8" s="31">
        <v>50000</v>
      </c>
      <c r="F8" s="32">
        <f t="shared" si="1"/>
        <v>1750000</v>
      </c>
    </row>
    <row r="9" spans="1:6" x14ac:dyDescent="0.25">
      <c r="A9" s="30">
        <v>7</v>
      </c>
      <c r="B9" s="29" t="s">
        <v>45</v>
      </c>
      <c r="C9" s="30">
        <v>4</v>
      </c>
      <c r="D9" s="30" t="str">
        <f t="shared" si="0"/>
        <v>4</v>
      </c>
      <c r="E9" s="31">
        <v>25000</v>
      </c>
      <c r="F9" s="32">
        <f t="shared" si="1"/>
        <v>100000</v>
      </c>
    </row>
    <row r="10" spans="1:6" x14ac:dyDescent="0.25">
      <c r="A10" s="30">
        <v>8</v>
      </c>
      <c r="B10" s="29" t="s">
        <v>46</v>
      </c>
      <c r="C10" s="30">
        <f>'2. Pekerjaan Bowplank'!C21+'4. Pekerjaan Cor Sloof'!C57+'5. Pekerjaan Tiang Tepi'!C56+'6. Pekerjaan Tiang Tengah'!C55+'7.Pekerjaan Cor Sloof Atas Tepi'!C55+'8. Pek Cor Sloof Ats tengah'!C56+'12. Pek. Pemasangan Listplank'!C11+'14. Pekerjaan Tiang Teras'!C55+'15. Pek Cor Sloof tiang teras'!C56</f>
        <v>37.887500000000003</v>
      </c>
      <c r="D10" s="30" t="str">
        <f t="shared" si="0"/>
        <v>38</v>
      </c>
      <c r="E10" s="31">
        <v>35000</v>
      </c>
      <c r="F10" s="32">
        <f t="shared" si="1"/>
        <v>1330000</v>
      </c>
    </row>
    <row r="11" spans="1:6" x14ac:dyDescent="0.25">
      <c r="A11" s="30">
        <v>9</v>
      </c>
      <c r="B11" s="29" t="s">
        <v>47</v>
      </c>
      <c r="C11" s="30">
        <f>'2. Pekerjaan Bowplank'!C38+'10. Pekerjaan Ram'!C10</f>
        <v>14.81</v>
      </c>
      <c r="D11" s="30" t="str">
        <f t="shared" si="0"/>
        <v>15</v>
      </c>
      <c r="E11" s="31">
        <v>35000</v>
      </c>
      <c r="F11" s="32">
        <f t="shared" si="1"/>
        <v>525000</v>
      </c>
    </row>
    <row r="12" spans="1:6" x14ac:dyDescent="0.25">
      <c r="A12" s="30">
        <v>10</v>
      </c>
      <c r="B12" s="29" t="s">
        <v>48</v>
      </c>
      <c r="C12" s="30">
        <v>6</v>
      </c>
      <c r="D12" s="30" t="str">
        <f t="shared" si="0"/>
        <v>6</v>
      </c>
      <c r="E12" s="31">
        <v>25000</v>
      </c>
      <c r="F12" s="32">
        <f t="shared" si="1"/>
        <v>150000</v>
      </c>
    </row>
    <row r="13" spans="1:6" x14ac:dyDescent="0.25">
      <c r="A13" s="30">
        <v>11</v>
      </c>
      <c r="B13" s="29" t="s">
        <v>49</v>
      </c>
      <c r="C13" s="30">
        <v>5</v>
      </c>
      <c r="D13" s="30" t="str">
        <f t="shared" si="0"/>
        <v>5</v>
      </c>
      <c r="E13" s="31">
        <v>5000</v>
      </c>
      <c r="F13" s="32">
        <f t="shared" si="1"/>
        <v>25000</v>
      </c>
    </row>
    <row r="14" spans="1:6" x14ac:dyDescent="0.25">
      <c r="A14" s="30">
        <v>12</v>
      </c>
      <c r="B14" s="29" t="s">
        <v>50</v>
      </c>
      <c r="C14" s="30">
        <f>'11. Pekerjaan Atap B. Utama'!C24+'16. Pekerjaan Atap teras'!C24</f>
        <v>16.68</v>
      </c>
      <c r="D14" s="30" t="str">
        <f t="shared" si="0"/>
        <v>17</v>
      </c>
      <c r="E14" s="31">
        <v>100000</v>
      </c>
      <c r="F14" s="32">
        <f t="shared" si="1"/>
        <v>1700000</v>
      </c>
    </row>
    <row r="15" spans="1:6" x14ac:dyDescent="0.25">
      <c r="A15" s="30">
        <v>13</v>
      </c>
      <c r="B15" s="29" t="s">
        <v>34</v>
      </c>
      <c r="C15" s="30">
        <f>'11. Pekerjaan Atap B. Utama'!C35+'16. Pekerjaan Atap teras'!C35</f>
        <v>11.9</v>
      </c>
      <c r="D15" s="30" t="str">
        <f t="shared" si="0"/>
        <v>12</v>
      </c>
      <c r="E15" s="31">
        <v>50000</v>
      </c>
      <c r="F15" s="32">
        <f t="shared" si="1"/>
        <v>600000</v>
      </c>
    </row>
    <row r="16" spans="1:6" x14ac:dyDescent="0.25">
      <c r="A16" s="30">
        <v>14</v>
      </c>
      <c r="B16" s="29" t="s">
        <v>51</v>
      </c>
      <c r="C16" s="30">
        <f>'11. Pekerjaan Atap B. Utama'!C42+'16. Pekerjaan Atap teras'!C42</f>
        <v>9.5621546961325947</v>
      </c>
      <c r="D16" s="30" t="str">
        <f t="shared" si="0"/>
        <v>10</v>
      </c>
      <c r="E16" s="31">
        <v>300000</v>
      </c>
      <c r="F16" s="32">
        <f t="shared" si="1"/>
        <v>3000000</v>
      </c>
    </row>
    <row r="17" spans="1:11" x14ac:dyDescent="0.25">
      <c r="A17" s="30">
        <v>15</v>
      </c>
      <c r="B17" s="29" t="s">
        <v>52</v>
      </c>
      <c r="C17" s="30">
        <v>200</v>
      </c>
      <c r="D17" s="30" t="str">
        <f t="shared" si="0"/>
        <v>200</v>
      </c>
      <c r="E17" s="31">
        <v>400</v>
      </c>
      <c r="F17" s="32">
        <f t="shared" si="1"/>
        <v>80000</v>
      </c>
      <c r="I17" s="36">
        <f>26861050-F23</f>
        <v>-2865000</v>
      </c>
    </row>
    <row r="18" spans="1:11" x14ac:dyDescent="0.25">
      <c r="A18" s="30">
        <v>16</v>
      </c>
      <c r="B18" s="29" t="s">
        <v>53</v>
      </c>
      <c r="C18" s="30">
        <v>30</v>
      </c>
      <c r="D18" s="30" t="str">
        <f t="shared" si="0"/>
        <v>30</v>
      </c>
      <c r="E18" s="31">
        <v>10000</v>
      </c>
      <c r="F18" s="32">
        <f t="shared" si="1"/>
        <v>300000</v>
      </c>
    </row>
    <row r="19" spans="1:11" x14ac:dyDescent="0.25">
      <c r="A19" s="30">
        <v>17</v>
      </c>
      <c r="B19" s="29" t="s">
        <v>209</v>
      </c>
      <c r="C19" s="30">
        <f>'13. Pekerjaan Lantai'!C12</f>
        <v>7.4316000000000004</v>
      </c>
      <c r="D19" s="30" t="str">
        <f t="shared" si="0"/>
        <v>7</v>
      </c>
      <c r="E19" s="31">
        <v>100000</v>
      </c>
      <c r="F19" s="32">
        <f t="shared" si="1"/>
        <v>700000</v>
      </c>
      <c r="K19">
        <f>60*120000</f>
        <v>7200000</v>
      </c>
    </row>
    <row r="20" spans="1:11" x14ac:dyDescent="0.25">
      <c r="A20" s="30">
        <v>18</v>
      </c>
      <c r="B20" s="29" t="s">
        <v>218</v>
      </c>
      <c r="C20" s="30">
        <v>1</v>
      </c>
      <c r="D20" s="30">
        <v>1</v>
      </c>
      <c r="E20" s="31">
        <v>2500000</v>
      </c>
      <c r="F20" s="32">
        <f t="shared" si="1"/>
        <v>2500000</v>
      </c>
    </row>
    <row r="21" spans="1:11" x14ac:dyDescent="0.25">
      <c r="A21" s="30">
        <v>19</v>
      </c>
      <c r="B21" s="29" t="s">
        <v>210</v>
      </c>
      <c r="C21" s="30">
        <f>'10. Pekerjaan Ram'!C12</f>
        <v>22</v>
      </c>
      <c r="D21" s="30" t="str">
        <f t="shared" si="0"/>
        <v>22</v>
      </c>
      <c r="E21" s="31">
        <v>30000</v>
      </c>
      <c r="F21" s="32">
        <f t="shared" si="1"/>
        <v>660000</v>
      </c>
      <c r="I21">
        <f>30%*18500000</f>
        <v>5550000</v>
      </c>
    </row>
    <row r="22" spans="1:11" x14ac:dyDescent="0.25">
      <c r="A22" s="30">
        <v>20</v>
      </c>
      <c r="B22" s="29" t="s">
        <v>54</v>
      </c>
      <c r="C22" s="30">
        <v>1</v>
      </c>
      <c r="D22" s="30">
        <v>1</v>
      </c>
      <c r="E22" s="32">
        <v>7360000</v>
      </c>
      <c r="F22" s="32">
        <f>D22*E22</f>
        <v>7360000</v>
      </c>
      <c r="K22" s="43">
        <f>F22/120000</f>
        <v>61.333333333333336</v>
      </c>
    </row>
    <row r="23" spans="1:11" x14ac:dyDescent="0.25">
      <c r="A23" s="30"/>
      <c r="B23" s="40" t="s">
        <v>217</v>
      </c>
      <c r="C23" s="41"/>
      <c r="D23" s="41"/>
      <c r="E23" s="42"/>
      <c r="F23" s="32">
        <f>SUM(F3:F22)</f>
        <v>29726050</v>
      </c>
    </row>
    <row r="24" spans="1:11" x14ac:dyDescent="0.25">
      <c r="E24" t="s">
        <v>219</v>
      </c>
      <c r="F24">
        <v>450000</v>
      </c>
    </row>
    <row r="25" spans="1:11" x14ac:dyDescent="0.25">
      <c r="F25" s="36">
        <f>F23+F24</f>
        <v>30176050</v>
      </c>
    </row>
  </sheetData>
  <mergeCells count="1">
    <mergeCell ref="B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5" workbookViewId="0">
      <selection activeCell="C8" sqref="C8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1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205</v>
      </c>
    </row>
    <row r="5" spans="1:3" ht="15.75" thickTop="1" x14ac:dyDescent="0.25">
      <c r="A5" s="11"/>
      <c r="B5" s="11"/>
      <c r="C5" s="12"/>
    </row>
    <row r="6" spans="1:3" x14ac:dyDescent="0.25">
      <c r="A6" s="1" t="s">
        <v>206</v>
      </c>
    </row>
    <row r="7" spans="1:3" x14ac:dyDescent="0.25">
      <c r="A7" t="s">
        <v>71</v>
      </c>
      <c r="B7" t="s">
        <v>30</v>
      </c>
      <c r="C7" s="6">
        <v>6</v>
      </c>
    </row>
    <row r="8" spans="1:3" x14ac:dyDescent="0.25">
      <c r="A8" t="s">
        <v>72</v>
      </c>
      <c r="B8" t="s">
        <v>30</v>
      </c>
      <c r="C8" s="6">
        <v>7.7</v>
      </c>
    </row>
    <row r="9" spans="1:3" x14ac:dyDescent="0.25">
      <c r="A9" t="s">
        <v>73</v>
      </c>
      <c r="B9" t="s">
        <v>30</v>
      </c>
      <c r="C9" s="4" t="s">
        <v>62</v>
      </c>
    </row>
    <row r="10" spans="1:3" x14ac:dyDescent="0.25">
      <c r="B10" t="s">
        <v>30</v>
      </c>
      <c r="C10" s="6" t="str">
        <f>C7&amp;" +(1)"</f>
        <v>6 +(1)</v>
      </c>
    </row>
    <row r="11" spans="1:3" x14ac:dyDescent="0.25">
      <c r="B11" t="s">
        <v>30</v>
      </c>
      <c r="C11" s="6">
        <f>C7+(1)</f>
        <v>7</v>
      </c>
    </row>
    <row r="12" spans="1:3" x14ac:dyDescent="0.25">
      <c r="A12" t="s">
        <v>74</v>
      </c>
      <c r="B12" t="s">
        <v>30</v>
      </c>
      <c r="C12" s="4" t="s">
        <v>58</v>
      </c>
    </row>
    <row r="13" spans="1:3" x14ac:dyDescent="0.25">
      <c r="B13" t="s">
        <v>30</v>
      </c>
      <c r="C13" s="4" t="str">
        <f>C8&amp;" +(1+1)"</f>
        <v>7.7 +(1+1)</v>
      </c>
    </row>
    <row r="14" spans="1:3" x14ac:dyDescent="0.25">
      <c r="B14" t="s">
        <v>30</v>
      </c>
      <c r="C14" s="6">
        <f>C8+(1+1)</f>
        <v>9.6999999999999993</v>
      </c>
    </row>
    <row r="16" spans="1:3" x14ac:dyDescent="0.25">
      <c r="A16" t="s">
        <v>56</v>
      </c>
      <c r="B16" t="s">
        <v>30</v>
      </c>
      <c r="C16" s="4" t="s">
        <v>75</v>
      </c>
    </row>
    <row r="17" spans="1:3" x14ac:dyDescent="0.25">
      <c r="B17" t="s">
        <v>30</v>
      </c>
      <c r="C17" s="6">
        <f>(C11*2)+C14</f>
        <v>23.7</v>
      </c>
    </row>
    <row r="18" spans="1:3" x14ac:dyDescent="0.25">
      <c r="A18" t="s">
        <v>57</v>
      </c>
      <c r="B18" t="s">
        <v>30</v>
      </c>
      <c r="C18" s="6">
        <v>4</v>
      </c>
    </row>
    <row r="19" spans="1:3" x14ac:dyDescent="0.25">
      <c r="A19" t="s">
        <v>55</v>
      </c>
      <c r="B19" t="s">
        <v>30</v>
      </c>
      <c r="C19" s="4" t="s">
        <v>63</v>
      </c>
    </row>
    <row r="20" spans="1:3" x14ac:dyDescent="0.25">
      <c r="B20" t="s">
        <v>30</v>
      </c>
      <c r="C20" s="4" t="str">
        <f>C17&amp;" / "&amp;C18</f>
        <v>23.7 / 4</v>
      </c>
    </row>
    <row r="21" spans="1:3" x14ac:dyDescent="0.25">
      <c r="B21" t="s">
        <v>30</v>
      </c>
      <c r="C21" s="8">
        <f>C17/C18</f>
        <v>5.9249999999999998</v>
      </c>
    </row>
    <row r="23" spans="1:3" x14ac:dyDescent="0.25">
      <c r="A23" s="1" t="s">
        <v>207</v>
      </c>
    </row>
    <row r="24" spans="1:3" x14ac:dyDescent="0.25">
      <c r="A24" t="s">
        <v>59</v>
      </c>
      <c r="B24" t="s">
        <v>30</v>
      </c>
      <c r="C24" s="6">
        <v>1</v>
      </c>
    </row>
    <row r="25" spans="1:3" x14ac:dyDescent="0.25">
      <c r="A25" t="s">
        <v>60</v>
      </c>
      <c r="B25" t="s">
        <v>30</v>
      </c>
      <c r="C25" s="6">
        <v>2</v>
      </c>
    </row>
    <row r="26" spans="1:3" x14ac:dyDescent="0.25">
      <c r="A26" t="s">
        <v>61</v>
      </c>
      <c r="B26" t="s">
        <v>30</v>
      </c>
      <c r="C26" s="4" t="s">
        <v>65</v>
      </c>
    </row>
    <row r="27" spans="1:3" x14ac:dyDescent="0.25">
      <c r="B27" t="s">
        <v>30</v>
      </c>
      <c r="C27" s="4" t="str">
        <f>C17&amp;" / "&amp;C25&amp;" +1"</f>
        <v>23.7 / 2 +1</v>
      </c>
    </row>
    <row r="28" spans="1:3" x14ac:dyDescent="0.25">
      <c r="B28" t="s">
        <v>30</v>
      </c>
      <c r="C28" s="6">
        <f>C17/C25+1</f>
        <v>12.85</v>
      </c>
    </row>
    <row r="29" spans="1:3" x14ac:dyDescent="0.25">
      <c r="C29" s="6"/>
    </row>
    <row r="30" spans="1:3" x14ac:dyDescent="0.25">
      <c r="A30" t="s">
        <v>76</v>
      </c>
      <c r="B30" t="s">
        <v>30</v>
      </c>
      <c r="C30" s="6" t="s">
        <v>64</v>
      </c>
    </row>
    <row r="31" spans="1:3" x14ac:dyDescent="0.25">
      <c r="B31" t="s">
        <v>30</v>
      </c>
      <c r="C31" s="6" t="str">
        <f>C24&amp;" x "&amp;C28</f>
        <v>1 x 12.85</v>
      </c>
    </row>
    <row r="32" spans="1:3" x14ac:dyDescent="0.25">
      <c r="B32" t="s">
        <v>30</v>
      </c>
      <c r="C32" s="6">
        <f>C24*C28</f>
        <v>12.85</v>
      </c>
    </row>
    <row r="34" spans="1:3" x14ac:dyDescent="0.25">
      <c r="A34" t="s">
        <v>68</v>
      </c>
      <c r="B34" t="s">
        <v>30</v>
      </c>
      <c r="C34" s="6">
        <v>4</v>
      </c>
    </row>
    <row r="36" spans="1:3" x14ac:dyDescent="0.25">
      <c r="A36" t="s">
        <v>66</v>
      </c>
      <c r="B36" t="s">
        <v>30</v>
      </c>
      <c r="C36" s="4" t="s">
        <v>67</v>
      </c>
    </row>
    <row r="37" spans="1:3" x14ac:dyDescent="0.25">
      <c r="B37" t="s">
        <v>30</v>
      </c>
      <c r="C37" s="4" t="str">
        <f>C32&amp;" /"&amp;C34</f>
        <v>12.85 /4</v>
      </c>
    </row>
    <row r="38" spans="1:3" x14ac:dyDescent="0.25">
      <c r="B38" t="s">
        <v>30</v>
      </c>
      <c r="C38" s="9">
        <f>C32/C34</f>
        <v>3.2124999999999999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34" workbookViewId="0">
      <selection activeCell="C7" sqref="C7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1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208</v>
      </c>
    </row>
    <row r="5" spans="1:3" ht="15.75" thickTop="1" x14ac:dyDescent="0.25">
      <c r="A5" s="11"/>
      <c r="B5" s="11"/>
      <c r="C5" s="12"/>
    </row>
    <row r="6" spans="1:3" x14ac:dyDescent="0.25">
      <c r="A6" s="1" t="s">
        <v>69</v>
      </c>
    </row>
    <row r="7" spans="1:3" x14ac:dyDescent="0.25">
      <c r="A7" t="s">
        <v>77</v>
      </c>
      <c r="B7" t="s">
        <v>30</v>
      </c>
      <c r="C7" s="4" t="s">
        <v>70</v>
      </c>
    </row>
    <row r="8" spans="1:3" x14ac:dyDescent="0.25">
      <c r="B8" t="s">
        <v>30</v>
      </c>
      <c r="C8" s="4" t="str">
        <f>"("&amp;'2. Pekerjaan Bowplank'!C7&amp;" x 2 )+"&amp;'2. Pekerjaan Bowplank'!C8</f>
        <v>(6 x 2 )+7.7</v>
      </c>
    </row>
    <row r="9" spans="1:3" x14ac:dyDescent="0.25">
      <c r="B9" t="s">
        <v>30</v>
      </c>
      <c r="C9" s="7">
        <v>22.2</v>
      </c>
    </row>
    <row r="11" spans="1:3" x14ac:dyDescent="0.25">
      <c r="A11" t="s">
        <v>78</v>
      </c>
      <c r="B11" t="s">
        <v>30</v>
      </c>
      <c r="C11" s="7">
        <v>0.5</v>
      </c>
    </row>
    <row r="12" spans="1:3" x14ac:dyDescent="0.25">
      <c r="A12" t="s">
        <v>80</v>
      </c>
      <c r="B12" t="s">
        <v>30</v>
      </c>
      <c r="C12" s="7">
        <v>0.3</v>
      </c>
    </row>
    <row r="14" spans="1:3" x14ac:dyDescent="0.25">
      <c r="A14" t="s">
        <v>79</v>
      </c>
      <c r="B14" t="s">
        <v>30</v>
      </c>
      <c r="C14" s="4" t="s">
        <v>81</v>
      </c>
    </row>
    <row r="15" spans="1:3" x14ac:dyDescent="0.25">
      <c r="B15" t="s">
        <v>30</v>
      </c>
      <c r="C15" s="4" t="str">
        <f>C9&amp;" x "&amp;C11&amp;" x "&amp;" x "&amp;C12</f>
        <v>22.2 x 0.5 x  x 0.3</v>
      </c>
    </row>
    <row r="16" spans="1:3" x14ac:dyDescent="0.25">
      <c r="B16" t="s">
        <v>30</v>
      </c>
      <c r="C16" s="16">
        <f>C9*C11*C12</f>
        <v>3.3299999999999996</v>
      </c>
    </row>
    <row r="18" spans="1:3" x14ac:dyDescent="0.25">
      <c r="A18" s="1" t="s">
        <v>87</v>
      </c>
    </row>
    <row r="19" spans="1:3" x14ac:dyDescent="0.25">
      <c r="A19" t="s">
        <v>82</v>
      </c>
      <c r="B19" t="s">
        <v>30</v>
      </c>
      <c r="C19" s="7">
        <f>C9</f>
        <v>22.2</v>
      </c>
    </row>
    <row r="20" spans="1:3" x14ac:dyDescent="0.25">
      <c r="A20" t="s">
        <v>83</v>
      </c>
      <c r="B20" t="s">
        <v>30</v>
      </c>
      <c r="C20" s="17">
        <v>0.34</v>
      </c>
    </row>
    <row r="21" spans="1:3" x14ac:dyDescent="0.25">
      <c r="A21" t="s">
        <v>84</v>
      </c>
      <c r="B21" t="s">
        <v>30</v>
      </c>
      <c r="C21" s="17">
        <v>0.3</v>
      </c>
    </row>
    <row r="23" spans="1:3" x14ac:dyDescent="0.25">
      <c r="A23" t="s">
        <v>85</v>
      </c>
      <c r="B23" t="s">
        <v>30</v>
      </c>
      <c r="C23" s="4" t="s">
        <v>86</v>
      </c>
    </row>
    <row r="24" spans="1:3" x14ac:dyDescent="0.25">
      <c r="B24" t="s">
        <v>30</v>
      </c>
      <c r="C24" s="4" t="str">
        <f>C19&amp;" x "&amp;C20&amp;" x " &amp;C21</f>
        <v>22.2 x 0.34 x 0.3</v>
      </c>
    </row>
    <row r="25" spans="1:3" x14ac:dyDescent="0.25">
      <c r="B25" t="s">
        <v>30</v>
      </c>
      <c r="C25" s="18">
        <f>C19*C20*C21</f>
        <v>2.2643999999999997</v>
      </c>
    </row>
    <row r="27" spans="1:3" x14ac:dyDescent="0.25">
      <c r="A27" t="s">
        <v>89</v>
      </c>
      <c r="B27" t="s">
        <v>30</v>
      </c>
      <c r="C27" s="5">
        <f>0.17*0.1*0.1</f>
        <v>1.7000000000000001E-3</v>
      </c>
    </row>
    <row r="28" spans="1:3" x14ac:dyDescent="0.25">
      <c r="A28" t="s">
        <v>92</v>
      </c>
      <c r="B28" t="s">
        <v>30</v>
      </c>
      <c r="C28" s="4" t="s">
        <v>88</v>
      </c>
    </row>
    <row r="29" spans="1:3" x14ac:dyDescent="0.25">
      <c r="B29" t="s">
        <v>30</v>
      </c>
      <c r="C29" s="4" t="str">
        <f>C25&amp;" / "&amp;C27</f>
        <v>2.2644 / 0.0017</v>
      </c>
    </row>
    <row r="30" spans="1:3" x14ac:dyDescent="0.25">
      <c r="B30" t="s">
        <v>30</v>
      </c>
      <c r="C30" s="19">
        <f>C25/C27</f>
        <v>1331.9999999999998</v>
      </c>
    </row>
    <row r="32" spans="1:3" x14ac:dyDescent="0.25">
      <c r="A32" t="s">
        <v>90</v>
      </c>
      <c r="B32" t="s">
        <v>30</v>
      </c>
      <c r="C32" s="21">
        <f>0.16*0.08*0.08</f>
        <v>1.0240000000000002E-3</v>
      </c>
    </row>
    <row r="34" spans="1:3" x14ac:dyDescent="0.25">
      <c r="A34" t="s">
        <v>91</v>
      </c>
      <c r="B34" t="s">
        <v>30</v>
      </c>
      <c r="C34" s="4" t="s">
        <v>93</v>
      </c>
    </row>
    <row r="35" spans="1:3" x14ac:dyDescent="0.25">
      <c r="B35" t="s">
        <v>30</v>
      </c>
      <c r="C35" s="4" t="str">
        <f>C30&amp; " x " &amp;C32</f>
        <v>1332 x 0.001024</v>
      </c>
    </row>
    <row r="36" spans="1:3" x14ac:dyDescent="0.25">
      <c r="B36" t="s">
        <v>30</v>
      </c>
      <c r="C36" s="21">
        <f>C30*C32</f>
        <v>1.3639680000000001</v>
      </c>
    </row>
    <row r="38" spans="1:3" x14ac:dyDescent="0.25">
      <c r="A38" t="s">
        <v>94</v>
      </c>
      <c r="B38" t="s">
        <v>30</v>
      </c>
      <c r="C38" s="4" t="s">
        <v>95</v>
      </c>
    </row>
    <row r="39" spans="1:3" x14ac:dyDescent="0.25">
      <c r="B39" t="s">
        <v>30</v>
      </c>
      <c r="C39" s="21">
        <f>C25-C36</f>
        <v>0.90043199999999968</v>
      </c>
    </row>
    <row r="41" spans="1:3" x14ac:dyDescent="0.25">
      <c r="A41" t="s">
        <v>97</v>
      </c>
      <c r="B41" t="s">
        <v>30</v>
      </c>
      <c r="C41" s="4" t="s">
        <v>98</v>
      </c>
    </row>
    <row r="42" spans="1:3" x14ac:dyDescent="0.25">
      <c r="B42" t="s">
        <v>30</v>
      </c>
      <c r="C42" s="4" t="str">
        <f>"1/4 x "&amp;C39&amp;"/0.024"</f>
        <v>1/4 x 0.900432/0.024</v>
      </c>
    </row>
    <row r="43" spans="1:3" x14ac:dyDescent="0.25">
      <c r="B43" t="s">
        <v>30</v>
      </c>
      <c r="C43" s="22">
        <f>1/4*C39/0.024</f>
        <v>9.3794999999999966</v>
      </c>
    </row>
    <row r="45" spans="1:3" x14ac:dyDescent="0.25">
      <c r="A45" t="s">
        <v>99</v>
      </c>
      <c r="B45" t="s">
        <v>30</v>
      </c>
      <c r="C45" s="4" t="s">
        <v>100</v>
      </c>
    </row>
    <row r="46" spans="1:3" x14ac:dyDescent="0.25">
      <c r="B46" t="s">
        <v>30</v>
      </c>
      <c r="C46" s="4" t="str">
        <f>"3/4 x "&amp;C39</f>
        <v>3/4 x 0.900432</v>
      </c>
    </row>
    <row r="47" spans="1:3" x14ac:dyDescent="0.25">
      <c r="B47" t="s">
        <v>30</v>
      </c>
      <c r="C47" s="21">
        <f>3/4*C39</f>
        <v>0.67532399999999981</v>
      </c>
    </row>
  </sheetData>
  <mergeCells count="1">
    <mergeCell ref="A1:C1"/>
  </mergeCells>
  <pageMargins left="0.7" right="0.7" top="0.75" bottom="0.75" header="0.3" footer="0.3"/>
  <pageSetup paperSize="256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4" zoomScale="115" zoomScaleNormal="115" workbookViewId="0">
      <selection activeCell="C67" sqref="C67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220</v>
      </c>
    </row>
    <row r="5" spans="1:3" ht="15.75" thickTop="1" x14ac:dyDescent="0.25"/>
    <row r="7" spans="1:3" x14ac:dyDescent="0.25">
      <c r="A7" s="1" t="s">
        <v>101</v>
      </c>
    </row>
    <row r="8" spans="1:3" x14ac:dyDescent="0.25">
      <c r="A8" s="3" t="s">
        <v>102</v>
      </c>
    </row>
    <row r="9" spans="1:3" x14ac:dyDescent="0.25">
      <c r="A9" t="s">
        <v>103</v>
      </c>
      <c r="B9" t="s">
        <v>30</v>
      </c>
      <c r="C9" s="6">
        <v>23</v>
      </c>
    </row>
    <row r="10" spans="1:3" x14ac:dyDescent="0.25">
      <c r="A10" t="s">
        <v>104</v>
      </c>
      <c r="B10" t="s">
        <v>30</v>
      </c>
      <c r="C10" s="4">
        <v>4</v>
      </c>
    </row>
    <row r="11" spans="1:3" x14ac:dyDescent="0.25">
      <c r="A11" t="s">
        <v>107</v>
      </c>
      <c r="B11" t="s">
        <v>30</v>
      </c>
      <c r="C11" s="4" t="s">
        <v>105</v>
      </c>
    </row>
    <row r="12" spans="1:3" x14ac:dyDescent="0.25">
      <c r="B12" t="s">
        <v>30</v>
      </c>
      <c r="C12" s="4" t="str">
        <f>C9&amp;" x "&amp;C10</f>
        <v>23 x 4</v>
      </c>
    </row>
    <row r="13" spans="1:3" x14ac:dyDescent="0.25">
      <c r="B13" t="s">
        <v>30</v>
      </c>
      <c r="C13" s="6">
        <f>C9*C10</f>
        <v>92</v>
      </c>
    </row>
    <row r="15" spans="1:3" x14ac:dyDescent="0.25">
      <c r="A15" t="s">
        <v>106</v>
      </c>
      <c r="B15" t="s">
        <v>30</v>
      </c>
      <c r="C15" s="4" t="s">
        <v>108</v>
      </c>
    </row>
    <row r="16" spans="1:3" x14ac:dyDescent="0.25">
      <c r="B16" t="s">
        <v>30</v>
      </c>
      <c r="C16" s="4" t="str">
        <f>C13&amp;" / 12"</f>
        <v>92 / 12</v>
      </c>
    </row>
    <row r="17" spans="1:3" x14ac:dyDescent="0.25">
      <c r="B17" t="s">
        <v>30</v>
      </c>
      <c r="C17" s="9">
        <f>C13/12</f>
        <v>7.666666666666667</v>
      </c>
    </row>
    <row r="18" spans="1:3" x14ac:dyDescent="0.25">
      <c r="A18" t="s">
        <v>13</v>
      </c>
    </row>
    <row r="19" spans="1:3" x14ac:dyDescent="0.25">
      <c r="A19" t="s">
        <v>109</v>
      </c>
      <c r="B19" t="s">
        <v>30</v>
      </c>
      <c r="C19" s="17">
        <f>(0.15*4)+0.1</f>
        <v>0.7</v>
      </c>
    </row>
    <row r="20" spans="1:3" x14ac:dyDescent="0.25">
      <c r="A20" t="s">
        <v>112</v>
      </c>
      <c r="B20" t="s">
        <v>30</v>
      </c>
      <c r="C20" s="17">
        <v>0.15</v>
      </c>
    </row>
    <row r="21" spans="1:3" x14ac:dyDescent="0.25">
      <c r="A21" t="s">
        <v>110</v>
      </c>
      <c r="B21" t="s">
        <v>30</v>
      </c>
      <c r="C21" s="4" t="s">
        <v>111</v>
      </c>
    </row>
    <row r="22" spans="1:3" x14ac:dyDescent="0.25">
      <c r="B22" t="s">
        <v>30</v>
      </c>
      <c r="C22" s="4" t="str">
        <f>"("&amp;C13&amp;"/"&amp;C20&amp;")+1"</f>
        <v>(92/0.15)+1</v>
      </c>
    </row>
    <row r="23" spans="1:3" x14ac:dyDescent="0.25">
      <c r="B23" t="s">
        <v>30</v>
      </c>
      <c r="C23" s="19">
        <f>(C9/C20)+1</f>
        <v>154.33333333333334</v>
      </c>
    </row>
    <row r="25" spans="1:3" x14ac:dyDescent="0.25">
      <c r="A25" t="s">
        <v>113</v>
      </c>
      <c r="B25" t="s">
        <v>30</v>
      </c>
      <c r="C25" s="4" t="s">
        <v>114</v>
      </c>
    </row>
    <row r="26" spans="1:3" x14ac:dyDescent="0.25">
      <c r="B26" t="s">
        <v>30</v>
      </c>
      <c r="C26" s="4" t="str">
        <f>C19&amp;" x "&amp;C23</f>
        <v>0.7 x 154.333333333333</v>
      </c>
    </row>
    <row r="27" spans="1:3" x14ac:dyDescent="0.25">
      <c r="B27" t="s">
        <v>30</v>
      </c>
      <c r="C27" s="17">
        <f>C19*C23</f>
        <v>108.03333333333333</v>
      </c>
    </row>
    <row r="29" spans="1:3" x14ac:dyDescent="0.25">
      <c r="A29" t="s">
        <v>13</v>
      </c>
      <c r="B29" t="s">
        <v>30</v>
      </c>
      <c r="C29" s="4" t="s">
        <v>115</v>
      </c>
    </row>
    <row r="30" spans="1:3" x14ac:dyDescent="0.25">
      <c r="B30" t="s">
        <v>30</v>
      </c>
      <c r="C30" s="4" t="str">
        <f>C27&amp;" / 6"</f>
        <v>108.033333333333 / 6</v>
      </c>
    </row>
    <row r="31" spans="1:3" x14ac:dyDescent="0.25">
      <c r="B31" t="s">
        <v>30</v>
      </c>
      <c r="C31" s="9">
        <f>C27/6</f>
        <v>18.005555555555556</v>
      </c>
    </row>
    <row r="32" spans="1:3" x14ac:dyDescent="0.25">
      <c r="A32" s="3" t="s">
        <v>221</v>
      </c>
    </row>
    <row r="33" spans="1:3" x14ac:dyDescent="0.25">
      <c r="A33" t="s">
        <v>117</v>
      </c>
      <c r="B33" t="s">
        <v>30</v>
      </c>
      <c r="C33" s="17">
        <f>C9</f>
        <v>23</v>
      </c>
    </row>
    <row r="34" spans="1:3" x14ac:dyDescent="0.25">
      <c r="A34" t="s">
        <v>118</v>
      </c>
      <c r="B34" t="s">
        <v>30</v>
      </c>
      <c r="C34" s="17">
        <v>0.2</v>
      </c>
    </row>
    <row r="35" spans="1:3" x14ac:dyDescent="0.25">
      <c r="A35" t="s">
        <v>119</v>
      </c>
      <c r="B35" t="s">
        <v>30</v>
      </c>
      <c r="C35" s="17">
        <v>0.2</v>
      </c>
    </row>
    <row r="37" spans="1:3" x14ac:dyDescent="0.25">
      <c r="A37" t="s">
        <v>120</v>
      </c>
      <c r="B37" t="s">
        <v>30</v>
      </c>
      <c r="C37" s="4" t="s">
        <v>121</v>
      </c>
    </row>
    <row r="38" spans="1:3" x14ac:dyDescent="0.25">
      <c r="B38" t="s">
        <v>30</v>
      </c>
      <c r="C38" s="4" t="str">
        <f>C33&amp;" x "&amp;C34&amp;" x "&amp;C35</f>
        <v>23 x 0.2 x 0.2</v>
      </c>
    </row>
    <row r="39" spans="1:3" x14ac:dyDescent="0.25">
      <c r="B39" t="s">
        <v>30</v>
      </c>
      <c r="C39" s="18">
        <f>C33*C34*C35</f>
        <v>0.92000000000000015</v>
      </c>
    </row>
    <row r="40" spans="1:3" x14ac:dyDescent="0.25">
      <c r="A40" t="s">
        <v>97</v>
      </c>
      <c r="B40" t="s">
        <v>30</v>
      </c>
      <c r="C40" s="4" t="s">
        <v>123</v>
      </c>
    </row>
    <row r="41" spans="1:3" x14ac:dyDescent="0.25">
      <c r="B41" t="s">
        <v>30</v>
      </c>
      <c r="C41" s="4" t="str">
        <f>"1/4 x "&amp;C39&amp;" /0.024"</f>
        <v>1/4 x 0.92 /0.024</v>
      </c>
    </row>
    <row r="42" spans="1:3" x14ac:dyDescent="0.25">
      <c r="B42" t="s">
        <v>30</v>
      </c>
      <c r="C42" s="24">
        <f>1/4*C39/0.024</f>
        <v>9.5833333333333339</v>
      </c>
    </row>
    <row r="43" spans="1:3" x14ac:dyDescent="0.25">
      <c r="A43" t="s">
        <v>96</v>
      </c>
      <c r="B43" t="s">
        <v>30</v>
      </c>
      <c r="C43" s="4" t="s">
        <v>125</v>
      </c>
    </row>
    <row r="44" spans="1:3" x14ac:dyDescent="0.25">
      <c r="B44" t="s">
        <v>30</v>
      </c>
      <c r="C44" s="4" t="str">
        <f>"2/4 x "&amp;C39</f>
        <v>2/4 x 0.92</v>
      </c>
    </row>
    <row r="45" spans="1:3" x14ac:dyDescent="0.25">
      <c r="B45" t="s">
        <v>30</v>
      </c>
      <c r="C45" s="18">
        <f>2/4*C39</f>
        <v>0.46000000000000008</v>
      </c>
    </row>
    <row r="47" spans="1:3" x14ac:dyDescent="0.25">
      <c r="A47" t="s">
        <v>122</v>
      </c>
      <c r="B47" t="s">
        <v>30</v>
      </c>
      <c r="C47" s="4" t="s">
        <v>124</v>
      </c>
    </row>
    <row r="48" spans="1:3" x14ac:dyDescent="0.25">
      <c r="B48" t="s">
        <v>30</v>
      </c>
      <c r="C48" s="4" t="str">
        <f>"3/4 x "&amp;C39</f>
        <v>3/4 x 0.92</v>
      </c>
    </row>
    <row r="49" spans="1:3" x14ac:dyDescent="0.25">
      <c r="B49" t="s">
        <v>30</v>
      </c>
      <c r="C49" s="18">
        <f>3/4*C39</f>
        <v>0.69000000000000017</v>
      </c>
    </row>
    <row r="50" spans="1:3" x14ac:dyDescent="0.25">
      <c r="A50" t="s">
        <v>126</v>
      </c>
    </row>
    <row r="51" spans="1:3" x14ac:dyDescent="0.25">
      <c r="A51" t="s">
        <v>127</v>
      </c>
      <c r="B51" t="s">
        <v>30</v>
      </c>
      <c r="C51" s="17">
        <f>C9</f>
        <v>23</v>
      </c>
    </row>
    <row r="52" spans="1:3" x14ac:dyDescent="0.25">
      <c r="A52" t="s">
        <v>128</v>
      </c>
      <c r="B52" t="s">
        <v>30</v>
      </c>
      <c r="C52" s="4" t="s">
        <v>129</v>
      </c>
    </row>
    <row r="53" spans="1:3" x14ac:dyDescent="0.25">
      <c r="B53" t="s">
        <v>30</v>
      </c>
      <c r="C53" s="4" t="str">
        <f>C51&amp;" x 2"</f>
        <v>23 x 2</v>
      </c>
    </row>
    <row r="54" spans="1:3" x14ac:dyDescent="0.25">
      <c r="B54" t="s">
        <v>30</v>
      </c>
      <c r="C54" s="17">
        <f>C51*2</f>
        <v>46</v>
      </c>
    </row>
    <row r="55" spans="1:3" x14ac:dyDescent="0.25">
      <c r="A55" t="s">
        <v>126</v>
      </c>
      <c r="B55" t="s">
        <v>30</v>
      </c>
      <c r="C55" s="4" t="s">
        <v>130</v>
      </c>
    </row>
    <row r="56" spans="1:3" x14ac:dyDescent="0.25">
      <c r="B56" t="s">
        <v>30</v>
      </c>
      <c r="C56" s="4" t="str">
        <f>C54&amp;"/4"</f>
        <v>46/4</v>
      </c>
    </row>
    <row r="57" spans="1:3" x14ac:dyDescent="0.25">
      <c r="B57" t="s">
        <v>30</v>
      </c>
      <c r="C57" s="8">
        <f>C54/4</f>
        <v>11.5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C19" sqref="C19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222</v>
      </c>
    </row>
    <row r="5" spans="1:3" ht="15.75" thickTop="1" x14ac:dyDescent="0.25"/>
    <row r="6" spans="1:3" x14ac:dyDescent="0.25">
      <c r="A6" s="3" t="s">
        <v>102</v>
      </c>
    </row>
    <row r="7" spans="1:3" x14ac:dyDescent="0.25">
      <c r="A7" t="s">
        <v>136</v>
      </c>
      <c r="B7" t="s">
        <v>30</v>
      </c>
      <c r="C7" s="6">
        <v>2.6</v>
      </c>
    </row>
    <row r="8" spans="1:3" x14ac:dyDescent="0.25">
      <c r="A8" t="s">
        <v>104</v>
      </c>
      <c r="B8" t="s">
        <v>30</v>
      </c>
      <c r="C8" s="6">
        <v>4</v>
      </c>
    </row>
    <row r="9" spans="1:3" x14ac:dyDescent="0.25">
      <c r="A9" t="s">
        <v>107</v>
      </c>
      <c r="B9" t="s">
        <v>30</v>
      </c>
      <c r="C9" s="6" t="s">
        <v>137</v>
      </c>
    </row>
    <row r="10" spans="1:3" x14ac:dyDescent="0.25">
      <c r="B10" t="s">
        <v>30</v>
      </c>
      <c r="C10" s="6" t="str">
        <f>C7&amp;" x "&amp;C8</f>
        <v>2.6 x 4</v>
      </c>
    </row>
    <row r="11" spans="1:3" x14ac:dyDescent="0.25">
      <c r="B11" t="s">
        <v>30</v>
      </c>
      <c r="C11" s="17">
        <f>C7*C8</f>
        <v>10.4</v>
      </c>
    </row>
    <row r="12" spans="1:3" x14ac:dyDescent="0.25">
      <c r="A12" t="s">
        <v>139</v>
      </c>
      <c r="B12" t="s">
        <v>30</v>
      </c>
      <c r="C12" s="4">
        <v>3</v>
      </c>
    </row>
    <row r="14" spans="1:3" x14ac:dyDescent="0.25">
      <c r="A14" t="s">
        <v>106</v>
      </c>
      <c r="B14" t="s">
        <v>30</v>
      </c>
      <c r="C14" s="4" t="s">
        <v>140</v>
      </c>
    </row>
    <row r="15" spans="1:3" x14ac:dyDescent="0.25">
      <c r="B15" t="s">
        <v>30</v>
      </c>
      <c r="C15" s="4" t="str">
        <f>C11&amp;" / 12 x "&amp;C12</f>
        <v>10.4 / 12 x 3</v>
      </c>
    </row>
    <row r="16" spans="1:3" x14ac:dyDescent="0.25">
      <c r="B16" t="s">
        <v>30</v>
      </c>
      <c r="C16" s="9">
        <f>C11/12*3</f>
        <v>2.6</v>
      </c>
    </row>
    <row r="17" spans="1:3" x14ac:dyDescent="0.25">
      <c r="A17" t="s">
        <v>13</v>
      </c>
    </row>
    <row r="18" spans="1:3" x14ac:dyDescent="0.25">
      <c r="A18" t="s">
        <v>109</v>
      </c>
      <c r="B18" t="s">
        <v>30</v>
      </c>
      <c r="C18" s="17">
        <f>(0.1*4)+0.1</f>
        <v>0.5</v>
      </c>
    </row>
    <row r="19" spans="1:3" x14ac:dyDescent="0.25">
      <c r="A19" t="s">
        <v>112</v>
      </c>
      <c r="B19" t="s">
        <v>30</v>
      </c>
      <c r="C19" s="17">
        <v>0.15</v>
      </c>
    </row>
    <row r="20" spans="1:3" x14ac:dyDescent="0.25">
      <c r="A20" t="s">
        <v>110</v>
      </c>
      <c r="B20" t="s">
        <v>30</v>
      </c>
      <c r="C20" s="4" t="s">
        <v>138</v>
      </c>
    </row>
    <row r="21" spans="1:3" x14ac:dyDescent="0.25">
      <c r="B21" t="s">
        <v>30</v>
      </c>
      <c r="C21" s="4" t="str">
        <f>"("&amp;C8&amp;"/"&amp;C19&amp;")+1"</f>
        <v>(4/0.15)+1</v>
      </c>
    </row>
    <row r="22" spans="1:3" x14ac:dyDescent="0.25">
      <c r="B22" t="s">
        <v>30</v>
      </c>
      <c r="C22" s="4">
        <f>(C7/C19)+1</f>
        <v>18.333333333333336</v>
      </c>
    </row>
    <row r="23" spans="1:3" x14ac:dyDescent="0.25">
      <c r="A23" t="s">
        <v>113</v>
      </c>
      <c r="B23" t="s">
        <v>30</v>
      </c>
      <c r="C23" s="4" t="s">
        <v>114</v>
      </c>
    </row>
    <row r="24" spans="1:3" x14ac:dyDescent="0.25">
      <c r="B24" t="s">
        <v>30</v>
      </c>
      <c r="C24" s="4" t="str">
        <f>C18&amp;" x "&amp;C22</f>
        <v>0.5 x 18.3333333333333</v>
      </c>
    </row>
    <row r="25" spans="1:3" x14ac:dyDescent="0.25">
      <c r="B25" t="s">
        <v>30</v>
      </c>
      <c r="C25" s="17">
        <f>C18*C22</f>
        <v>9.1666666666666679</v>
      </c>
    </row>
    <row r="26" spans="1:3" x14ac:dyDescent="0.25">
      <c r="A26" t="s">
        <v>13</v>
      </c>
      <c r="B26" t="s">
        <v>30</v>
      </c>
      <c r="C26" s="4" t="s">
        <v>141</v>
      </c>
    </row>
    <row r="27" spans="1:3" x14ac:dyDescent="0.25">
      <c r="B27" t="s">
        <v>30</v>
      </c>
      <c r="C27" s="4" t="str">
        <f>C25&amp;" / 6 x "&amp;C12</f>
        <v>9.16666666666667 / 6 x 3</v>
      </c>
    </row>
    <row r="28" spans="1:3" x14ac:dyDescent="0.25">
      <c r="B28" t="s">
        <v>30</v>
      </c>
      <c r="C28" s="9">
        <f>C25/6*C12</f>
        <v>4.5833333333333339</v>
      </c>
    </row>
    <row r="29" spans="1:3" x14ac:dyDescent="0.25">
      <c r="A29" s="3" t="s">
        <v>116</v>
      </c>
    </row>
    <row r="30" spans="1:3" x14ac:dyDescent="0.25">
      <c r="A30" t="s">
        <v>131</v>
      </c>
      <c r="B30" t="s">
        <v>30</v>
      </c>
      <c r="C30" s="17">
        <f>C7</f>
        <v>2.6</v>
      </c>
    </row>
    <row r="31" spans="1:3" x14ac:dyDescent="0.25">
      <c r="A31" t="s">
        <v>132</v>
      </c>
      <c r="B31" t="s">
        <v>30</v>
      </c>
      <c r="C31" s="17">
        <v>0.15</v>
      </c>
    </row>
    <row r="32" spans="1:3" x14ac:dyDescent="0.25">
      <c r="A32" t="s">
        <v>133</v>
      </c>
      <c r="B32" t="s">
        <v>30</v>
      </c>
      <c r="C32" s="17">
        <v>0.15</v>
      </c>
    </row>
    <row r="34" spans="1:3" x14ac:dyDescent="0.25">
      <c r="A34" t="s">
        <v>134</v>
      </c>
      <c r="B34" t="s">
        <v>30</v>
      </c>
      <c r="C34" s="4" t="s">
        <v>121</v>
      </c>
    </row>
    <row r="35" spans="1:3" x14ac:dyDescent="0.25">
      <c r="B35" t="s">
        <v>30</v>
      </c>
      <c r="C35" s="4" t="str">
        <f>C30&amp;" x "&amp;C31&amp;" x "&amp;C32</f>
        <v>2.6 x 0.15 x 0.15</v>
      </c>
    </row>
    <row r="36" spans="1:3" x14ac:dyDescent="0.25">
      <c r="B36" t="s">
        <v>30</v>
      </c>
      <c r="C36" s="18">
        <f>C30*C31*C32</f>
        <v>5.8499999999999996E-2</v>
      </c>
    </row>
    <row r="38" spans="1:3" x14ac:dyDescent="0.25">
      <c r="A38" t="s">
        <v>97</v>
      </c>
      <c r="B38" t="s">
        <v>30</v>
      </c>
      <c r="C38" s="4" t="s">
        <v>142</v>
      </c>
    </row>
    <row r="39" spans="1:3" x14ac:dyDescent="0.25">
      <c r="B39" t="s">
        <v>30</v>
      </c>
      <c r="C39" s="4" t="str">
        <f>"1/4 x "&amp;C36&amp;" /0.024 x " &amp;C12</f>
        <v>1/4 x 0.0585 /0.024 x 3</v>
      </c>
    </row>
    <row r="40" spans="1:3" x14ac:dyDescent="0.25">
      <c r="B40" t="s">
        <v>30</v>
      </c>
      <c r="C40" s="24">
        <f>1/4*C36/0.024*3</f>
        <v>1.828125</v>
      </c>
    </row>
    <row r="42" spans="1:3" x14ac:dyDescent="0.25">
      <c r="A42" t="s">
        <v>96</v>
      </c>
      <c r="B42" t="s">
        <v>30</v>
      </c>
      <c r="C42" s="4" t="s">
        <v>143</v>
      </c>
    </row>
    <row r="43" spans="1:3" x14ac:dyDescent="0.25">
      <c r="B43" t="s">
        <v>30</v>
      </c>
      <c r="C43" s="4" t="str">
        <f>"2/4 x "&amp;C36&amp;" x "&amp;C12</f>
        <v>2/4 x 0.0585 x 3</v>
      </c>
    </row>
    <row r="44" spans="1:3" x14ac:dyDescent="0.25">
      <c r="B44" t="s">
        <v>30</v>
      </c>
      <c r="C44" s="18">
        <f>2/4*C36*3</f>
        <v>8.7749999999999995E-2</v>
      </c>
    </row>
    <row r="46" spans="1:3" x14ac:dyDescent="0.25">
      <c r="A46" t="s">
        <v>122</v>
      </c>
      <c r="B46" t="s">
        <v>30</v>
      </c>
      <c r="C46" s="4" t="s">
        <v>144</v>
      </c>
    </row>
    <row r="47" spans="1:3" x14ac:dyDescent="0.25">
      <c r="B47" t="s">
        <v>30</v>
      </c>
      <c r="C47" s="4" t="str">
        <f>"3/4 x "&amp;C36&amp;" x "&amp;C12</f>
        <v>3/4 x 0.0585 x 3</v>
      </c>
    </row>
    <row r="48" spans="1:3" x14ac:dyDescent="0.25">
      <c r="B48" t="s">
        <v>30</v>
      </c>
      <c r="C48" s="18">
        <f>3/4*C36*C12</f>
        <v>0.13162499999999999</v>
      </c>
    </row>
    <row r="49" spans="1:3" x14ac:dyDescent="0.25">
      <c r="A49" t="s">
        <v>126</v>
      </c>
    </row>
    <row r="50" spans="1:3" x14ac:dyDescent="0.25">
      <c r="A50" t="s">
        <v>135</v>
      </c>
      <c r="B50" t="s">
        <v>30</v>
      </c>
      <c r="C50" s="17">
        <f>C7</f>
        <v>2.6</v>
      </c>
    </row>
    <row r="51" spans="1:3" x14ac:dyDescent="0.25">
      <c r="A51" t="s">
        <v>128</v>
      </c>
      <c r="B51" t="s">
        <v>30</v>
      </c>
      <c r="C51" s="4" t="s">
        <v>129</v>
      </c>
    </row>
    <row r="52" spans="1:3" x14ac:dyDescent="0.25">
      <c r="B52" t="s">
        <v>30</v>
      </c>
      <c r="C52" s="4" t="str">
        <f>C50&amp;" x 2"</f>
        <v>2.6 x 2</v>
      </c>
    </row>
    <row r="53" spans="1:3" x14ac:dyDescent="0.25">
      <c r="B53" t="s">
        <v>30</v>
      </c>
      <c r="C53" s="17">
        <f>C50*2</f>
        <v>5.2</v>
      </c>
    </row>
    <row r="54" spans="1:3" x14ac:dyDescent="0.25">
      <c r="A54" t="s">
        <v>126</v>
      </c>
      <c r="B54" t="s">
        <v>30</v>
      </c>
      <c r="C54" s="4" t="s">
        <v>145</v>
      </c>
    </row>
    <row r="55" spans="1:3" x14ac:dyDescent="0.25">
      <c r="B55" t="s">
        <v>30</v>
      </c>
      <c r="C55" s="4" t="str">
        <f>C53&amp;"/4 x "&amp;C12</f>
        <v>5.2/4 x 3</v>
      </c>
    </row>
    <row r="56" spans="1:3" x14ac:dyDescent="0.25">
      <c r="B56" t="s">
        <v>30</v>
      </c>
      <c r="C56" s="8">
        <f>C53/4*C12</f>
        <v>3.9000000000000004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zoomScale="115" zoomScaleNormal="115" workbookViewId="0">
      <selection activeCell="C10" sqref="C10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223</v>
      </c>
    </row>
    <row r="5" spans="1:3" ht="15.75" thickTop="1" x14ac:dyDescent="0.25"/>
    <row r="6" spans="1:3" x14ac:dyDescent="0.25">
      <c r="A6" s="3" t="s">
        <v>102</v>
      </c>
    </row>
    <row r="7" spans="1:3" x14ac:dyDescent="0.25">
      <c r="A7" t="s">
        <v>136</v>
      </c>
      <c r="B7" t="s">
        <v>30</v>
      </c>
      <c r="C7" s="17">
        <v>2.8</v>
      </c>
    </row>
    <row r="8" spans="1:3" x14ac:dyDescent="0.25">
      <c r="A8" t="s">
        <v>104</v>
      </c>
      <c r="B8" t="s">
        <v>30</v>
      </c>
      <c r="C8" s="17">
        <v>4</v>
      </c>
    </row>
    <row r="9" spans="1:3" x14ac:dyDescent="0.25">
      <c r="A9" t="s">
        <v>107</v>
      </c>
      <c r="B9" t="s">
        <v>30</v>
      </c>
      <c r="C9" s="6" t="s">
        <v>137</v>
      </c>
    </row>
    <row r="10" spans="1:3" x14ac:dyDescent="0.25">
      <c r="B10" t="s">
        <v>30</v>
      </c>
      <c r="C10" s="6" t="str">
        <f>C7&amp;" x "&amp;C8</f>
        <v>2.8 x 4</v>
      </c>
    </row>
    <row r="11" spans="1:3" x14ac:dyDescent="0.25">
      <c r="B11" t="s">
        <v>30</v>
      </c>
      <c r="C11" s="17">
        <f>C7*C8</f>
        <v>11.2</v>
      </c>
    </row>
    <row r="12" spans="1:3" x14ac:dyDescent="0.25">
      <c r="A12" t="s">
        <v>139</v>
      </c>
      <c r="B12" t="s">
        <v>30</v>
      </c>
      <c r="C12" s="4">
        <v>2</v>
      </c>
    </row>
    <row r="14" spans="1:3" x14ac:dyDescent="0.25">
      <c r="A14" t="s">
        <v>106</v>
      </c>
      <c r="B14" t="s">
        <v>30</v>
      </c>
      <c r="C14" s="4" t="s">
        <v>140</v>
      </c>
    </row>
    <row r="15" spans="1:3" x14ac:dyDescent="0.25">
      <c r="B15" t="s">
        <v>30</v>
      </c>
      <c r="C15" s="4" t="str">
        <f>C11&amp;" / 12 x "&amp;C12</f>
        <v>11.2 / 12 x 2</v>
      </c>
    </row>
    <row r="16" spans="1:3" x14ac:dyDescent="0.25">
      <c r="B16" t="s">
        <v>30</v>
      </c>
      <c r="C16" s="9">
        <f>C11/12*3</f>
        <v>2.8</v>
      </c>
    </row>
    <row r="17" spans="1:3" x14ac:dyDescent="0.25">
      <c r="A17" t="s">
        <v>13</v>
      </c>
    </row>
    <row r="18" spans="1:3" x14ac:dyDescent="0.25">
      <c r="A18" t="s">
        <v>109</v>
      </c>
      <c r="B18" t="s">
        <v>30</v>
      </c>
      <c r="C18" s="17">
        <f>(0.1*4)+0.1</f>
        <v>0.5</v>
      </c>
    </row>
    <row r="19" spans="1:3" x14ac:dyDescent="0.25">
      <c r="A19" t="s">
        <v>112</v>
      </c>
      <c r="B19" t="s">
        <v>30</v>
      </c>
      <c r="C19" s="17">
        <v>0.15</v>
      </c>
    </row>
    <row r="20" spans="1:3" x14ac:dyDescent="0.25">
      <c r="A20" t="s">
        <v>110</v>
      </c>
      <c r="B20" t="s">
        <v>30</v>
      </c>
      <c r="C20" s="4" t="s">
        <v>138</v>
      </c>
    </row>
    <row r="21" spans="1:3" x14ac:dyDescent="0.25">
      <c r="B21" t="s">
        <v>30</v>
      </c>
      <c r="C21" s="4" t="str">
        <f>"("&amp;C8&amp;"/"&amp;C19&amp;")+1"</f>
        <v>(4/0.15)+1</v>
      </c>
    </row>
    <row r="22" spans="1:3" x14ac:dyDescent="0.25">
      <c r="B22" t="s">
        <v>30</v>
      </c>
      <c r="C22" s="4">
        <f>(C7/C19)+1</f>
        <v>19.666666666666668</v>
      </c>
    </row>
    <row r="24" spans="1:3" x14ac:dyDescent="0.25">
      <c r="A24" t="s">
        <v>113</v>
      </c>
      <c r="B24" t="s">
        <v>30</v>
      </c>
      <c r="C24" s="4" t="s">
        <v>114</v>
      </c>
    </row>
    <row r="25" spans="1:3" x14ac:dyDescent="0.25">
      <c r="B25" t="s">
        <v>30</v>
      </c>
      <c r="C25" s="4" t="str">
        <f>C18&amp;" x "&amp;C22</f>
        <v>0.5 x 19.6666666666667</v>
      </c>
    </row>
    <row r="26" spans="1:3" x14ac:dyDescent="0.25">
      <c r="B26" t="s">
        <v>30</v>
      </c>
      <c r="C26" s="17">
        <f>C18*C22</f>
        <v>9.8333333333333339</v>
      </c>
    </row>
    <row r="28" spans="1:3" x14ac:dyDescent="0.25">
      <c r="A28" t="s">
        <v>13</v>
      </c>
      <c r="B28" t="s">
        <v>30</v>
      </c>
      <c r="C28" s="4" t="s">
        <v>141</v>
      </c>
    </row>
    <row r="29" spans="1:3" x14ac:dyDescent="0.25">
      <c r="B29" t="s">
        <v>30</v>
      </c>
      <c r="C29" s="4" t="str">
        <f>C26&amp;" / 6 x "&amp;C12</f>
        <v>9.83333333333333 / 6 x 2</v>
      </c>
    </row>
    <row r="30" spans="1:3" x14ac:dyDescent="0.25">
      <c r="B30" t="s">
        <v>30</v>
      </c>
      <c r="C30" s="9">
        <f>C26/6*C12</f>
        <v>3.2777777777777781</v>
      </c>
    </row>
    <row r="32" spans="1:3" x14ac:dyDescent="0.25">
      <c r="A32" s="3" t="s">
        <v>116</v>
      </c>
    </row>
    <row r="33" spans="1:3" x14ac:dyDescent="0.25">
      <c r="A33" t="s">
        <v>131</v>
      </c>
      <c r="B33" t="s">
        <v>30</v>
      </c>
      <c r="C33" s="17">
        <f>C7</f>
        <v>2.8</v>
      </c>
    </row>
    <row r="34" spans="1:3" x14ac:dyDescent="0.25">
      <c r="A34" t="s">
        <v>132</v>
      </c>
      <c r="B34" t="s">
        <v>30</v>
      </c>
      <c r="C34" s="17">
        <v>0.15</v>
      </c>
    </row>
    <row r="35" spans="1:3" x14ac:dyDescent="0.25">
      <c r="A35" t="s">
        <v>133</v>
      </c>
      <c r="B35" t="s">
        <v>30</v>
      </c>
      <c r="C35" s="17">
        <v>0.15</v>
      </c>
    </row>
    <row r="36" spans="1:3" x14ac:dyDescent="0.25">
      <c r="A36" t="s">
        <v>134</v>
      </c>
      <c r="B36" t="s">
        <v>30</v>
      </c>
      <c r="C36" s="4" t="s">
        <v>121</v>
      </c>
    </row>
    <row r="37" spans="1:3" x14ac:dyDescent="0.25">
      <c r="B37" t="s">
        <v>30</v>
      </c>
      <c r="C37" s="4" t="str">
        <f>C33&amp;" x "&amp;C34&amp;" x "&amp;C35</f>
        <v>2.8 x 0.15 x 0.15</v>
      </c>
    </row>
    <row r="38" spans="1:3" x14ac:dyDescent="0.25">
      <c r="B38" t="s">
        <v>30</v>
      </c>
      <c r="C38" s="18">
        <f>C33*C34*C35</f>
        <v>6.3E-2</v>
      </c>
    </row>
    <row r="39" spans="1:3" x14ac:dyDescent="0.25">
      <c r="A39" t="s">
        <v>97</v>
      </c>
      <c r="B39" t="s">
        <v>30</v>
      </c>
      <c r="C39" s="4" t="s">
        <v>142</v>
      </c>
    </row>
    <row r="40" spans="1:3" x14ac:dyDescent="0.25">
      <c r="B40" t="s">
        <v>30</v>
      </c>
      <c r="C40" s="4" t="str">
        <f>"1/4 x "&amp;C38&amp;" /0.024 x " &amp;C12</f>
        <v>1/4 x 0.063 /0.024 x 2</v>
      </c>
    </row>
    <row r="41" spans="1:3" x14ac:dyDescent="0.25">
      <c r="B41" t="s">
        <v>30</v>
      </c>
      <c r="C41" s="24">
        <f>1/4*C38/0.024*3</f>
        <v>1.96875</v>
      </c>
    </row>
    <row r="42" spans="1:3" x14ac:dyDescent="0.25">
      <c r="A42" t="s">
        <v>96</v>
      </c>
      <c r="B42" t="s">
        <v>30</v>
      </c>
      <c r="C42" s="4" t="s">
        <v>143</v>
      </c>
    </row>
    <row r="43" spans="1:3" x14ac:dyDescent="0.25">
      <c r="B43" t="s">
        <v>30</v>
      </c>
      <c r="C43" s="4" t="str">
        <f>"2/4 x "&amp;C38&amp;" x "&amp;C12</f>
        <v>2/4 x 0.063 x 2</v>
      </c>
    </row>
    <row r="44" spans="1:3" x14ac:dyDescent="0.25">
      <c r="B44" t="s">
        <v>30</v>
      </c>
      <c r="C44" s="18">
        <f>2/4*C38*3</f>
        <v>9.4500000000000001E-2</v>
      </c>
    </row>
    <row r="45" spans="1:3" x14ac:dyDescent="0.25">
      <c r="A45" t="s">
        <v>122</v>
      </c>
      <c r="B45" t="s">
        <v>30</v>
      </c>
      <c r="C45" s="4" t="s">
        <v>144</v>
      </c>
    </row>
    <row r="46" spans="1:3" x14ac:dyDescent="0.25">
      <c r="B46" t="s">
        <v>30</v>
      </c>
      <c r="C46" s="4" t="str">
        <f>"3/4 x "&amp;C38&amp;" x "&amp;C12</f>
        <v>3/4 x 0.063 x 2</v>
      </c>
    </row>
    <row r="47" spans="1:3" x14ac:dyDescent="0.25">
      <c r="B47" t="s">
        <v>30</v>
      </c>
      <c r="C47" s="18">
        <f>3/4*C38*C12</f>
        <v>9.4500000000000001E-2</v>
      </c>
    </row>
    <row r="48" spans="1:3" x14ac:dyDescent="0.25">
      <c r="A48" t="s">
        <v>126</v>
      </c>
    </row>
    <row r="49" spans="1:3" x14ac:dyDescent="0.25">
      <c r="A49" t="s">
        <v>135</v>
      </c>
      <c r="B49" t="s">
        <v>30</v>
      </c>
      <c r="C49" s="17">
        <f>C7</f>
        <v>2.8</v>
      </c>
    </row>
    <row r="50" spans="1:3" x14ac:dyDescent="0.25">
      <c r="A50" t="s">
        <v>128</v>
      </c>
      <c r="B50" t="s">
        <v>30</v>
      </c>
      <c r="C50" s="4" t="s">
        <v>129</v>
      </c>
    </row>
    <row r="51" spans="1:3" x14ac:dyDescent="0.25">
      <c r="B51" t="s">
        <v>30</v>
      </c>
      <c r="C51" s="4" t="str">
        <f>C49&amp;" x 2"</f>
        <v>2.8 x 2</v>
      </c>
    </row>
    <row r="52" spans="1:3" x14ac:dyDescent="0.25">
      <c r="B52" t="s">
        <v>30</v>
      </c>
      <c r="C52" s="17">
        <f>C49*2</f>
        <v>5.6</v>
      </c>
    </row>
    <row r="53" spans="1:3" x14ac:dyDescent="0.25">
      <c r="A53" t="s">
        <v>126</v>
      </c>
      <c r="B53" t="s">
        <v>30</v>
      </c>
      <c r="C53" s="4" t="s">
        <v>145</v>
      </c>
    </row>
    <row r="54" spans="1:3" x14ac:dyDescent="0.25">
      <c r="B54" t="s">
        <v>30</v>
      </c>
      <c r="C54" s="4" t="str">
        <f>C52&amp;"/4 x "&amp;C12</f>
        <v>5.6/4 x 2</v>
      </c>
    </row>
    <row r="55" spans="1:3" x14ac:dyDescent="0.25">
      <c r="B55" t="s">
        <v>30</v>
      </c>
      <c r="C55" s="8">
        <f>C52/4*C12</f>
        <v>2.8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zoomScaleNormal="100" workbookViewId="0">
      <selection activeCell="C36" sqref="C36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224</v>
      </c>
    </row>
    <row r="5" spans="1:3" ht="15.75" thickTop="1" x14ac:dyDescent="0.25"/>
    <row r="6" spans="1:3" x14ac:dyDescent="0.25">
      <c r="A6" s="3" t="s">
        <v>102</v>
      </c>
    </row>
    <row r="7" spans="1:3" x14ac:dyDescent="0.25">
      <c r="A7" t="s">
        <v>103</v>
      </c>
      <c r="B7" t="s">
        <v>30</v>
      </c>
      <c r="C7" s="17">
        <v>6</v>
      </c>
    </row>
    <row r="8" spans="1:3" x14ac:dyDescent="0.25">
      <c r="A8" t="s">
        <v>104</v>
      </c>
      <c r="B8" t="s">
        <v>30</v>
      </c>
      <c r="C8" s="17">
        <v>4</v>
      </c>
    </row>
    <row r="9" spans="1:3" x14ac:dyDescent="0.25">
      <c r="A9" t="s">
        <v>107</v>
      </c>
      <c r="B9" t="s">
        <v>30</v>
      </c>
      <c r="C9" s="17" t="s">
        <v>105</v>
      </c>
    </row>
    <row r="10" spans="1:3" x14ac:dyDescent="0.25">
      <c r="B10" t="s">
        <v>30</v>
      </c>
      <c r="C10" s="17" t="str">
        <f>C7&amp;" x "&amp;C8</f>
        <v>6 x 4</v>
      </c>
    </row>
    <row r="11" spans="1:3" x14ac:dyDescent="0.25">
      <c r="B11" t="s">
        <v>30</v>
      </c>
      <c r="C11" s="17">
        <f>C7*C8</f>
        <v>24</v>
      </c>
    </row>
    <row r="13" spans="1:3" x14ac:dyDescent="0.25">
      <c r="A13" t="s">
        <v>106</v>
      </c>
      <c r="B13" t="s">
        <v>30</v>
      </c>
      <c r="C13" s="4" t="s">
        <v>108</v>
      </c>
    </row>
    <row r="14" spans="1:3" x14ac:dyDescent="0.25">
      <c r="B14" t="s">
        <v>30</v>
      </c>
      <c r="C14" s="4" t="str">
        <f>C11&amp;" / 12"</f>
        <v>24 / 12</v>
      </c>
    </row>
    <row r="15" spans="1:3" x14ac:dyDescent="0.25">
      <c r="B15" t="s">
        <v>30</v>
      </c>
      <c r="C15" s="9">
        <f>C11/12</f>
        <v>2</v>
      </c>
    </row>
    <row r="17" spans="1:3" x14ac:dyDescent="0.25">
      <c r="A17" t="s">
        <v>13</v>
      </c>
    </row>
    <row r="18" spans="1:3" x14ac:dyDescent="0.25">
      <c r="A18" t="s">
        <v>109</v>
      </c>
      <c r="B18" t="s">
        <v>30</v>
      </c>
      <c r="C18" s="17">
        <f>(0.1*4)+0.1</f>
        <v>0.5</v>
      </c>
    </row>
    <row r="19" spans="1:3" x14ac:dyDescent="0.25">
      <c r="A19" t="s">
        <v>112</v>
      </c>
      <c r="B19" t="s">
        <v>30</v>
      </c>
      <c r="C19" s="17">
        <v>0.15</v>
      </c>
    </row>
    <row r="20" spans="1:3" x14ac:dyDescent="0.25">
      <c r="A20" t="s">
        <v>110</v>
      </c>
      <c r="B20" t="s">
        <v>30</v>
      </c>
      <c r="C20" s="4" t="s">
        <v>111</v>
      </c>
    </row>
    <row r="21" spans="1:3" x14ac:dyDescent="0.25">
      <c r="B21" t="s">
        <v>30</v>
      </c>
      <c r="C21" s="4" t="str">
        <f>"("&amp;C11&amp;"/"&amp;C19&amp;")+1"</f>
        <v>(24/0.15)+1</v>
      </c>
    </row>
    <row r="22" spans="1:3" x14ac:dyDescent="0.25">
      <c r="B22" t="s">
        <v>30</v>
      </c>
      <c r="C22" s="4">
        <f>(C7/C19)+1</f>
        <v>41</v>
      </c>
    </row>
    <row r="24" spans="1:3" x14ac:dyDescent="0.25">
      <c r="A24" t="s">
        <v>113</v>
      </c>
      <c r="B24" t="s">
        <v>30</v>
      </c>
      <c r="C24" s="4" t="s">
        <v>114</v>
      </c>
    </row>
    <row r="25" spans="1:3" x14ac:dyDescent="0.25">
      <c r="B25" t="s">
        <v>30</v>
      </c>
      <c r="C25" s="4" t="str">
        <f>C18&amp;" x "&amp;C22</f>
        <v>0.5 x 41</v>
      </c>
    </row>
    <row r="26" spans="1:3" x14ac:dyDescent="0.25">
      <c r="B26" t="s">
        <v>30</v>
      </c>
      <c r="C26" s="17">
        <f>C18*C22</f>
        <v>20.5</v>
      </c>
    </row>
    <row r="28" spans="1:3" x14ac:dyDescent="0.25">
      <c r="A28" t="s">
        <v>13</v>
      </c>
      <c r="B28" t="s">
        <v>30</v>
      </c>
      <c r="C28" s="4" t="s">
        <v>115</v>
      </c>
    </row>
    <row r="29" spans="1:3" x14ac:dyDescent="0.25">
      <c r="B29" t="s">
        <v>30</v>
      </c>
      <c r="C29" s="4" t="str">
        <f>C26&amp;" / 6"</f>
        <v>20.5 / 6</v>
      </c>
    </row>
    <row r="30" spans="1:3" x14ac:dyDescent="0.25">
      <c r="B30" t="s">
        <v>30</v>
      </c>
      <c r="C30" s="9">
        <f>C26/6</f>
        <v>3.4166666666666665</v>
      </c>
    </row>
    <row r="31" spans="1:3" x14ac:dyDescent="0.25">
      <c r="A31" t="s">
        <v>116</v>
      </c>
    </row>
    <row r="32" spans="1:3" x14ac:dyDescent="0.25">
      <c r="A32" t="s">
        <v>117</v>
      </c>
      <c r="B32" t="s">
        <v>30</v>
      </c>
      <c r="C32" s="17">
        <f>C7</f>
        <v>6</v>
      </c>
    </row>
    <row r="33" spans="1:3" x14ac:dyDescent="0.25">
      <c r="A33" t="s">
        <v>118</v>
      </c>
      <c r="B33" t="s">
        <v>30</v>
      </c>
      <c r="C33" s="17">
        <v>0.15</v>
      </c>
    </row>
    <row r="34" spans="1:3" x14ac:dyDescent="0.25">
      <c r="A34" t="s">
        <v>119</v>
      </c>
      <c r="B34" t="s">
        <v>30</v>
      </c>
      <c r="C34" s="17">
        <v>0.15</v>
      </c>
    </row>
    <row r="35" spans="1:3" x14ac:dyDescent="0.25">
      <c r="A35" t="s">
        <v>120</v>
      </c>
      <c r="B35" t="s">
        <v>30</v>
      </c>
      <c r="C35" s="4" t="s">
        <v>121</v>
      </c>
    </row>
    <row r="36" spans="1:3" x14ac:dyDescent="0.25">
      <c r="B36" t="s">
        <v>30</v>
      </c>
      <c r="C36" s="4" t="str">
        <f>C32&amp;" x "&amp;C33&amp;" x "&amp;C34</f>
        <v>6 x 0.15 x 0.15</v>
      </c>
    </row>
    <row r="37" spans="1:3" x14ac:dyDescent="0.25">
      <c r="B37" t="s">
        <v>30</v>
      </c>
      <c r="C37" s="18">
        <f>C32*C33*C34</f>
        <v>0.13499999999999998</v>
      </c>
    </row>
    <row r="38" spans="1:3" x14ac:dyDescent="0.25">
      <c r="A38" t="s">
        <v>97</v>
      </c>
      <c r="B38" t="s">
        <v>30</v>
      </c>
      <c r="C38" s="4" t="s">
        <v>123</v>
      </c>
    </row>
    <row r="39" spans="1:3" x14ac:dyDescent="0.25">
      <c r="B39" t="s">
        <v>30</v>
      </c>
      <c r="C39" s="4" t="str">
        <f>"1/4 x "&amp;C37&amp;" /0.024"</f>
        <v>1/4 x 0.135 /0.024</v>
      </c>
    </row>
    <row r="40" spans="1:3" x14ac:dyDescent="0.25">
      <c r="B40" t="s">
        <v>30</v>
      </c>
      <c r="C40" s="24">
        <f>1/4*C37/0.024</f>
        <v>1.4062499999999998</v>
      </c>
    </row>
    <row r="41" spans="1:3" x14ac:dyDescent="0.25">
      <c r="A41" t="s">
        <v>96</v>
      </c>
      <c r="B41" t="s">
        <v>30</v>
      </c>
      <c r="C41" s="4" t="s">
        <v>125</v>
      </c>
    </row>
    <row r="42" spans="1:3" x14ac:dyDescent="0.25">
      <c r="B42" t="s">
        <v>30</v>
      </c>
      <c r="C42" s="4" t="str">
        <f>"2/4 x "&amp;C37</f>
        <v>2/4 x 0.135</v>
      </c>
    </row>
    <row r="43" spans="1:3" x14ac:dyDescent="0.25">
      <c r="B43" t="s">
        <v>30</v>
      </c>
      <c r="C43" s="18">
        <f>2/4*C37</f>
        <v>6.7499999999999991E-2</v>
      </c>
    </row>
    <row r="45" spans="1:3" x14ac:dyDescent="0.25">
      <c r="A45" t="s">
        <v>122</v>
      </c>
      <c r="B45" t="s">
        <v>30</v>
      </c>
      <c r="C45" s="4" t="s">
        <v>124</v>
      </c>
    </row>
    <row r="46" spans="1:3" x14ac:dyDescent="0.25">
      <c r="B46" t="s">
        <v>30</v>
      </c>
      <c r="C46" s="4" t="str">
        <f>"3/4 x "&amp;C37</f>
        <v>3/4 x 0.135</v>
      </c>
    </row>
    <row r="47" spans="1:3" x14ac:dyDescent="0.25">
      <c r="B47" t="s">
        <v>30</v>
      </c>
      <c r="C47" s="18">
        <f>3/4*C37</f>
        <v>0.10124999999999998</v>
      </c>
    </row>
    <row r="48" spans="1:3" x14ac:dyDescent="0.25">
      <c r="A48" t="s">
        <v>126</v>
      </c>
    </row>
    <row r="49" spans="1:3" x14ac:dyDescent="0.25">
      <c r="A49" t="s">
        <v>127</v>
      </c>
      <c r="B49" t="s">
        <v>30</v>
      </c>
      <c r="C49" s="17">
        <f>C7</f>
        <v>6</v>
      </c>
    </row>
    <row r="50" spans="1:3" x14ac:dyDescent="0.25">
      <c r="A50" t="s">
        <v>128</v>
      </c>
      <c r="B50" t="s">
        <v>30</v>
      </c>
      <c r="C50" s="17" t="s">
        <v>129</v>
      </c>
    </row>
    <row r="51" spans="1:3" x14ac:dyDescent="0.25">
      <c r="B51" t="s">
        <v>30</v>
      </c>
      <c r="C51" s="17" t="str">
        <f>C49&amp;" x 2"</f>
        <v>6 x 2</v>
      </c>
    </row>
    <row r="52" spans="1:3" x14ac:dyDescent="0.25">
      <c r="B52" t="s">
        <v>30</v>
      </c>
      <c r="C52" s="17">
        <f>C49*2</f>
        <v>12</v>
      </c>
    </row>
    <row r="53" spans="1:3" x14ac:dyDescent="0.25">
      <c r="A53" t="s">
        <v>126</v>
      </c>
      <c r="B53" t="s">
        <v>30</v>
      </c>
      <c r="C53" s="4" t="s">
        <v>130</v>
      </c>
    </row>
    <row r="54" spans="1:3" x14ac:dyDescent="0.25">
      <c r="B54" t="s">
        <v>30</v>
      </c>
      <c r="C54" s="4" t="str">
        <f>C52&amp;"/4"</f>
        <v>12/4</v>
      </c>
    </row>
    <row r="55" spans="1:3" x14ac:dyDescent="0.25">
      <c r="B55" t="s">
        <v>30</v>
      </c>
      <c r="C55" s="8">
        <f>C52/4</f>
        <v>3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C63" sqref="C63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225</v>
      </c>
    </row>
    <row r="5" spans="1:3" ht="15.75" thickTop="1" x14ac:dyDescent="0.25">
      <c r="A5" s="1"/>
    </row>
    <row r="6" spans="1:3" x14ac:dyDescent="0.25">
      <c r="A6" s="1" t="s">
        <v>102</v>
      </c>
    </row>
    <row r="7" spans="1:3" x14ac:dyDescent="0.25">
      <c r="A7" t="s">
        <v>103</v>
      </c>
      <c r="B7" t="s">
        <v>30</v>
      </c>
      <c r="C7" s="17">
        <v>6</v>
      </c>
    </row>
    <row r="8" spans="1:3" x14ac:dyDescent="0.25">
      <c r="A8" t="s">
        <v>104</v>
      </c>
      <c r="B8" t="s">
        <v>30</v>
      </c>
      <c r="C8" s="17">
        <v>4</v>
      </c>
    </row>
    <row r="9" spans="1:3" x14ac:dyDescent="0.25">
      <c r="A9" t="s">
        <v>107</v>
      </c>
      <c r="B9" t="s">
        <v>30</v>
      </c>
      <c r="C9" s="17" t="s">
        <v>105</v>
      </c>
    </row>
    <row r="10" spans="1:3" x14ac:dyDescent="0.25">
      <c r="B10" t="s">
        <v>30</v>
      </c>
      <c r="C10" s="17" t="str">
        <f>C7&amp;" x "&amp;C8</f>
        <v>6 x 4</v>
      </c>
    </row>
    <row r="11" spans="1:3" x14ac:dyDescent="0.25">
      <c r="B11" t="s">
        <v>30</v>
      </c>
      <c r="C11" s="17">
        <f>C7*C8</f>
        <v>24</v>
      </c>
    </row>
    <row r="12" spans="1:3" x14ac:dyDescent="0.25">
      <c r="A12" t="s">
        <v>106</v>
      </c>
      <c r="B12" t="s">
        <v>30</v>
      </c>
      <c r="C12" s="4" t="s">
        <v>108</v>
      </c>
    </row>
    <row r="13" spans="1:3" x14ac:dyDescent="0.25">
      <c r="B13" t="s">
        <v>30</v>
      </c>
      <c r="C13" s="4" t="str">
        <f>C11&amp;" / 12"</f>
        <v>24 / 12</v>
      </c>
    </row>
    <row r="14" spans="1:3" x14ac:dyDescent="0.25">
      <c r="B14" t="s">
        <v>30</v>
      </c>
      <c r="C14" s="9">
        <f>C11/12</f>
        <v>2</v>
      </c>
    </row>
    <row r="15" spans="1:3" x14ac:dyDescent="0.25">
      <c r="A15" t="s">
        <v>13</v>
      </c>
      <c r="C15" s="4"/>
    </row>
    <row r="16" spans="1:3" x14ac:dyDescent="0.25">
      <c r="A16" t="s">
        <v>109</v>
      </c>
      <c r="B16" t="s">
        <v>30</v>
      </c>
      <c r="C16" s="17">
        <f>(0.1*4)+0.1</f>
        <v>0.5</v>
      </c>
    </row>
    <row r="17" spans="1:3" x14ac:dyDescent="0.25">
      <c r="A17" t="s">
        <v>112</v>
      </c>
      <c r="B17" t="s">
        <v>30</v>
      </c>
      <c r="C17" s="17">
        <v>0.15</v>
      </c>
    </row>
    <row r="18" spans="1:3" x14ac:dyDescent="0.25">
      <c r="A18" t="s">
        <v>110</v>
      </c>
      <c r="B18" t="s">
        <v>30</v>
      </c>
      <c r="C18" s="4" t="s">
        <v>111</v>
      </c>
    </row>
    <row r="19" spans="1:3" x14ac:dyDescent="0.25">
      <c r="B19" t="s">
        <v>30</v>
      </c>
      <c r="C19" s="4" t="str">
        <f>"("&amp;C11&amp;"/"&amp;C17&amp;")+1"</f>
        <v>(24/0.15)+1</v>
      </c>
    </row>
    <row r="20" spans="1:3" x14ac:dyDescent="0.25">
      <c r="B20" t="s">
        <v>30</v>
      </c>
      <c r="C20" s="4">
        <f>(C7/C17)+1</f>
        <v>41</v>
      </c>
    </row>
    <row r="21" spans="1:3" x14ac:dyDescent="0.25">
      <c r="C21" s="4"/>
    </row>
    <row r="22" spans="1:3" x14ac:dyDescent="0.25">
      <c r="A22" t="s">
        <v>113</v>
      </c>
      <c r="B22" t="s">
        <v>30</v>
      </c>
      <c r="C22" s="4" t="s">
        <v>114</v>
      </c>
    </row>
    <row r="23" spans="1:3" x14ac:dyDescent="0.25">
      <c r="B23" t="s">
        <v>30</v>
      </c>
      <c r="C23" s="4" t="str">
        <f>C16&amp;" x "&amp;C20</f>
        <v>0.5 x 41</v>
      </c>
    </row>
    <row r="24" spans="1:3" x14ac:dyDescent="0.25">
      <c r="B24" t="s">
        <v>30</v>
      </c>
      <c r="C24" s="17">
        <f>C16*C20</f>
        <v>20.5</v>
      </c>
    </row>
    <row r="25" spans="1:3" x14ac:dyDescent="0.25">
      <c r="C25" s="4"/>
    </row>
    <row r="26" spans="1:3" x14ac:dyDescent="0.25">
      <c r="A26" t="s">
        <v>13</v>
      </c>
      <c r="B26" t="s">
        <v>30</v>
      </c>
      <c r="C26" s="4" t="s">
        <v>115</v>
      </c>
    </row>
    <row r="27" spans="1:3" x14ac:dyDescent="0.25">
      <c r="B27" t="s">
        <v>30</v>
      </c>
      <c r="C27" s="4" t="str">
        <f>C24&amp;" / 6"</f>
        <v>20.5 / 6</v>
      </c>
    </row>
    <row r="28" spans="1:3" x14ac:dyDescent="0.25">
      <c r="B28" t="s">
        <v>30</v>
      </c>
      <c r="C28" s="9">
        <f>C24/6</f>
        <v>3.4166666666666665</v>
      </c>
    </row>
    <row r="29" spans="1:3" x14ac:dyDescent="0.25">
      <c r="A29" t="s">
        <v>116</v>
      </c>
      <c r="C29" s="4"/>
    </row>
    <row r="30" spans="1:3" x14ac:dyDescent="0.25">
      <c r="A30" t="s">
        <v>117</v>
      </c>
      <c r="B30" t="s">
        <v>30</v>
      </c>
      <c r="C30" s="17">
        <f>C7</f>
        <v>6</v>
      </c>
    </row>
    <row r="31" spans="1:3" x14ac:dyDescent="0.25">
      <c r="A31" t="s">
        <v>118</v>
      </c>
      <c r="B31" t="s">
        <v>30</v>
      </c>
      <c r="C31" s="17">
        <v>0.15</v>
      </c>
    </row>
    <row r="32" spans="1:3" x14ac:dyDescent="0.25">
      <c r="A32" t="s">
        <v>119</v>
      </c>
      <c r="B32" t="s">
        <v>30</v>
      </c>
      <c r="C32" s="17">
        <v>0.3</v>
      </c>
    </row>
    <row r="33" spans="1:3" x14ac:dyDescent="0.25">
      <c r="C33" s="4"/>
    </row>
    <row r="34" spans="1:3" x14ac:dyDescent="0.25">
      <c r="A34" t="s">
        <v>120</v>
      </c>
      <c r="B34" t="s">
        <v>30</v>
      </c>
      <c r="C34" s="4" t="s">
        <v>121</v>
      </c>
    </row>
    <row r="35" spans="1:3" x14ac:dyDescent="0.25">
      <c r="B35" t="s">
        <v>30</v>
      </c>
      <c r="C35" s="4" t="str">
        <f>C30&amp;" x "&amp;C31&amp;" x "&amp;C32</f>
        <v>6 x 0.15 x 0.3</v>
      </c>
    </row>
    <row r="36" spans="1:3" x14ac:dyDescent="0.25">
      <c r="B36" t="s">
        <v>30</v>
      </c>
      <c r="C36" s="18">
        <f>C30*C31*C32</f>
        <v>0.26999999999999996</v>
      </c>
    </row>
    <row r="37" spans="1:3" x14ac:dyDescent="0.25">
      <c r="C37" s="4"/>
    </row>
    <row r="38" spans="1:3" x14ac:dyDescent="0.25">
      <c r="A38" t="s">
        <v>97</v>
      </c>
      <c r="B38" t="s">
        <v>30</v>
      </c>
      <c r="C38" s="4" t="s">
        <v>123</v>
      </c>
    </row>
    <row r="39" spans="1:3" x14ac:dyDescent="0.25">
      <c r="B39" t="s">
        <v>30</v>
      </c>
      <c r="C39" s="4" t="str">
        <f>"1/4 x "&amp;C36&amp;" /0.024"</f>
        <v>1/4 x 0.27 /0.024</v>
      </c>
    </row>
    <row r="40" spans="1:3" x14ac:dyDescent="0.25">
      <c r="B40" t="s">
        <v>30</v>
      </c>
      <c r="C40" s="24">
        <f>1/4*C36/0.024</f>
        <v>2.8124999999999996</v>
      </c>
    </row>
    <row r="41" spans="1:3" x14ac:dyDescent="0.25">
      <c r="C41" s="4"/>
    </row>
    <row r="42" spans="1:3" x14ac:dyDescent="0.25">
      <c r="A42" t="s">
        <v>96</v>
      </c>
      <c r="B42" t="s">
        <v>30</v>
      </c>
      <c r="C42" s="4" t="s">
        <v>125</v>
      </c>
    </row>
    <row r="43" spans="1:3" x14ac:dyDescent="0.25">
      <c r="B43" t="s">
        <v>30</v>
      </c>
      <c r="C43" s="4" t="str">
        <f>"2/4 x "&amp;C36</f>
        <v>2/4 x 0.27</v>
      </c>
    </row>
    <row r="44" spans="1:3" x14ac:dyDescent="0.25">
      <c r="B44" t="s">
        <v>30</v>
      </c>
      <c r="C44" s="18">
        <f>2/4*C36</f>
        <v>0.13499999999999998</v>
      </c>
    </row>
    <row r="45" spans="1:3" x14ac:dyDescent="0.25">
      <c r="C45" s="4"/>
    </row>
    <row r="46" spans="1:3" x14ac:dyDescent="0.25">
      <c r="A46" t="s">
        <v>122</v>
      </c>
      <c r="B46" t="s">
        <v>30</v>
      </c>
      <c r="C46" s="4" t="s">
        <v>124</v>
      </c>
    </row>
    <row r="47" spans="1:3" x14ac:dyDescent="0.25">
      <c r="B47" t="s">
        <v>30</v>
      </c>
      <c r="C47" s="4" t="str">
        <f>"3/4 x "&amp;C36</f>
        <v>3/4 x 0.27</v>
      </c>
    </row>
    <row r="48" spans="1:3" x14ac:dyDescent="0.25">
      <c r="B48" t="s">
        <v>30</v>
      </c>
      <c r="C48" s="18">
        <f>3/4*C36</f>
        <v>0.20249999999999996</v>
      </c>
    </row>
    <row r="49" spans="1:3" x14ac:dyDescent="0.25">
      <c r="A49" t="s">
        <v>126</v>
      </c>
      <c r="C49" s="4"/>
    </row>
    <row r="50" spans="1:3" x14ac:dyDescent="0.25">
      <c r="A50" t="s">
        <v>127</v>
      </c>
      <c r="B50" t="s">
        <v>30</v>
      </c>
      <c r="C50" s="17">
        <f>C7</f>
        <v>6</v>
      </c>
    </row>
    <row r="51" spans="1:3" x14ac:dyDescent="0.25">
      <c r="A51" t="s">
        <v>128</v>
      </c>
      <c r="B51" t="s">
        <v>30</v>
      </c>
      <c r="C51" s="17" t="s">
        <v>129</v>
      </c>
    </row>
    <row r="52" spans="1:3" x14ac:dyDescent="0.25">
      <c r="B52" t="s">
        <v>30</v>
      </c>
      <c r="C52" s="17" t="str">
        <f>C50&amp;" x 2"</f>
        <v>6 x 2</v>
      </c>
    </row>
    <row r="53" spans="1:3" x14ac:dyDescent="0.25">
      <c r="B53" t="s">
        <v>30</v>
      </c>
      <c r="C53" s="17">
        <f>C50*2</f>
        <v>12</v>
      </c>
    </row>
    <row r="54" spans="1:3" x14ac:dyDescent="0.25">
      <c r="A54" t="s">
        <v>126</v>
      </c>
      <c r="B54" t="s">
        <v>30</v>
      </c>
      <c r="C54" s="4" t="s">
        <v>130</v>
      </c>
    </row>
    <row r="55" spans="1:3" x14ac:dyDescent="0.25">
      <c r="B55" t="s">
        <v>30</v>
      </c>
      <c r="C55" s="4" t="str">
        <f>C53&amp;"/4"</f>
        <v>12/4</v>
      </c>
    </row>
    <row r="56" spans="1:3" x14ac:dyDescent="0.25">
      <c r="B56" t="s">
        <v>30</v>
      </c>
      <c r="C56" s="8">
        <f>C53/4</f>
        <v>3</v>
      </c>
    </row>
  </sheetData>
  <mergeCells count="1">
    <mergeCell ref="A1:C1"/>
  </mergeCells>
  <pageMargins left="0.7" right="0.7" top="0.75" bottom="0.75" header="0.3" footer="0.3"/>
  <pageSetup paperSize="256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1" sqref="C11"/>
    </sheetView>
  </sheetViews>
  <sheetFormatPr defaultRowHeight="15" x14ac:dyDescent="0.25"/>
  <cols>
    <col min="1" max="1" width="36.42578125" bestFit="1" customWidth="1"/>
    <col min="2" max="2" width="2" bestFit="1" customWidth="1"/>
    <col min="3" max="3" width="48.28515625" style="4" bestFit="1" customWidth="1"/>
  </cols>
  <sheetData>
    <row r="1" spans="1:3" ht="15.75" x14ac:dyDescent="0.25">
      <c r="A1" s="39" t="s">
        <v>200</v>
      </c>
      <c r="B1" s="39"/>
      <c r="C1" s="39"/>
    </row>
    <row r="2" spans="1:3" ht="15.75" x14ac:dyDescent="0.25">
      <c r="A2" s="13"/>
      <c r="B2" s="13"/>
      <c r="C2" s="23"/>
    </row>
    <row r="3" spans="1:3" x14ac:dyDescent="0.25">
      <c r="A3" t="s">
        <v>201</v>
      </c>
      <c r="B3" t="s">
        <v>202</v>
      </c>
      <c r="C3" s="4" t="s">
        <v>203</v>
      </c>
    </row>
    <row r="4" spans="1:3" ht="15.75" thickBot="1" x14ac:dyDescent="0.3">
      <c r="A4" s="14" t="s">
        <v>204</v>
      </c>
      <c r="B4" s="14" t="s">
        <v>202</v>
      </c>
      <c r="C4" s="15" t="s">
        <v>226</v>
      </c>
    </row>
    <row r="5" spans="1:3" ht="15.75" thickTop="1" x14ac:dyDescent="0.25"/>
    <row r="8" spans="1:3" x14ac:dyDescent="0.25">
      <c r="A8" t="s">
        <v>146</v>
      </c>
      <c r="B8" t="s">
        <v>30</v>
      </c>
      <c r="C8" s="25">
        <v>21.33</v>
      </c>
    </row>
    <row r="9" spans="1:3" x14ac:dyDescent="0.25">
      <c r="A9" t="s">
        <v>147</v>
      </c>
      <c r="B9" t="s">
        <v>30</v>
      </c>
      <c r="C9" s="17">
        <v>0.08</v>
      </c>
    </row>
    <row r="10" spans="1:3" x14ac:dyDescent="0.25">
      <c r="A10" t="s">
        <v>148</v>
      </c>
      <c r="B10" t="s">
        <v>30</v>
      </c>
      <c r="C10" s="4" t="s">
        <v>149</v>
      </c>
    </row>
    <row r="11" spans="1:3" x14ac:dyDescent="0.25">
      <c r="B11" t="s">
        <v>30</v>
      </c>
      <c r="C11" s="4" t="str">
        <f>C8&amp;" x "&amp;C9</f>
        <v>21.33 x 0.08</v>
      </c>
    </row>
    <row r="12" spans="1:3" x14ac:dyDescent="0.25">
      <c r="B12" t="s">
        <v>30</v>
      </c>
      <c r="C12" s="18">
        <f>C8*C9</f>
        <v>1.7063999999999999</v>
      </c>
    </row>
    <row r="14" spans="1:3" x14ac:dyDescent="0.25">
      <c r="A14" t="s">
        <v>89</v>
      </c>
      <c r="B14" t="s">
        <v>30</v>
      </c>
      <c r="C14" s="20">
        <f>0.18*0.1*0.08</f>
        <v>1.4399999999999999E-3</v>
      </c>
    </row>
    <row r="15" spans="1:3" x14ac:dyDescent="0.25">
      <c r="A15" t="s">
        <v>92</v>
      </c>
      <c r="B15" t="s">
        <v>30</v>
      </c>
      <c r="C15" s="4" t="s">
        <v>150</v>
      </c>
    </row>
    <row r="16" spans="1:3" x14ac:dyDescent="0.25">
      <c r="B16" t="s">
        <v>30</v>
      </c>
      <c r="C16" s="4" t="str">
        <f>C12&amp;" / "&amp;C14</f>
        <v>1.7064 / 0.00144</v>
      </c>
    </row>
    <row r="17" spans="1:3" x14ac:dyDescent="0.25">
      <c r="B17" t="s">
        <v>30</v>
      </c>
      <c r="C17" s="26">
        <f>C12/C14</f>
        <v>1185</v>
      </c>
    </row>
    <row r="19" spans="1:3" x14ac:dyDescent="0.25">
      <c r="A19" t="s">
        <v>90</v>
      </c>
      <c r="B19" t="s">
        <v>30</v>
      </c>
      <c r="C19" s="21">
        <f>0.16*0.08*0.08</f>
        <v>1.0240000000000002E-3</v>
      </c>
    </row>
    <row r="21" spans="1:3" x14ac:dyDescent="0.25">
      <c r="A21" t="s">
        <v>91</v>
      </c>
      <c r="B21" t="s">
        <v>30</v>
      </c>
      <c r="C21" s="4" t="s">
        <v>93</v>
      </c>
    </row>
    <row r="22" spans="1:3" x14ac:dyDescent="0.25">
      <c r="B22" t="s">
        <v>30</v>
      </c>
      <c r="C22" s="4" t="str">
        <f>C17&amp; " x " &amp;C19</f>
        <v>1185 x 0.001024</v>
      </c>
    </row>
    <row r="23" spans="1:3" x14ac:dyDescent="0.25">
      <c r="B23" t="s">
        <v>30</v>
      </c>
      <c r="C23" s="21">
        <f>C17*C19</f>
        <v>1.2134400000000003</v>
      </c>
    </row>
    <row r="25" spans="1:3" x14ac:dyDescent="0.25">
      <c r="A25" t="s">
        <v>94</v>
      </c>
      <c r="B25" t="s">
        <v>30</v>
      </c>
      <c r="C25" s="4" t="s">
        <v>95</v>
      </c>
    </row>
    <row r="26" spans="1:3" x14ac:dyDescent="0.25">
      <c r="B26" t="s">
        <v>30</v>
      </c>
      <c r="C26" s="21">
        <f>C12-C23</f>
        <v>0.49295999999999962</v>
      </c>
    </row>
    <row r="28" spans="1:3" x14ac:dyDescent="0.25">
      <c r="A28" t="s">
        <v>97</v>
      </c>
      <c r="B28" t="s">
        <v>30</v>
      </c>
      <c r="C28" s="4" t="s">
        <v>98</v>
      </c>
    </row>
    <row r="29" spans="1:3" x14ac:dyDescent="0.25">
      <c r="B29" t="s">
        <v>30</v>
      </c>
      <c r="C29" s="4" t="str">
        <f>"1/4 x "&amp;C26&amp;"/0.024"</f>
        <v>1/4 x 0.49296/0.024</v>
      </c>
    </row>
    <row r="30" spans="1:3" x14ac:dyDescent="0.25">
      <c r="B30" t="s">
        <v>30</v>
      </c>
      <c r="C30" s="24">
        <f>1/4*C26/0.024</f>
        <v>5.1349999999999962</v>
      </c>
    </row>
    <row r="32" spans="1:3" x14ac:dyDescent="0.25">
      <c r="A32" t="s">
        <v>99</v>
      </c>
      <c r="B32" t="s">
        <v>30</v>
      </c>
      <c r="C32" s="4" t="s">
        <v>100</v>
      </c>
    </row>
    <row r="33" spans="2:3" x14ac:dyDescent="0.25">
      <c r="B33" t="s">
        <v>30</v>
      </c>
      <c r="C33" s="4" t="str">
        <f>"3/4 x "&amp;C26</f>
        <v>3/4 x 0.49296</v>
      </c>
    </row>
    <row r="34" spans="2:3" x14ac:dyDescent="0.25">
      <c r="B34" t="s">
        <v>30</v>
      </c>
      <c r="C34" s="21">
        <f>3/4*C26</f>
        <v>0.36971999999999972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2. Pekerjaan Bowplank</vt:lpstr>
      <vt:lpstr>3. Pekerjaan Pondasi</vt:lpstr>
      <vt:lpstr>4. Pekerjaan Cor Sloof</vt:lpstr>
      <vt:lpstr>5. Pekerjaan Tiang Tepi</vt:lpstr>
      <vt:lpstr>6. Pekerjaan Tiang Tengah</vt:lpstr>
      <vt:lpstr>7.Pekerjaan Cor Sloof Atas Tepi</vt:lpstr>
      <vt:lpstr>8. Pek Cor Sloof Ats tengah</vt:lpstr>
      <vt:lpstr>9. Pekerjaan dinding</vt:lpstr>
      <vt:lpstr>10. Pekerjaan Ram</vt:lpstr>
      <vt:lpstr>11. Pekerjaan Atap B. Utama</vt:lpstr>
      <vt:lpstr>12. Pek. Pemasangan Listplank</vt:lpstr>
      <vt:lpstr>13. Pekerjaan Lantai</vt:lpstr>
      <vt:lpstr>14. Pekerjaan Tiang Teras</vt:lpstr>
      <vt:lpstr>15. Pek Cor Sloof tiang teras</vt:lpstr>
      <vt:lpstr>16. Pekerjaan Atap teras</vt:lpstr>
      <vt:lpstr>rekap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cp:lastPrinted>2019-09-28T03:58:21Z</cp:lastPrinted>
  <dcterms:created xsi:type="dcterms:W3CDTF">2019-09-16T10:34:09Z</dcterms:created>
  <dcterms:modified xsi:type="dcterms:W3CDTF">2019-12-26T18:54:21Z</dcterms:modified>
</cp:coreProperties>
</file>